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erebashvili.AD\Desktop\"/>
    </mc:Choice>
  </mc:AlternateContent>
  <bookViews>
    <workbookView xWindow="0" yWindow="0" windowWidth="28800" windowHeight="12300"/>
  </bookViews>
  <sheets>
    <sheet name="გამსხვილებული" sheetId="8" r:id="rId1"/>
  </sheets>
  <definedNames>
    <definedName name="_xlnm.Print_Area" localSheetId="0">გამსხვილებული!$A$2:$N$253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7" i="8" l="1"/>
  <c r="M228" i="8"/>
  <c r="M229" i="8"/>
  <c r="M230" i="8"/>
  <c r="M234" i="8"/>
  <c r="M235" i="8"/>
  <c r="M236" i="8"/>
  <c r="M237" i="8"/>
  <c r="M238" i="8"/>
  <c r="M239" i="8"/>
  <c r="M240" i="8"/>
  <c r="M241" i="8"/>
  <c r="M224" i="8"/>
  <c r="J227" i="8"/>
  <c r="J228" i="8"/>
  <c r="J229" i="8"/>
  <c r="J230" i="8"/>
  <c r="J234" i="8"/>
  <c r="J235" i="8"/>
  <c r="J236" i="8"/>
  <c r="J237" i="8"/>
  <c r="J238" i="8"/>
  <c r="J239" i="8"/>
  <c r="J240" i="8"/>
  <c r="J241" i="8"/>
  <c r="J224" i="8"/>
  <c r="G227" i="8"/>
  <c r="G228" i="8"/>
  <c r="G229" i="8"/>
  <c r="G230" i="8"/>
  <c r="G234" i="8"/>
  <c r="G235" i="8"/>
  <c r="G236" i="8"/>
  <c r="G237" i="8"/>
  <c r="G238" i="8"/>
  <c r="G239" i="8"/>
  <c r="G240" i="8"/>
  <c r="G241" i="8"/>
  <c r="G224" i="8"/>
  <c r="M198" i="8"/>
  <c r="M201" i="8"/>
  <c r="M202" i="8"/>
  <c r="M203" i="8"/>
  <c r="M204" i="8"/>
  <c r="M205" i="8"/>
  <c r="M206" i="8"/>
  <c r="M207" i="8"/>
  <c r="M208" i="8"/>
  <c r="M210" i="8"/>
  <c r="M215" i="8"/>
  <c r="M196" i="8"/>
  <c r="J198" i="8"/>
  <c r="J201" i="8"/>
  <c r="J202" i="8"/>
  <c r="J203" i="8"/>
  <c r="J204" i="8"/>
  <c r="J205" i="8"/>
  <c r="J206" i="8"/>
  <c r="J207" i="8"/>
  <c r="J208" i="8"/>
  <c r="J210" i="8"/>
  <c r="J215" i="8"/>
  <c r="J196" i="8"/>
  <c r="G198" i="8"/>
  <c r="G201" i="8"/>
  <c r="G202" i="8"/>
  <c r="G203" i="8"/>
  <c r="G204" i="8"/>
  <c r="G205" i="8"/>
  <c r="G206" i="8"/>
  <c r="G207" i="8"/>
  <c r="G208" i="8"/>
  <c r="G210" i="8"/>
  <c r="G215" i="8"/>
  <c r="G196" i="8"/>
  <c r="M172" i="8"/>
  <c r="M175" i="8"/>
  <c r="M176" i="8"/>
  <c r="M177" i="8"/>
  <c r="M178" i="8"/>
  <c r="M179" i="8"/>
  <c r="M180" i="8"/>
  <c r="M181" i="8"/>
  <c r="M182" i="8"/>
  <c r="M187" i="8"/>
  <c r="M170" i="8"/>
  <c r="J172" i="8"/>
  <c r="J175" i="8"/>
  <c r="J176" i="8"/>
  <c r="J177" i="8"/>
  <c r="J178" i="8"/>
  <c r="J179" i="8"/>
  <c r="J180" i="8"/>
  <c r="J181" i="8"/>
  <c r="J182" i="8"/>
  <c r="J187" i="8"/>
  <c r="J170" i="8"/>
  <c r="G172" i="8"/>
  <c r="G175" i="8"/>
  <c r="G176" i="8"/>
  <c r="G177" i="8"/>
  <c r="G178" i="8"/>
  <c r="G179" i="8"/>
  <c r="G180" i="8"/>
  <c r="G181" i="8"/>
  <c r="G182" i="8"/>
  <c r="G187" i="8"/>
  <c r="G170" i="8"/>
  <c r="M135" i="8"/>
  <c r="M138" i="8"/>
  <c r="M140" i="8"/>
  <c r="M142" i="8"/>
  <c r="M143" i="8"/>
  <c r="M144" i="8"/>
  <c r="M146" i="8"/>
  <c r="M147" i="8"/>
  <c r="M148" i="8"/>
  <c r="M150" i="8"/>
  <c r="M151" i="8"/>
  <c r="M152" i="8"/>
  <c r="M153" i="8"/>
  <c r="M157" i="8"/>
  <c r="M159" i="8"/>
  <c r="M161" i="8"/>
  <c r="M129" i="8"/>
  <c r="J135" i="8"/>
  <c r="J138" i="8"/>
  <c r="J140" i="8"/>
  <c r="J142" i="8"/>
  <c r="J143" i="8"/>
  <c r="J144" i="8"/>
  <c r="J146" i="8"/>
  <c r="J147" i="8"/>
  <c r="J148" i="8"/>
  <c r="J150" i="8"/>
  <c r="J151" i="8"/>
  <c r="J152" i="8"/>
  <c r="J153" i="8"/>
  <c r="J157" i="8"/>
  <c r="J159" i="8"/>
  <c r="J161" i="8"/>
  <c r="J129" i="8"/>
  <c r="G135" i="8"/>
  <c r="G138" i="8"/>
  <c r="G140" i="8"/>
  <c r="G142" i="8"/>
  <c r="G143" i="8"/>
  <c r="G144" i="8"/>
  <c r="G146" i="8"/>
  <c r="G147" i="8"/>
  <c r="G148" i="8"/>
  <c r="G150" i="8"/>
  <c r="G151" i="8"/>
  <c r="G152" i="8"/>
  <c r="G153" i="8"/>
  <c r="G157" i="8"/>
  <c r="G159" i="8"/>
  <c r="G161" i="8"/>
  <c r="G129" i="8"/>
  <c r="M90" i="8"/>
  <c r="M92" i="8"/>
  <c r="M94" i="8"/>
  <c r="M96" i="8"/>
  <c r="M98" i="8"/>
  <c r="M100" i="8"/>
  <c r="M102" i="8"/>
  <c r="M104" i="8"/>
  <c r="M105" i="8"/>
  <c r="M106" i="8"/>
  <c r="M108" i="8"/>
  <c r="M110" i="8"/>
  <c r="M112" i="8"/>
  <c r="M114" i="8"/>
  <c r="M116" i="8"/>
  <c r="M88" i="8"/>
  <c r="J90" i="8"/>
  <c r="J92" i="8"/>
  <c r="J94" i="8"/>
  <c r="J96" i="8"/>
  <c r="J98" i="8"/>
  <c r="J100" i="8"/>
  <c r="J102" i="8"/>
  <c r="J104" i="8"/>
  <c r="J105" i="8"/>
  <c r="J106" i="8"/>
  <c r="J108" i="8"/>
  <c r="J110" i="8"/>
  <c r="J112" i="8"/>
  <c r="J114" i="8"/>
  <c r="J116" i="8"/>
  <c r="J88" i="8"/>
  <c r="G90" i="8"/>
  <c r="G92" i="8"/>
  <c r="G94" i="8"/>
  <c r="G96" i="8"/>
  <c r="G98" i="8"/>
  <c r="G100" i="8"/>
  <c r="G102" i="8"/>
  <c r="G104" i="8"/>
  <c r="G105" i="8"/>
  <c r="G106" i="8"/>
  <c r="G108" i="8"/>
  <c r="G110" i="8"/>
  <c r="G112" i="8"/>
  <c r="G114" i="8"/>
  <c r="G116" i="8"/>
  <c r="G88" i="8"/>
  <c r="M35" i="8"/>
  <c r="M37" i="8"/>
  <c r="M39" i="8"/>
  <c r="M40" i="8"/>
  <c r="M42" i="8"/>
  <c r="M43" i="8"/>
  <c r="M44" i="8"/>
  <c r="M46" i="8"/>
  <c r="M48" i="8"/>
  <c r="M49" i="8"/>
  <c r="M51" i="8"/>
  <c r="M52" i="8"/>
  <c r="M53" i="8"/>
  <c r="M54" i="8"/>
  <c r="M55" i="8"/>
  <c r="M56" i="8"/>
  <c r="M57" i="8"/>
  <c r="M58" i="8"/>
  <c r="M59" i="8"/>
  <c r="M61" i="8"/>
  <c r="M62" i="8"/>
  <c r="M63" i="8"/>
  <c r="M65" i="8"/>
  <c r="M66" i="8"/>
  <c r="M72" i="8"/>
  <c r="M73" i="8"/>
  <c r="M74" i="8"/>
  <c r="M75" i="8"/>
  <c r="M76" i="8"/>
  <c r="M77" i="8"/>
  <c r="M78" i="8"/>
  <c r="M80" i="8"/>
  <c r="M33" i="8"/>
  <c r="J35" i="8"/>
  <c r="J37" i="8"/>
  <c r="J39" i="8"/>
  <c r="J40" i="8"/>
  <c r="J42" i="8"/>
  <c r="J43" i="8"/>
  <c r="J44" i="8"/>
  <c r="J46" i="8"/>
  <c r="J48" i="8"/>
  <c r="J49" i="8"/>
  <c r="J51" i="8"/>
  <c r="J52" i="8"/>
  <c r="J53" i="8"/>
  <c r="J54" i="8"/>
  <c r="J55" i="8"/>
  <c r="J56" i="8"/>
  <c r="J57" i="8"/>
  <c r="J58" i="8"/>
  <c r="J59" i="8"/>
  <c r="J61" i="8"/>
  <c r="J62" i="8"/>
  <c r="J63" i="8"/>
  <c r="J65" i="8"/>
  <c r="J66" i="8"/>
  <c r="J72" i="8"/>
  <c r="J73" i="8"/>
  <c r="J74" i="8"/>
  <c r="J75" i="8"/>
  <c r="J76" i="8"/>
  <c r="J77" i="8"/>
  <c r="J78" i="8"/>
  <c r="J80" i="8"/>
  <c r="J33" i="8"/>
  <c r="G35" i="8"/>
  <c r="G37" i="8"/>
  <c r="G39" i="8"/>
  <c r="G40" i="8"/>
  <c r="G42" i="8"/>
  <c r="G43" i="8"/>
  <c r="G44" i="8"/>
  <c r="G46" i="8"/>
  <c r="G48" i="8"/>
  <c r="G49" i="8"/>
  <c r="G51" i="8"/>
  <c r="G52" i="8"/>
  <c r="G53" i="8"/>
  <c r="G54" i="8"/>
  <c r="G55" i="8"/>
  <c r="G56" i="8"/>
  <c r="G57" i="8"/>
  <c r="G58" i="8"/>
  <c r="G59" i="8"/>
  <c r="G61" i="8"/>
  <c r="G62" i="8"/>
  <c r="G63" i="8"/>
  <c r="G65" i="8"/>
  <c r="G66" i="8"/>
  <c r="G72" i="8"/>
  <c r="G73" i="8"/>
  <c r="G74" i="8"/>
  <c r="G75" i="8"/>
  <c r="G76" i="8"/>
  <c r="G77" i="8"/>
  <c r="G78" i="8"/>
  <c r="G80" i="8"/>
  <c r="G33" i="8"/>
  <c r="M19" i="8"/>
  <c r="M20" i="8"/>
  <c r="M21" i="8"/>
  <c r="M22" i="8"/>
  <c r="M23" i="8"/>
  <c r="M24" i="8"/>
  <c r="M17" i="8"/>
  <c r="J19" i="8"/>
  <c r="J20" i="8"/>
  <c r="J21" i="8"/>
  <c r="J22" i="8"/>
  <c r="J23" i="8"/>
  <c r="J24" i="8"/>
  <c r="J17" i="8"/>
  <c r="G19" i="8"/>
  <c r="G20" i="8"/>
  <c r="G21" i="8"/>
  <c r="G22" i="8"/>
  <c r="G23" i="8"/>
  <c r="G24" i="8"/>
  <c r="G17" i="8"/>
  <c r="M9" i="8"/>
  <c r="M7" i="8"/>
  <c r="J9" i="8"/>
  <c r="J7" i="8"/>
  <c r="G9" i="8"/>
  <c r="G7" i="8"/>
  <c r="D216" i="8" l="1"/>
  <c r="G216" i="8" l="1"/>
  <c r="M216" i="8"/>
  <c r="J216" i="8"/>
  <c r="D34" i="8"/>
  <c r="D36" i="8"/>
  <c r="D38" i="8"/>
  <c r="D41" i="8"/>
  <c r="D45" i="8"/>
  <c r="D47" i="8"/>
  <c r="D79" i="8"/>
  <c r="D91" i="8"/>
  <c r="D95" i="8"/>
  <c r="D99" i="8"/>
  <c r="D103" i="8"/>
  <c r="D107" i="8"/>
  <c r="D101" i="8"/>
  <c r="D109" i="8"/>
  <c r="D113" i="8"/>
  <c r="D115" i="8"/>
  <c r="D118" i="8"/>
  <c r="D117" i="8"/>
  <c r="D130" i="8"/>
  <c r="D137" i="8"/>
  <c r="D136" i="8"/>
  <c r="D139" i="8"/>
  <c r="D141" i="8"/>
  <c r="J137" i="8" l="1"/>
  <c r="M137" i="8"/>
  <c r="G137" i="8"/>
  <c r="J115" i="8"/>
  <c r="M115" i="8"/>
  <c r="G115" i="8"/>
  <c r="J107" i="8"/>
  <c r="M107" i="8"/>
  <c r="G107" i="8"/>
  <c r="J91" i="8"/>
  <c r="M91" i="8"/>
  <c r="G91" i="8"/>
  <c r="M41" i="8"/>
  <c r="J41" i="8"/>
  <c r="G41" i="8"/>
  <c r="J141" i="8"/>
  <c r="G141" i="8"/>
  <c r="M141" i="8"/>
  <c r="G130" i="8"/>
  <c r="J130" i="8"/>
  <c r="M130" i="8"/>
  <c r="M113" i="8"/>
  <c r="G113" i="8"/>
  <c r="J113" i="8"/>
  <c r="J103" i="8"/>
  <c r="M103" i="8"/>
  <c r="G103" i="8"/>
  <c r="M79" i="8"/>
  <c r="J79" i="8"/>
  <c r="G79" i="8"/>
  <c r="M38" i="8"/>
  <c r="J38" i="8"/>
  <c r="G38" i="8"/>
  <c r="G139" i="8"/>
  <c r="J139" i="8"/>
  <c r="M139" i="8"/>
  <c r="G117" i="8"/>
  <c r="J117" i="8"/>
  <c r="M117" i="8"/>
  <c r="G109" i="8"/>
  <c r="M109" i="8"/>
  <c r="J109" i="8"/>
  <c r="J99" i="8"/>
  <c r="G99" i="8"/>
  <c r="M99" i="8"/>
  <c r="J47" i="8"/>
  <c r="G47" i="8"/>
  <c r="M47" i="8"/>
  <c r="M36" i="8"/>
  <c r="J36" i="8"/>
  <c r="G36" i="8"/>
  <c r="M136" i="8"/>
  <c r="G136" i="8"/>
  <c r="J136" i="8"/>
  <c r="M118" i="8"/>
  <c r="J118" i="8"/>
  <c r="G118" i="8"/>
  <c r="M101" i="8"/>
  <c r="G101" i="8"/>
  <c r="J101" i="8"/>
  <c r="J95" i="8"/>
  <c r="M95" i="8"/>
  <c r="G95" i="8"/>
  <c r="M45" i="8"/>
  <c r="J45" i="8"/>
  <c r="G45" i="8"/>
  <c r="M34" i="8"/>
  <c r="J34" i="8"/>
  <c r="G34" i="8"/>
  <c r="D158" i="8"/>
  <c r="D160" i="8"/>
  <c r="D163" i="8"/>
  <c r="D171" i="8"/>
  <c r="D173" i="8"/>
  <c r="D188" i="8"/>
  <c r="D197" i="8"/>
  <c r="D199" i="8"/>
  <c r="D225" i="8"/>
  <c r="M225" i="8" l="1"/>
  <c r="G225" i="8"/>
  <c r="J225" i="8"/>
  <c r="G173" i="8"/>
  <c r="M173" i="8"/>
  <c r="J173" i="8"/>
  <c r="G158" i="8"/>
  <c r="J158" i="8"/>
  <c r="M158" i="8"/>
  <c r="M199" i="8"/>
  <c r="J199" i="8"/>
  <c r="G199" i="8"/>
  <c r="J171" i="8"/>
  <c r="G171" i="8"/>
  <c r="M171" i="8"/>
  <c r="G197" i="8"/>
  <c r="M197" i="8"/>
  <c r="J197" i="8"/>
  <c r="G163" i="8"/>
  <c r="M163" i="8"/>
  <c r="J163" i="8"/>
  <c r="G188" i="8"/>
  <c r="J188" i="8"/>
  <c r="M188" i="8"/>
  <c r="M160" i="8"/>
  <c r="G160" i="8"/>
  <c r="J160" i="8"/>
  <c r="A92" i="8"/>
  <c r="A110" i="8"/>
  <c r="A111" i="8" s="1"/>
  <c r="A225" i="8"/>
  <c r="A197" i="8"/>
  <c r="A178" i="8"/>
  <c r="A175" i="8"/>
  <c r="A171" i="8"/>
  <c r="A158" i="8"/>
  <c r="A139" i="8"/>
  <c r="A130" i="8"/>
  <c r="A115" i="8"/>
  <c r="A113" i="8"/>
  <c r="A109" i="8"/>
  <c r="A107" i="8"/>
  <c r="A103" i="8"/>
  <c r="A101" i="8"/>
  <c r="A99" i="8"/>
  <c r="A95" i="8"/>
  <c r="A93" i="8"/>
  <c r="A91" i="8"/>
  <c r="A54" i="8"/>
  <c r="A51" i="8"/>
  <c r="A45" i="8"/>
  <c r="A41" i="8"/>
  <c r="A42" i="8" s="1"/>
  <c r="A43" i="8" s="1"/>
  <c r="A38" i="8"/>
  <c r="A39" i="8" s="1"/>
  <c r="A34" i="8"/>
  <c r="N241" i="8"/>
  <c r="N240" i="8"/>
  <c r="N177" i="8" l="1"/>
  <c r="N182" i="8"/>
  <c r="N94" i="8" l="1"/>
  <c r="N72" i="8"/>
  <c r="N227" i="8"/>
  <c r="N228" i="8"/>
  <c r="N229" i="8"/>
  <c r="N230" i="8"/>
  <c r="N234" i="8"/>
  <c r="N235" i="8"/>
  <c r="N236" i="8"/>
  <c r="N237" i="8"/>
  <c r="N238" i="8"/>
  <c r="N239" i="8"/>
  <c r="N210" i="8"/>
  <c r="N215" i="8"/>
  <c r="N198" i="8"/>
  <c r="N201" i="8"/>
  <c r="N202" i="8"/>
  <c r="N203" i="8"/>
  <c r="N204" i="8"/>
  <c r="N205" i="8"/>
  <c r="N206" i="8"/>
  <c r="N207" i="8"/>
  <c r="N208" i="8"/>
  <c r="N172" i="8"/>
  <c r="N175" i="8"/>
  <c r="N176" i="8"/>
  <c r="N179" i="8"/>
  <c r="N180" i="8"/>
  <c r="N181" i="8"/>
  <c r="N170" i="8"/>
  <c r="N142" i="8"/>
  <c r="N143" i="8"/>
  <c r="N153" i="8"/>
  <c r="N116" i="8"/>
  <c r="N104" i="8"/>
  <c r="N105" i="8"/>
  <c r="N106" i="8"/>
  <c r="N100" i="8"/>
  <c r="N80" i="8"/>
  <c r="N61" i="8"/>
  <c r="N62" i="8"/>
  <c r="N65" i="8"/>
  <c r="N66" i="8"/>
  <c r="N48" i="8"/>
  <c r="N49" i="8"/>
  <c r="N52" i="8"/>
  <c r="N53" i="8"/>
  <c r="N42" i="8"/>
  <c r="D200" i="8"/>
  <c r="M200" i="8" l="1"/>
  <c r="G200" i="8"/>
  <c r="J200" i="8"/>
  <c r="N96" i="8"/>
  <c r="N110" i="8"/>
  <c r="N152" i="8"/>
  <c r="N92" i="8"/>
  <c r="N224" i="8"/>
  <c r="N196" i="8"/>
  <c r="N178" i="8"/>
  <c r="N140" i="8"/>
  <c r="N112" i="8"/>
  <c r="N102" i="8"/>
  <c r="N135" i="8"/>
  <c r="N147" i="8"/>
  <c r="N88" i="8"/>
  <c r="N40" i="8"/>
  <c r="N46" i="8"/>
  <c r="N98" i="8"/>
  <c r="N90" i="8"/>
  <c r="N108" i="8"/>
  <c r="N129" i="8"/>
  <c r="N144" i="8"/>
  <c r="D211" i="8"/>
  <c r="N114" i="8"/>
  <c r="N157" i="8"/>
  <c r="N44" i="8"/>
  <c r="N161" i="8"/>
  <c r="N138" i="8"/>
  <c r="N159" i="8"/>
  <c r="N35" i="8"/>
  <c r="N37" i="8"/>
  <c r="N33" i="8"/>
  <c r="N63" i="8"/>
  <c r="N51" i="8"/>
  <c r="N43" i="8"/>
  <c r="N39" i="8"/>
  <c r="M211" i="8" l="1"/>
  <c r="J211" i="8"/>
  <c r="G211" i="8"/>
  <c r="N200" i="8"/>
  <c r="N211" i="8" l="1"/>
  <c r="N17" i="8"/>
  <c r="N22" i="8"/>
  <c r="N24" i="8"/>
  <c r="N20" i="8"/>
  <c r="N19" i="8"/>
  <c r="N9" i="8"/>
  <c r="N23" i="8"/>
  <c r="N21" i="8"/>
  <c r="N7" i="8" l="1"/>
  <c r="D231" i="8"/>
  <c r="D226" i="8"/>
  <c r="A226" i="8"/>
  <c r="A198" i="8"/>
  <c r="A199" i="8" s="1"/>
  <c r="D186" i="8"/>
  <c r="D185" i="8"/>
  <c r="D184" i="8"/>
  <c r="D183" i="8"/>
  <c r="A182" i="8"/>
  <c r="A183" i="8" s="1"/>
  <c r="A179" i="8"/>
  <c r="A180" i="8" s="1"/>
  <c r="A181" i="8" s="1"/>
  <c r="A176" i="8"/>
  <c r="D174" i="8"/>
  <c r="A172" i="8"/>
  <c r="A173" i="8" s="1"/>
  <c r="D162" i="8"/>
  <c r="A159" i="8"/>
  <c r="D154" i="8"/>
  <c r="D149" i="8"/>
  <c r="D145" i="8"/>
  <c r="A140" i="8"/>
  <c r="D133" i="8"/>
  <c r="D132" i="8"/>
  <c r="A131" i="8"/>
  <c r="A132" i="8" s="1"/>
  <c r="D121" i="8"/>
  <c r="D119" i="8"/>
  <c r="A119" i="8"/>
  <c r="A120" i="8" s="1"/>
  <c r="A116" i="8"/>
  <c r="A117" i="8" s="1"/>
  <c r="A118" i="8" s="1"/>
  <c r="D111" i="8"/>
  <c r="A104" i="8"/>
  <c r="A105" i="8" s="1"/>
  <c r="D97" i="8"/>
  <c r="A96" i="8"/>
  <c r="A97" i="8" s="1"/>
  <c r="D93" i="8"/>
  <c r="D89" i="8"/>
  <c r="A88" i="8"/>
  <c r="A89" i="8" s="1"/>
  <c r="D67" i="8"/>
  <c r="D64" i="8"/>
  <c r="D60" i="8"/>
  <c r="A60" i="8"/>
  <c r="N59" i="8"/>
  <c r="N58" i="8"/>
  <c r="N57" i="8"/>
  <c r="N56" i="8"/>
  <c r="N55" i="8"/>
  <c r="A55" i="8"/>
  <c r="A56" i="8" s="1"/>
  <c r="A57" i="8" s="1"/>
  <c r="A58" i="8" s="1"/>
  <c r="A59" i="8" s="1"/>
  <c r="A52" i="8"/>
  <c r="D50" i="8"/>
  <c r="A46" i="8"/>
  <c r="A47" i="8" s="1"/>
  <c r="A48" i="8" s="1"/>
  <c r="A49" i="8" s="1"/>
  <c r="A35" i="8"/>
  <c r="A36" i="8" s="1"/>
  <c r="A20" i="8"/>
  <c r="A21" i="8" s="1"/>
  <c r="D18" i="8"/>
  <c r="A18" i="8"/>
  <c r="D10" i="8"/>
  <c r="D8" i="8"/>
  <c r="A8" i="8"/>
  <c r="A9" i="8" s="1"/>
  <c r="M10" i="8" l="1"/>
  <c r="G10" i="8"/>
  <c r="J10" i="8"/>
  <c r="M64" i="8"/>
  <c r="N64" i="8" s="1"/>
  <c r="J64" i="8"/>
  <c r="G64" i="8"/>
  <c r="D122" i="8"/>
  <c r="G121" i="8"/>
  <c r="J121" i="8"/>
  <c r="M121" i="8"/>
  <c r="G184" i="8"/>
  <c r="J184" i="8"/>
  <c r="N184" i="8" s="1"/>
  <c r="M184" i="8"/>
  <c r="D68" i="8"/>
  <c r="M67" i="8"/>
  <c r="J67" i="8"/>
  <c r="G67" i="8"/>
  <c r="J145" i="8"/>
  <c r="M145" i="8"/>
  <c r="G145" i="8"/>
  <c r="G162" i="8"/>
  <c r="J162" i="8"/>
  <c r="M162" i="8"/>
  <c r="G185" i="8"/>
  <c r="M185" i="8"/>
  <c r="J185" i="8"/>
  <c r="M226" i="8"/>
  <c r="G226" i="8"/>
  <c r="J226" i="8"/>
  <c r="G93" i="8"/>
  <c r="J93" i="8"/>
  <c r="M93" i="8"/>
  <c r="N93" i="8" s="1"/>
  <c r="J111" i="8"/>
  <c r="M111" i="8"/>
  <c r="G111" i="8"/>
  <c r="J18" i="8"/>
  <c r="M18" i="8"/>
  <c r="G18" i="8"/>
  <c r="M50" i="8"/>
  <c r="J50" i="8"/>
  <c r="G50" i="8"/>
  <c r="G97" i="8"/>
  <c r="M97" i="8"/>
  <c r="J97" i="8"/>
  <c r="M132" i="8"/>
  <c r="J132" i="8"/>
  <c r="G132" i="8"/>
  <c r="J149" i="8"/>
  <c r="M149" i="8"/>
  <c r="G149" i="8"/>
  <c r="M186" i="8"/>
  <c r="N186" i="8" s="1"/>
  <c r="J186" i="8"/>
  <c r="G186" i="8"/>
  <c r="J231" i="8"/>
  <c r="M231" i="8"/>
  <c r="N231" i="8" s="1"/>
  <c r="G231" i="8"/>
  <c r="M8" i="8"/>
  <c r="J8" i="8"/>
  <c r="G8" i="8"/>
  <c r="G11" i="8" s="1"/>
  <c r="M60" i="8"/>
  <c r="J60" i="8"/>
  <c r="G60" i="8"/>
  <c r="M89" i="8"/>
  <c r="G89" i="8"/>
  <c r="J89" i="8"/>
  <c r="D120" i="8"/>
  <c r="J119" i="8"/>
  <c r="M119" i="8"/>
  <c r="G119" i="8"/>
  <c r="D134" i="8"/>
  <c r="J133" i="8"/>
  <c r="G133" i="8"/>
  <c r="M133" i="8"/>
  <c r="G154" i="8"/>
  <c r="J154" i="8"/>
  <c r="M154" i="8"/>
  <c r="M174" i="8"/>
  <c r="J174" i="8"/>
  <c r="G174" i="8"/>
  <c r="J183" i="8"/>
  <c r="G183" i="8"/>
  <c r="M183" i="8"/>
  <c r="D155" i="8"/>
  <c r="D156" i="8"/>
  <c r="N54" i="8"/>
  <c r="N34" i="8"/>
  <c r="A61" i="8"/>
  <c r="A62" i="8" s="1"/>
  <c r="A63" i="8" s="1"/>
  <c r="A64" i="8" s="1"/>
  <c r="A65" i="8" s="1"/>
  <c r="A66" i="8" s="1"/>
  <c r="A144" i="8"/>
  <c r="A145" i="8" s="1"/>
  <c r="A141" i="8"/>
  <c r="A142" i="8" s="1"/>
  <c r="A143" i="8" s="1"/>
  <c r="A161" i="8"/>
  <c r="A160" i="8"/>
  <c r="A232" i="8"/>
  <c r="A233" i="8" s="1"/>
  <c r="A227" i="8"/>
  <c r="A228" i="8" s="1"/>
  <c r="A229" i="8" s="1"/>
  <c r="A230" i="8" s="1"/>
  <c r="A231" i="8" s="1"/>
  <c r="N38" i="8"/>
  <c r="N45" i="8"/>
  <c r="N97" i="8"/>
  <c r="N107" i="8"/>
  <c r="N117" i="8"/>
  <c r="N132" i="8"/>
  <c r="N145" i="8"/>
  <c r="N160" i="8"/>
  <c r="N113" i="8"/>
  <c r="N118" i="8"/>
  <c r="N139" i="8"/>
  <c r="N146" i="8"/>
  <c r="N162" i="8"/>
  <c r="N185" i="8"/>
  <c r="N36" i="8"/>
  <c r="N41" i="8"/>
  <c r="N47" i="8"/>
  <c r="N99" i="8"/>
  <c r="N136" i="8"/>
  <c r="N148" i="8"/>
  <c r="N158" i="8"/>
  <c r="N163" i="8"/>
  <c r="N173" i="8"/>
  <c r="N95" i="8"/>
  <c r="N115" i="8"/>
  <c r="N137" i="8"/>
  <c r="N141" i="8"/>
  <c r="N91" i="8"/>
  <c r="N109" i="8"/>
  <c r="N103" i="8"/>
  <c r="A187" i="8"/>
  <c r="A188" i="8" s="1"/>
  <c r="A200" i="8"/>
  <c r="A201" i="8" s="1"/>
  <c r="A133" i="8"/>
  <c r="A134" i="8" s="1"/>
  <c r="D69" i="8"/>
  <c r="N74" i="8"/>
  <c r="N111" i="8"/>
  <c r="D232" i="8"/>
  <c r="N77" i="8"/>
  <c r="N101" i="8"/>
  <c r="N75" i="8"/>
  <c r="A121" i="8"/>
  <c r="A122" i="8" s="1"/>
  <c r="N76" i="8"/>
  <c r="A184" i="8"/>
  <c r="A185" i="8" s="1"/>
  <c r="A186" i="8" s="1"/>
  <c r="D25" i="8"/>
  <c r="A22" i="8"/>
  <c r="A10" i="8"/>
  <c r="A67" i="8"/>
  <c r="A68" i="8" s="1"/>
  <c r="N73" i="8"/>
  <c r="N83" i="8" s="1"/>
  <c r="A146" i="8"/>
  <c r="D131" i="8"/>
  <c r="D212" i="8"/>
  <c r="D213" i="8"/>
  <c r="D214" i="8"/>
  <c r="D209" i="8"/>
  <c r="M212" i="8" l="1"/>
  <c r="J212" i="8"/>
  <c r="G212" i="8"/>
  <c r="M156" i="8"/>
  <c r="J156" i="8"/>
  <c r="G156" i="8"/>
  <c r="G209" i="8"/>
  <c r="J209" i="8"/>
  <c r="J217" i="8" s="1"/>
  <c r="M209" i="8"/>
  <c r="D233" i="8"/>
  <c r="M232" i="8"/>
  <c r="J232" i="8"/>
  <c r="G232" i="8"/>
  <c r="A234" i="8"/>
  <c r="A235" i="8" s="1"/>
  <c r="M25" i="8"/>
  <c r="G25" i="8"/>
  <c r="J25" i="8"/>
  <c r="M122" i="8"/>
  <c r="G122" i="8"/>
  <c r="J122" i="8"/>
  <c r="N122" i="8" s="1"/>
  <c r="J214" i="8"/>
  <c r="G214" i="8"/>
  <c r="M214" i="8"/>
  <c r="G134" i="8"/>
  <c r="N134" i="8" s="1"/>
  <c r="J134" i="8"/>
  <c r="M134" i="8"/>
  <c r="G120" i="8"/>
  <c r="M120" i="8"/>
  <c r="M123" i="8" s="1"/>
  <c r="J120" i="8"/>
  <c r="M68" i="8"/>
  <c r="J68" i="8"/>
  <c r="N68" i="8" s="1"/>
  <c r="G68" i="8"/>
  <c r="G155" i="8"/>
  <c r="M155" i="8"/>
  <c r="J155" i="8"/>
  <c r="N155" i="8" s="1"/>
  <c r="M131" i="8"/>
  <c r="G131" i="8"/>
  <c r="J131" i="8"/>
  <c r="G213" i="8"/>
  <c r="N213" i="8" s="1"/>
  <c r="M213" i="8"/>
  <c r="J213" i="8"/>
  <c r="A147" i="8"/>
  <c r="A148" i="8" s="1"/>
  <c r="M69" i="8"/>
  <c r="J69" i="8"/>
  <c r="G69" i="8"/>
  <c r="D70" i="8"/>
  <c r="D71" i="8"/>
  <c r="N225" i="8"/>
  <c r="N171" i="8"/>
  <c r="N183" i="8"/>
  <c r="N191" i="8" s="1"/>
  <c r="N130" i="8"/>
  <c r="N89" i="8"/>
  <c r="M11" i="8"/>
  <c r="J11" i="8"/>
  <c r="A162" i="8"/>
  <c r="A163" i="8" s="1"/>
  <c r="N212" i="8"/>
  <c r="N156" i="8"/>
  <c r="N214" i="8"/>
  <c r="N150" i="8"/>
  <c r="N133" i="8"/>
  <c r="N174" i="8"/>
  <c r="N226" i="8"/>
  <c r="N199" i="8"/>
  <c r="N151" i="8"/>
  <c r="N154" i="8"/>
  <c r="N119" i="8"/>
  <c r="N50" i="8"/>
  <c r="M164" i="8"/>
  <c r="N149" i="8"/>
  <c r="N67" i="8"/>
  <c r="N60" i="8"/>
  <c r="N209" i="8"/>
  <c r="A211" i="8"/>
  <c r="A212" i="8" s="1"/>
  <c r="A202" i="8"/>
  <c r="A203" i="8" s="1"/>
  <c r="A204" i="8" s="1"/>
  <c r="A205" i="8" s="1"/>
  <c r="A206" i="8" s="1"/>
  <c r="A207" i="8" s="1"/>
  <c r="A208" i="8" s="1"/>
  <c r="A209" i="8" s="1"/>
  <c r="A135" i="8"/>
  <c r="N10" i="8"/>
  <c r="N18" i="8"/>
  <c r="N8" i="8"/>
  <c r="D26" i="8"/>
  <c r="A240" i="8"/>
  <c r="A241" i="8" s="1"/>
  <c r="A236" i="8"/>
  <c r="A237" i="8" s="1"/>
  <c r="A238" i="8" s="1"/>
  <c r="A239" i="8" s="1"/>
  <c r="A23" i="8"/>
  <c r="A149" i="8"/>
  <c r="A150" i="8" s="1"/>
  <c r="A69" i="8"/>
  <c r="A70" i="8" s="1"/>
  <c r="G71" i="8" l="1"/>
  <c r="M71" i="8"/>
  <c r="N71" i="8" s="1"/>
  <c r="J71" i="8"/>
  <c r="J164" i="8"/>
  <c r="J70" i="8"/>
  <c r="G70" i="8"/>
  <c r="N70" i="8" s="1"/>
  <c r="M70" i="8"/>
  <c r="N11" i="8"/>
  <c r="J123" i="8"/>
  <c r="M233" i="8"/>
  <c r="M242" i="8" s="1"/>
  <c r="G233" i="8"/>
  <c r="J233" i="8"/>
  <c r="J242" i="8" s="1"/>
  <c r="N243" i="8" s="1"/>
  <c r="J26" i="8"/>
  <c r="J27" i="8" s="1"/>
  <c r="M26" i="8"/>
  <c r="G26" i="8"/>
  <c r="G27" i="8" s="1"/>
  <c r="N120" i="8"/>
  <c r="M217" i="8"/>
  <c r="N219" i="8"/>
  <c r="N232" i="8"/>
  <c r="N12" i="8"/>
  <c r="N13" i="8" s="1"/>
  <c r="N14" i="8" s="1"/>
  <c r="G123" i="8"/>
  <c r="N197" i="8"/>
  <c r="G164" i="8"/>
  <c r="N123" i="8"/>
  <c r="N124" i="8" s="1"/>
  <c r="A136" i="8"/>
  <c r="A137" i="8" s="1"/>
  <c r="N131" i="8"/>
  <c r="J81" i="8"/>
  <c r="N69" i="8"/>
  <c r="A215" i="8"/>
  <c r="A216" i="8" s="1"/>
  <c r="A213" i="8"/>
  <c r="A214" i="8" s="1"/>
  <c r="N25" i="8"/>
  <c r="A152" i="8"/>
  <c r="A153" i="8" s="1"/>
  <c r="A151" i="8"/>
  <c r="A72" i="8"/>
  <c r="A73" i="8" s="1"/>
  <c r="A71" i="8"/>
  <c r="A24" i="8"/>
  <c r="N26" i="8" l="1"/>
  <c r="M81" i="8"/>
  <c r="N27" i="8"/>
  <c r="N28" i="8" s="1"/>
  <c r="N233" i="8"/>
  <c r="N242" i="8" s="1"/>
  <c r="N244" i="8" s="1"/>
  <c r="N245" i="8" s="1"/>
  <c r="G242" i="8"/>
  <c r="N15" i="8"/>
  <c r="M189" i="8"/>
  <c r="J189" i="8"/>
  <c r="N164" i="8"/>
  <c r="N165" i="8" s="1"/>
  <c r="M27" i="8"/>
  <c r="G217" i="8"/>
  <c r="N79" i="8"/>
  <c r="N187" i="8"/>
  <c r="N78" i="8"/>
  <c r="A25" i="8"/>
  <c r="A154" i="8"/>
  <c r="A78" i="8"/>
  <c r="A79" i="8" s="1"/>
  <c r="A74" i="8"/>
  <c r="A75" i="8" s="1"/>
  <c r="A76" i="8" s="1"/>
  <c r="A77" i="8" s="1"/>
  <c r="N82" i="8" l="1"/>
  <c r="N29" i="8"/>
  <c r="N30" i="8" s="1"/>
  <c r="N246" i="8"/>
  <c r="G189" i="8"/>
  <c r="G81" i="8"/>
  <c r="N81" i="8"/>
  <c r="A155" i="8"/>
  <c r="A156" i="8" s="1"/>
  <c r="N216" i="8"/>
  <c r="N218" i="8" s="1"/>
  <c r="N188" i="8"/>
  <c r="N190" i="8" s="1"/>
  <c r="A26" i="8"/>
  <c r="A80" i="8"/>
  <c r="N31" i="8" l="1"/>
  <c r="N217" i="8"/>
  <c r="N189" i="8"/>
  <c r="N166" i="8" l="1"/>
  <c r="N167" i="8" s="1"/>
  <c r="N84" i="8"/>
  <c r="N85" i="8" s="1"/>
  <c r="N86" i="8" l="1"/>
  <c r="N192" i="8"/>
  <c r="N193" i="8" s="1"/>
  <c r="N168" i="8"/>
  <c r="N220" i="8"/>
  <c r="N221" i="8" s="1"/>
  <c r="N194" i="8" l="1"/>
  <c r="N222" i="8"/>
  <c r="N125" i="8"/>
  <c r="N126" i="8" s="1"/>
  <c r="N127" i="8" l="1"/>
  <c r="N247" i="8" s="1"/>
  <c r="N248" i="8" l="1"/>
  <c r="N249" i="8" s="1"/>
  <c r="N250" i="8" l="1"/>
  <c r="N251" i="8" s="1"/>
</calcChain>
</file>

<file path=xl/sharedStrings.xml><?xml version="1.0" encoding="utf-8"?>
<sst xmlns="http://schemas.openxmlformats.org/spreadsheetml/2006/main" count="511" uniqueCount="212">
  <si>
    <t>1</t>
  </si>
  <si>
    <t>ტ</t>
  </si>
  <si>
    <t>ლარი</t>
  </si>
  <si>
    <t>სამუშაოს ჩამონათვალი</t>
  </si>
  <si>
    <t>განზ. ერთ</t>
  </si>
  <si>
    <t>მასალა</t>
  </si>
  <si>
    <t>ხელფასი</t>
  </si>
  <si>
    <t>ტრანსპორტი და მექანიზმები</t>
  </si>
  <si>
    <t>ერთ. ფასი</t>
  </si>
  <si>
    <t>ჯამი</t>
  </si>
  <si>
    <t>№</t>
  </si>
  <si>
    <t>I დემონტაჟის სამუშაოები</t>
  </si>
  <si>
    <t>კომპლ.</t>
  </si>
  <si>
    <t>ცალი</t>
  </si>
  <si>
    <t>მ3</t>
  </si>
  <si>
    <t>კვ.მ.</t>
  </si>
  <si>
    <t>ტონა</t>
  </si>
  <si>
    <t>ბეტონის საძირკვლების დემონტაჟი</t>
  </si>
  <si>
    <t xml:space="preserve"> კუბმ</t>
  </si>
  <si>
    <t>კუბმ</t>
  </si>
  <si>
    <t xml:space="preserve">ჯამი </t>
  </si>
  <si>
    <t xml:space="preserve">ზედნადები ხარჯები </t>
  </si>
  <si>
    <t>ჯ ა მ ი</t>
  </si>
  <si>
    <t>გეგმიური დაგროვება</t>
  </si>
  <si>
    <t>ჯამი I</t>
  </si>
  <si>
    <t>II. გრუნტის სამუშაოები</t>
  </si>
  <si>
    <t xml:space="preserve"> მ3</t>
  </si>
  <si>
    <t>გრუნტის უკუჩაყრა ხელით</t>
  </si>
  <si>
    <t>გრუნტის დატვირთვა ექსკავატორით</t>
  </si>
  <si>
    <t xml:space="preserve">გრუნტის გატანა 10 კმ მანძილზე </t>
  </si>
  <si>
    <t>ჯამი II</t>
  </si>
  <si>
    <t>III. მოედნის შემოღობვა</t>
  </si>
  <si>
    <t xml:space="preserve">საძირკვლების ქვეშ ფუძის (ბალიშის) მოწყობა ქვიშა-ხრეშოვანი ნარევით და ეტაპობრივი დატკეპნა ფენა-ფენა </t>
  </si>
  <si>
    <t>ქვიშა-ხრეშოვანი ნარევი</t>
  </si>
  <si>
    <t>ბეტონი კლასით В22.5</t>
  </si>
  <si>
    <t>კვმ</t>
  </si>
  <si>
    <t>კგ</t>
  </si>
  <si>
    <t>კგ.</t>
  </si>
  <si>
    <t xml:space="preserve">შემოღობვის ლითონის კონსტრუქციის მოწყობა  ვერტიკალური და ჰორიზონტალური  კავშირებით, დამზადება და მონტაჟი </t>
  </si>
  <si>
    <t>კვადრატული მილი 80X80X4</t>
  </si>
  <si>
    <t>გრძ.მ</t>
  </si>
  <si>
    <t>კვადრატული მილი 40X80X4</t>
  </si>
  <si>
    <t>კვადრატული მილი 40X40X3</t>
  </si>
  <si>
    <t>კუთხოვანა 40X40X3</t>
  </si>
  <si>
    <t>კუთხოვანა 20X20X3</t>
  </si>
  <si>
    <t>მოედნის შემოღობვა პლასტამასის გარსით იზოლირებული 4მმ-იანი ლითონის მავთულბადით.</t>
  </si>
  <si>
    <t>მ2</t>
  </si>
  <si>
    <t>მავთულბადის დამჭერი ბაგირი 6 მმ (იზოლაციით)</t>
  </si>
  <si>
    <t>ბაგირის დამჭიმი</t>
  </si>
  <si>
    <t>ზოლოვანა 30X3</t>
  </si>
  <si>
    <t>კუთხოვანა 40X40X3 (კუთხეებში)</t>
  </si>
  <si>
    <t>ხამუთები, სამაგრები (ქანჩით და საყელურით)</t>
  </si>
  <si>
    <t xml:space="preserve">გარე კედლების მაღალხარისხოვანი შებათქაშება </t>
  </si>
  <si>
    <t>ქვიშა-ცემენტის ხსნარი 1:3</t>
  </si>
  <si>
    <t>გარე კედლების მაღალხარისხოვანი შეღებვა წყალმედეგი საღებავით</t>
  </si>
  <si>
    <t xml:space="preserve"> საღებავი ფასადის</t>
  </si>
  <si>
    <t xml:space="preserve"> ფითხი ფასადის</t>
  </si>
  <si>
    <t>ლითონის კარის მოწყობა (ზომით 100X192სმ)</t>
  </si>
  <si>
    <t>კვადრატული მილი 30X30X2</t>
  </si>
  <si>
    <t>ანჯამა</t>
  </si>
  <si>
    <t>საკეტი (სახელურით)</t>
  </si>
  <si>
    <t>საკეტი (ფიქსატორით)</t>
  </si>
  <si>
    <t>ლითონის კონსტრუქციების შეღებვა</t>
  </si>
  <si>
    <t>ანტიკოროზიული საღებავი (0.251+0.002+0.027)</t>
  </si>
  <si>
    <t>მაფრთხილებელი ნიშნების (ლითონის ფირფიტები)  მოწყობა, ტექსტის და დიზაინის დამკვეთთან შეთანხმებით (მასალისა და სამუშაოს ღირებულების გათვალისწინებით)</t>
  </si>
  <si>
    <t>ზედნადები ლ/კ</t>
  </si>
  <si>
    <t>ჯამი III</t>
  </si>
  <si>
    <t>IV. მოედნის საფარის მოწყობა</t>
  </si>
  <si>
    <t>ხელოვნური საფარის მოწყობა (წებოს, მექანიზმებისა და ხელფასის გათვალისწიმებით)</t>
  </si>
  <si>
    <t>ნაკერების გადასბმელი ლენტი</t>
  </si>
  <si>
    <t>გრძ.მ.</t>
  </si>
  <si>
    <t>ხელოვნური ბალახის წებო</t>
  </si>
  <si>
    <t>ზედა შემავსებელი ფენის მოწყობა ქვიშისაგან და დავარცხნა</t>
  </si>
  <si>
    <t>კვარცის ქვიშა ორჯერ გარეცხილი ფრაქციით _x000D_
(0,25-1,2)მმ, საშუალოდ 20 კგ//მ2</t>
  </si>
  <si>
    <t>ჯამი IV</t>
  </si>
  <si>
    <t xml:space="preserve">წერტილოვანი საძირკვლის მოწყობა კლასით B25 </t>
  </si>
  <si>
    <t>ბეტონი კლასით В25</t>
  </si>
  <si>
    <t>მინი ფეხბურთის კარების კომპლექტი ბადით (2 ცალი)</t>
  </si>
  <si>
    <t>კომპლექტი</t>
  </si>
  <si>
    <t>ლითონის მილი 76X3</t>
  </si>
  <si>
    <t>ლითონის მილი 89X4</t>
  </si>
  <si>
    <t>გლინულა 6.5 მმ</t>
  </si>
  <si>
    <t>ჯამი V</t>
  </si>
  <si>
    <t>ლითონის კონსტრუქციების დამუშავება ზუმფარით და შეღებვა</t>
  </si>
  <si>
    <t>ჯამი VI</t>
  </si>
  <si>
    <t>ლითონის მილი 159X4მმ</t>
  </si>
  <si>
    <t xml:space="preserve">გრძ.მ </t>
  </si>
  <si>
    <t>ლითონის მილი 114X4 (შესაბამის ფლიანეცით)</t>
  </si>
  <si>
    <t>სამაგრი კროშტეინი</t>
  </si>
  <si>
    <t>მაკავშირებელი დეტალი</t>
  </si>
  <si>
    <t>ლითონის მილი 40X3მმ</t>
  </si>
  <si>
    <t>კვადრატული მილი 40X60X3</t>
  </si>
  <si>
    <t>ფურცლოვანი ფოლადი 5მმ</t>
  </si>
  <si>
    <t>პლასტმასის ხუფი</t>
  </si>
  <si>
    <t xml:space="preserve">დამიწების კონტურის მოწყობა </t>
  </si>
  <si>
    <t>არმატურა Ø-18მმ</t>
  </si>
  <si>
    <t>გლინულა Ø-8მმ</t>
  </si>
  <si>
    <t>სანათების მონტაჟი</t>
  </si>
  <si>
    <t xml:space="preserve"> ელ. სადენების გაყვანა</t>
  </si>
  <si>
    <t xml:space="preserve">სპილენძის ელ. სადენი  5X6 </t>
  </si>
  <si>
    <t xml:space="preserve">სპილენძის ელ. სადენი  3X2.5 </t>
  </si>
  <si>
    <t>გერმეტული მომჭერი Ø10-95</t>
  </si>
  <si>
    <t>სასიგნალო ლენტი</t>
  </si>
  <si>
    <t xml:space="preserve">გოფრირებული მილი ორკედლიანი დ=50მმ  </t>
  </si>
  <si>
    <t>საფენი და საფარი შრის მოწყობა წვრილმარცვლოვანი ქვიშით</t>
  </si>
  <si>
    <t>ქვიშა ყვითელი</t>
  </si>
  <si>
    <t>კარადის მოწყობა მართვის  კვანძით</t>
  </si>
  <si>
    <t>რკ. მართვის კარადა გარე დაყენების</t>
  </si>
  <si>
    <t>ავტომატური ამომრთველი  16ა</t>
  </si>
  <si>
    <t>ფოტორელე</t>
  </si>
  <si>
    <t>გამანაწილებელი ფარი OP-6</t>
  </si>
  <si>
    <t>ზედნადები ხარჯები (ხელფასიდან)</t>
  </si>
  <si>
    <t>ჯამი VII</t>
  </si>
  <si>
    <t>გაუთვალისწინებელი ხარჯი</t>
  </si>
  <si>
    <t>დ.ღ.გ.</t>
  </si>
  <si>
    <t>მთლიანი სახარჯთაღრიცხვო ღირებულება</t>
  </si>
  <si>
    <t>არმატურა A­I</t>
  </si>
  <si>
    <t>არმატურა A­III</t>
  </si>
  <si>
    <t>PVC გარსით იზოლირებული 4მმ-იანი( დ=2.7მმ) ლითონის მავთულბადე 45X45</t>
  </si>
  <si>
    <t>ხელოვნური საფარი იხ. ესკიზი (თეთრი ხაზების გათვალისწინებით)</t>
  </si>
  <si>
    <t>ბადე  (სქელი, მაღალი ხარისხის)</t>
  </si>
  <si>
    <t>კონტაქტორი 16ა</t>
  </si>
  <si>
    <t>ლითონის კონსტრუქციების ტრანსპორტირება 10კმ. მანძილზე</t>
  </si>
  <si>
    <t>სამშენებლო ნაგვის ტრანსპორტირება 10 კმ. მანძილზე</t>
  </si>
  <si>
    <t xml:space="preserve">გარე განათების სანათი 220W (იხ. ესკიზი) </t>
  </si>
  <si>
    <t>არსებული ლითონის კონსტრუქციების დემონტაჟი (ბოძები და ა.შ.)</t>
  </si>
  <si>
    <t>ზედა შემავსებელი ფენის მოწყობა კაუჩუკის გრანულებისგან და დავარცხნა</t>
  </si>
  <si>
    <t>EPDM კაუჩუკის გრანულები (ფრაქციით 1-3)მმ</t>
  </si>
  <si>
    <t xml:space="preserve">განათების ლითონის ბოძის მოწყობა </t>
  </si>
  <si>
    <t>ფურცლოვანი ფოლადი 3მმ</t>
  </si>
  <si>
    <t xml:space="preserve">ტერიტორიის დასუფთავება </t>
  </si>
  <si>
    <t xml:space="preserve">სამშებებლო ნაგვის გატანა 10 კმ მანძილზე </t>
  </si>
  <si>
    <t>პოხიერი თიხის ჩაყრა</t>
  </si>
  <si>
    <t>kubm</t>
  </si>
  <si>
    <t>დრენაჟის მოწყობა ქვიშა ღორღით</t>
  </si>
  <si>
    <t>ღორღი ფრ. 20-40მმ</t>
  </si>
  <si>
    <t>ქვიშა ფრ. 0-5მმ</t>
  </si>
  <si>
    <t>ბეტონის მომზადების მოწყობა</t>
  </si>
  <si>
    <t>ქვაბულის მოსაწყობად II კატეგორიის გრუნტის დამუშავება ხელით გვერდზე დაყრით</t>
  </si>
  <si>
    <r>
      <t xml:space="preserve"> მ</t>
    </r>
    <r>
      <rPr>
        <b/>
        <vertAlign val="superscript"/>
        <sz val="10"/>
        <rFont val="Sylfaen"/>
        <family val="1"/>
      </rPr>
      <t>3</t>
    </r>
  </si>
  <si>
    <t>II კატეგორიის გრუნტის დამუშავება ხელით ღობის წერტილოვანი საძირკვლის მოსაწყობად</t>
  </si>
  <si>
    <t xml:space="preserve">რანდკოჭის ქვეშ ფუძის (ბალიშის) მოწყობა ქვიშა-ხრეშოვანი ნარევით და ეტაპობრივი დატკეპნა ფენა-ფენა </t>
  </si>
  <si>
    <r>
      <t xml:space="preserve"> მ</t>
    </r>
    <r>
      <rPr>
        <b/>
        <vertAlign val="superscript"/>
        <sz val="10"/>
        <rFont val="Sylfaen"/>
        <family val="1"/>
      </rPr>
      <t>2</t>
    </r>
  </si>
  <si>
    <t>გეოტექსტილის მოწყობა</t>
  </si>
  <si>
    <t>გეოტექსტილი 250გრ/მ2</t>
  </si>
  <si>
    <r>
      <t>მ</t>
    </r>
    <r>
      <rPr>
        <b/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</si>
  <si>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2</t>
    </r>
  </si>
  <si>
    <t>მასტაბილირებელი ფენა "შოკპეტი" სისქით 10მმ (მექანიზმებისა და ხელფასის გათვალისწიმებით)</t>
  </si>
  <si>
    <t xml:space="preserve">საფუძვლის ზედა ფენის მოწყობა ქვიშისაგან სისქით 10სმ </t>
  </si>
  <si>
    <t>მ</t>
  </si>
  <si>
    <r>
      <t>გოფრირებული მილი შემაერთებლით Ø</t>
    </r>
    <r>
      <rPr>
        <sz val="10"/>
        <rFont val="Sylfaen"/>
        <family val="1"/>
      </rPr>
      <t>Ø</t>
    </r>
    <r>
      <rPr>
        <sz val="10"/>
        <rFont val="AcadNusx"/>
      </rPr>
      <t xml:space="preserve">-110მმ </t>
    </r>
    <r>
      <rPr>
        <sz val="10"/>
        <rFont val="Calibri"/>
        <family val="2"/>
        <scheme val="minor"/>
      </rPr>
      <t>SN</t>
    </r>
    <r>
      <rPr>
        <sz val="10"/>
        <rFont val="AcadNusx"/>
      </rPr>
      <t>-8</t>
    </r>
  </si>
  <si>
    <r>
      <t xml:space="preserve">გოფრირებული მილის </t>
    </r>
    <r>
      <rPr>
        <b/>
        <sz val="10"/>
        <rFont val="Sylfaen"/>
        <family val="1"/>
      </rPr>
      <t>Ø</t>
    </r>
    <r>
      <rPr>
        <b/>
        <sz val="11"/>
        <rFont val="AcadNusx"/>
      </rPr>
      <t>-63მm ჩალაგება</t>
    </r>
  </si>
  <si>
    <r>
      <t>გოფრირებული მილის შემაერთებლით Ø</t>
    </r>
    <r>
      <rPr>
        <sz val="10"/>
        <rFont val="Sylfaen"/>
        <family val="1"/>
      </rPr>
      <t>Ø</t>
    </r>
    <r>
      <rPr>
        <sz val="10"/>
        <rFont val="AcadNusx"/>
      </rPr>
      <t xml:space="preserve">-63მმ </t>
    </r>
    <r>
      <rPr>
        <sz val="10"/>
        <rFont val="Calibri"/>
        <family val="2"/>
        <scheme val="minor"/>
      </rPr>
      <t>SN</t>
    </r>
    <r>
      <rPr>
        <sz val="10"/>
        <rFont val="AcadNusx"/>
      </rPr>
      <t>-8</t>
    </r>
  </si>
  <si>
    <r>
      <t xml:space="preserve">ფიტინგი-გადამყვანი </t>
    </r>
    <r>
      <rPr>
        <sz val="10"/>
        <rFont val="Sylfaen"/>
        <family val="1"/>
      </rPr>
      <t>Ø</t>
    </r>
    <r>
      <rPr>
        <sz val="11"/>
        <rFont val="AcadNusx"/>
      </rPr>
      <t>110-63მმ</t>
    </r>
  </si>
  <si>
    <r>
      <t xml:space="preserve">გოფრირებული მილის </t>
    </r>
    <r>
      <rPr>
        <b/>
        <sz val="10"/>
        <rFont val="Sylfaen"/>
        <family val="1"/>
      </rPr>
      <t>Ø</t>
    </r>
    <r>
      <rPr>
        <b/>
        <sz val="11"/>
        <rFont val="AcadNusx"/>
      </rPr>
      <t>-63მმ</t>
    </r>
    <r>
      <rPr>
        <b/>
        <sz val="10"/>
        <rFont val="AcadNusx"/>
      </rPr>
      <t xml:space="preserve"> შეფუთვა გეოტექსტილით </t>
    </r>
  </si>
  <si>
    <r>
      <t xml:space="preserve">გოფრირებული მილის </t>
    </r>
    <r>
      <rPr>
        <b/>
        <sz val="10"/>
        <rFont val="Sylfaen"/>
        <family val="1"/>
      </rPr>
      <t>Ø</t>
    </r>
    <r>
      <rPr>
        <b/>
        <sz val="11"/>
        <rFont val="AcadNusx"/>
      </rPr>
      <t>-110მm ჩალაგება</t>
    </r>
  </si>
  <si>
    <r>
      <t xml:space="preserve">ფიტინგი-ჯვარედინი გოფრირებული სამკაპი </t>
    </r>
    <r>
      <rPr>
        <sz val="10"/>
        <rFont val="Sylfaen"/>
        <family val="1"/>
      </rPr>
      <t>Ø</t>
    </r>
    <r>
      <rPr>
        <sz val="11"/>
        <rFont val="AcadNusx"/>
      </rPr>
      <t>-110მმ</t>
    </r>
  </si>
  <si>
    <t>ქვიშა-ღორღოვანი ნარევი ფრ. 0-10მმ</t>
  </si>
  <si>
    <t xml:space="preserve">კვარცის ქვიშა </t>
  </si>
  <si>
    <t>ცემენტი მარკა-400</t>
  </si>
  <si>
    <t>ლითონის სამონტაჟო დეტალის ჩაყოლება საძირკველში</t>
  </si>
  <si>
    <t>არმატურა A­III Ø14მმ</t>
  </si>
  <si>
    <t>თიხის ეკრანი (პოხიერი თიხა)</t>
  </si>
  <si>
    <t>4</t>
  </si>
  <si>
    <r>
      <t xml:space="preserve">გოფრირებული მილის </t>
    </r>
    <r>
      <rPr>
        <b/>
        <sz val="10"/>
        <rFont val="Sylfaen"/>
        <family val="1"/>
      </rPr>
      <t>Ø</t>
    </r>
    <r>
      <rPr>
        <b/>
        <sz val="11"/>
        <rFont val="AcadNusx"/>
      </rPr>
      <t>-110მმ</t>
    </r>
    <r>
      <rPr>
        <b/>
        <sz val="10"/>
        <rFont val="AcadNusx"/>
      </rPr>
      <t xml:space="preserve"> შეფუთვა გეოტექსტილით </t>
    </r>
  </si>
  <si>
    <t>არმატურა A­III Ø8მმ</t>
  </si>
  <si>
    <t>V. მისასვლელების  მოწყობა</t>
  </si>
  <si>
    <t>ბილიკის ბეტონის ფილის არმირების მოწყობა</t>
  </si>
  <si>
    <t>ბილიკის ბეტონის ფილის ზედაპირული დამუშავება/მოხვეწვა</t>
  </si>
  <si>
    <t xml:space="preserve">კიბის კონსტრუქციის ქვეშ ფუძის (ბალიშის) მოწყობა ქვიშა-ხრეშოვანი ნარევით და ეტაპობრივი დატკეპნა ფენა-ფენა </t>
  </si>
  <si>
    <t xml:space="preserve">კიბის საფეხურებისა მოპირკეთება ბაზალტის ფილებით </t>
  </si>
  <si>
    <t>ბაზალტის ფილა 20მმ</t>
  </si>
  <si>
    <t>წებო-ცემენტი ყინვაგამძლე</t>
  </si>
  <si>
    <t>ზეთოვანი საღებავი</t>
  </si>
  <si>
    <t>ოლიფა</t>
  </si>
  <si>
    <t xml:space="preserve">პანდუსის კონსტრუქციის ქვეშ ფუძის (ბალიშის) მოწყობა ქვიშა-ხრეშოვანი ნარევით და ეტაპობრივი დატკეპნა ფენა-ფენა </t>
  </si>
  <si>
    <t>პანდუსის მოწყობა რკინა-ბეტონით</t>
  </si>
  <si>
    <t xml:space="preserve">პანდუსის  მოპირკეთება ბაზალტის ფილებით </t>
  </si>
  <si>
    <t>პანდუსის მოაჯირის მოწყობა</t>
  </si>
  <si>
    <t>ბილიკის ბეტონის ფილის მოწყობა კლასით B22.5</t>
  </si>
  <si>
    <t xml:space="preserve">პანდუსის მოაჯირის შეღებვა </t>
  </si>
  <si>
    <t>კიბის საფეხურის მოწყობა ბეტონით</t>
  </si>
  <si>
    <t xml:space="preserve">ლოკალურ-რესურსული უწყისის </t>
  </si>
  <si>
    <t>კვადრატული მილი 150X150X5</t>
  </si>
  <si>
    <t>ლითონის ფურცელი 10მმ</t>
  </si>
  <si>
    <t>ლითონის ფურცელი 5 მმ</t>
  </si>
  <si>
    <t>კალათბურთის ფარი კალათით</t>
  </si>
  <si>
    <t>წერტილოვანი საძირკვლის მოწყობა მონოლითური რკ.ბეტონით B-25 (ქარგილებისა და სამონტაჟო მასალების გათვალისწინებით)</t>
  </si>
  <si>
    <t>სვეტებისს მოწყობა მონოლითური რკ.ბეტონით         B-25 (ქარგილებისა და სამონტაჟო მასალების გათვალისწინებით)</t>
  </si>
  <si>
    <t>ბეტონი ბ-15</t>
  </si>
  <si>
    <t>ბალასტი</t>
  </si>
  <si>
    <t>ქვაბულის მოსაწყობად II კატეგორიის გრუნტის დამუშავება მექანიზმებით პერიმეტრის გვერდებზე 45% ქანობის გათვალისიწნებით გვერდზე დაყრით</t>
  </si>
  <si>
    <t xml:space="preserve">II კატეგორიის გრუნტის დამუშავება ხელით განათების ბოძის წერტილოვანი საძირკვლებისთვის </t>
  </si>
  <si>
    <t>II კატეგორიის გრუნტის დამუშავება ხელით განათების ქსელის ტრანშეის მოსაწყობად</t>
  </si>
  <si>
    <t>II კატეგორიის გრუნტის დამუშავება ხელით განათების ბოძის დამიწებისთვის</t>
  </si>
  <si>
    <t xml:space="preserve">II კატეგორიის გრუნტის დამუშავება ხელით სპორტ. ინვენტარის წერტილოვანი საძირკვლებისთვის </t>
  </si>
  <si>
    <t xml:space="preserve">კალათბურთის ფარის მოწყობა, ესკიოზის მიხედვით  </t>
  </si>
  <si>
    <t>ლით. ფურცელი 500X500X10</t>
  </si>
  <si>
    <t>VI. სპორტული ინვენტარი</t>
  </si>
  <si>
    <t>VII. განათების ბოძის საფუძვლისა და კონსტრუქციის  მოწყობა</t>
  </si>
  <si>
    <t xml:space="preserve">VIII. ელ. სამონტაჟო სამუშაოები </t>
  </si>
  <si>
    <t>ჯამი VIII</t>
  </si>
  <si>
    <t>ლით. ფურცელი 250X250X10-32 ცალი</t>
  </si>
  <si>
    <t>რანდკოჭის და ცოკოლის მოწყობა მონოლითური რკ.ბეტონით B-25 (ქარგილებისა და სამონტაჟო მასალების გათვალისწინებით)</t>
  </si>
  <si>
    <t>საფუძვლის მოწყობა ბალასტით საშ. სისქით 1.30სმ ეტაპობრივი 20 სმ-იან  ფენებად დატკეპნვით</t>
  </si>
  <si>
    <t xml:space="preserve">ბილიკის საფუძვლის  მოწყობა ქვიშა ღორღოვანი ნარევისაგან სისქით 10სმ და დატკეპნვა </t>
  </si>
  <si>
    <t>ქ. თბილისი, სამგორის რაიონი, ვარკეთილის ზემო პლატო, ბერიაშვილის ქუჩა  №6-ის მიმდებარედ ღია, ხელოვნურსაფარიანი ფეხბურთის მოედნის მოწყობა</t>
  </si>
  <si>
    <t>ზღვრული ფასი</t>
  </si>
  <si>
    <t xml:space="preserve">                                                                                                                                                      დანართი №1</t>
  </si>
  <si>
    <t>შენიშვნა:
1.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 (ხარჯთაღრიცხვის 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 გაუთვალისწინებელი ხარჯი (3%) არის უცვლელი.</t>
  </si>
  <si>
    <t>%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</si>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</sst>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0.000"/>
    <numFmt numFmtId="166" formatCode="0.0"/>
    <numFmt numFmtId="167" formatCode="0.0000"/>
    <numFmt numFmtId="168" formatCode="#,##0.0_);\-#,##0.0"/>
    <numFmt numFmtId="169" formatCode="#,##0_);\-#,##0"/>
    <numFmt numFmtId="170" formatCode="#,##0.00_);\-#,##0.00"/>
    <numFmt numFmtId="171" formatCode="_-* #,##0.00_р_._-;\-* #,##0.00_р_._-;_-* &quot;-&quot;??_р_._-;_-@_-"/>
    <numFmt numFmtId="172" formatCode="0.00000"/>
  </numFmts>
  <fonts count="8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0070C0"/>
      <name val="Sylfaen"/>
      <family val="1"/>
    </font>
    <font>
      <b/>
      <sz val="10"/>
      <name val="Sylfaen"/>
      <family val="1"/>
    </font>
    <font>
      <sz val="10"/>
      <color rgb="FFFF0000"/>
      <name val="Sylfaen"/>
      <family val="1"/>
    </font>
    <font>
      <sz val="10"/>
      <color theme="4" tint="-0.249977111117893"/>
      <name val="Sylfaen"/>
      <family val="1"/>
    </font>
    <font>
      <b/>
      <sz val="10"/>
      <color rgb="FF0070C0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color theme="8" tint="-0.249977111117893"/>
      <name val="Sylfae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Sylfaen"/>
      <family val="1"/>
      <charset val="204"/>
    </font>
    <font>
      <sz val="11"/>
      <color theme="1"/>
      <name val="Arial"/>
      <family val="2"/>
    </font>
    <font>
      <b/>
      <sz val="10"/>
      <name val="AcadNusx"/>
    </font>
    <font>
      <b/>
      <sz val="10"/>
      <color theme="1"/>
      <name val="AcadNusx"/>
    </font>
    <font>
      <b/>
      <sz val="9"/>
      <name val="Sylfaen"/>
      <family val="1"/>
    </font>
    <font>
      <sz val="10"/>
      <color theme="1"/>
      <name val="AcadNusx"/>
    </font>
    <font>
      <sz val="11"/>
      <name val="AcadNusx"/>
    </font>
    <font>
      <sz val="10"/>
      <name val="AcadNusx"/>
    </font>
    <font>
      <b/>
      <vertAlign val="superscript"/>
      <sz val="10"/>
      <name val="AcadNusx"/>
    </font>
    <font>
      <sz val="11"/>
      <name val="Calibri"/>
      <family val="2"/>
      <scheme val="minor"/>
    </font>
    <font>
      <sz val="9"/>
      <name val="AcadNusx"/>
    </font>
    <font>
      <vertAlign val="superscript"/>
      <sz val="10"/>
      <name val="AcadNusx"/>
    </font>
    <font>
      <sz val="9"/>
      <name val="Sylfaen"/>
      <family val="1"/>
    </font>
    <font>
      <sz val="9"/>
      <color theme="1"/>
      <name val="AcadNusx"/>
    </font>
    <font>
      <b/>
      <vertAlign val="superscript"/>
      <sz val="10"/>
      <name val="Sylfaen"/>
      <family val="1"/>
    </font>
    <font>
      <b/>
      <sz val="11"/>
      <name val="AcadNusx"/>
    </font>
    <font>
      <sz val="10"/>
      <name val="Calibri"/>
      <family val="2"/>
      <scheme val="minor"/>
    </font>
    <font>
      <b/>
      <sz val="9"/>
      <color indexed="8"/>
      <name val="Sylfaen"/>
      <family val="1"/>
    </font>
    <font>
      <sz val="9"/>
      <color theme="1"/>
      <name val="Sylfaen"/>
      <family val="1"/>
    </font>
    <font>
      <b/>
      <sz val="9"/>
      <name val="AcadNusx"/>
    </font>
    <font>
      <b/>
      <sz val="12"/>
      <color rgb="FFFF0000"/>
      <name val="Sylfaen"/>
      <family val="1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Sylfaen"/>
      <family val="1"/>
    </font>
    <font>
      <b/>
      <sz val="9"/>
      <color theme="1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8">
    <xf numFmtId="0" fontId="0" fillId="0" borderId="0"/>
    <xf numFmtId="0" fontId="4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164" fontId="4" fillId="0" borderId="0" applyFont="0" applyFill="0" applyBorder="0" applyAlignment="0" applyProtection="0"/>
    <xf numFmtId="0" fontId="6" fillId="0" borderId="0"/>
    <xf numFmtId="0" fontId="3" fillId="0" borderId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8" borderId="0" applyNumberFormat="0" applyBorder="0" applyAlignment="0" applyProtection="0"/>
    <xf numFmtId="0" fontId="43" fillId="25" borderId="2" applyNumberFormat="0" applyAlignment="0" applyProtection="0"/>
    <xf numFmtId="0" fontId="44" fillId="26" borderId="3" applyNumberFormat="0" applyAlignment="0" applyProtection="0"/>
    <xf numFmtId="164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0" fillId="12" borderId="2" applyNumberFormat="0" applyAlignment="0" applyProtection="0"/>
    <xf numFmtId="0" fontId="51" fillId="0" borderId="7" applyNumberFormat="0" applyFill="0" applyAlignment="0" applyProtection="0"/>
    <xf numFmtId="0" fontId="52" fillId="27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28" borderId="8" applyNumberFormat="0" applyFont="0" applyAlignment="0" applyProtection="0"/>
    <xf numFmtId="0" fontId="53" fillId="25" borderId="9" applyNumberFormat="0" applyAlignment="0" applyProtection="0"/>
    <xf numFmtId="0" fontId="57" fillId="0" borderId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7" fillId="25" borderId="2" applyNumberFormat="0" applyAlignment="0" applyProtection="0"/>
    <xf numFmtId="0" fontId="27" fillId="25" borderId="2" applyNumberFormat="0" applyAlignment="0" applyProtection="0"/>
    <xf numFmtId="0" fontId="27" fillId="25" borderId="2" applyNumberFormat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6" fillId="0" borderId="0"/>
    <xf numFmtId="0" fontId="4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28" borderId="8" applyNumberFormat="0" applyFont="0" applyAlignment="0" applyProtection="0"/>
    <xf numFmtId="0" fontId="5" fillId="28" borderId="8" applyNumberFormat="0" applyFont="0" applyAlignment="0" applyProtection="0"/>
    <xf numFmtId="0" fontId="5" fillId="28" borderId="8" applyNumberFormat="0" applyFont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5" fillId="0" borderId="0"/>
    <xf numFmtId="0" fontId="58" fillId="0" borderId="0"/>
    <xf numFmtId="0" fontId="58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8" fillId="0" borderId="0" xfId="1" applyFont="1"/>
    <xf numFmtId="0" fontId="13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3" fillId="0" borderId="1" xfId="1" quotePrefix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2" fontId="15" fillId="2" borderId="1" xfId="1" applyNumberFormat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6" fontId="13" fillId="4" borderId="1" xfId="1" applyNumberFormat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2" fontId="20" fillId="4" borderId="1" xfId="1" applyNumberFormat="1" applyFont="1" applyFill="1" applyBorder="1" applyAlignment="1">
      <alignment horizontal="center" vertical="center" wrapText="1"/>
    </xf>
    <xf numFmtId="4" fontId="19" fillId="4" borderId="1" xfId="1" applyNumberFormat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4" fontId="20" fillId="4" borderId="1" xfId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1" fillId="4" borderId="1" xfId="1" applyNumberFormat="1" applyFont="1" applyFill="1" applyBorder="1" applyAlignment="1">
      <alignment horizontal="center" vertical="center" wrapText="1"/>
    </xf>
    <xf numFmtId="170" fontId="18" fillId="6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0" fontId="11" fillId="0" borderId="0" xfId="1" applyFont="1"/>
    <xf numFmtId="2" fontId="8" fillId="2" borderId="0" xfId="1" applyNumberFormat="1" applyFont="1" applyFill="1" applyAlignment="1">
      <alignment vertical="center"/>
    </xf>
    <xf numFmtId="2" fontId="11" fillId="0" borderId="0" xfId="1" applyNumberFormat="1" applyFont="1"/>
    <xf numFmtId="0" fontId="13" fillId="0" borderId="0" xfId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0" borderId="0" xfId="1" applyNumberFormat="1" applyFont="1"/>
    <xf numFmtId="0" fontId="8" fillId="0" borderId="0" xfId="1" applyFont="1" applyFill="1"/>
    <xf numFmtId="0" fontId="11" fillId="0" borderId="0" xfId="1" applyFont="1" applyFill="1"/>
    <xf numFmtId="2" fontId="11" fillId="0" borderId="0" xfId="1" applyNumberFormat="1" applyFont="1" applyFill="1"/>
    <xf numFmtId="0" fontId="21" fillId="0" borderId="0" xfId="1" applyFont="1"/>
    <xf numFmtId="2" fontId="11" fillId="2" borderId="1" xfId="1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3" fillId="2" borderId="1" xfId="1" quotePrefix="1" applyFont="1" applyFill="1" applyBorder="1" applyAlignment="1">
      <alignment horizontal="center" vertical="center" wrapText="1"/>
    </xf>
    <xf numFmtId="170" fontId="18" fillId="2" borderId="1" xfId="0" applyNumberFormat="1" applyFont="1" applyFill="1" applyBorder="1" applyAlignment="1">
      <alignment horizontal="center" vertical="center" wrapText="1"/>
    </xf>
    <xf numFmtId="1" fontId="61" fillId="0" borderId="1" xfId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2" fontId="59" fillId="0" borderId="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2" fontId="67" fillId="2" borderId="1" xfId="0" applyNumberFormat="1" applyFont="1" applyFill="1" applyBorder="1" applyAlignment="1">
      <alignment horizontal="center" vertical="center" wrapText="1"/>
    </xf>
    <xf numFmtId="1" fontId="6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61" fillId="2" borderId="1" xfId="0" applyNumberFormat="1" applyFont="1" applyFill="1" applyBorder="1" applyAlignment="1">
      <alignment horizontal="center" vertical="center" wrapText="1"/>
    </xf>
    <xf numFmtId="1" fontId="74" fillId="0" borderId="1" xfId="0" applyNumberFormat="1" applyFont="1" applyBorder="1" applyAlignment="1">
      <alignment horizontal="center" vertical="center"/>
    </xf>
    <xf numFmtId="1" fontId="7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66" fontId="75" fillId="2" borderId="1" xfId="1" applyNumberFormat="1" applyFont="1" applyFill="1" applyBorder="1" applyAlignment="1">
      <alignment horizontal="center" vertical="center" wrapText="1"/>
    </xf>
    <xf numFmtId="1" fontId="61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4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15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2" fillId="0" borderId="0" xfId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2" fontId="19" fillId="4" borderId="1" xfId="1" applyNumberFormat="1" applyFont="1" applyFill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center" vertical="center"/>
    </xf>
    <xf numFmtId="2" fontId="59" fillId="2" borderId="1" xfId="1" applyNumberFormat="1" applyFont="1" applyFill="1" applyBorder="1" applyAlignment="1">
      <alignment horizontal="center" vertical="center" wrapText="1"/>
    </xf>
    <xf numFmtId="9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2" fontId="13" fillId="2" borderId="1" xfId="3" applyNumberFormat="1" applyFont="1" applyFill="1" applyBorder="1" applyAlignment="1">
      <alignment horizontal="center" vertical="center" wrapText="1"/>
    </xf>
    <xf numFmtId="2" fontId="76" fillId="2" borderId="1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9" fontId="13" fillId="4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9" fontId="13" fillId="4" borderId="1" xfId="196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2" fontId="11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 wrapText="1"/>
    </xf>
    <xf numFmtId="9" fontId="13" fillId="4" borderId="1" xfId="1" applyNumberFormat="1" applyFont="1" applyFill="1" applyBorder="1" applyAlignment="1">
      <alignment horizontal="center" vertical="center"/>
    </xf>
    <xf numFmtId="167" fontId="13" fillId="4" borderId="1" xfId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1" xfId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9" fontId="17" fillId="6" borderId="1" xfId="0" applyNumberFormat="1" applyFont="1" applyFill="1" applyBorder="1" applyAlignment="1">
      <alignment horizontal="center" vertical="center" wrapText="1"/>
    </xf>
    <xf numFmtId="166" fontId="75" fillId="5" borderId="1" xfId="1" applyNumberFormat="1" applyFont="1" applyFill="1" applyBorder="1" applyAlignment="1">
      <alignment horizontal="center" vertical="center" wrapText="1"/>
    </xf>
    <xf numFmtId="1" fontId="60" fillId="0" borderId="1" xfId="0" applyNumberFormat="1" applyFont="1" applyBorder="1" applyAlignment="1">
      <alignment horizontal="center" vertical="center" wrapText="1"/>
    </xf>
    <xf numFmtId="166" fontId="70" fillId="0" borderId="1" xfId="0" applyNumberFormat="1" applyFont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72" fontId="13" fillId="4" borderId="1" xfId="1" applyNumberFormat="1" applyFont="1" applyFill="1" applyBorder="1" applyAlignment="1">
      <alignment horizontal="center" vertical="center" wrapText="1"/>
    </xf>
    <xf numFmtId="172" fontId="76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72" fontId="78" fillId="4" borderId="1" xfId="0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72" fontId="61" fillId="4" borderId="1" xfId="1" applyNumberFormat="1" applyFont="1" applyFill="1" applyBorder="1" applyAlignment="1">
      <alignment horizontal="center" vertical="center" wrapText="1"/>
    </xf>
    <xf numFmtId="172" fontId="80" fillId="4" borderId="1" xfId="1" applyNumberFormat="1" applyFont="1" applyFill="1" applyBorder="1" applyAlignment="1">
      <alignment horizontal="center" vertical="center" wrapText="1"/>
    </xf>
    <xf numFmtId="172" fontId="61" fillId="29" borderId="1" xfId="1" applyNumberFormat="1" applyFont="1" applyFill="1" applyBorder="1" applyAlignment="1">
      <alignment horizontal="center" vertical="center" wrapText="1"/>
    </xf>
    <xf numFmtId="172" fontId="61" fillId="4" borderId="1" xfId="2" applyNumberFormat="1" applyFont="1" applyFill="1" applyBorder="1" applyAlignment="1">
      <alignment horizontal="center" vertical="center"/>
    </xf>
    <xf numFmtId="172" fontId="81" fillId="4" borderId="1" xfId="1" applyNumberFormat="1" applyFont="1" applyFill="1" applyBorder="1" applyAlignment="1">
      <alignment horizontal="center" vertical="center" wrapText="1"/>
    </xf>
    <xf numFmtId="172" fontId="61" fillId="4" borderId="1" xfId="1" applyNumberFormat="1" applyFont="1" applyFill="1" applyBorder="1" applyAlignment="1" applyProtection="1">
      <alignment horizontal="center" vertical="center" wrapText="1"/>
      <protection locked="0"/>
    </xf>
    <xf numFmtId="172" fontId="61" fillId="4" borderId="1" xfId="0" applyNumberFormat="1" applyFont="1" applyFill="1" applyBorder="1" applyAlignment="1">
      <alignment horizontal="center" vertical="center" wrapText="1"/>
    </xf>
    <xf numFmtId="172" fontId="76" fillId="29" borderId="1" xfId="0" applyNumberFormat="1" applyFont="1" applyFill="1" applyBorder="1" applyAlignment="1">
      <alignment horizontal="center" vertical="center" wrapText="1"/>
    </xf>
    <xf numFmtId="172" fontId="61" fillId="4" borderId="1" xfId="3" applyNumberFormat="1" applyFont="1" applyFill="1" applyBorder="1" applyAlignment="1">
      <alignment horizontal="center" vertical="center" wrapText="1"/>
    </xf>
    <xf numFmtId="172" fontId="61" fillId="4" borderId="1" xfId="1" applyNumberFormat="1" applyFont="1" applyFill="1" applyBorder="1" applyAlignment="1">
      <alignment horizontal="center" vertical="center"/>
    </xf>
    <xf numFmtId="172" fontId="61" fillId="4" borderId="1" xfId="4" applyNumberFormat="1" applyFont="1" applyFill="1" applyBorder="1" applyAlignment="1">
      <alignment horizontal="center" vertical="center" wrapText="1"/>
    </xf>
    <xf numFmtId="172" fontId="61" fillId="4" borderId="1" xfId="1" applyNumberFormat="1" applyFont="1" applyFill="1" applyBorder="1" applyAlignment="1" applyProtection="1">
      <alignment horizontal="center" vertical="center"/>
      <protection locked="0"/>
    </xf>
    <xf numFmtId="172" fontId="61" fillId="4" borderId="1" xfId="0" applyNumberFormat="1" applyFont="1" applyFill="1" applyBorder="1" applyAlignment="1">
      <alignment horizontal="center" vertical="center"/>
    </xf>
    <xf numFmtId="172" fontId="61" fillId="4" borderId="1" xfId="2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textRotation="90" wrapText="1"/>
    </xf>
    <xf numFmtId="0" fontId="13" fillId="2" borderId="12" xfId="1" applyFont="1" applyFill="1" applyBorder="1" applyAlignment="1">
      <alignment horizontal="center" vertical="center" textRotation="90" wrapText="1"/>
    </xf>
    <xf numFmtId="0" fontId="77" fillId="2" borderId="1" xfId="1" applyFont="1" applyFill="1" applyBorder="1" applyAlignment="1">
      <alignment horizontal="right" vertical="center" wrapText="1"/>
    </xf>
  </cellXfs>
  <cellStyles count="198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Акцент1 2" xfId="17"/>
    <cellStyle name="20% - Акцент1 3" xfId="18"/>
    <cellStyle name="20% - Акцент1 4" xfId="19"/>
    <cellStyle name="20% - Акцент2 2" xfId="20"/>
    <cellStyle name="20% - Акцент2 3" xfId="21"/>
    <cellStyle name="20% - Акцент2 4" xfId="22"/>
    <cellStyle name="20% - Акцент3 2" xfId="23"/>
    <cellStyle name="20% - Акцент3 3" xfId="24"/>
    <cellStyle name="20% - Акцент3 4" xfId="25"/>
    <cellStyle name="20% - Акцент4 2" xfId="26"/>
    <cellStyle name="20% - Акцент4 3" xfId="27"/>
    <cellStyle name="20% - Акцент4 4" xfId="28"/>
    <cellStyle name="20% - Акцент5 2" xfId="29"/>
    <cellStyle name="20% - Акцент5 3" xfId="30"/>
    <cellStyle name="20% - Акцент5 4" xfId="31"/>
    <cellStyle name="20% - Акцент6 2" xfId="32"/>
    <cellStyle name="20% - Акцент6 3" xfId="33"/>
    <cellStyle name="20% - Акцент6 4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40% - Акцент1 2" xfId="41"/>
    <cellStyle name="40% - Акцент1 3" xfId="42"/>
    <cellStyle name="40% - Акцент1 4" xfId="43"/>
    <cellStyle name="40% - Акцент2 2" xfId="44"/>
    <cellStyle name="40% - Акцент2 3" xfId="45"/>
    <cellStyle name="40% - Акцент2 4" xfId="46"/>
    <cellStyle name="40% - Акцент3 2" xfId="47"/>
    <cellStyle name="40% - Акцент3 3" xfId="48"/>
    <cellStyle name="40% - Акцент3 4" xfId="49"/>
    <cellStyle name="40% - Акцент4 2" xfId="50"/>
    <cellStyle name="40% - Акцент4 3" xfId="51"/>
    <cellStyle name="40% - Акцент4 4" xfId="52"/>
    <cellStyle name="40% - Акцент5 2" xfId="53"/>
    <cellStyle name="40% - Акцент5 3" xfId="54"/>
    <cellStyle name="40% - Акцент5 4" xfId="55"/>
    <cellStyle name="40% - Акцент6 2" xfId="56"/>
    <cellStyle name="40% - Акцент6 3" xfId="57"/>
    <cellStyle name="40% - Акцент6 4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60% - Акцент1 2" xfId="65"/>
    <cellStyle name="60% - Акцент1 3" xfId="66"/>
    <cellStyle name="60% - Акцент1 4" xfId="67"/>
    <cellStyle name="60% - Акцент2 2" xfId="68"/>
    <cellStyle name="60% - Акцент2 3" xfId="69"/>
    <cellStyle name="60% - Акцент2 4" xfId="70"/>
    <cellStyle name="60% - Акцент3 2" xfId="71"/>
    <cellStyle name="60% - Акцент3 3" xfId="72"/>
    <cellStyle name="60% - Акцент3 4" xfId="73"/>
    <cellStyle name="60% - Акцент4 2" xfId="74"/>
    <cellStyle name="60% - Акцент4 3" xfId="75"/>
    <cellStyle name="60% - Акцент4 4" xfId="76"/>
    <cellStyle name="60% - Акцент5 2" xfId="77"/>
    <cellStyle name="60% - Акцент5 3" xfId="78"/>
    <cellStyle name="60% - Акцент5 4" xfId="79"/>
    <cellStyle name="60% - Акцент6 2" xfId="80"/>
    <cellStyle name="60% - Акцент6 3" xfId="81"/>
    <cellStyle name="60% - Акцент6 4" xfId="82"/>
    <cellStyle name="Accent1 2" xfId="83"/>
    <cellStyle name="Accent2 2" xfId="84"/>
    <cellStyle name="Accent3 2" xfId="85"/>
    <cellStyle name="Accent4 2" xfId="86"/>
    <cellStyle name="Accent5 2" xfId="87"/>
    <cellStyle name="Accent6 2" xfId="88"/>
    <cellStyle name="Bad 2" xfId="89"/>
    <cellStyle name="Calculation 2" xfId="90"/>
    <cellStyle name="Check Cell 2" xfId="91"/>
    <cellStyle name="Comma 2" xfId="4"/>
    <cellStyle name="Comma 2 2" xfId="93"/>
    <cellStyle name="Comma 3" xfId="94"/>
    <cellStyle name="Comma 4" xfId="92"/>
    <cellStyle name="Comma 5" xfId="8"/>
    <cellStyle name="Explanatory Text 2" xfId="95"/>
    <cellStyle name="Good 2" xfId="96"/>
    <cellStyle name="Heading 1 2" xfId="97"/>
    <cellStyle name="Heading 2 2" xfId="98"/>
    <cellStyle name="Heading 3 2" xfId="99"/>
    <cellStyle name="Heading 4 2" xfId="100"/>
    <cellStyle name="Input 2" xfId="101"/>
    <cellStyle name="Linked Cell 2" xfId="102"/>
    <cellStyle name="Neutral 2" xfId="103"/>
    <cellStyle name="Normal" xfId="0" builtinId="0"/>
    <cellStyle name="Normal 11 2 2" xfId="5"/>
    <cellStyle name="Normal 14 3" xfId="104"/>
    <cellStyle name="Normal 2" xfId="1"/>
    <cellStyle name="Normal 2 10" xfId="7"/>
    <cellStyle name="Normal 2 2" xfId="105"/>
    <cellStyle name="Normal 3" xfId="106"/>
    <cellStyle name="Normal 3 2" xfId="193"/>
    <cellStyle name="Normal 36 2 2" xfId="10"/>
    <cellStyle name="Normal 36 2 2 2" xfId="6"/>
    <cellStyle name="Normal 46" xfId="107"/>
    <cellStyle name="Normal 50" xfId="192"/>
    <cellStyle name="Normal 6" xfId="108"/>
    <cellStyle name="Normal 7" xfId="195"/>
    <cellStyle name="Normal 7 2" xfId="197"/>
    <cellStyle name="Normal 9" xfId="194"/>
    <cellStyle name="Note 2" xfId="109"/>
    <cellStyle name="Output 2" xfId="110"/>
    <cellStyle name="Percent" xfId="196" builtinId="5"/>
    <cellStyle name="silfain" xfId="111"/>
    <cellStyle name="Title 2" xfId="112"/>
    <cellStyle name="Total 2" xfId="113"/>
    <cellStyle name="Warning Text 2" xfId="114"/>
    <cellStyle name="Акцент1 2" xfId="115"/>
    <cellStyle name="Акцент1 3" xfId="116"/>
    <cellStyle name="Акцент1 4" xfId="117"/>
    <cellStyle name="Акцент2 2" xfId="118"/>
    <cellStyle name="Акцент2 3" xfId="119"/>
    <cellStyle name="Акцент2 4" xfId="120"/>
    <cellStyle name="Акцент3 2" xfId="121"/>
    <cellStyle name="Акцент3 3" xfId="122"/>
    <cellStyle name="Акцент3 4" xfId="123"/>
    <cellStyle name="Акцент4 2" xfId="124"/>
    <cellStyle name="Акцент4 3" xfId="125"/>
    <cellStyle name="Акцент4 4" xfId="126"/>
    <cellStyle name="Акцент5 2" xfId="127"/>
    <cellStyle name="Акцент5 3" xfId="128"/>
    <cellStyle name="Акцент5 4" xfId="129"/>
    <cellStyle name="Акцент6 2" xfId="130"/>
    <cellStyle name="Акцент6 3" xfId="131"/>
    <cellStyle name="Акцент6 4" xfId="132"/>
    <cellStyle name="Ввод  2" xfId="133"/>
    <cellStyle name="Ввод  3" xfId="134"/>
    <cellStyle name="Ввод  4" xfId="135"/>
    <cellStyle name="Вывод 2" xfId="136"/>
    <cellStyle name="Вывод 3" xfId="137"/>
    <cellStyle name="Вывод 4" xfId="138"/>
    <cellStyle name="Вычисление 2" xfId="139"/>
    <cellStyle name="Вычисление 3" xfId="140"/>
    <cellStyle name="Вычисление 4" xfId="141"/>
    <cellStyle name="Заголовок 1 2" xfId="142"/>
    <cellStyle name="Заголовок 1 3" xfId="143"/>
    <cellStyle name="Заголовок 1 4" xfId="144"/>
    <cellStyle name="Заголовок 2 2" xfId="145"/>
    <cellStyle name="Заголовок 2 3" xfId="146"/>
    <cellStyle name="Заголовок 2 4" xfId="147"/>
    <cellStyle name="Заголовок 3 2" xfId="148"/>
    <cellStyle name="Заголовок 3 3" xfId="149"/>
    <cellStyle name="Заголовок 3 4" xfId="150"/>
    <cellStyle name="Заголовок 4 2" xfId="151"/>
    <cellStyle name="Заголовок 4 3" xfId="152"/>
    <cellStyle name="Заголовок 4 4" xfId="153"/>
    <cellStyle name="Итог 2" xfId="154"/>
    <cellStyle name="Итог 3" xfId="155"/>
    <cellStyle name="Итог 4" xfId="156"/>
    <cellStyle name="Контрольная ячейка 2" xfId="157"/>
    <cellStyle name="Контрольная ячейка 3" xfId="158"/>
    <cellStyle name="Контрольная ячейка 4" xfId="159"/>
    <cellStyle name="Название 2" xfId="160"/>
    <cellStyle name="Название 3" xfId="161"/>
    <cellStyle name="Название 4" xfId="162"/>
    <cellStyle name="Нейтральный 2" xfId="163"/>
    <cellStyle name="Нейтральный 3" xfId="164"/>
    <cellStyle name="Нейтральный 4" xfId="165"/>
    <cellStyle name="Обычный 2" xfId="166"/>
    <cellStyle name="Обычный 3" xfId="167"/>
    <cellStyle name="Обычный 4" xfId="168"/>
    <cellStyle name="Обычный 5" xfId="169"/>
    <cellStyle name="Обычный 6" xfId="170"/>
    <cellStyle name="Обычный_S.S.S" xfId="9"/>
    <cellStyle name="Обычный_Лист1" xfId="3"/>
    <cellStyle name="Обычный_დემონტაჟი" xfId="2"/>
    <cellStyle name="Плохой 2" xfId="171"/>
    <cellStyle name="Плохой 3" xfId="172"/>
    <cellStyle name="Плохой 4" xfId="173"/>
    <cellStyle name="Пояснение 2" xfId="174"/>
    <cellStyle name="Пояснение 3" xfId="175"/>
    <cellStyle name="Пояснение 4" xfId="176"/>
    <cellStyle name="Примечание 2" xfId="177"/>
    <cellStyle name="Примечание 3" xfId="178"/>
    <cellStyle name="Примечание 4" xfId="179"/>
    <cellStyle name="Связанная ячейка 2" xfId="180"/>
    <cellStyle name="Связанная ячейка 3" xfId="181"/>
    <cellStyle name="Связанная ячейка 4" xfId="182"/>
    <cellStyle name="Текст предупреждения 2" xfId="183"/>
    <cellStyle name="Текст предупреждения 3" xfId="184"/>
    <cellStyle name="Текст предупреждения 4" xfId="185"/>
    <cellStyle name="Финансовый 2" xfId="186"/>
    <cellStyle name="Финансовый 3" xfId="187"/>
    <cellStyle name="Финансовый 4" xfId="188"/>
    <cellStyle name="Хороший 2" xfId="189"/>
    <cellStyle name="Хороший 3" xfId="190"/>
    <cellStyle name="Хороший 4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78"/>
  <sheetViews>
    <sheetView tabSelected="1" zoomScale="110" zoomScaleNormal="110" zoomScaleSheetLayoutView="115" workbookViewId="0">
      <selection activeCell="F6" sqref="F6"/>
    </sheetView>
  </sheetViews>
  <sheetFormatPr defaultRowHeight="15" x14ac:dyDescent="0.25"/>
  <cols>
    <col min="1" max="1" width="5.85546875" style="141" bestFit="1" customWidth="1"/>
    <col min="2" max="2" width="50" style="113" customWidth="1"/>
    <col min="3" max="3" width="9.140625" style="113" customWidth="1"/>
    <col min="4" max="4" width="10.42578125" style="119" customWidth="1"/>
    <col min="5" max="5" width="10.85546875" style="119" customWidth="1"/>
    <col min="6" max="6" width="11.28515625" style="128" customWidth="1"/>
    <col min="7" max="7" width="9" style="119" customWidth="1"/>
    <col min="8" max="8" width="11.7109375" style="119" customWidth="1"/>
    <col min="9" max="9" width="11.28515625" style="126" customWidth="1"/>
    <col min="10" max="10" width="9.28515625" style="126" customWidth="1"/>
    <col min="11" max="11" width="11.140625" style="126" customWidth="1"/>
    <col min="12" max="12" width="11" style="121" customWidth="1"/>
    <col min="13" max="13" width="12.42578125" style="121" customWidth="1"/>
    <col min="14" max="14" width="12.140625" style="113" customWidth="1"/>
    <col min="15" max="240" width="9.140625" style="119"/>
    <col min="241" max="241" width="3.7109375" style="119" customWidth="1"/>
    <col min="242" max="242" width="9.85546875" style="119" customWidth="1"/>
    <col min="243" max="243" width="38.140625" style="119" customWidth="1"/>
    <col min="244" max="244" width="9.140625" style="119"/>
    <col min="245" max="245" width="7.7109375" style="119" customWidth="1"/>
    <col min="246" max="247" width="9.28515625" style="119" customWidth="1"/>
    <col min="248" max="248" width="11.140625" style="119" customWidth="1"/>
    <col min="249" max="252" width="9.28515625" style="119" customWidth="1"/>
    <col min="253" max="253" width="11.28515625" style="119" customWidth="1"/>
    <col min="254" max="496" width="9.140625" style="119"/>
    <col min="497" max="497" width="3.7109375" style="119" customWidth="1"/>
    <col min="498" max="498" width="9.85546875" style="119" customWidth="1"/>
    <col min="499" max="499" width="38.140625" style="119" customWidth="1"/>
    <col min="500" max="500" width="9.140625" style="119"/>
    <col min="501" max="501" width="7.7109375" style="119" customWidth="1"/>
    <col min="502" max="503" width="9.28515625" style="119" customWidth="1"/>
    <col min="504" max="504" width="11.140625" style="119" customWidth="1"/>
    <col min="505" max="508" width="9.28515625" style="119" customWidth="1"/>
    <col min="509" max="509" width="11.28515625" style="119" customWidth="1"/>
    <col min="510" max="752" width="9.140625" style="119"/>
    <col min="753" max="753" width="3.7109375" style="119" customWidth="1"/>
    <col min="754" max="754" width="9.85546875" style="119" customWidth="1"/>
    <col min="755" max="755" width="38.140625" style="119" customWidth="1"/>
    <col min="756" max="756" width="9.140625" style="119"/>
    <col min="757" max="757" width="7.7109375" style="119" customWidth="1"/>
    <col min="758" max="759" width="9.28515625" style="119" customWidth="1"/>
    <col min="760" max="760" width="11.140625" style="119" customWidth="1"/>
    <col min="761" max="764" width="9.28515625" style="119" customWidth="1"/>
    <col min="765" max="765" width="11.28515625" style="119" customWidth="1"/>
    <col min="766" max="1008" width="9.140625" style="119"/>
    <col min="1009" max="1009" width="3.7109375" style="119" customWidth="1"/>
    <col min="1010" max="1010" width="9.85546875" style="119" customWidth="1"/>
    <col min="1011" max="1011" width="38.140625" style="119" customWidth="1"/>
    <col min="1012" max="1012" width="9.140625" style="119"/>
    <col min="1013" max="1013" width="7.7109375" style="119" customWidth="1"/>
    <col min="1014" max="1015" width="9.28515625" style="119" customWidth="1"/>
    <col min="1016" max="1016" width="11.140625" style="119" customWidth="1"/>
    <col min="1017" max="1020" width="9.28515625" style="119" customWidth="1"/>
    <col min="1021" max="1021" width="11.28515625" style="119" customWidth="1"/>
    <col min="1022" max="1264" width="9.140625" style="119"/>
    <col min="1265" max="1265" width="3.7109375" style="119" customWidth="1"/>
    <col min="1266" max="1266" width="9.85546875" style="119" customWidth="1"/>
    <col min="1267" max="1267" width="38.140625" style="119" customWidth="1"/>
    <col min="1268" max="1268" width="9.140625" style="119"/>
    <col min="1269" max="1269" width="7.7109375" style="119" customWidth="1"/>
    <col min="1270" max="1271" width="9.28515625" style="119" customWidth="1"/>
    <col min="1272" max="1272" width="11.140625" style="119" customWidth="1"/>
    <col min="1273" max="1276" width="9.28515625" style="119" customWidth="1"/>
    <col min="1277" max="1277" width="11.28515625" style="119" customWidth="1"/>
    <col min="1278" max="1520" width="9.140625" style="119"/>
    <col min="1521" max="1521" width="3.7109375" style="119" customWidth="1"/>
    <col min="1522" max="1522" width="9.85546875" style="119" customWidth="1"/>
    <col min="1523" max="1523" width="38.140625" style="119" customWidth="1"/>
    <col min="1524" max="1524" width="9.140625" style="119"/>
    <col min="1525" max="1525" width="7.7109375" style="119" customWidth="1"/>
    <col min="1526" max="1527" width="9.28515625" style="119" customWidth="1"/>
    <col min="1528" max="1528" width="11.140625" style="119" customWidth="1"/>
    <col min="1529" max="1532" width="9.28515625" style="119" customWidth="1"/>
    <col min="1533" max="1533" width="11.28515625" style="119" customWidth="1"/>
    <col min="1534" max="1776" width="9.140625" style="119"/>
    <col min="1777" max="1777" width="3.7109375" style="119" customWidth="1"/>
    <col min="1778" max="1778" width="9.85546875" style="119" customWidth="1"/>
    <col min="1779" max="1779" width="38.140625" style="119" customWidth="1"/>
    <col min="1780" max="1780" width="9.140625" style="119"/>
    <col min="1781" max="1781" width="7.7109375" style="119" customWidth="1"/>
    <col min="1782" max="1783" width="9.28515625" style="119" customWidth="1"/>
    <col min="1784" max="1784" width="11.140625" style="119" customWidth="1"/>
    <col min="1785" max="1788" width="9.28515625" style="119" customWidth="1"/>
    <col min="1789" max="1789" width="11.28515625" style="119" customWidth="1"/>
    <col min="1790" max="2032" width="9.140625" style="119"/>
    <col min="2033" max="2033" width="3.7109375" style="119" customWidth="1"/>
    <col min="2034" max="2034" width="9.85546875" style="119" customWidth="1"/>
    <col min="2035" max="2035" width="38.140625" style="119" customWidth="1"/>
    <col min="2036" max="2036" width="9.140625" style="119"/>
    <col min="2037" max="2037" width="7.7109375" style="119" customWidth="1"/>
    <col min="2038" max="2039" width="9.28515625" style="119" customWidth="1"/>
    <col min="2040" max="2040" width="11.140625" style="119" customWidth="1"/>
    <col min="2041" max="2044" width="9.28515625" style="119" customWidth="1"/>
    <col min="2045" max="2045" width="11.28515625" style="119" customWidth="1"/>
    <col min="2046" max="2288" width="9.140625" style="119"/>
    <col min="2289" max="2289" width="3.7109375" style="119" customWidth="1"/>
    <col min="2290" max="2290" width="9.85546875" style="119" customWidth="1"/>
    <col min="2291" max="2291" width="38.140625" style="119" customWidth="1"/>
    <col min="2292" max="2292" width="9.140625" style="119"/>
    <col min="2293" max="2293" width="7.7109375" style="119" customWidth="1"/>
    <col min="2294" max="2295" width="9.28515625" style="119" customWidth="1"/>
    <col min="2296" max="2296" width="11.140625" style="119" customWidth="1"/>
    <col min="2297" max="2300" width="9.28515625" style="119" customWidth="1"/>
    <col min="2301" max="2301" width="11.28515625" style="119" customWidth="1"/>
    <col min="2302" max="2544" width="9.140625" style="119"/>
    <col min="2545" max="2545" width="3.7109375" style="119" customWidth="1"/>
    <col min="2546" max="2546" width="9.85546875" style="119" customWidth="1"/>
    <col min="2547" max="2547" width="38.140625" style="119" customWidth="1"/>
    <col min="2548" max="2548" width="9.140625" style="119"/>
    <col min="2549" max="2549" width="7.7109375" style="119" customWidth="1"/>
    <col min="2550" max="2551" width="9.28515625" style="119" customWidth="1"/>
    <col min="2552" max="2552" width="11.140625" style="119" customWidth="1"/>
    <col min="2553" max="2556" width="9.28515625" style="119" customWidth="1"/>
    <col min="2557" max="2557" width="11.28515625" style="119" customWidth="1"/>
    <col min="2558" max="2800" width="9.140625" style="119"/>
    <col min="2801" max="2801" width="3.7109375" style="119" customWidth="1"/>
    <col min="2802" max="2802" width="9.85546875" style="119" customWidth="1"/>
    <col min="2803" max="2803" width="38.140625" style="119" customWidth="1"/>
    <col min="2804" max="2804" width="9.140625" style="119"/>
    <col min="2805" max="2805" width="7.7109375" style="119" customWidth="1"/>
    <col min="2806" max="2807" width="9.28515625" style="119" customWidth="1"/>
    <col min="2808" max="2808" width="11.140625" style="119" customWidth="1"/>
    <col min="2809" max="2812" width="9.28515625" style="119" customWidth="1"/>
    <col min="2813" max="2813" width="11.28515625" style="119" customWidth="1"/>
    <col min="2814" max="3056" width="9.140625" style="119"/>
    <col min="3057" max="3057" width="3.7109375" style="119" customWidth="1"/>
    <col min="3058" max="3058" width="9.85546875" style="119" customWidth="1"/>
    <col min="3059" max="3059" width="38.140625" style="119" customWidth="1"/>
    <col min="3060" max="3060" width="9.140625" style="119"/>
    <col min="3061" max="3061" width="7.7109375" style="119" customWidth="1"/>
    <col min="3062" max="3063" width="9.28515625" style="119" customWidth="1"/>
    <col min="3064" max="3064" width="11.140625" style="119" customWidth="1"/>
    <col min="3065" max="3068" width="9.28515625" style="119" customWidth="1"/>
    <col min="3069" max="3069" width="11.28515625" style="119" customWidth="1"/>
    <col min="3070" max="3312" width="9.140625" style="119"/>
    <col min="3313" max="3313" width="3.7109375" style="119" customWidth="1"/>
    <col min="3314" max="3314" width="9.85546875" style="119" customWidth="1"/>
    <col min="3315" max="3315" width="38.140625" style="119" customWidth="1"/>
    <col min="3316" max="3316" width="9.140625" style="119"/>
    <col min="3317" max="3317" width="7.7109375" style="119" customWidth="1"/>
    <col min="3318" max="3319" width="9.28515625" style="119" customWidth="1"/>
    <col min="3320" max="3320" width="11.140625" style="119" customWidth="1"/>
    <col min="3321" max="3324" width="9.28515625" style="119" customWidth="1"/>
    <col min="3325" max="3325" width="11.28515625" style="119" customWidth="1"/>
    <col min="3326" max="3568" width="9.140625" style="119"/>
    <col min="3569" max="3569" width="3.7109375" style="119" customWidth="1"/>
    <col min="3570" max="3570" width="9.85546875" style="119" customWidth="1"/>
    <col min="3571" max="3571" width="38.140625" style="119" customWidth="1"/>
    <col min="3572" max="3572" width="9.140625" style="119"/>
    <col min="3573" max="3573" width="7.7109375" style="119" customWidth="1"/>
    <col min="3574" max="3575" width="9.28515625" style="119" customWidth="1"/>
    <col min="3576" max="3576" width="11.140625" style="119" customWidth="1"/>
    <col min="3577" max="3580" width="9.28515625" style="119" customWidth="1"/>
    <col min="3581" max="3581" width="11.28515625" style="119" customWidth="1"/>
    <col min="3582" max="3824" width="9.140625" style="119"/>
    <col min="3825" max="3825" width="3.7109375" style="119" customWidth="1"/>
    <col min="3826" max="3826" width="9.85546875" style="119" customWidth="1"/>
    <col min="3827" max="3827" width="38.140625" style="119" customWidth="1"/>
    <col min="3828" max="3828" width="9.140625" style="119"/>
    <col min="3829" max="3829" width="7.7109375" style="119" customWidth="1"/>
    <col min="3830" max="3831" width="9.28515625" style="119" customWidth="1"/>
    <col min="3832" max="3832" width="11.140625" style="119" customWidth="1"/>
    <col min="3833" max="3836" width="9.28515625" style="119" customWidth="1"/>
    <col min="3837" max="3837" width="11.28515625" style="119" customWidth="1"/>
    <col min="3838" max="4080" width="9.140625" style="119"/>
    <col min="4081" max="4081" width="3.7109375" style="119" customWidth="1"/>
    <col min="4082" max="4082" width="9.85546875" style="119" customWidth="1"/>
    <col min="4083" max="4083" width="38.140625" style="119" customWidth="1"/>
    <col min="4084" max="4084" width="9.140625" style="119"/>
    <col min="4085" max="4085" width="7.7109375" style="119" customWidth="1"/>
    <col min="4086" max="4087" width="9.28515625" style="119" customWidth="1"/>
    <col min="4088" max="4088" width="11.140625" style="119" customWidth="1"/>
    <col min="4089" max="4092" width="9.28515625" style="119" customWidth="1"/>
    <col min="4093" max="4093" width="11.28515625" style="119" customWidth="1"/>
    <col min="4094" max="4336" width="9.140625" style="119"/>
    <col min="4337" max="4337" width="3.7109375" style="119" customWidth="1"/>
    <col min="4338" max="4338" width="9.85546875" style="119" customWidth="1"/>
    <col min="4339" max="4339" width="38.140625" style="119" customWidth="1"/>
    <col min="4340" max="4340" width="9.140625" style="119"/>
    <col min="4341" max="4341" width="7.7109375" style="119" customWidth="1"/>
    <col min="4342" max="4343" width="9.28515625" style="119" customWidth="1"/>
    <col min="4344" max="4344" width="11.140625" style="119" customWidth="1"/>
    <col min="4345" max="4348" width="9.28515625" style="119" customWidth="1"/>
    <col min="4349" max="4349" width="11.28515625" style="119" customWidth="1"/>
    <col min="4350" max="4592" width="9.140625" style="119"/>
    <col min="4593" max="4593" width="3.7109375" style="119" customWidth="1"/>
    <col min="4594" max="4594" width="9.85546875" style="119" customWidth="1"/>
    <col min="4595" max="4595" width="38.140625" style="119" customWidth="1"/>
    <col min="4596" max="4596" width="9.140625" style="119"/>
    <col min="4597" max="4597" width="7.7109375" style="119" customWidth="1"/>
    <col min="4598" max="4599" width="9.28515625" style="119" customWidth="1"/>
    <col min="4600" max="4600" width="11.140625" style="119" customWidth="1"/>
    <col min="4601" max="4604" width="9.28515625" style="119" customWidth="1"/>
    <col min="4605" max="4605" width="11.28515625" style="119" customWidth="1"/>
    <col min="4606" max="4848" width="9.140625" style="119"/>
    <col min="4849" max="4849" width="3.7109375" style="119" customWidth="1"/>
    <col min="4850" max="4850" width="9.85546875" style="119" customWidth="1"/>
    <col min="4851" max="4851" width="38.140625" style="119" customWidth="1"/>
    <col min="4852" max="4852" width="9.140625" style="119"/>
    <col min="4853" max="4853" width="7.7109375" style="119" customWidth="1"/>
    <col min="4854" max="4855" width="9.28515625" style="119" customWidth="1"/>
    <col min="4856" max="4856" width="11.140625" style="119" customWidth="1"/>
    <col min="4857" max="4860" width="9.28515625" style="119" customWidth="1"/>
    <col min="4861" max="4861" width="11.28515625" style="119" customWidth="1"/>
    <col min="4862" max="5104" width="9.140625" style="119"/>
    <col min="5105" max="5105" width="3.7109375" style="119" customWidth="1"/>
    <col min="5106" max="5106" width="9.85546875" style="119" customWidth="1"/>
    <col min="5107" max="5107" width="38.140625" style="119" customWidth="1"/>
    <col min="5108" max="5108" width="9.140625" style="119"/>
    <col min="5109" max="5109" width="7.7109375" style="119" customWidth="1"/>
    <col min="5110" max="5111" width="9.28515625" style="119" customWidth="1"/>
    <col min="5112" max="5112" width="11.140625" style="119" customWidth="1"/>
    <col min="5113" max="5116" width="9.28515625" style="119" customWidth="1"/>
    <col min="5117" max="5117" width="11.28515625" style="119" customWidth="1"/>
    <col min="5118" max="5360" width="9.140625" style="119"/>
    <col min="5361" max="5361" width="3.7109375" style="119" customWidth="1"/>
    <col min="5362" max="5362" width="9.85546875" style="119" customWidth="1"/>
    <col min="5363" max="5363" width="38.140625" style="119" customWidth="1"/>
    <col min="5364" max="5364" width="9.140625" style="119"/>
    <col min="5365" max="5365" width="7.7109375" style="119" customWidth="1"/>
    <col min="5366" max="5367" width="9.28515625" style="119" customWidth="1"/>
    <col min="5368" max="5368" width="11.140625" style="119" customWidth="1"/>
    <col min="5369" max="5372" width="9.28515625" style="119" customWidth="1"/>
    <col min="5373" max="5373" width="11.28515625" style="119" customWidth="1"/>
    <col min="5374" max="5616" width="9.140625" style="119"/>
    <col min="5617" max="5617" width="3.7109375" style="119" customWidth="1"/>
    <col min="5618" max="5618" width="9.85546875" style="119" customWidth="1"/>
    <col min="5619" max="5619" width="38.140625" style="119" customWidth="1"/>
    <col min="5620" max="5620" width="9.140625" style="119"/>
    <col min="5621" max="5621" width="7.7109375" style="119" customWidth="1"/>
    <col min="5622" max="5623" width="9.28515625" style="119" customWidth="1"/>
    <col min="5624" max="5624" width="11.140625" style="119" customWidth="1"/>
    <col min="5625" max="5628" width="9.28515625" style="119" customWidth="1"/>
    <col min="5629" max="5629" width="11.28515625" style="119" customWidth="1"/>
    <col min="5630" max="5872" width="9.140625" style="119"/>
    <col min="5873" max="5873" width="3.7109375" style="119" customWidth="1"/>
    <col min="5874" max="5874" width="9.85546875" style="119" customWidth="1"/>
    <col min="5875" max="5875" width="38.140625" style="119" customWidth="1"/>
    <col min="5876" max="5876" width="9.140625" style="119"/>
    <col min="5877" max="5877" width="7.7109375" style="119" customWidth="1"/>
    <col min="5878" max="5879" width="9.28515625" style="119" customWidth="1"/>
    <col min="5880" max="5880" width="11.140625" style="119" customWidth="1"/>
    <col min="5881" max="5884" width="9.28515625" style="119" customWidth="1"/>
    <col min="5885" max="5885" width="11.28515625" style="119" customWidth="1"/>
    <col min="5886" max="6128" width="9.140625" style="119"/>
    <col min="6129" max="6129" width="3.7109375" style="119" customWidth="1"/>
    <col min="6130" max="6130" width="9.85546875" style="119" customWidth="1"/>
    <col min="6131" max="6131" width="38.140625" style="119" customWidth="1"/>
    <col min="6132" max="6132" width="9.140625" style="119"/>
    <col min="6133" max="6133" width="7.7109375" style="119" customWidth="1"/>
    <col min="6134" max="6135" width="9.28515625" style="119" customWidth="1"/>
    <col min="6136" max="6136" width="11.140625" style="119" customWidth="1"/>
    <col min="6137" max="6140" width="9.28515625" style="119" customWidth="1"/>
    <col min="6141" max="6141" width="11.28515625" style="119" customWidth="1"/>
    <col min="6142" max="6384" width="9.140625" style="119"/>
    <col min="6385" max="6385" width="3.7109375" style="119" customWidth="1"/>
    <col min="6386" max="6386" width="9.85546875" style="119" customWidth="1"/>
    <col min="6387" max="6387" width="38.140625" style="119" customWidth="1"/>
    <col min="6388" max="6388" width="9.140625" style="119"/>
    <col min="6389" max="6389" width="7.7109375" style="119" customWidth="1"/>
    <col min="6390" max="6391" width="9.28515625" style="119" customWidth="1"/>
    <col min="6392" max="6392" width="11.140625" style="119" customWidth="1"/>
    <col min="6393" max="6396" width="9.28515625" style="119" customWidth="1"/>
    <col min="6397" max="6397" width="11.28515625" style="119" customWidth="1"/>
    <col min="6398" max="6640" width="9.140625" style="119"/>
    <col min="6641" max="6641" width="3.7109375" style="119" customWidth="1"/>
    <col min="6642" max="6642" width="9.85546875" style="119" customWidth="1"/>
    <col min="6643" max="6643" width="38.140625" style="119" customWidth="1"/>
    <col min="6644" max="6644" width="9.140625" style="119"/>
    <col min="6645" max="6645" width="7.7109375" style="119" customWidth="1"/>
    <col min="6646" max="6647" width="9.28515625" style="119" customWidth="1"/>
    <col min="6648" max="6648" width="11.140625" style="119" customWidth="1"/>
    <col min="6649" max="6652" width="9.28515625" style="119" customWidth="1"/>
    <col min="6653" max="6653" width="11.28515625" style="119" customWidth="1"/>
    <col min="6654" max="6896" width="9.140625" style="119"/>
    <col min="6897" max="6897" width="3.7109375" style="119" customWidth="1"/>
    <col min="6898" max="6898" width="9.85546875" style="119" customWidth="1"/>
    <col min="6899" max="6899" width="38.140625" style="119" customWidth="1"/>
    <col min="6900" max="6900" width="9.140625" style="119"/>
    <col min="6901" max="6901" width="7.7109375" style="119" customWidth="1"/>
    <col min="6902" max="6903" width="9.28515625" style="119" customWidth="1"/>
    <col min="6904" max="6904" width="11.140625" style="119" customWidth="1"/>
    <col min="6905" max="6908" width="9.28515625" style="119" customWidth="1"/>
    <col min="6909" max="6909" width="11.28515625" style="119" customWidth="1"/>
    <col min="6910" max="7152" width="9.140625" style="119"/>
    <col min="7153" max="7153" width="3.7109375" style="119" customWidth="1"/>
    <col min="7154" max="7154" width="9.85546875" style="119" customWidth="1"/>
    <col min="7155" max="7155" width="38.140625" style="119" customWidth="1"/>
    <col min="7156" max="7156" width="9.140625" style="119"/>
    <col min="7157" max="7157" width="7.7109375" style="119" customWidth="1"/>
    <col min="7158" max="7159" width="9.28515625" style="119" customWidth="1"/>
    <col min="7160" max="7160" width="11.140625" style="119" customWidth="1"/>
    <col min="7161" max="7164" width="9.28515625" style="119" customWidth="1"/>
    <col min="7165" max="7165" width="11.28515625" style="119" customWidth="1"/>
    <col min="7166" max="7408" width="9.140625" style="119"/>
    <col min="7409" max="7409" width="3.7109375" style="119" customWidth="1"/>
    <col min="7410" max="7410" width="9.85546875" style="119" customWidth="1"/>
    <col min="7411" max="7411" width="38.140625" style="119" customWidth="1"/>
    <col min="7412" max="7412" width="9.140625" style="119"/>
    <col min="7413" max="7413" width="7.7109375" style="119" customWidth="1"/>
    <col min="7414" max="7415" width="9.28515625" style="119" customWidth="1"/>
    <col min="7416" max="7416" width="11.140625" style="119" customWidth="1"/>
    <col min="7417" max="7420" width="9.28515625" style="119" customWidth="1"/>
    <col min="7421" max="7421" width="11.28515625" style="119" customWidth="1"/>
    <col min="7422" max="7664" width="9.140625" style="119"/>
    <col min="7665" max="7665" width="3.7109375" style="119" customWidth="1"/>
    <col min="7666" max="7666" width="9.85546875" style="119" customWidth="1"/>
    <col min="7667" max="7667" width="38.140625" style="119" customWidth="1"/>
    <col min="7668" max="7668" width="9.140625" style="119"/>
    <col min="7669" max="7669" width="7.7109375" style="119" customWidth="1"/>
    <col min="7670" max="7671" width="9.28515625" style="119" customWidth="1"/>
    <col min="7672" max="7672" width="11.140625" style="119" customWidth="1"/>
    <col min="7673" max="7676" width="9.28515625" style="119" customWidth="1"/>
    <col min="7677" max="7677" width="11.28515625" style="119" customWidth="1"/>
    <col min="7678" max="7920" width="9.140625" style="119"/>
    <col min="7921" max="7921" width="3.7109375" style="119" customWidth="1"/>
    <col min="7922" max="7922" width="9.85546875" style="119" customWidth="1"/>
    <col min="7923" max="7923" width="38.140625" style="119" customWidth="1"/>
    <col min="7924" max="7924" width="9.140625" style="119"/>
    <col min="7925" max="7925" width="7.7109375" style="119" customWidth="1"/>
    <col min="7926" max="7927" width="9.28515625" style="119" customWidth="1"/>
    <col min="7928" max="7928" width="11.140625" style="119" customWidth="1"/>
    <col min="7929" max="7932" width="9.28515625" style="119" customWidth="1"/>
    <col min="7933" max="7933" width="11.28515625" style="119" customWidth="1"/>
    <col min="7934" max="8176" width="9.140625" style="119"/>
    <col min="8177" max="8177" width="3.7109375" style="119" customWidth="1"/>
    <col min="8178" max="8178" width="9.85546875" style="119" customWidth="1"/>
    <col min="8179" max="8179" width="38.140625" style="119" customWidth="1"/>
    <col min="8180" max="8180" width="9.140625" style="119"/>
    <col min="8181" max="8181" width="7.7109375" style="119" customWidth="1"/>
    <col min="8182" max="8183" width="9.28515625" style="119" customWidth="1"/>
    <col min="8184" max="8184" width="11.140625" style="119" customWidth="1"/>
    <col min="8185" max="8188" width="9.28515625" style="119" customWidth="1"/>
    <col min="8189" max="8189" width="11.28515625" style="119" customWidth="1"/>
    <col min="8190" max="8432" width="9.140625" style="119"/>
    <col min="8433" max="8433" width="3.7109375" style="119" customWidth="1"/>
    <col min="8434" max="8434" width="9.85546875" style="119" customWidth="1"/>
    <col min="8435" max="8435" width="38.140625" style="119" customWidth="1"/>
    <col min="8436" max="8436" width="9.140625" style="119"/>
    <col min="8437" max="8437" width="7.7109375" style="119" customWidth="1"/>
    <col min="8438" max="8439" width="9.28515625" style="119" customWidth="1"/>
    <col min="8440" max="8440" width="11.140625" style="119" customWidth="1"/>
    <col min="8441" max="8444" width="9.28515625" style="119" customWidth="1"/>
    <col min="8445" max="8445" width="11.28515625" style="119" customWidth="1"/>
    <col min="8446" max="8688" width="9.140625" style="119"/>
    <col min="8689" max="8689" width="3.7109375" style="119" customWidth="1"/>
    <col min="8690" max="8690" width="9.85546875" style="119" customWidth="1"/>
    <col min="8691" max="8691" width="38.140625" style="119" customWidth="1"/>
    <col min="8692" max="8692" width="9.140625" style="119"/>
    <col min="8693" max="8693" width="7.7109375" style="119" customWidth="1"/>
    <col min="8694" max="8695" width="9.28515625" style="119" customWidth="1"/>
    <col min="8696" max="8696" width="11.140625" style="119" customWidth="1"/>
    <col min="8697" max="8700" width="9.28515625" style="119" customWidth="1"/>
    <col min="8701" max="8701" width="11.28515625" style="119" customWidth="1"/>
    <col min="8702" max="8944" width="9.140625" style="119"/>
    <col min="8945" max="8945" width="3.7109375" style="119" customWidth="1"/>
    <col min="8946" max="8946" width="9.85546875" style="119" customWidth="1"/>
    <col min="8947" max="8947" width="38.140625" style="119" customWidth="1"/>
    <col min="8948" max="8948" width="9.140625" style="119"/>
    <col min="8949" max="8949" width="7.7109375" style="119" customWidth="1"/>
    <col min="8950" max="8951" width="9.28515625" style="119" customWidth="1"/>
    <col min="8952" max="8952" width="11.140625" style="119" customWidth="1"/>
    <col min="8953" max="8956" width="9.28515625" style="119" customWidth="1"/>
    <col min="8957" max="8957" width="11.28515625" style="119" customWidth="1"/>
    <col min="8958" max="9200" width="9.140625" style="119"/>
    <col min="9201" max="9201" width="3.7109375" style="119" customWidth="1"/>
    <col min="9202" max="9202" width="9.85546875" style="119" customWidth="1"/>
    <col min="9203" max="9203" width="38.140625" style="119" customWidth="1"/>
    <col min="9204" max="9204" width="9.140625" style="119"/>
    <col min="9205" max="9205" width="7.7109375" style="119" customWidth="1"/>
    <col min="9206" max="9207" width="9.28515625" style="119" customWidth="1"/>
    <col min="9208" max="9208" width="11.140625" style="119" customWidth="1"/>
    <col min="9209" max="9212" width="9.28515625" style="119" customWidth="1"/>
    <col min="9213" max="9213" width="11.28515625" style="119" customWidth="1"/>
    <col min="9214" max="9456" width="9.140625" style="119"/>
    <col min="9457" max="9457" width="3.7109375" style="119" customWidth="1"/>
    <col min="9458" max="9458" width="9.85546875" style="119" customWidth="1"/>
    <col min="9459" max="9459" width="38.140625" style="119" customWidth="1"/>
    <col min="9460" max="9460" width="9.140625" style="119"/>
    <col min="9461" max="9461" width="7.7109375" style="119" customWidth="1"/>
    <col min="9462" max="9463" width="9.28515625" style="119" customWidth="1"/>
    <col min="9464" max="9464" width="11.140625" style="119" customWidth="1"/>
    <col min="9465" max="9468" width="9.28515625" style="119" customWidth="1"/>
    <col min="9469" max="9469" width="11.28515625" style="119" customWidth="1"/>
    <col min="9470" max="9712" width="9.140625" style="119"/>
    <col min="9713" max="9713" width="3.7109375" style="119" customWidth="1"/>
    <col min="9714" max="9714" width="9.85546875" style="119" customWidth="1"/>
    <col min="9715" max="9715" width="38.140625" style="119" customWidth="1"/>
    <col min="9716" max="9716" width="9.140625" style="119"/>
    <col min="9717" max="9717" width="7.7109375" style="119" customWidth="1"/>
    <col min="9718" max="9719" width="9.28515625" style="119" customWidth="1"/>
    <col min="9720" max="9720" width="11.140625" style="119" customWidth="1"/>
    <col min="9721" max="9724" width="9.28515625" style="119" customWidth="1"/>
    <col min="9725" max="9725" width="11.28515625" style="119" customWidth="1"/>
    <col min="9726" max="9968" width="9.140625" style="119"/>
    <col min="9969" max="9969" width="3.7109375" style="119" customWidth="1"/>
    <col min="9970" max="9970" width="9.85546875" style="119" customWidth="1"/>
    <col min="9971" max="9971" width="38.140625" style="119" customWidth="1"/>
    <col min="9972" max="9972" width="9.140625" style="119"/>
    <col min="9973" max="9973" width="7.7109375" style="119" customWidth="1"/>
    <col min="9974" max="9975" width="9.28515625" style="119" customWidth="1"/>
    <col min="9976" max="9976" width="11.140625" style="119" customWidth="1"/>
    <col min="9977" max="9980" width="9.28515625" style="119" customWidth="1"/>
    <col min="9981" max="9981" width="11.28515625" style="119" customWidth="1"/>
    <col min="9982" max="10224" width="9.140625" style="119"/>
    <col min="10225" max="10225" width="3.7109375" style="119" customWidth="1"/>
    <col min="10226" max="10226" width="9.85546875" style="119" customWidth="1"/>
    <col min="10227" max="10227" width="38.140625" style="119" customWidth="1"/>
    <col min="10228" max="10228" width="9.140625" style="119"/>
    <col min="10229" max="10229" width="7.7109375" style="119" customWidth="1"/>
    <col min="10230" max="10231" width="9.28515625" style="119" customWidth="1"/>
    <col min="10232" max="10232" width="11.140625" style="119" customWidth="1"/>
    <col min="10233" max="10236" width="9.28515625" style="119" customWidth="1"/>
    <col min="10237" max="10237" width="11.28515625" style="119" customWidth="1"/>
    <col min="10238" max="10480" width="9.140625" style="119"/>
    <col min="10481" max="10481" width="3.7109375" style="119" customWidth="1"/>
    <col min="10482" max="10482" width="9.85546875" style="119" customWidth="1"/>
    <col min="10483" max="10483" width="38.140625" style="119" customWidth="1"/>
    <col min="10484" max="10484" width="9.140625" style="119"/>
    <col min="10485" max="10485" width="7.7109375" style="119" customWidth="1"/>
    <col min="10486" max="10487" width="9.28515625" style="119" customWidth="1"/>
    <col min="10488" max="10488" width="11.140625" style="119" customWidth="1"/>
    <col min="10489" max="10492" width="9.28515625" style="119" customWidth="1"/>
    <col min="10493" max="10493" width="11.28515625" style="119" customWidth="1"/>
    <col min="10494" max="10736" width="9.140625" style="119"/>
    <col min="10737" max="10737" width="3.7109375" style="119" customWidth="1"/>
    <col min="10738" max="10738" width="9.85546875" style="119" customWidth="1"/>
    <col min="10739" max="10739" width="38.140625" style="119" customWidth="1"/>
    <col min="10740" max="10740" width="9.140625" style="119"/>
    <col min="10741" max="10741" width="7.7109375" style="119" customWidth="1"/>
    <col min="10742" max="10743" width="9.28515625" style="119" customWidth="1"/>
    <col min="10744" max="10744" width="11.140625" style="119" customWidth="1"/>
    <col min="10745" max="10748" width="9.28515625" style="119" customWidth="1"/>
    <col min="10749" max="10749" width="11.28515625" style="119" customWidth="1"/>
    <col min="10750" max="10992" width="9.140625" style="119"/>
    <col min="10993" max="10993" width="3.7109375" style="119" customWidth="1"/>
    <col min="10994" max="10994" width="9.85546875" style="119" customWidth="1"/>
    <col min="10995" max="10995" width="38.140625" style="119" customWidth="1"/>
    <col min="10996" max="10996" width="9.140625" style="119"/>
    <col min="10997" max="10997" width="7.7109375" style="119" customWidth="1"/>
    <col min="10998" max="10999" width="9.28515625" style="119" customWidth="1"/>
    <col min="11000" max="11000" width="11.140625" style="119" customWidth="1"/>
    <col min="11001" max="11004" width="9.28515625" style="119" customWidth="1"/>
    <col min="11005" max="11005" width="11.28515625" style="119" customWidth="1"/>
    <col min="11006" max="11248" width="9.140625" style="119"/>
    <col min="11249" max="11249" width="3.7109375" style="119" customWidth="1"/>
    <col min="11250" max="11250" width="9.85546875" style="119" customWidth="1"/>
    <col min="11251" max="11251" width="38.140625" style="119" customWidth="1"/>
    <col min="11252" max="11252" width="9.140625" style="119"/>
    <col min="11253" max="11253" width="7.7109375" style="119" customWidth="1"/>
    <col min="11254" max="11255" width="9.28515625" style="119" customWidth="1"/>
    <col min="11256" max="11256" width="11.140625" style="119" customWidth="1"/>
    <col min="11257" max="11260" width="9.28515625" style="119" customWidth="1"/>
    <col min="11261" max="11261" width="11.28515625" style="119" customWidth="1"/>
    <col min="11262" max="11504" width="9.140625" style="119"/>
    <col min="11505" max="11505" width="3.7109375" style="119" customWidth="1"/>
    <col min="11506" max="11506" width="9.85546875" style="119" customWidth="1"/>
    <col min="11507" max="11507" width="38.140625" style="119" customWidth="1"/>
    <col min="11508" max="11508" width="9.140625" style="119"/>
    <col min="11509" max="11509" width="7.7109375" style="119" customWidth="1"/>
    <col min="11510" max="11511" width="9.28515625" style="119" customWidth="1"/>
    <col min="11512" max="11512" width="11.140625" style="119" customWidth="1"/>
    <col min="11513" max="11516" width="9.28515625" style="119" customWidth="1"/>
    <col min="11517" max="11517" width="11.28515625" style="119" customWidth="1"/>
    <col min="11518" max="11760" width="9.140625" style="119"/>
    <col min="11761" max="11761" width="3.7109375" style="119" customWidth="1"/>
    <col min="11762" max="11762" width="9.85546875" style="119" customWidth="1"/>
    <col min="11763" max="11763" width="38.140625" style="119" customWidth="1"/>
    <col min="11764" max="11764" width="9.140625" style="119"/>
    <col min="11765" max="11765" width="7.7109375" style="119" customWidth="1"/>
    <col min="11766" max="11767" width="9.28515625" style="119" customWidth="1"/>
    <col min="11768" max="11768" width="11.140625" style="119" customWidth="1"/>
    <col min="11769" max="11772" width="9.28515625" style="119" customWidth="1"/>
    <col min="11773" max="11773" width="11.28515625" style="119" customWidth="1"/>
    <col min="11774" max="12016" width="9.140625" style="119"/>
    <col min="12017" max="12017" width="3.7109375" style="119" customWidth="1"/>
    <col min="12018" max="12018" width="9.85546875" style="119" customWidth="1"/>
    <col min="12019" max="12019" width="38.140625" style="119" customWidth="1"/>
    <col min="12020" max="12020" width="9.140625" style="119"/>
    <col min="12021" max="12021" width="7.7109375" style="119" customWidth="1"/>
    <col min="12022" max="12023" width="9.28515625" style="119" customWidth="1"/>
    <col min="12024" max="12024" width="11.140625" style="119" customWidth="1"/>
    <col min="12025" max="12028" width="9.28515625" style="119" customWidth="1"/>
    <col min="12029" max="12029" width="11.28515625" style="119" customWidth="1"/>
    <col min="12030" max="12272" width="9.140625" style="119"/>
    <col min="12273" max="12273" width="3.7109375" style="119" customWidth="1"/>
    <col min="12274" max="12274" width="9.85546875" style="119" customWidth="1"/>
    <col min="12275" max="12275" width="38.140625" style="119" customWidth="1"/>
    <col min="12276" max="12276" width="9.140625" style="119"/>
    <col min="12277" max="12277" width="7.7109375" style="119" customWidth="1"/>
    <col min="12278" max="12279" width="9.28515625" style="119" customWidth="1"/>
    <col min="12280" max="12280" width="11.140625" style="119" customWidth="1"/>
    <col min="12281" max="12284" width="9.28515625" style="119" customWidth="1"/>
    <col min="12285" max="12285" width="11.28515625" style="119" customWidth="1"/>
    <col min="12286" max="12528" width="9.140625" style="119"/>
    <col min="12529" max="12529" width="3.7109375" style="119" customWidth="1"/>
    <col min="12530" max="12530" width="9.85546875" style="119" customWidth="1"/>
    <col min="12531" max="12531" width="38.140625" style="119" customWidth="1"/>
    <col min="12532" max="12532" width="9.140625" style="119"/>
    <col min="12533" max="12533" width="7.7109375" style="119" customWidth="1"/>
    <col min="12534" max="12535" width="9.28515625" style="119" customWidth="1"/>
    <col min="12536" max="12536" width="11.140625" style="119" customWidth="1"/>
    <col min="12537" max="12540" width="9.28515625" style="119" customWidth="1"/>
    <col min="12541" max="12541" width="11.28515625" style="119" customWidth="1"/>
    <col min="12542" max="12784" width="9.140625" style="119"/>
    <col min="12785" max="12785" width="3.7109375" style="119" customWidth="1"/>
    <col min="12786" max="12786" width="9.85546875" style="119" customWidth="1"/>
    <col min="12787" max="12787" width="38.140625" style="119" customWidth="1"/>
    <col min="12788" max="12788" width="9.140625" style="119"/>
    <col min="12789" max="12789" width="7.7109375" style="119" customWidth="1"/>
    <col min="12790" max="12791" width="9.28515625" style="119" customWidth="1"/>
    <col min="12792" max="12792" width="11.140625" style="119" customWidth="1"/>
    <col min="12793" max="12796" width="9.28515625" style="119" customWidth="1"/>
    <col min="12797" max="12797" width="11.28515625" style="119" customWidth="1"/>
    <col min="12798" max="13040" width="9.140625" style="119"/>
    <col min="13041" max="13041" width="3.7109375" style="119" customWidth="1"/>
    <col min="13042" max="13042" width="9.85546875" style="119" customWidth="1"/>
    <col min="13043" max="13043" width="38.140625" style="119" customWidth="1"/>
    <col min="13044" max="13044" width="9.140625" style="119"/>
    <col min="13045" max="13045" width="7.7109375" style="119" customWidth="1"/>
    <col min="13046" max="13047" width="9.28515625" style="119" customWidth="1"/>
    <col min="13048" max="13048" width="11.140625" style="119" customWidth="1"/>
    <col min="13049" max="13052" width="9.28515625" style="119" customWidth="1"/>
    <col min="13053" max="13053" width="11.28515625" style="119" customWidth="1"/>
    <col min="13054" max="13296" width="9.140625" style="119"/>
    <col min="13297" max="13297" width="3.7109375" style="119" customWidth="1"/>
    <col min="13298" max="13298" width="9.85546875" style="119" customWidth="1"/>
    <col min="13299" max="13299" width="38.140625" style="119" customWidth="1"/>
    <col min="13300" max="13300" width="9.140625" style="119"/>
    <col min="13301" max="13301" width="7.7109375" style="119" customWidth="1"/>
    <col min="13302" max="13303" width="9.28515625" style="119" customWidth="1"/>
    <col min="13304" max="13304" width="11.140625" style="119" customWidth="1"/>
    <col min="13305" max="13308" width="9.28515625" style="119" customWidth="1"/>
    <col min="13309" max="13309" width="11.28515625" style="119" customWidth="1"/>
    <col min="13310" max="13552" width="9.140625" style="119"/>
    <col min="13553" max="13553" width="3.7109375" style="119" customWidth="1"/>
    <col min="13554" max="13554" width="9.85546875" style="119" customWidth="1"/>
    <col min="13555" max="13555" width="38.140625" style="119" customWidth="1"/>
    <col min="13556" max="13556" width="9.140625" style="119"/>
    <col min="13557" max="13557" width="7.7109375" style="119" customWidth="1"/>
    <col min="13558" max="13559" width="9.28515625" style="119" customWidth="1"/>
    <col min="13560" max="13560" width="11.140625" style="119" customWidth="1"/>
    <col min="13561" max="13564" width="9.28515625" style="119" customWidth="1"/>
    <col min="13565" max="13565" width="11.28515625" style="119" customWidth="1"/>
    <col min="13566" max="13808" width="9.140625" style="119"/>
    <col min="13809" max="13809" width="3.7109375" style="119" customWidth="1"/>
    <col min="13810" max="13810" width="9.85546875" style="119" customWidth="1"/>
    <col min="13811" max="13811" width="38.140625" style="119" customWidth="1"/>
    <col min="13812" max="13812" width="9.140625" style="119"/>
    <col min="13813" max="13813" width="7.7109375" style="119" customWidth="1"/>
    <col min="13814" max="13815" width="9.28515625" style="119" customWidth="1"/>
    <col min="13816" max="13816" width="11.140625" style="119" customWidth="1"/>
    <col min="13817" max="13820" width="9.28515625" style="119" customWidth="1"/>
    <col min="13821" max="13821" width="11.28515625" style="119" customWidth="1"/>
    <col min="13822" max="14064" width="9.140625" style="119"/>
    <col min="14065" max="14065" width="3.7109375" style="119" customWidth="1"/>
    <col min="14066" max="14066" width="9.85546875" style="119" customWidth="1"/>
    <col min="14067" max="14067" width="38.140625" style="119" customWidth="1"/>
    <col min="14068" max="14068" width="9.140625" style="119"/>
    <col min="14069" max="14069" width="7.7109375" style="119" customWidth="1"/>
    <col min="14070" max="14071" width="9.28515625" style="119" customWidth="1"/>
    <col min="14072" max="14072" width="11.140625" style="119" customWidth="1"/>
    <col min="14073" max="14076" width="9.28515625" style="119" customWidth="1"/>
    <col min="14077" max="14077" width="11.28515625" style="119" customWidth="1"/>
    <col min="14078" max="14320" width="9.140625" style="119"/>
    <col min="14321" max="14321" width="3.7109375" style="119" customWidth="1"/>
    <col min="14322" max="14322" width="9.85546875" style="119" customWidth="1"/>
    <col min="14323" max="14323" width="38.140625" style="119" customWidth="1"/>
    <col min="14324" max="14324" width="9.140625" style="119"/>
    <col min="14325" max="14325" width="7.7109375" style="119" customWidth="1"/>
    <col min="14326" max="14327" width="9.28515625" style="119" customWidth="1"/>
    <col min="14328" max="14328" width="11.140625" style="119" customWidth="1"/>
    <col min="14329" max="14332" width="9.28515625" style="119" customWidth="1"/>
    <col min="14333" max="14333" width="11.28515625" style="119" customWidth="1"/>
    <col min="14334" max="14576" width="9.140625" style="119"/>
    <col min="14577" max="14577" width="3.7109375" style="119" customWidth="1"/>
    <col min="14578" max="14578" width="9.85546875" style="119" customWidth="1"/>
    <col min="14579" max="14579" width="38.140625" style="119" customWidth="1"/>
    <col min="14580" max="14580" width="9.140625" style="119"/>
    <col min="14581" max="14581" width="7.7109375" style="119" customWidth="1"/>
    <col min="14582" max="14583" width="9.28515625" style="119" customWidth="1"/>
    <col min="14584" max="14584" width="11.140625" style="119" customWidth="1"/>
    <col min="14585" max="14588" width="9.28515625" style="119" customWidth="1"/>
    <col min="14589" max="14589" width="11.28515625" style="119" customWidth="1"/>
    <col min="14590" max="14832" width="9.140625" style="119"/>
    <col min="14833" max="14833" width="3.7109375" style="119" customWidth="1"/>
    <col min="14834" max="14834" width="9.85546875" style="119" customWidth="1"/>
    <col min="14835" max="14835" width="38.140625" style="119" customWidth="1"/>
    <col min="14836" max="14836" width="9.140625" style="119"/>
    <col min="14837" max="14837" width="7.7109375" style="119" customWidth="1"/>
    <col min="14838" max="14839" width="9.28515625" style="119" customWidth="1"/>
    <col min="14840" max="14840" width="11.140625" style="119" customWidth="1"/>
    <col min="14841" max="14844" width="9.28515625" style="119" customWidth="1"/>
    <col min="14845" max="14845" width="11.28515625" style="119" customWidth="1"/>
    <col min="14846" max="15088" width="9.140625" style="119"/>
    <col min="15089" max="15089" width="3.7109375" style="119" customWidth="1"/>
    <col min="15090" max="15090" width="9.85546875" style="119" customWidth="1"/>
    <col min="15091" max="15091" width="38.140625" style="119" customWidth="1"/>
    <col min="15092" max="15092" width="9.140625" style="119"/>
    <col min="15093" max="15093" width="7.7109375" style="119" customWidth="1"/>
    <col min="15094" max="15095" width="9.28515625" style="119" customWidth="1"/>
    <col min="15096" max="15096" width="11.140625" style="119" customWidth="1"/>
    <col min="15097" max="15100" width="9.28515625" style="119" customWidth="1"/>
    <col min="15101" max="15101" width="11.28515625" style="119" customWidth="1"/>
    <col min="15102" max="15344" width="9.140625" style="119"/>
    <col min="15345" max="15345" width="3.7109375" style="119" customWidth="1"/>
    <col min="15346" max="15346" width="9.85546875" style="119" customWidth="1"/>
    <col min="15347" max="15347" width="38.140625" style="119" customWidth="1"/>
    <col min="15348" max="15348" width="9.140625" style="119"/>
    <col min="15349" max="15349" width="7.7109375" style="119" customWidth="1"/>
    <col min="15350" max="15351" width="9.28515625" style="119" customWidth="1"/>
    <col min="15352" max="15352" width="11.140625" style="119" customWidth="1"/>
    <col min="15353" max="15356" width="9.28515625" style="119" customWidth="1"/>
    <col min="15357" max="15357" width="11.28515625" style="119" customWidth="1"/>
    <col min="15358" max="15600" width="9.140625" style="119"/>
    <col min="15601" max="15601" width="3.7109375" style="119" customWidth="1"/>
    <col min="15602" max="15602" width="9.85546875" style="119" customWidth="1"/>
    <col min="15603" max="15603" width="38.140625" style="119" customWidth="1"/>
    <col min="15604" max="15604" width="9.140625" style="119"/>
    <col min="15605" max="15605" width="7.7109375" style="119" customWidth="1"/>
    <col min="15606" max="15607" width="9.28515625" style="119" customWidth="1"/>
    <col min="15608" max="15608" width="11.140625" style="119" customWidth="1"/>
    <col min="15609" max="15612" width="9.28515625" style="119" customWidth="1"/>
    <col min="15613" max="15613" width="11.28515625" style="119" customWidth="1"/>
    <col min="15614" max="15856" width="9.140625" style="119"/>
    <col min="15857" max="15857" width="3.7109375" style="119" customWidth="1"/>
    <col min="15858" max="15858" width="9.85546875" style="119" customWidth="1"/>
    <col min="15859" max="15859" width="38.140625" style="119" customWidth="1"/>
    <col min="15860" max="15860" width="9.140625" style="119"/>
    <col min="15861" max="15861" width="7.7109375" style="119" customWidth="1"/>
    <col min="15862" max="15863" width="9.28515625" style="119" customWidth="1"/>
    <col min="15864" max="15864" width="11.140625" style="119" customWidth="1"/>
    <col min="15865" max="15868" width="9.28515625" style="119" customWidth="1"/>
    <col min="15869" max="15869" width="11.28515625" style="119" customWidth="1"/>
    <col min="15870" max="16112" width="9.140625" style="119"/>
    <col min="16113" max="16113" width="3.7109375" style="119" customWidth="1"/>
    <col min="16114" max="16114" width="9.85546875" style="119" customWidth="1"/>
    <col min="16115" max="16115" width="38.140625" style="119" customWidth="1"/>
    <col min="16116" max="16116" width="9.140625" style="119"/>
    <col min="16117" max="16117" width="7.7109375" style="119" customWidth="1"/>
    <col min="16118" max="16119" width="9.28515625" style="119" customWidth="1"/>
    <col min="16120" max="16120" width="11.140625" style="119" customWidth="1"/>
    <col min="16121" max="16124" width="9.28515625" style="119" customWidth="1"/>
    <col min="16125" max="16125" width="11.28515625" style="119" customWidth="1"/>
    <col min="16126" max="16384" width="9.140625" style="119"/>
  </cols>
  <sheetData>
    <row r="1" spans="1:15" ht="18" x14ac:dyDescent="0.25">
      <c r="A1" s="231" t="s">
        <v>208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5" ht="21" customHeight="1" x14ac:dyDescent="0.25">
      <c r="A2" s="225" t="s">
        <v>206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5" s="127" customFormat="1" ht="41.25" customHeight="1" x14ac:dyDescent="0.25">
      <c r="A3" s="225" t="s">
        <v>10</v>
      </c>
      <c r="B3" s="225" t="s">
        <v>3</v>
      </c>
      <c r="C3" s="225" t="s">
        <v>4</v>
      </c>
      <c r="D3" s="229" t="s">
        <v>211</v>
      </c>
      <c r="E3" s="227" t="s">
        <v>5</v>
      </c>
      <c r="F3" s="227"/>
      <c r="G3" s="227"/>
      <c r="H3" s="225" t="s">
        <v>6</v>
      </c>
      <c r="I3" s="225"/>
      <c r="J3" s="225"/>
      <c r="K3" s="228" t="s">
        <v>7</v>
      </c>
      <c r="L3" s="228"/>
      <c r="M3" s="228"/>
      <c r="N3" s="225" t="s">
        <v>9</v>
      </c>
    </row>
    <row r="4" spans="1:15" s="127" customFormat="1" ht="30" x14ac:dyDescent="0.25">
      <c r="A4" s="226"/>
      <c r="B4" s="226"/>
      <c r="C4" s="226"/>
      <c r="D4" s="230"/>
      <c r="E4" s="146" t="s">
        <v>207</v>
      </c>
      <c r="F4" s="48" t="s">
        <v>8</v>
      </c>
      <c r="G4" s="2" t="s">
        <v>9</v>
      </c>
      <c r="H4" s="146" t="s">
        <v>207</v>
      </c>
      <c r="I4" s="18" t="s">
        <v>8</v>
      </c>
      <c r="J4" s="18" t="s">
        <v>9</v>
      </c>
      <c r="K4" s="65" t="s">
        <v>207</v>
      </c>
      <c r="L4" s="48" t="s">
        <v>8</v>
      </c>
      <c r="M4" s="48" t="s">
        <v>9</v>
      </c>
      <c r="N4" s="226"/>
    </row>
    <row r="5" spans="1:15" s="128" customFormat="1" ht="24.75" customHeight="1" x14ac:dyDescent="0.25">
      <c r="A5" s="72">
        <v>1</v>
      </c>
      <c r="B5" s="72">
        <v>2</v>
      </c>
      <c r="C5" s="72">
        <v>3</v>
      </c>
      <c r="D5" s="72">
        <v>4</v>
      </c>
      <c r="E5" s="171">
        <v>5</v>
      </c>
      <c r="F5" s="72">
        <v>6</v>
      </c>
      <c r="G5" s="72">
        <v>7</v>
      </c>
      <c r="H5" s="171">
        <v>8</v>
      </c>
      <c r="I5" s="72">
        <v>9</v>
      </c>
      <c r="J5" s="72">
        <v>10</v>
      </c>
      <c r="K5" s="171">
        <v>11</v>
      </c>
      <c r="L5" s="72">
        <v>12</v>
      </c>
      <c r="M5" s="72">
        <v>13</v>
      </c>
      <c r="N5" s="72">
        <v>14</v>
      </c>
    </row>
    <row r="6" spans="1:15" s="128" customFormat="1" ht="33" customHeight="1" x14ac:dyDescent="0.25">
      <c r="A6" s="55"/>
      <c r="B6" s="2" t="s">
        <v>11</v>
      </c>
      <c r="C6" s="174"/>
      <c r="D6" s="49"/>
      <c r="E6" s="185"/>
      <c r="F6" s="49"/>
      <c r="G6" s="13"/>
      <c r="H6" s="172"/>
      <c r="I6" s="10"/>
      <c r="J6" s="10"/>
      <c r="K6" s="173"/>
      <c r="L6" s="11"/>
      <c r="M6" s="11"/>
      <c r="N6" s="3"/>
    </row>
    <row r="7" spans="1:15" s="128" customFormat="1" ht="30" x14ac:dyDescent="0.25">
      <c r="A7" s="6">
        <v>1</v>
      </c>
      <c r="B7" s="9" t="s">
        <v>125</v>
      </c>
      <c r="C7" s="2" t="s">
        <v>1</v>
      </c>
      <c r="D7" s="7">
        <v>0.3</v>
      </c>
      <c r="E7" s="209">
        <v>5.56</v>
      </c>
      <c r="F7" s="13"/>
      <c r="G7" s="13">
        <f>D7*F7</f>
        <v>0</v>
      </c>
      <c r="H7" s="209">
        <v>228.23999999999998</v>
      </c>
      <c r="I7" s="13"/>
      <c r="J7" s="13">
        <f>D7*I7</f>
        <v>0</v>
      </c>
      <c r="K7" s="209">
        <v>0.48</v>
      </c>
      <c r="L7" s="49"/>
      <c r="M7" s="49">
        <f>D7*L7</f>
        <v>0</v>
      </c>
      <c r="N7" s="8">
        <f>SUM(M7,J7,G7)</f>
        <v>0</v>
      </c>
    </row>
    <row r="8" spans="1:15" s="128" customFormat="1" ht="30" x14ac:dyDescent="0.25">
      <c r="A8" s="12">
        <f>A7+1</f>
        <v>2</v>
      </c>
      <c r="B8" s="5" t="s">
        <v>122</v>
      </c>
      <c r="C8" s="2" t="s">
        <v>1</v>
      </c>
      <c r="D8" s="7">
        <f>D7</f>
        <v>0.3</v>
      </c>
      <c r="E8" s="209">
        <v>0</v>
      </c>
      <c r="F8" s="49"/>
      <c r="G8" s="13">
        <f t="shared" ref="G8:G10" si="0">D8*F8</f>
        <v>0</v>
      </c>
      <c r="H8" s="209">
        <v>0</v>
      </c>
      <c r="I8" s="48"/>
      <c r="J8" s="13">
        <f t="shared" ref="J8:J10" si="1">D8*I8</f>
        <v>0</v>
      </c>
      <c r="K8" s="209">
        <v>5.41</v>
      </c>
      <c r="L8" s="48"/>
      <c r="M8" s="49">
        <f t="shared" ref="M8:M10" si="2">D8*L8</f>
        <v>0</v>
      </c>
      <c r="N8" s="8">
        <f t="shared" ref="N8:N26" si="3">SUM(M8,J8,G8)</f>
        <v>0</v>
      </c>
    </row>
    <row r="9" spans="1:15" s="128" customFormat="1" ht="22.5" customHeight="1" x14ac:dyDescent="0.25">
      <c r="A9" s="12">
        <f>A8+1</f>
        <v>3</v>
      </c>
      <c r="B9" s="2" t="s">
        <v>17</v>
      </c>
      <c r="C9" s="2" t="s">
        <v>18</v>
      </c>
      <c r="D9" s="7">
        <v>1.7</v>
      </c>
      <c r="E9" s="209">
        <v>0</v>
      </c>
      <c r="F9" s="13"/>
      <c r="G9" s="13">
        <f t="shared" si="0"/>
        <v>0</v>
      </c>
      <c r="H9" s="209">
        <v>60.719999999999985</v>
      </c>
      <c r="I9" s="48"/>
      <c r="J9" s="13">
        <f t="shared" si="1"/>
        <v>0</v>
      </c>
      <c r="K9" s="209">
        <v>38.520000000000003</v>
      </c>
      <c r="L9" s="48"/>
      <c r="M9" s="49">
        <f t="shared" si="2"/>
        <v>0</v>
      </c>
      <c r="N9" s="8">
        <f t="shared" si="3"/>
        <v>0</v>
      </c>
    </row>
    <row r="10" spans="1:15" s="128" customFormat="1" ht="30" x14ac:dyDescent="0.25">
      <c r="A10" s="12">
        <f>A9+1</f>
        <v>4</v>
      </c>
      <c r="B10" s="5" t="s">
        <v>123</v>
      </c>
      <c r="C10" s="2" t="s">
        <v>1</v>
      </c>
      <c r="D10" s="4">
        <f>D9*2.4</f>
        <v>4.08</v>
      </c>
      <c r="E10" s="209">
        <v>0</v>
      </c>
      <c r="F10" s="49"/>
      <c r="G10" s="13">
        <f t="shared" si="0"/>
        <v>0</v>
      </c>
      <c r="H10" s="209">
        <v>0</v>
      </c>
      <c r="I10" s="48"/>
      <c r="J10" s="13">
        <f t="shared" si="1"/>
        <v>0</v>
      </c>
      <c r="K10" s="209">
        <v>4.5</v>
      </c>
      <c r="L10" s="48"/>
      <c r="M10" s="49">
        <f t="shared" si="2"/>
        <v>0</v>
      </c>
      <c r="N10" s="8">
        <f t="shared" si="3"/>
        <v>0</v>
      </c>
    </row>
    <row r="11" spans="1:15" s="73" customFormat="1" ht="17.100000000000001" customHeight="1" x14ac:dyDescent="0.25">
      <c r="A11" s="56"/>
      <c r="B11" s="17" t="s">
        <v>20</v>
      </c>
      <c r="C11" s="57"/>
      <c r="D11" s="17"/>
      <c r="E11" s="210"/>
      <c r="F11" s="57"/>
      <c r="G11" s="58">
        <f>SUM(G7:G10)</f>
        <v>0</v>
      </c>
      <c r="H11" s="209"/>
      <c r="I11" s="146"/>
      <c r="J11" s="172">
        <f>SUM(J7:J10)</f>
        <v>0</v>
      </c>
      <c r="K11" s="209"/>
      <c r="L11" s="146"/>
      <c r="M11" s="172">
        <f>SUM(M7:M10)</f>
        <v>0</v>
      </c>
      <c r="N11" s="142">
        <f>SUM(N7:N10)</f>
        <v>0</v>
      </c>
      <c r="O11" s="75"/>
    </row>
    <row r="12" spans="1:15" s="155" customFormat="1" ht="17.100000000000001" customHeight="1" x14ac:dyDescent="0.25">
      <c r="A12" s="56"/>
      <c r="B12" s="60" t="s">
        <v>21</v>
      </c>
      <c r="C12" s="60" t="s">
        <v>2</v>
      </c>
      <c r="D12" s="156" t="s">
        <v>210</v>
      </c>
      <c r="E12" s="210"/>
      <c r="F12" s="57"/>
      <c r="G12" s="57"/>
      <c r="H12" s="209"/>
      <c r="I12" s="146"/>
      <c r="J12" s="172"/>
      <c r="K12" s="209"/>
      <c r="L12" s="146"/>
      <c r="M12" s="172"/>
      <c r="N12" s="61">
        <f>IFERROR(N11*D12,0)</f>
        <v>0</v>
      </c>
    </row>
    <row r="13" spans="1:15" s="155" customFormat="1" ht="17.100000000000001" customHeight="1" x14ac:dyDescent="0.25">
      <c r="A13" s="56"/>
      <c r="B13" s="57" t="s">
        <v>22</v>
      </c>
      <c r="C13" s="57" t="s">
        <v>2</v>
      </c>
      <c r="D13" s="17"/>
      <c r="E13" s="210"/>
      <c r="F13" s="57"/>
      <c r="G13" s="57"/>
      <c r="H13" s="209"/>
      <c r="I13" s="146"/>
      <c r="J13" s="172"/>
      <c r="K13" s="209"/>
      <c r="L13" s="146"/>
      <c r="M13" s="172"/>
      <c r="N13" s="59">
        <f>SUM(N11:N12)</f>
        <v>0</v>
      </c>
    </row>
    <row r="14" spans="1:15" s="155" customFormat="1" ht="17.100000000000001" customHeight="1" x14ac:dyDescent="0.25">
      <c r="A14" s="56"/>
      <c r="B14" s="60" t="s">
        <v>23</v>
      </c>
      <c r="C14" s="60" t="s">
        <v>2</v>
      </c>
      <c r="D14" s="156" t="s">
        <v>210</v>
      </c>
      <c r="E14" s="210"/>
      <c r="F14" s="57"/>
      <c r="G14" s="57"/>
      <c r="H14" s="209"/>
      <c r="I14" s="146"/>
      <c r="J14" s="172"/>
      <c r="K14" s="209"/>
      <c r="L14" s="146"/>
      <c r="M14" s="172"/>
      <c r="N14" s="61">
        <f>IFERROR(N13*D14,0)</f>
        <v>0</v>
      </c>
    </row>
    <row r="15" spans="1:15" s="73" customFormat="1" ht="17.100000000000001" customHeight="1" x14ac:dyDescent="0.25">
      <c r="A15" s="56"/>
      <c r="B15" s="57" t="s">
        <v>24</v>
      </c>
      <c r="C15" s="57" t="s">
        <v>2</v>
      </c>
      <c r="D15" s="17"/>
      <c r="E15" s="210"/>
      <c r="F15" s="57"/>
      <c r="G15" s="57"/>
      <c r="H15" s="209"/>
      <c r="I15" s="146"/>
      <c r="J15" s="172"/>
      <c r="K15" s="209"/>
      <c r="L15" s="146"/>
      <c r="M15" s="172"/>
      <c r="N15" s="59">
        <f>SUM(N13:N14)</f>
        <v>0</v>
      </c>
    </row>
    <row r="16" spans="1:15" s="113" customFormat="1" ht="37.5" customHeight="1" x14ac:dyDescent="0.25">
      <c r="A16" s="52"/>
      <c r="B16" s="22" t="s">
        <v>25</v>
      </c>
      <c r="C16" s="25"/>
      <c r="D16" s="49"/>
      <c r="E16" s="209"/>
      <c r="F16" s="49"/>
      <c r="G16" s="49"/>
      <c r="H16" s="209"/>
      <c r="I16" s="49"/>
      <c r="J16" s="13"/>
      <c r="K16" s="209"/>
      <c r="L16" s="49"/>
      <c r="M16" s="49"/>
      <c r="N16" s="8"/>
    </row>
    <row r="17" spans="1:15" s="113" customFormat="1" ht="60" x14ac:dyDescent="0.25">
      <c r="A17" s="12">
        <v>1</v>
      </c>
      <c r="B17" s="87" t="s">
        <v>191</v>
      </c>
      <c r="C17" s="5" t="s">
        <v>139</v>
      </c>
      <c r="D17" s="7">
        <v>820</v>
      </c>
      <c r="E17" s="209">
        <v>0</v>
      </c>
      <c r="F17" s="49"/>
      <c r="G17" s="49">
        <f>D17*F17</f>
        <v>0</v>
      </c>
      <c r="H17" s="209">
        <v>4.7700000000000006E-2</v>
      </c>
      <c r="I17" s="49"/>
      <c r="J17" s="13">
        <f>D17*I17</f>
        <v>0</v>
      </c>
      <c r="K17" s="209">
        <v>0.98184800000000005</v>
      </c>
      <c r="L17" s="49"/>
      <c r="M17" s="49">
        <f>D17*L17</f>
        <v>0</v>
      </c>
      <c r="N17" s="8">
        <f>SUM(M17,J17,G17)</f>
        <v>0</v>
      </c>
    </row>
    <row r="18" spans="1:15" s="113" customFormat="1" ht="40.5" customHeight="1" x14ac:dyDescent="0.25">
      <c r="A18" s="12">
        <f>A17+1</f>
        <v>2</v>
      </c>
      <c r="B18" s="87" t="s">
        <v>138</v>
      </c>
      <c r="C18" s="5" t="s">
        <v>139</v>
      </c>
      <c r="D18" s="7">
        <f>D17*0.08</f>
        <v>65.599999999999994</v>
      </c>
      <c r="E18" s="209">
        <v>0</v>
      </c>
      <c r="F18" s="49"/>
      <c r="G18" s="49">
        <f t="shared" ref="G18:G26" si="4">D18*F18</f>
        <v>0</v>
      </c>
      <c r="H18" s="218">
        <v>9.2399999999999984</v>
      </c>
      <c r="I18" s="187"/>
      <c r="J18" s="13">
        <f t="shared" ref="J18:J26" si="5">D18*I18</f>
        <v>0</v>
      </c>
      <c r="K18" s="209">
        <v>0</v>
      </c>
      <c r="L18" s="49"/>
      <c r="M18" s="49">
        <f t="shared" ref="M18:M26" si="6">D18*L18</f>
        <v>0</v>
      </c>
      <c r="N18" s="8">
        <f t="shared" si="3"/>
        <v>0</v>
      </c>
    </row>
    <row r="19" spans="1:15" s="113" customFormat="1" ht="41.25" customHeight="1" x14ac:dyDescent="0.25">
      <c r="A19" s="21">
        <v>3</v>
      </c>
      <c r="B19" s="22" t="s">
        <v>140</v>
      </c>
      <c r="C19" s="5" t="s">
        <v>139</v>
      </c>
      <c r="D19" s="175">
        <v>14</v>
      </c>
      <c r="E19" s="209">
        <v>0</v>
      </c>
      <c r="F19" s="49"/>
      <c r="G19" s="49">
        <f t="shared" si="4"/>
        <v>0</v>
      </c>
      <c r="H19" s="209">
        <v>16.919999999999998</v>
      </c>
      <c r="I19" s="48"/>
      <c r="J19" s="13">
        <f t="shared" si="5"/>
        <v>0</v>
      </c>
      <c r="K19" s="209">
        <v>0</v>
      </c>
      <c r="L19" s="48"/>
      <c r="M19" s="49">
        <f t="shared" si="6"/>
        <v>0</v>
      </c>
      <c r="N19" s="8">
        <f t="shared" si="3"/>
        <v>0</v>
      </c>
    </row>
    <row r="20" spans="1:15" s="113" customFormat="1" ht="45" x14ac:dyDescent="0.25">
      <c r="A20" s="21">
        <f t="shared" ref="A20:A26" si="7">A19+1</f>
        <v>4</v>
      </c>
      <c r="B20" s="22" t="s">
        <v>192</v>
      </c>
      <c r="C20" s="5" t="s">
        <v>139</v>
      </c>
      <c r="D20" s="7">
        <v>4.8</v>
      </c>
      <c r="E20" s="209">
        <v>0</v>
      </c>
      <c r="F20" s="49"/>
      <c r="G20" s="49">
        <f t="shared" si="4"/>
        <v>0</v>
      </c>
      <c r="H20" s="209">
        <v>16.919999999999998</v>
      </c>
      <c r="I20" s="48"/>
      <c r="J20" s="13">
        <f t="shared" si="5"/>
        <v>0</v>
      </c>
      <c r="K20" s="209">
        <v>0</v>
      </c>
      <c r="L20" s="48"/>
      <c r="M20" s="49">
        <f t="shared" si="6"/>
        <v>0</v>
      </c>
      <c r="N20" s="8">
        <f t="shared" si="3"/>
        <v>0</v>
      </c>
    </row>
    <row r="21" spans="1:15" s="113" customFormat="1" ht="36" customHeight="1" x14ac:dyDescent="0.25">
      <c r="A21" s="176">
        <f t="shared" si="7"/>
        <v>5</v>
      </c>
      <c r="B21" s="177" t="s">
        <v>193</v>
      </c>
      <c r="C21" s="5" t="s">
        <v>139</v>
      </c>
      <c r="D21" s="7">
        <v>29.6</v>
      </c>
      <c r="E21" s="211">
        <v>0</v>
      </c>
      <c r="F21" s="158"/>
      <c r="G21" s="49">
        <f t="shared" si="4"/>
        <v>0</v>
      </c>
      <c r="H21" s="209">
        <v>9.24</v>
      </c>
      <c r="I21" s="48"/>
      <c r="J21" s="13">
        <f t="shared" si="5"/>
        <v>0</v>
      </c>
      <c r="K21" s="211">
        <v>0</v>
      </c>
      <c r="L21" s="203"/>
      <c r="M21" s="49">
        <f t="shared" si="6"/>
        <v>0</v>
      </c>
      <c r="N21" s="8">
        <f t="shared" si="3"/>
        <v>0</v>
      </c>
    </row>
    <row r="22" spans="1:15" s="113" customFormat="1" ht="33.75" customHeight="1" x14ac:dyDescent="0.25">
      <c r="A22" s="21">
        <f t="shared" si="7"/>
        <v>6</v>
      </c>
      <c r="B22" s="22" t="s">
        <v>194</v>
      </c>
      <c r="C22" s="5" t="s">
        <v>139</v>
      </c>
      <c r="D22" s="7">
        <v>15</v>
      </c>
      <c r="E22" s="209">
        <v>0</v>
      </c>
      <c r="F22" s="49"/>
      <c r="G22" s="49">
        <f t="shared" si="4"/>
        <v>0</v>
      </c>
      <c r="H22" s="209">
        <v>9.240000000000002</v>
      </c>
      <c r="I22" s="48"/>
      <c r="J22" s="13">
        <f t="shared" si="5"/>
        <v>0</v>
      </c>
      <c r="K22" s="209">
        <v>0</v>
      </c>
      <c r="L22" s="48"/>
      <c r="M22" s="49">
        <f t="shared" si="6"/>
        <v>0</v>
      </c>
      <c r="N22" s="8">
        <f t="shared" si="3"/>
        <v>0</v>
      </c>
    </row>
    <row r="23" spans="1:15" s="113" customFormat="1" ht="45" x14ac:dyDescent="0.25">
      <c r="A23" s="12">
        <f t="shared" si="7"/>
        <v>7</v>
      </c>
      <c r="B23" s="87" t="s">
        <v>195</v>
      </c>
      <c r="C23" s="5" t="s">
        <v>139</v>
      </c>
      <c r="D23" s="7">
        <v>1.1000000000000001</v>
      </c>
      <c r="E23" s="209">
        <v>0</v>
      </c>
      <c r="F23" s="49"/>
      <c r="G23" s="49">
        <f t="shared" si="4"/>
        <v>0</v>
      </c>
      <c r="H23" s="209">
        <v>16.919999999999998</v>
      </c>
      <c r="I23" s="49"/>
      <c r="J23" s="13">
        <f t="shared" si="5"/>
        <v>0</v>
      </c>
      <c r="K23" s="209">
        <v>0</v>
      </c>
      <c r="L23" s="49"/>
      <c r="M23" s="49">
        <f t="shared" si="6"/>
        <v>0</v>
      </c>
      <c r="N23" s="8">
        <f t="shared" si="3"/>
        <v>0</v>
      </c>
    </row>
    <row r="24" spans="1:15" s="113" customFormat="1" ht="19.5" customHeight="1" x14ac:dyDescent="0.25">
      <c r="A24" s="21">
        <f t="shared" si="7"/>
        <v>8</v>
      </c>
      <c r="B24" s="24" t="s">
        <v>27</v>
      </c>
      <c r="C24" s="5" t="s">
        <v>139</v>
      </c>
      <c r="D24" s="143">
        <v>220</v>
      </c>
      <c r="E24" s="212">
        <v>0</v>
      </c>
      <c r="F24" s="122"/>
      <c r="G24" s="49">
        <f t="shared" si="4"/>
        <v>0</v>
      </c>
      <c r="H24" s="212">
        <v>12.36</v>
      </c>
      <c r="I24" s="122"/>
      <c r="J24" s="13">
        <f t="shared" si="5"/>
        <v>0</v>
      </c>
      <c r="K24" s="222">
        <v>0</v>
      </c>
      <c r="L24" s="204"/>
      <c r="M24" s="49">
        <f t="shared" si="6"/>
        <v>0</v>
      </c>
      <c r="N24" s="8">
        <f t="shared" si="3"/>
        <v>0</v>
      </c>
    </row>
    <row r="25" spans="1:15" s="113" customFormat="1" ht="18.75" customHeight="1" x14ac:dyDescent="0.25">
      <c r="A25" s="21">
        <f t="shared" si="7"/>
        <v>9</v>
      </c>
      <c r="B25" s="22" t="s">
        <v>28</v>
      </c>
      <c r="C25" s="5" t="s">
        <v>139</v>
      </c>
      <c r="D25" s="144">
        <f>SUM(D17,D18,D20,D21,D22,D23-D24)</f>
        <v>716.1</v>
      </c>
      <c r="E25" s="209">
        <v>0</v>
      </c>
      <c r="F25" s="49"/>
      <c r="G25" s="49">
        <f t="shared" si="4"/>
        <v>0</v>
      </c>
      <c r="H25" s="209">
        <v>0.20400000000000001</v>
      </c>
      <c r="I25" s="48"/>
      <c r="J25" s="13">
        <f t="shared" si="5"/>
        <v>0</v>
      </c>
      <c r="K25" s="209">
        <v>2.1768489999999994</v>
      </c>
      <c r="L25" s="48"/>
      <c r="M25" s="49">
        <f t="shared" si="6"/>
        <v>0</v>
      </c>
      <c r="N25" s="8">
        <f t="shared" si="3"/>
        <v>0</v>
      </c>
    </row>
    <row r="26" spans="1:15" s="113" customFormat="1" ht="23.25" customHeight="1" x14ac:dyDescent="0.25">
      <c r="A26" s="21">
        <f t="shared" si="7"/>
        <v>10</v>
      </c>
      <c r="B26" s="22" t="s">
        <v>29</v>
      </c>
      <c r="C26" s="22" t="s">
        <v>16</v>
      </c>
      <c r="D26" s="7">
        <f>D25*1.85</f>
        <v>1324.7850000000001</v>
      </c>
      <c r="E26" s="209">
        <v>0</v>
      </c>
      <c r="F26" s="49"/>
      <c r="G26" s="49">
        <f t="shared" si="4"/>
        <v>0</v>
      </c>
      <c r="H26" s="209">
        <v>0</v>
      </c>
      <c r="I26" s="48"/>
      <c r="J26" s="13">
        <f t="shared" si="5"/>
        <v>0</v>
      </c>
      <c r="K26" s="209">
        <v>4.45</v>
      </c>
      <c r="L26" s="48"/>
      <c r="M26" s="49">
        <f t="shared" si="6"/>
        <v>0</v>
      </c>
      <c r="N26" s="8">
        <f t="shared" si="3"/>
        <v>0</v>
      </c>
    </row>
    <row r="27" spans="1:15" s="74" customFormat="1" ht="18" customHeight="1" x14ac:dyDescent="0.3">
      <c r="A27" s="62"/>
      <c r="B27" s="26" t="s">
        <v>20</v>
      </c>
      <c r="C27" s="26"/>
      <c r="D27" s="17"/>
      <c r="E27" s="213"/>
      <c r="F27" s="26"/>
      <c r="G27" s="63">
        <f>SUM(G17:G26)</f>
        <v>0</v>
      </c>
      <c r="H27" s="209"/>
      <c r="I27" s="146"/>
      <c r="J27" s="172">
        <f>SUM(J17:J26)</f>
        <v>0</v>
      </c>
      <c r="K27" s="209"/>
      <c r="L27" s="146"/>
      <c r="M27" s="172">
        <f>SUM(M17:M26)</f>
        <v>0</v>
      </c>
      <c r="N27" s="68">
        <f>SUM(N17:N26)</f>
        <v>0</v>
      </c>
      <c r="O27" s="76"/>
    </row>
    <row r="28" spans="1:15" s="74" customFormat="1" ht="18" customHeight="1" x14ac:dyDescent="0.3">
      <c r="A28" s="62"/>
      <c r="B28" s="65" t="s">
        <v>21</v>
      </c>
      <c r="C28" s="65" t="s">
        <v>2</v>
      </c>
      <c r="D28" s="156" t="s">
        <v>210</v>
      </c>
      <c r="E28" s="213"/>
      <c r="F28" s="26"/>
      <c r="G28" s="26"/>
      <c r="H28" s="209"/>
      <c r="I28" s="146"/>
      <c r="J28" s="172"/>
      <c r="K28" s="209"/>
      <c r="L28" s="146"/>
      <c r="M28" s="172"/>
      <c r="N28" s="66">
        <f>IFERROR(N27*D28,0)</f>
        <v>0</v>
      </c>
      <c r="O28" s="76"/>
    </row>
    <row r="29" spans="1:15" s="74" customFormat="1" ht="18" customHeight="1" x14ac:dyDescent="0.3">
      <c r="A29" s="62"/>
      <c r="B29" s="26" t="s">
        <v>22</v>
      </c>
      <c r="C29" s="26" t="s">
        <v>2</v>
      </c>
      <c r="D29" s="146"/>
      <c r="E29" s="213"/>
      <c r="F29" s="26"/>
      <c r="G29" s="26"/>
      <c r="H29" s="209"/>
      <c r="I29" s="146"/>
      <c r="J29" s="172"/>
      <c r="K29" s="209"/>
      <c r="L29" s="146"/>
      <c r="M29" s="172"/>
      <c r="N29" s="64">
        <f>SUM(N27:N28)</f>
        <v>0</v>
      </c>
      <c r="O29" s="76"/>
    </row>
    <row r="30" spans="1:15" s="74" customFormat="1" ht="18" customHeight="1" x14ac:dyDescent="0.3">
      <c r="A30" s="62"/>
      <c r="B30" s="65" t="s">
        <v>23</v>
      </c>
      <c r="C30" s="65" t="s">
        <v>2</v>
      </c>
      <c r="D30" s="156" t="s">
        <v>210</v>
      </c>
      <c r="E30" s="213"/>
      <c r="F30" s="26"/>
      <c r="G30" s="26"/>
      <c r="H30" s="209"/>
      <c r="I30" s="146"/>
      <c r="J30" s="172"/>
      <c r="K30" s="209"/>
      <c r="L30" s="146"/>
      <c r="M30" s="172"/>
      <c r="N30" s="66">
        <f>IFERROR(N29*D30,0)</f>
        <v>0</v>
      </c>
      <c r="O30" s="76"/>
    </row>
    <row r="31" spans="1:15" s="74" customFormat="1" ht="18" customHeight="1" x14ac:dyDescent="0.3">
      <c r="A31" s="62"/>
      <c r="B31" s="26" t="s">
        <v>30</v>
      </c>
      <c r="C31" s="26" t="s">
        <v>2</v>
      </c>
      <c r="D31" s="17"/>
      <c r="E31" s="213"/>
      <c r="F31" s="26"/>
      <c r="G31" s="26"/>
      <c r="H31" s="209"/>
      <c r="I31" s="146"/>
      <c r="J31" s="172"/>
      <c r="K31" s="209"/>
      <c r="L31" s="146"/>
      <c r="M31" s="172"/>
      <c r="N31" s="64">
        <f>SUM(N29:N30)</f>
        <v>0</v>
      </c>
      <c r="O31" s="76"/>
    </row>
    <row r="32" spans="1:15" s="113" customFormat="1" ht="28.5" customHeight="1" x14ac:dyDescent="0.25">
      <c r="A32" s="55"/>
      <c r="B32" s="154" t="s">
        <v>31</v>
      </c>
      <c r="C32" s="18"/>
      <c r="D32" s="49"/>
      <c r="E32" s="209"/>
      <c r="F32" s="49"/>
      <c r="G32" s="13"/>
      <c r="H32" s="209"/>
      <c r="I32" s="13"/>
      <c r="J32" s="13"/>
      <c r="K32" s="209"/>
      <c r="L32" s="49"/>
      <c r="M32" s="49"/>
      <c r="N32" s="20"/>
    </row>
    <row r="33" spans="1:14" s="113" customFormat="1" ht="45" x14ac:dyDescent="0.25">
      <c r="A33" s="67" t="s">
        <v>0</v>
      </c>
      <c r="B33" s="22" t="s">
        <v>32</v>
      </c>
      <c r="C33" s="5" t="s">
        <v>139</v>
      </c>
      <c r="D33" s="7">
        <v>24.7</v>
      </c>
      <c r="E33" s="214">
        <v>0.08</v>
      </c>
      <c r="F33" s="123"/>
      <c r="G33" s="13">
        <f>D33*F33</f>
        <v>0</v>
      </c>
      <c r="H33" s="220">
        <v>6.9420000000000002</v>
      </c>
      <c r="I33" s="188"/>
      <c r="J33" s="188">
        <f>D33*I33</f>
        <v>0</v>
      </c>
      <c r="K33" s="220">
        <v>1.48</v>
      </c>
      <c r="L33" s="188"/>
      <c r="M33" s="188">
        <f>D33*L33</f>
        <v>0</v>
      </c>
      <c r="N33" s="20">
        <f>SUM(M33,J33,G33)</f>
        <v>0</v>
      </c>
    </row>
    <row r="34" spans="1:14" s="129" customFormat="1" x14ac:dyDescent="0.25">
      <c r="A34" s="55">
        <f>A33+0.1</f>
        <v>1.1000000000000001</v>
      </c>
      <c r="B34" s="151" t="s">
        <v>33</v>
      </c>
      <c r="C34" s="151" t="s">
        <v>19</v>
      </c>
      <c r="D34" s="49">
        <f>D33*1.15</f>
        <v>28.404999999999998</v>
      </c>
      <c r="E34" s="211">
        <v>13.8</v>
      </c>
      <c r="F34" s="158"/>
      <c r="G34" s="13">
        <f t="shared" ref="G34:G80" si="8">D34*F34</f>
        <v>0</v>
      </c>
      <c r="H34" s="209">
        <v>0</v>
      </c>
      <c r="I34" s="13"/>
      <c r="J34" s="188">
        <f t="shared" ref="J34:J80" si="9">D34*I34</f>
        <v>0</v>
      </c>
      <c r="K34" s="211">
        <v>0</v>
      </c>
      <c r="L34" s="203"/>
      <c r="M34" s="188">
        <f t="shared" ref="M34:M80" si="10">D34*L34</f>
        <v>0</v>
      </c>
      <c r="N34" s="20">
        <f t="shared" ref="N34:N80" si="11">SUM(M34,J34,G34)</f>
        <v>0</v>
      </c>
    </row>
    <row r="35" spans="1:14" s="130" customFormat="1" ht="15.75" x14ac:dyDescent="0.25">
      <c r="A35" s="102">
        <f>A33+1</f>
        <v>2</v>
      </c>
      <c r="B35" s="90" t="s">
        <v>137</v>
      </c>
      <c r="C35" s="5" t="s">
        <v>139</v>
      </c>
      <c r="D35" s="90">
        <v>3.2</v>
      </c>
      <c r="E35" s="215">
        <v>40.480000000000004</v>
      </c>
      <c r="F35" s="37"/>
      <c r="G35" s="13">
        <f t="shared" si="8"/>
        <v>0</v>
      </c>
      <c r="H35" s="215">
        <v>27</v>
      </c>
      <c r="I35" s="37"/>
      <c r="J35" s="188">
        <f t="shared" si="9"/>
        <v>0</v>
      </c>
      <c r="K35" s="215">
        <v>1.4799999999999998</v>
      </c>
      <c r="L35" s="15"/>
      <c r="M35" s="188">
        <f t="shared" si="10"/>
        <v>0</v>
      </c>
      <c r="N35" s="20">
        <f t="shared" si="11"/>
        <v>0</v>
      </c>
    </row>
    <row r="36" spans="1:14" s="130" customFormat="1" x14ac:dyDescent="0.25">
      <c r="A36" s="55">
        <f>A35+0.1</f>
        <v>2.1</v>
      </c>
      <c r="B36" s="15" t="s">
        <v>189</v>
      </c>
      <c r="C36" s="15" t="s">
        <v>19</v>
      </c>
      <c r="D36" s="36">
        <f>D35*1.02</f>
        <v>3.2640000000000002</v>
      </c>
      <c r="E36" s="215">
        <v>113</v>
      </c>
      <c r="F36" s="36"/>
      <c r="G36" s="13">
        <f t="shared" si="8"/>
        <v>0</v>
      </c>
      <c r="H36" s="221">
        <v>0</v>
      </c>
      <c r="I36" s="189"/>
      <c r="J36" s="188">
        <f t="shared" si="9"/>
        <v>0</v>
      </c>
      <c r="K36" s="221">
        <v>0</v>
      </c>
      <c r="L36" s="195"/>
      <c r="M36" s="188">
        <f t="shared" si="10"/>
        <v>0</v>
      </c>
      <c r="N36" s="20">
        <f t="shared" si="11"/>
        <v>0</v>
      </c>
    </row>
    <row r="37" spans="1:14" s="77" customFormat="1" ht="45" x14ac:dyDescent="0.25">
      <c r="A37" s="6">
        <v>3</v>
      </c>
      <c r="B37" s="154" t="s">
        <v>187</v>
      </c>
      <c r="C37" s="5" t="s">
        <v>139</v>
      </c>
      <c r="D37" s="7">
        <v>9.3000000000000007</v>
      </c>
      <c r="E37" s="209">
        <v>63.887999999999998</v>
      </c>
      <c r="F37" s="49"/>
      <c r="G37" s="13">
        <f t="shared" si="8"/>
        <v>0</v>
      </c>
      <c r="H37" s="218">
        <v>66.599999999999994</v>
      </c>
      <c r="I37" s="187"/>
      <c r="J37" s="188">
        <f t="shared" si="9"/>
        <v>0</v>
      </c>
      <c r="K37" s="218">
        <v>3.84</v>
      </c>
      <c r="L37" s="192"/>
      <c r="M37" s="188">
        <f t="shared" si="10"/>
        <v>0</v>
      </c>
      <c r="N37" s="20">
        <f t="shared" si="11"/>
        <v>0</v>
      </c>
    </row>
    <row r="38" spans="1:14" x14ac:dyDescent="0.25">
      <c r="A38" s="55">
        <f>A37+0.1</f>
        <v>3.1</v>
      </c>
      <c r="B38" s="151" t="s">
        <v>76</v>
      </c>
      <c r="C38" s="151" t="s">
        <v>19</v>
      </c>
      <c r="D38" s="49">
        <f>D37*1.015</f>
        <v>9.4395000000000007</v>
      </c>
      <c r="E38" s="214">
        <v>140</v>
      </c>
      <c r="F38" s="123"/>
      <c r="G38" s="13">
        <f t="shared" si="8"/>
        <v>0</v>
      </c>
      <c r="H38" s="209">
        <v>0</v>
      </c>
      <c r="I38" s="13"/>
      <c r="J38" s="188">
        <f t="shared" si="9"/>
        <v>0</v>
      </c>
      <c r="K38" s="211">
        <v>0</v>
      </c>
      <c r="L38" s="203"/>
      <c r="M38" s="188">
        <f t="shared" si="10"/>
        <v>0</v>
      </c>
      <c r="N38" s="20">
        <f t="shared" si="11"/>
        <v>0</v>
      </c>
    </row>
    <row r="39" spans="1:14" s="157" customFormat="1" x14ac:dyDescent="0.25">
      <c r="A39" s="55">
        <f>A38+0.1</f>
        <v>3.2</v>
      </c>
      <c r="B39" s="151" t="s">
        <v>117</v>
      </c>
      <c r="C39" s="151" t="s">
        <v>37</v>
      </c>
      <c r="D39" s="49">
        <v>180.54</v>
      </c>
      <c r="E39" s="214">
        <v>2.5249999999999999</v>
      </c>
      <c r="F39" s="120"/>
      <c r="G39" s="13">
        <f t="shared" si="8"/>
        <v>0</v>
      </c>
      <c r="H39" s="209">
        <v>0</v>
      </c>
      <c r="I39" s="13"/>
      <c r="J39" s="188">
        <f t="shared" si="9"/>
        <v>0</v>
      </c>
      <c r="K39" s="211">
        <v>0</v>
      </c>
      <c r="L39" s="203"/>
      <c r="M39" s="188">
        <f t="shared" si="10"/>
        <v>0</v>
      </c>
      <c r="N39" s="20">
        <f t="shared" si="11"/>
        <v>0</v>
      </c>
    </row>
    <row r="40" spans="1:14" s="77" customFormat="1" ht="45" x14ac:dyDescent="0.25">
      <c r="A40" s="6">
        <v>4</v>
      </c>
      <c r="B40" s="154" t="s">
        <v>188</v>
      </c>
      <c r="C40" s="5" t="s">
        <v>139</v>
      </c>
      <c r="D40" s="7">
        <v>2.1</v>
      </c>
      <c r="E40" s="209">
        <v>63.887999999999991</v>
      </c>
      <c r="F40" s="49"/>
      <c r="G40" s="13">
        <f t="shared" si="8"/>
        <v>0</v>
      </c>
      <c r="H40" s="218">
        <v>66.599999999999994</v>
      </c>
      <c r="I40" s="187"/>
      <c r="J40" s="188">
        <f t="shared" si="9"/>
        <v>0</v>
      </c>
      <c r="K40" s="218">
        <v>3.84</v>
      </c>
      <c r="L40" s="192"/>
      <c r="M40" s="188">
        <f t="shared" si="10"/>
        <v>0</v>
      </c>
      <c r="N40" s="20">
        <f t="shared" si="11"/>
        <v>0</v>
      </c>
    </row>
    <row r="41" spans="1:14" ht="18" customHeight="1" x14ac:dyDescent="0.25">
      <c r="A41" s="55">
        <f>A40+0.1</f>
        <v>4.0999999999999996</v>
      </c>
      <c r="B41" s="151" t="s">
        <v>76</v>
      </c>
      <c r="C41" s="151" t="s">
        <v>19</v>
      </c>
      <c r="D41" s="49">
        <f>D40*1.015</f>
        <v>2.1315</v>
      </c>
      <c r="E41" s="214">
        <v>140</v>
      </c>
      <c r="F41" s="123"/>
      <c r="G41" s="13">
        <f t="shared" si="8"/>
        <v>0</v>
      </c>
      <c r="H41" s="209">
        <v>0</v>
      </c>
      <c r="I41" s="13"/>
      <c r="J41" s="188">
        <f t="shared" si="9"/>
        <v>0</v>
      </c>
      <c r="K41" s="211">
        <v>0</v>
      </c>
      <c r="L41" s="203"/>
      <c r="M41" s="188">
        <f t="shared" si="10"/>
        <v>0</v>
      </c>
      <c r="N41" s="20">
        <f t="shared" si="11"/>
        <v>0</v>
      </c>
    </row>
    <row r="42" spans="1:14" s="77" customFormat="1" ht="18" customHeight="1" x14ac:dyDescent="0.25">
      <c r="A42" s="55">
        <f t="shared" ref="A42:A43" si="12">A41+0.1</f>
        <v>4.1999999999999993</v>
      </c>
      <c r="B42" s="151" t="s">
        <v>116</v>
      </c>
      <c r="C42" s="151" t="s">
        <v>37</v>
      </c>
      <c r="D42" s="49">
        <v>65.28</v>
      </c>
      <c r="E42" s="214">
        <v>2.6560000000000001</v>
      </c>
      <c r="F42" s="120"/>
      <c r="G42" s="13">
        <f t="shared" si="8"/>
        <v>0</v>
      </c>
      <c r="H42" s="209">
        <v>0</v>
      </c>
      <c r="I42" s="13"/>
      <c r="J42" s="188">
        <f t="shared" si="9"/>
        <v>0</v>
      </c>
      <c r="K42" s="211">
        <v>0</v>
      </c>
      <c r="L42" s="203"/>
      <c r="M42" s="188">
        <f t="shared" si="10"/>
        <v>0</v>
      </c>
      <c r="N42" s="20">
        <f t="shared" si="11"/>
        <v>0</v>
      </c>
    </row>
    <row r="43" spans="1:14" s="157" customFormat="1" ht="18" customHeight="1" x14ac:dyDescent="0.25">
      <c r="A43" s="55">
        <f t="shared" si="12"/>
        <v>4.2999999999999989</v>
      </c>
      <c r="B43" s="151" t="s">
        <v>117</v>
      </c>
      <c r="C43" s="151" t="s">
        <v>37</v>
      </c>
      <c r="D43" s="49">
        <v>448</v>
      </c>
      <c r="E43" s="214">
        <v>2.5249999999999999</v>
      </c>
      <c r="F43" s="120"/>
      <c r="G43" s="13">
        <f t="shared" si="8"/>
        <v>0</v>
      </c>
      <c r="H43" s="209">
        <v>0</v>
      </c>
      <c r="I43" s="13"/>
      <c r="J43" s="188">
        <f t="shared" si="9"/>
        <v>0</v>
      </c>
      <c r="K43" s="211">
        <v>0</v>
      </c>
      <c r="L43" s="203"/>
      <c r="M43" s="188">
        <f t="shared" si="10"/>
        <v>0</v>
      </c>
      <c r="N43" s="20">
        <f t="shared" si="11"/>
        <v>0</v>
      </c>
    </row>
    <row r="44" spans="1:14" s="113" customFormat="1" ht="45" x14ac:dyDescent="0.25">
      <c r="A44" s="21">
        <v>5</v>
      </c>
      <c r="B44" s="22" t="s">
        <v>141</v>
      </c>
      <c r="C44" s="5" t="s">
        <v>139</v>
      </c>
      <c r="D44" s="7">
        <v>13.7</v>
      </c>
      <c r="E44" s="214">
        <v>7.9999999999999988E-2</v>
      </c>
      <c r="F44" s="123"/>
      <c r="G44" s="13">
        <f t="shared" si="8"/>
        <v>0</v>
      </c>
      <c r="H44" s="220">
        <v>6.9419999999999993</v>
      </c>
      <c r="I44" s="188"/>
      <c r="J44" s="188">
        <f t="shared" si="9"/>
        <v>0</v>
      </c>
      <c r="K44" s="220">
        <v>1.48</v>
      </c>
      <c r="L44" s="188"/>
      <c r="M44" s="188">
        <f t="shared" si="10"/>
        <v>0</v>
      </c>
      <c r="N44" s="20">
        <f t="shared" si="11"/>
        <v>0</v>
      </c>
    </row>
    <row r="45" spans="1:14" s="129" customFormat="1" x14ac:dyDescent="0.25">
      <c r="A45" s="55">
        <f>A44+0.1</f>
        <v>5.0999999999999996</v>
      </c>
      <c r="B45" s="151" t="s">
        <v>33</v>
      </c>
      <c r="C45" s="151" t="s">
        <v>19</v>
      </c>
      <c r="D45" s="49">
        <f>D44*1.15</f>
        <v>15.754999999999997</v>
      </c>
      <c r="E45" s="211">
        <v>13.8</v>
      </c>
      <c r="F45" s="158"/>
      <c r="G45" s="13">
        <f t="shared" si="8"/>
        <v>0</v>
      </c>
      <c r="H45" s="209">
        <v>0</v>
      </c>
      <c r="I45" s="13"/>
      <c r="J45" s="188">
        <f t="shared" si="9"/>
        <v>0</v>
      </c>
      <c r="K45" s="211">
        <v>0</v>
      </c>
      <c r="L45" s="203"/>
      <c r="M45" s="188">
        <f t="shared" si="10"/>
        <v>0</v>
      </c>
      <c r="N45" s="20">
        <f t="shared" si="11"/>
        <v>0</v>
      </c>
    </row>
    <row r="46" spans="1:14" s="77" customFormat="1" ht="58.5" customHeight="1" x14ac:dyDescent="0.25">
      <c r="A46" s="6">
        <f>A44+1</f>
        <v>6</v>
      </c>
      <c r="B46" s="154" t="s">
        <v>203</v>
      </c>
      <c r="C46" s="5" t="s">
        <v>139</v>
      </c>
      <c r="D46" s="7">
        <v>16.899999999999999</v>
      </c>
      <c r="E46" s="209">
        <v>63.887999999999998</v>
      </c>
      <c r="F46" s="49"/>
      <c r="G46" s="13">
        <f t="shared" si="8"/>
        <v>0</v>
      </c>
      <c r="H46" s="218">
        <v>66.600000000000009</v>
      </c>
      <c r="I46" s="187"/>
      <c r="J46" s="188">
        <f t="shared" si="9"/>
        <v>0</v>
      </c>
      <c r="K46" s="218">
        <v>3.8399999999999994</v>
      </c>
      <c r="L46" s="192"/>
      <c r="M46" s="188">
        <f t="shared" si="10"/>
        <v>0</v>
      </c>
      <c r="N46" s="20">
        <f t="shared" si="11"/>
        <v>0</v>
      </c>
    </row>
    <row r="47" spans="1:14" ht="18" customHeight="1" x14ac:dyDescent="0.25">
      <c r="A47" s="55">
        <f>A46+0.1</f>
        <v>6.1</v>
      </c>
      <c r="B47" s="151" t="s">
        <v>76</v>
      </c>
      <c r="C47" s="151" t="s">
        <v>19</v>
      </c>
      <c r="D47" s="49">
        <f>D46*1.015</f>
        <v>17.153499999999998</v>
      </c>
      <c r="E47" s="214">
        <v>140</v>
      </c>
      <c r="F47" s="123"/>
      <c r="G47" s="13">
        <f t="shared" si="8"/>
        <v>0</v>
      </c>
      <c r="H47" s="209">
        <v>0</v>
      </c>
      <c r="I47" s="13"/>
      <c r="J47" s="188">
        <f t="shared" si="9"/>
        <v>0</v>
      </c>
      <c r="K47" s="211">
        <v>0</v>
      </c>
      <c r="L47" s="203"/>
      <c r="M47" s="188">
        <f t="shared" si="10"/>
        <v>0</v>
      </c>
      <c r="N47" s="20">
        <f t="shared" si="11"/>
        <v>0</v>
      </c>
    </row>
    <row r="48" spans="1:14" s="77" customFormat="1" ht="18" customHeight="1" x14ac:dyDescent="0.25">
      <c r="A48" s="55">
        <f t="shared" ref="A48:A49" si="13">A47+0.1</f>
        <v>6.1999999999999993</v>
      </c>
      <c r="B48" s="151" t="s">
        <v>116</v>
      </c>
      <c r="C48" s="151" t="s">
        <v>37</v>
      </c>
      <c r="D48" s="49">
        <v>469.2</v>
      </c>
      <c r="E48" s="214">
        <v>2.6560000000000001</v>
      </c>
      <c r="F48" s="120"/>
      <c r="G48" s="13">
        <f t="shared" si="8"/>
        <v>0</v>
      </c>
      <c r="H48" s="209">
        <v>0</v>
      </c>
      <c r="I48" s="13"/>
      <c r="J48" s="188">
        <f t="shared" si="9"/>
        <v>0</v>
      </c>
      <c r="K48" s="211">
        <v>0</v>
      </c>
      <c r="L48" s="203"/>
      <c r="M48" s="188">
        <f t="shared" si="10"/>
        <v>0</v>
      </c>
      <c r="N48" s="20">
        <f t="shared" si="11"/>
        <v>0</v>
      </c>
    </row>
    <row r="49" spans="1:14" s="157" customFormat="1" ht="18" customHeight="1" x14ac:dyDescent="0.25">
      <c r="A49" s="55">
        <f t="shared" si="13"/>
        <v>6.2999999999999989</v>
      </c>
      <c r="B49" s="151" t="s">
        <v>117</v>
      </c>
      <c r="C49" s="151" t="s">
        <v>37</v>
      </c>
      <c r="D49" s="49">
        <v>712</v>
      </c>
      <c r="E49" s="214">
        <v>2.5249999999999999</v>
      </c>
      <c r="F49" s="120"/>
      <c r="G49" s="13">
        <f t="shared" si="8"/>
        <v>0</v>
      </c>
      <c r="H49" s="209">
        <v>0</v>
      </c>
      <c r="I49" s="13"/>
      <c r="J49" s="188">
        <f t="shared" si="9"/>
        <v>0</v>
      </c>
      <c r="K49" s="211">
        <v>0</v>
      </c>
      <c r="L49" s="203"/>
      <c r="M49" s="188">
        <f t="shared" si="10"/>
        <v>0</v>
      </c>
      <c r="N49" s="20">
        <f t="shared" si="11"/>
        <v>0</v>
      </c>
    </row>
    <row r="50" spans="1:14" s="131" customFormat="1" ht="27" x14ac:dyDescent="0.25">
      <c r="A50" s="6">
        <v>7</v>
      </c>
      <c r="B50" s="152" t="s">
        <v>160</v>
      </c>
      <c r="C50" s="152" t="s">
        <v>36</v>
      </c>
      <c r="D50" s="153">
        <f>D51+D52</f>
        <v>217.88</v>
      </c>
      <c r="E50" s="216">
        <v>1.1200000000000001</v>
      </c>
      <c r="F50" s="159"/>
      <c r="G50" s="13">
        <f t="shared" si="8"/>
        <v>0</v>
      </c>
      <c r="H50" s="186">
        <v>1.6379999999999999</v>
      </c>
      <c r="I50" s="190"/>
      <c r="J50" s="188">
        <f t="shared" si="9"/>
        <v>0</v>
      </c>
      <c r="K50" s="186">
        <v>5.5999999999999999E-3</v>
      </c>
      <c r="L50" s="99"/>
      <c r="M50" s="188">
        <f t="shared" si="10"/>
        <v>0</v>
      </c>
      <c r="N50" s="20">
        <f t="shared" si="11"/>
        <v>0</v>
      </c>
    </row>
    <row r="51" spans="1:14" s="131" customFormat="1" ht="24.75" customHeight="1" x14ac:dyDescent="0.25">
      <c r="A51" s="55">
        <f>A50+0.1</f>
        <v>7.1</v>
      </c>
      <c r="B51" s="151" t="s">
        <v>202</v>
      </c>
      <c r="C51" s="151" t="s">
        <v>36</v>
      </c>
      <c r="D51" s="49">
        <v>148.18</v>
      </c>
      <c r="E51" s="209">
        <v>4.21</v>
      </c>
      <c r="F51" s="49"/>
      <c r="G51" s="13">
        <f t="shared" si="8"/>
        <v>0</v>
      </c>
      <c r="H51" s="209">
        <v>0</v>
      </c>
      <c r="I51" s="49"/>
      <c r="J51" s="188">
        <f t="shared" si="9"/>
        <v>0</v>
      </c>
      <c r="K51" s="209">
        <v>0</v>
      </c>
      <c r="L51" s="49"/>
      <c r="M51" s="188">
        <f t="shared" si="10"/>
        <v>0</v>
      </c>
      <c r="N51" s="20">
        <f t="shared" si="11"/>
        <v>0</v>
      </c>
    </row>
    <row r="52" spans="1:14" s="131" customFormat="1" ht="24.75" customHeight="1" x14ac:dyDescent="0.25">
      <c r="A52" s="55">
        <f t="shared" ref="A52" si="14">A51+0.1</f>
        <v>7.1999999999999993</v>
      </c>
      <c r="B52" s="151" t="s">
        <v>161</v>
      </c>
      <c r="C52" s="151" t="s">
        <v>37</v>
      </c>
      <c r="D52" s="49">
        <v>69.7</v>
      </c>
      <c r="E52" s="209">
        <v>2.42</v>
      </c>
      <c r="F52" s="49"/>
      <c r="G52" s="13">
        <f t="shared" si="8"/>
        <v>0</v>
      </c>
      <c r="H52" s="209">
        <v>0</v>
      </c>
      <c r="I52" s="49"/>
      <c r="J52" s="188">
        <f t="shared" si="9"/>
        <v>0</v>
      </c>
      <c r="K52" s="209">
        <v>0</v>
      </c>
      <c r="L52" s="49"/>
      <c r="M52" s="188">
        <f t="shared" si="10"/>
        <v>0</v>
      </c>
      <c r="N52" s="20">
        <f t="shared" si="11"/>
        <v>0</v>
      </c>
    </row>
    <row r="53" spans="1:14" ht="56.25" customHeight="1" x14ac:dyDescent="0.25">
      <c r="A53" s="6">
        <v>8</v>
      </c>
      <c r="B53" s="27" t="s">
        <v>38</v>
      </c>
      <c r="C53" s="27" t="s">
        <v>1</v>
      </c>
      <c r="D53" s="147">
        <v>3.9273140000000004</v>
      </c>
      <c r="E53" s="217">
        <v>38.335999999999999</v>
      </c>
      <c r="F53" s="29"/>
      <c r="G53" s="13">
        <f t="shared" si="8"/>
        <v>0</v>
      </c>
      <c r="H53" s="218">
        <v>151.31999999999996</v>
      </c>
      <c r="I53" s="187"/>
      <c r="J53" s="188">
        <f t="shared" si="9"/>
        <v>0</v>
      </c>
      <c r="K53" s="218">
        <v>8.36</v>
      </c>
      <c r="L53" s="192"/>
      <c r="M53" s="188">
        <f t="shared" si="10"/>
        <v>0</v>
      </c>
      <c r="N53" s="20">
        <f t="shared" si="11"/>
        <v>0</v>
      </c>
    </row>
    <row r="54" spans="1:14" s="79" customFormat="1" ht="18" customHeight="1" x14ac:dyDescent="0.25">
      <c r="A54" s="55">
        <f>A53+0.1</f>
        <v>8.1</v>
      </c>
      <c r="B54" s="28" t="s">
        <v>39</v>
      </c>
      <c r="C54" s="28" t="s">
        <v>40</v>
      </c>
      <c r="D54" s="29">
        <v>180</v>
      </c>
      <c r="E54" s="217">
        <v>33.1</v>
      </c>
      <c r="F54" s="29"/>
      <c r="G54" s="13">
        <f t="shared" si="8"/>
        <v>0</v>
      </c>
      <c r="H54" s="221">
        <v>0</v>
      </c>
      <c r="I54" s="191"/>
      <c r="J54" s="188">
        <f t="shared" si="9"/>
        <v>0</v>
      </c>
      <c r="K54" s="221">
        <v>0</v>
      </c>
      <c r="L54" s="191"/>
      <c r="M54" s="188">
        <f t="shared" si="10"/>
        <v>0</v>
      </c>
      <c r="N54" s="20">
        <f t="shared" si="11"/>
        <v>0</v>
      </c>
    </row>
    <row r="55" spans="1:14" s="79" customFormat="1" ht="18" customHeight="1" x14ac:dyDescent="0.25">
      <c r="A55" s="52">
        <f t="shared" ref="A55:A59" si="15">A54+0.1</f>
        <v>8.1999999999999993</v>
      </c>
      <c r="B55" s="28" t="s">
        <v>41</v>
      </c>
      <c r="C55" s="28" t="s">
        <v>40</v>
      </c>
      <c r="D55" s="29">
        <v>5.5</v>
      </c>
      <c r="E55" s="217">
        <v>24.58</v>
      </c>
      <c r="F55" s="29"/>
      <c r="G55" s="13">
        <f t="shared" si="8"/>
        <v>0</v>
      </c>
      <c r="H55" s="221">
        <v>0</v>
      </c>
      <c r="I55" s="191"/>
      <c r="J55" s="188">
        <f t="shared" si="9"/>
        <v>0</v>
      </c>
      <c r="K55" s="221">
        <v>0</v>
      </c>
      <c r="L55" s="191"/>
      <c r="M55" s="188">
        <f t="shared" si="10"/>
        <v>0</v>
      </c>
      <c r="N55" s="20">
        <f t="shared" si="11"/>
        <v>0</v>
      </c>
    </row>
    <row r="56" spans="1:14" ht="18" customHeight="1" x14ac:dyDescent="0.25">
      <c r="A56" s="52">
        <f t="shared" si="15"/>
        <v>8.2999999999999989</v>
      </c>
      <c r="B56" s="86" t="s">
        <v>42</v>
      </c>
      <c r="C56" s="86" t="s">
        <v>40</v>
      </c>
      <c r="D56" s="29">
        <v>630</v>
      </c>
      <c r="E56" s="217">
        <v>11.86</v>
      </c>
      <c r="F56" s="29"/>
      <c r="G56" s="13">
        <f t="shared" si="8"/>
        <v>0</v>
      </c>
      <c r="H56" s="218">
        <v>0</v>
      </c>
      <c r="I56" s="192"/>
      <c r="J56" s="188">
        <f t="shared" si="9"/>
        <v>0</v>
      </c>
      <c r="K56" s="218">
        <v>0</v>
      </c>
      <c r="L56" s="192"/>
      <c r="M56" s="188">
        <f t="shared" si="10"/>
        <v>0</v>
      </c>
      <c r="N56" s="20">
        <f t="shared" si="11"/>
        <v>0</v>
      </c>
    </row>
    <row r="57" spans="1:14" ht="18" customHeight="1" x14ac:dyDescent="0.25">
      <c r="A57" s="52">
        <f t="shared" si="15"/>
        <v>8.3999999999999986</v>
      </c>
      <c r="B57" s="86" t="s">
        <v>43</v>
      </c>
      <c r="C57" s="86" t="s">
        <v>40</v>
      </c>
      <c r="D57" s="29">
        <v>34.24</v>
      </c>
      <c r="E57" s="217">
        <v>5.08</v>
      </c>
      <c r="F57" s="29"/>
      <c r="G57" s="13">
        <f t="shared" si="8"/>
        <v>0</v>
      </c>
      <c r="H57" s="218">
        <v>0</v>
      </c>
      <c r="I57" s="192"/>
      <c r="J57" s="188">
        <f t="shared" si="9"/>
        <v>0</v>
      </c>
      <c r="K57" s="218">
        <v>0</v>
      </c>
      <c r="L57" s="192"/>
      <c r="M57" s="188">
        <f t="shared" si="10"/>
        <v>0</v>
      </c>
      <c r="N57" s="20">
        <f t="shared" si="11"/>
        <v>0</v>
      </c>
    </row>
    <row r="58" spans="1:14" ht="18" customHeight="1" x14ac:dyDescent="0.25">
      <c r="A58" s="52">
        <f t="shared" si="15"/>
        <v>8.4999999999999982</v>
      </c>
      <c r="B58" s="86" t="s">
        <v>44</v>
      </c>
      <c r="C58" s="86" t="s">
        <v>40</v>
      </c>
      <c r="D58" s="29">
        <v>34</v>
      </c>
      <c r="E58" s="217">
        <v>2.67</v>
      </c>
      <c r="F58" s="29"/>
      <c r="G58" s="13">
        <f t="shared" si="8"/>
        <v>0</v>
      </c>
      <c r="H58" s="218">
        <v>0</v>
      </c>
      <c r="I58" s="192"/>
      <c r="J58" s="188">
        <f t="shared" si="9"/>
        <v>0</v>
      </c>
      <c r="K58" s="218">
        <v>0</v>
      </c>
      <c r="L58" s="192"/>
      <c r="M58" s="188">
        <f t="shared" si="10"/>
        <v>0</v>
      </c>
      <c r="N58" s="20">
        <f t="shared" si="11"/>
        <v>0</v>
      </c>
    </row>
    <row r="59" spans="1:14" ht="18" customHeight="1" x14ac:dyDescent="0.25">
      <c r="A59" s="52">
        <f t="shared" si="15"/>
        <v>8.5999999999999979</v>
      </c>
      <c r="B59" s="86" t="s">
        <v>93</v>
      </c>
      <c r="C59" s="86" t="s">
        <v>13</v>
      </c>
      <c r="D59" s="49">
        <v>30</v>
      </c>
      <c r="E59" s="217">
        <v>3</v>
      </c>
      <c r="F59" s="29"/>
      <c r="G59" s="13">
        <f t="shared" si="8"/>
        <v>0</v>
      </c>
      <c r="H59" s="218">
        <v>0</v>
      </c>
      <c r="I59" s="192"/>
      <c r="J59" s="188">
        <f t="shared" si="9"/>
        <v>0</v>
      </c>
      <c r="K59" s="218">
        <v>0</v>
      </c>
      <c r="L59" s="192"/>
      <c r="M59" s="188">
        <f t="shared" si="10"/>
        <v>0</v>
      </c>
      <c r="N59" s="20">
        <f t="shared" si="11"/>
        <v>0</v>
      </c>
    </row>
    <row r="60" spans="1:14" ht="45" x14ac:dyDescent="0.25">
      <c r="A60" s="6">
        <f>A53+1</f>
        <v>9</v>
      </c>
      <c r="B60" s="154" t="s">
        <v>45</v>
      </c>
      <c r="C60" s="5" t="s">
        <v>142</v>
      </c>
      <c r="D60" s="7">
        <f>D61</f>
        <v>540</v>
      </c>
      <c r="E60" s="209">
        <v>0.16</v>
      </c>
      <c r="F60" s="49"/>
      <c r="G60" s="13">
        <f t="shared" si="8"/>
        <v>0</v>
      </c>
      <c r="H60" s="209">
        <v>6.7919999999999998</v>
      </c>
      <c r="I60" s="13"/>
      <c r="J60" s="188">
        <f t="shared" si="9"/>
        <v>0</v>
      </c>
      <c r="K60" s="209">
        <v>0.48</v>
      </c>
      <c r="L60" s="49"/>
      <c r="M60" s="188">
        <f t="shared" si="10"/>
        <v>0</v>
      </c>
      <c r="N60" s="20">
        <f t="shared" si="11"/>
        <v>0</v>
      </c>
    </row>
    <row r="61" spans="1:14" ht="30" x14ac:dyDescent="0.25">
      <c r="A61" s="55">
        <f>A60+0.1</f>
        <v>9.1</v>
      </c>
      <c r="B61" s="18" t="s">
        <v>118</v>
      </c>
      <c r="C61" s="86" t="s">
        <v>15</v>
      </c>
      <c r="D61" s="29">
        <v>540</v>
      </c>
      <c r="E61" s="217">
        <v>10</v>
      </c>
      <c r="F61" s="29"/>
      <c r="G61" s="13">
        <f t="shared" si="8"/>
        <v>0</v>
      </c>
      <c r="H61" s="218">
        <v>0</v>
      </c>
      <c r="I61" s="192"/>
      <c r="J61" s="188">
        <f t="shared" si="9"/>
        <v>0</v>
      </c>
      <c r="K61" s="218">
        <v>0</v>
      </c>
      <c r="L61" s="192"/>
      <c r="M61" s="188">
        <f t="shared" si="10"/>
        <v>0</v>
      </c>
      <c r="N61" s="20">
        <f t="shared" si="11"/>
        <v>0</v>
      </c>
    </row>
    <row r="62" spans="1:14" ht="18" customHeight="1" x14ac:dyDescent="0.25">
      <c r="A62" s="52">
        <f t="shared" ref="A62:A66" si="16">A61+0.1</f>
        <v>9.1999999999999993</v>
      </c>
      <c r="B62" s="18" t="s">
        <v>47</v>
      </c>
      <c r="C62" s="43" t="s">
        <v>40</v>
      </c>
      <c r="D62" s="49">
        <v>182</v>
      </c>
      <c r="E62" s="209">
        <v>1.2</v>
      </c>
      <c r="F62" s="49"/>
      <c r="G62" s="13">
        <f t="shared" si="8"/>
        <v>0</v>
      </c>
      <c r="H62" s="209">
        <v>0</v>
      </c>
      <c r="I62" s="49"/>
      <c r="J62" s="188">
        <f t="shared" si="9"/>
        <v>0</v>
      </c>
      <c r="K62" s="209">
        <v>0</v>
      </c>
      <c r="L62" s="49"/>
      <c r="M62" s="188">
        <f t="shared" si="10"/>
        <v>0</v>
      </c>
      <c r="N62" s="20">
        <f t="shared" si="11"/>
        <v>0</v>
      </c>
    </row>
    <row r="63" spans="1:14" ht="18" customHeight="1" x14ac:dyDescent="0.25">
      <c r="A63" s="52">
        <f t="shared" si="16"/>
        <v>9.2999999999999989</v>
      </c>
      <c r="B63" s="18" t="s">
        <v>48</v>
      </c>
      <c r="C63" s="18" t="s">
        <v>12</v>
      </c>
      <c r="D63" s="49">
        <v>16</v>
      </c>
      <c r="E63" s="209">
        <v>2.5</v>
      </c>
      <c r="F63" s="49"/>
      <c r="G63" s="13">
        <f t="shared" si="8"/>
        <v>0</v>
      </c>
      <c r="H63" s="209">
        <v>0</v>
      </c>
      <c r="I63" s="49"/>
      <c r="J63" s="188">
        <f t="shared" si="9"/>
        <v>0</v>
      </c>
      <c r="K63" s="209">
        <v>0</v>
      </c>
      <c r="L63" s="49"/>
      <c r="M63" s="188">
        <f t="shared" si="10"/>
        <v>0</v>
      </c>
      <c r="N63" s="20">
        <f t="shared" si="11"/>
        <v>0</v>
      </c>
    </row>
    <row r="64" spans="1:14" ht="18" customHeight="1" x14ac:dyDescent="0.25">
      <c r="A64" s="52">
        <f t="shared" si="16"/>
        <v>9.3999999999999986</v>
      </c>
      <c r="B64" s="18" t="s">
        <v>49</v>
      </c>
      <c r="C64" s="43" t="s">
        <v>40</v>
      </c>
      <c r="D64" s="49">
        <f>D56</f>
        <v>630</v>
      </c>
      <c r="E64" s="209">
        <v>2.12</v>
      </c>
      <c r="F64" s="49"/>
      <c r="G64" s="13">
        <f t="shared" si="8"/>
        <v>0</v>
      </c>
      <c r="H64" s="209">
        <v>0</v>
      </c>
      <c r="I64" s="49"/>
      <c r="J64" s="188">
        <f t="shared" si="9"/>
        <v>0</v>
      </c>
      <c r="K64" s="209">
        <v>0</v>
      </c>
      <c r="L64" s="49"/>
      <c r="M64" s="188">
        <f t="shared" si="10"/>
        <v>0</v>
      </c>
      <c r="N64" s="20">
        <f t="shared" si="11"/>
        <v>0</v>
      </c>
    </row>
    <row r="65" spans="1:14" ht="18" customHeight="1" x14ac:dyDescent="0.25">
      <c r="A65" s="52">
        <f t="shared" si="16"/>
        <v>9.4999999999999982</v>
      </c>
      <c r="B65" s="86" t="s">
        <v>50</v>
      </c>
      <c r="C65" s="86" t="s">
        <v>40</v>
      </c>
      <c r="D65" s="29">
        <v>24</v>
      </c>
      <c r="E65" s="217">
        <v>5.08</v>
      </c>
      <c r="F65" s="29"/>
      <c r="G65" s="13">
        <f t="shared" si="8"/>
        <v>0</v>
      </c>
      <c r="H65" s="218">
        <v>0</v>
      </c>
      <c r="I65" s="192"/>
      <c r="J65" s="188">
        <f t="shared" si="9"/>
        <v>0</v>
      </c>
      <c r="K65" s="218">
        <v>0</v>
      </c>
      <c r="L65" s="192"/>
      <c r="M65" s="188">
        <f t="shared" si="10"/>
        <v>0</v>
      </c>
      <c r="N65" s="20">
        <f t="shared" si="11"/>
        <v>0</v>
      </c>
    </row>
    <row r="66" spans="1:14" ht="18" customHeight="1" x14ac:dyDescent="0.25">
      <c r="A66" s="52">
        <f t="shared" si="16"/>
        <v>9.5999999999999979</v>
      </c>
      <c r="B66" s="18" t="s">
        <v>51</v>
      </c>
      <c r="C66" s="18" t="s">
        <v>37</v>
      </c>
      <c r="D66" s="49">
        <v>42.4</v>
      </c>
      <c r="E66" s="209">
        <v>3.2</v>
      </c>
      <c r="F66" s="49"/>
      <c r="G66" s="13">
        <f t="shared" si="8"/>
        <v>0</v>
      </c>
      <c r="H66" s="209">
        <v>0</v>
      </c>
      <c r="I66" s="49"/>
      <c r="J66" s="188">
        <f t="shared" si="9"/>
        <v>0</v>
      </c>
      <c r="K66" s="209">
        <v>0</v>
      </c>
      <c r="L66" s="49"/>
      <c r="M66" s="188">
        <f t="shared" si="10"/>
        <v>0</v>
      </c>
      <c r="N66" s="20">
        <f t="shared" si="11"/>
        <v>0</v>
      </c>
    </row>
    <row r="67" spans="1:14" ht="30" x14ac:dyDescent="0.25">
      <c r="A67" s="6">
        <f>A60+1</f>
        <v>10</v>
      </c>
      <c r="B67" s="154" t="s">
        <v>52</v>
      </c>
      <c r="C67" s="5" t="s">
        <v>142</v>
      </c>
      <c r="D67" s="148">
        <f>((30.4+15.4)*2)*0.3</f>
        <v>27.479999999999997</v>
      </c>
      <c r="E67" s="209">
        <v>0</v>
      </c>
      <c r="F67" s="49"/>
      <c r="G67" s="13">
        <f t="shared" si="8"/>
        <v>0</v>
      </c>
      <c r="H67" s="218">
        <v>7.2540000000000013</v>
      </c>
      <c r="I67" s="187"/>
      <c r="J67" s="188">
        <f t="shared" si="9"/>
        <v>0</v>
      </c>
      <c r="K67" s="218">
        <v>0.32479999999999998</v>
      </c>
      <c r="L67" s="192"/>
      <c r="M67" s="188">
        <f t="shared" si="10"/>
        <v>0</v>
      </c>
      <c r="N67" s="20">
        <f t="shared" si="11"/>
        <v>0</v>
      </c>
    </row>
    <row r="68" spans="1:14" ht="26.25" customHeight="1" x14ac:dyDescent="0.25">
      <c r="A68" s="55">
        <f>A67+0.1</f>
        <v>10.1</v>
      </c>
      <c r="B68" s="18" t="s">
        <v>53</v>
      </c>
      <c r="C68" s="18" t="s">
        <v>19</v>
      </c>
      <c r="D68" s="49">
        <f>D67*0.0256</f>
        <v>0.703488</v>
      </c>
      <c r="E68" s="209">
        <v>98</v>
      </c>
      <c r="F68" s="13"/>
      <c r="G68" s="13">
        <f t="shared" si="8"/>
        <v>0</v>
      </c>
      <c r="H68" s="218">
        <v>0</v>
      </c>
      <c r="I68" s="187"/>
      <c r="J68" s="188">
        <f t="shared" si="9"/>
        <v>0</v>
      </c>
      <c r="K68" s="218">
        <v>0</v>
      </c>
      <c r="L68" s="192"/>
      <c r="M68" s="188">
        <f t="shared" si="10"/>
        <v>0</v>
      </c>
      <c r="N68" s="20">
        <f t="shared" si="11"/>
        <v>0</v>
      </c>
    </row>
    <row r="69" spans="1:14" ht="30" x14ac:dyDescent="0.25">
      <c r="A69" s="12">
        <f>A67+1</f>
        <v>11</v>
      </c>
      <c r="B69" s="154" t="s">
        <v>54</v>
      </c>
      <c r="C69" s="5" t="s">
        <v>142</v>
      </c>
      <c r="D69" s="7">
        <f>D67</f>
        <v>27.479999999999997</v>
      </c>
      <c r="E69" s="209">
        <v>6.4000000000000001E-2</v>
      </c>
      <c r="F69" s="49"/>
      <c r="G69" s="13">
        <f t="shared" si="8"/>
        <v>0</v>
      </c>
      <c r="H69" s="218">
        <v>5.1324000000000005</v>
      </c>
      <c r="I69" s="187"/>
      <c r="J69" s="188">
        <f t="shared" si="9"/>
        <v>0</v>
      </c>
      <c r="K69" s="218">
        <v>0.04</v>
      </c>
      <c r="L69" s="192"/>
      <c r="M69" s="188">
        <f t="shared" si="10"/>
        <v>0</v>
      </c>
      <c r="N69" s="20">
        <f t="shared" si="11"/>
        <v>0</v>
      </c>
    </row>
    <row r="70" spans="1:14" ht="20.25" customHeight="1" x14ac:dyDescent="0.25">
      <c r="A70" s="55">
        <f>A69+0.1</f>
        <v>11.1</v>
      </c>
      <c r="B70" s="18" t="s">
        <v>55</v>
      </c>
      <c r="C70" s="18" t="s">
        <v>36</v>
      </c>
      <c r="D70" s="49">
        <f>D69*0.63</f>
        <v>17.312399999999997</v>
      </c>
      <c r="E70" s="209">
        <v>9</v>
      </c>
      <c r="F70" s="49"/>
      <c r="G70" s="13">
        <f t="shared" si="8"/>
        <v>0</v>
      </c>
      <c r="H70" s="218">
        <v>0</v>
      </c>
      <c r="I70" s="187"/>
      <c r="J70" s="188">
        <f t="shared" si="9"/>
        <v>0</v>
      </c>
      <c r="K70" s="218">
        <v>0</v>
      </c>
      <c r="L70" s="192"/>
      <c r="M70" s="188">
        <f t="shared" si="10"/>
        <v>0</v>
      </c>
      <c r="N70" s="20">
        <f t="shared" si="11"/>
        <v>0</v>
      </c>
    </row>
    <row r="71" spans="1:14" ht="24" customHeight="1" x14ac:dyDescent="0.25">
      <c r="A71" s="52">
        <f>A70+0.1</f>
        <v>11.2</v>
      </c>
      <c r="B71" s="18" t="s">
        <v>56</v>
      </c>
      <c r="C71" s="18" t="s">
        <v>36</v>
      </c>
      <c r="D71" s="49">
        <f>D69*0.79</f>
        <v>21.709199999999999</v>
      </c>
      <c r="E71" s="209">
        <v>1.8</v>
      </c>
      <c r="F71" s="49"/>
      <c r="G71" s="13">
        <f t="shared" si="8"/>
        <v>0</v>
      </c>
      <c r="H71" s="218">
        <v>0</v>
      </c>
      <c r="I71" s="187"/>
      <c r="J71" s="188">
        <f t="shared" si="9"/>
        <v>0</v>
      </c>
      <c r="K71" s="218">
        <v>0</v>
      </c>
      <c r="L71" s="192"/>
      <c r="M71" s="188">
        <f t="shared" si="10"/>
        <v>0</v>
      </c>
      <c r="N71" s="20">
        <f t="shared" si="11"/>
        <v>0</v>
      </c>
    </row>
    <row r="72" spans="1:14" x14ac:dyDescent="0.25">
      <c r="A72" s="12">
        <f>A69+1</f>
        <v>12</v>
      </c>
      <c r="B72" s="154" t="s">
        <v>57</v>
      </c>
      <c r="C72" s="30" t="s">
        <v>13</v>
      </c>
      <c r="D72" s="149">
        <v>2</v>
      </c>
      <c r="E72" s="218">
        <v>0</v>
      </c>
      <c r="F72" s="118"/>
      <c r="G72" s="13">
        <f t="shared" si="8"/>
        <v>0</v>
      </c>
      <c r="H72" s="218">
        <v>60</v>
      </c>
      <c r="I72" s="193"/>
      <c r="J72" s="188">
        <f t="shared" si="9"/>
        <v>0</v>
      </c>
      <c r="K72" s="218">
        <v>0</v>
      </c>
      <c r="L72" s="118"/>
      <c r="M72" s="188">
        <f t="shared" si="10"/>
        <v>0</v>
      </c>
      <c r="N72" s="20">
        <f t="shared" si="11"/>
        <v>0</v>
      </c>
    </row>
    <row r="73" spans="1:14" ht="18" customHeight="1" x14ac:dyDescent="0.25">
      <c r="A73" s="55">
        <f>A72+0.1</f>
        <v>12.1</v>
      </c>
      <c r="B73" s="86" t="s">
        <v>42</v>
      </c>
      <c r="C73" s="43" t="s">
        <v>40</v>
      </c>
      <c r="D73" s="49">
        <v>18.72</v>
      </c>
      <c r="E73" s="217">
        <v>11.86</v>
      </c>
      <c r="F73" s="29"/>
      <c r="G73" s="13">
        <f t="shared" si="8"/>
        <v>0</v>
      </c>
      <c r="H73" s="209">
        <v>0</v>
      </c>
      <c r="I73" s="13"/>
      <c r="J73" s="188">
        <f t="shared" si="9"/>
        <v>0</v>
      </c>
      <c r="K73" s="209">
        <v>0</v>
      </c>
      <c r="L73" s="49"/>
      <c r="M73" s="188">
        <f t="shared" si="10"/>
        <v>0</v>
      </c>
      <c r="N73" s="20">
        <f t="shared" si="11"/>
        <v>0</v>
      </c>
    </row>
    <row r="74" spans="1:14" ht="18" customHeight="1" x14ac:dyDescent="0.25">
      <c r="A74" s="52">
        <f>A73+0.1</f>
        <v>12.2</v>
      </c>
      <c r="B74" s="18" t="s">
        <v>58</v>
      </c>
      <c r="C74" s="43" t="s">
        <v>40</v>
      </c>
      <c r="D74" s="49">
        <v>26</v>
      </c>
      <c r="E74" s="209">
        <v>5.93</v>
      </c>
      <c r="F74" s="49"/>
      <c r="G74" s="13">
        <f t="shared" si="8"/>
        <v>0</v>
      </c>
      <c r="H74" s="209">
        <v>0</v>
      </c>
      <c r="I74" s="13"/>
      <c r="J74" s="188">
        <f t="shared" si="9"/>
        <v>0</v>
      </c>
      <c r="K74" s="209">
        <v>0</v>
      </c>
      <c r="L74" s="49"/>
      <c r="M74" s="188">
        <f t="shared" si="10"/>
        <v>0</v>
      </c>
      <c r="N74" s="20">
        <f t="shared" si="11"/>
        <v>0</v>
      </c>
    </row>
    <row r="75" spans="1:14" ht="18" customHeight="1" x14ac:dyDescent="0.25">
      <c r="A75" s="52">
        <f t="shared" ref="A75:A77" si="17">A74+0.1</f>
        <v>12.299999999999999</v>
      </c>
      <c r="B75" s="18" t="s">
        <v>59</v>
      </c>
      <c r="C75" s="18" t="s">
        <v>13</v>
      </c>
      <c r="D75" s="49">
        <v>12</v>
      </c>
      <c r="E75" s="209">
        <v>12</v>
      </c>
      <c r="F75" s="49"/>
      <c r="G75" s="13">
        <f t="shared" si="8"/>
        <v>0</v>
      </c>
      <c r="H75" s="209">
        <v>0</v>
      </c>
      <c r="I75" s="13"/>
      <c r="J75" s="188">
        <f t="shared" si="9"/>
        <v>0</v>
      </c>
      <c r="K75" s="209">
        <v>0</v>
      </c>
      <c r="L75" s="49"/>
      <c r="M75" s="188">
        <f t="shared" si="10"/>
        <v>0</v>
      </c>
      <c r="N75" s="20">
        <f t="shared" si="11"/>
        <v>0</v>
      </c>
    </row>
    <row r="76" spans="1:14" ht="18" customHeight="1" x14ac:dyDescent="0.25">
      <c r="A76" s="52">
        <f t="shared" si="17"/>
        <v>12.399999999999999</v>
      </c>
      <c r="B76" s="18" t="s">
        <v>60</v>
      </c>
      <c r="C76" s="18" t="s">
        <v>13</v>
      </c>
      <c r="D76" s="49">
        <v>2</v>
      </c>
      <c r="E76" s="209">
        <v>20</v>
      </c>
      <c r="F76" s="49"/>
      <c r="G76" s="13">
        <f t="shared" si="8"/>
        <v>0</v>
      </c>
      <c r="H76" s="209">
        <v>0</v>
      </c>
      <c r="I76" s="13"/>
      <c r="J76" s="188">
        <f t="shared" si="9"/>
        <v>0</v>
      </c>
      <c r="K76" s="209">
        <v>0</v>
      </c>
      <c r="L76" s="49"/>
      <c r="M76" s="188">
        <f t="shared" si="10"/>
        <v>0</v>
      </c>
      <c r="N76" s="20">
        <f t="shared" si="11"/>
        <v>0</v>
      </c>
    </row>
    <row r="77" spans="1:14" ht="18" customHeight="1" x14ac:dyDescent="0.25">
      <c r="A77" s="52">
        <f t="shared" si="17"/>
        <v>12.499999999999998</v>
      </c>
      <c r="B77" s="18" t="s">
        <v>61</v>
      </c>
      <c r="C77" s="18" t="s">
        <v>13</v>
      </c>
      <c r="D77" s="49">
        <v>4</v>
      </c>
      <c r="E77" s="209">
        <v>20</v>
      </c>
      <c r="F77" s="49"/>
      <c r="G77" s="13">
        <f t="shared" si="8"/>
        <v>0</v>
      </c>
      <c r="H77" s="209">
        <v>0</v>
      </c>
      <c r="I77" s="13"/>
      <c r="J77" s="188">
        <f t="shared" si="9"/>
        <v>0</v>
      </c>
      <c r="K77" s="209">
        <v>0</v>
      </c>
      <c r="L77" s="49"/>
      <c r="M77" s="188">
        <f t="shared" si="10"/>
        <v>0</v>
      </c>
      <c r="N77" s="20">
        <f t="shared" si="11"/>
        <v>0</v>
      </c>
    </row>
    <row r="78" spans="1:14" ht="21" customHeight="1" x14ac:dyDescent="0.25">
      <c r="A78" s="12">
        <f>A72+1</f>
        <v>13</v>
      </c>
      <c r="B78" s="154" t="s">
        <v>62</v>
      </c>
      <c r="C78" s="154" t="s">
        <v>46</v>
      </c>
      <c r="D78" s="7">
        <v>213.45896000000005</v>
      </c>
      <c r="E78" s="209">
        <v>7.6E-3</v>
      </c>
      <c r="F78" s="49"/>
      <c r="G78" s="13">
        <f t="shared" si="8"/>
        <v>0</v>
      </c>
      <c r="H78" s="209">
        <v>5.3040000000000003</v>
      </c>
      <c r="I78" s="13"/>
      <c r="J78" s="188">
        <f t="shared" si="9"/>
        <v>0</v>
      </c>
      <c r="K78" s="209">
        <v>1.1999999999999999E-3</v>
      </c>
      <c r="L78" s="205"/>
      <c r="M78" s="188">
        <f t="shared" si="10"/>
        <v>0</v>
      </c>
      <c r="N78" s="20">
        <f t="shared" si="11"/>
        <v>0</v>
      </c>
    </row>
    <row r="79" spans="1:14" ht="23.25" customHeight="1" x14ac:dyDescent="0.25">
      <c r="A79" s="55">
        <f>A78+0.1</f>
        <v>13.1</v>
      </c>
      <c r="B79" s="18" t="s">
        <v>63</v>
      </c>
      <c r="C79" s="18" t="s">
        <v>36</v>
      </c>
      <c r="D79" s="46">
        <f>D78*0.28</f>
        <v>59.768508800000021</v>
      </c>
      <c r="E79" s="209">
        <v>5</v>
      </c>
      <c r="F79" s="49"/>
      <c r="G79" s="13">
        <f t="shared" si="8"/>
        <v>0</v>
      </c>
      <c r="H79" s="209">
        <v>0</v>
      </c>
      <c r="I79" s="13"/>
      <c r="J79" s="188">
        <f t="shared" si="9"/>
        <v>0</v>
      </c>
      <c r="K79" s="209">
        <v>0</v>
      </c>
      <c r="L79" s="49"/>
      <c r="M79" s="188">
        <f t="shared" si="10"/>
        <v>0</v>
      </c>
      <c r="N79" s="20">
        <f t="shared" si="11"/>
        <v>0</v>
      </c>
    </row>
    <row r="80" spans="1:14" s="129" customFormat="1" ht="60" x14ac:dyDescent="0.25">
      <c r="A80" s="12">
        <f>A78+1</f>
        <v>14</v>
      </c>
      <c r="B80" s="5" t="s">
        <v>64</v>
      </c>
      <c r="C80" s="5" t="s">
        <v>13</v>
      </c>
      <c r="D80" s="7">
        <v>4</v>
      </c>
      <c r="E80" s="209">
        <v>20</v>
      </c>
      <c r="F80" s="49"/>
      <c r="G80" s="13">
        <f t="shared" si="8"/>
        <v>0</v>
      </c>
      <c r="H80" s="209">
        <v>0</v>
      </c>
      <c r="I80" s="49"/>
      <c r="J80" s="188">
        <f t="shared" si="9"/>
        <v>0</v>
      </c>
      <c r="K80" s="209">
        <v>0</v>
      </c>
      <c r="L80" s="49"/>
      <c r="M80" s="188">
        <f t="shared" si="10"/>
        <v>0</v>
      </c>
      <c r="N80" s="20">
        <f t="shared" si="11"/>
        <v>0</v>
      </c>
    </row>
    <row r="81" spans="1:17" s="1" customFormat="1" ht="17.100000000000001" customHeight="1" x14ac:dyDescent="0.3">
      <c r="A81" s="62"/>
      <c r="B81" s="26" t="s">
        <v>20</v>
      </c>
      <c r="C81" s="26"/>
      <c r="D81" s="17"/>
      <c r="E81" s="213"/>
      <c r="F81" s="26"/>
      <c r="G81" s="63">
        <f>SUM(G33:G80)</f>
        <v>0</v>
      </c>
      <c r="H81" s="209"/>
      <c r="I81" s="146"/>
      <c r="J81" s="172">
        <f>SUM(J33:J80)</f>
        <v>0</v>
      </c>
      <c r="K81" s="209"/>
      <c r="L81" s="146"/>
      <c r="M81" s="172">
        <f>SUM(M33:M80)</f>
        <v>0</v>
      </c>
      <c r="N81" s="68">
        <f>SUM(N33:N80)</f>
        <v>0</v>
      </c>
      <c r="O81" s="76"/>
      <c r="P81" s="74"/>
      <c r="Q81" s="74"/>
    </row>
    <row r="82" spans="1:17" s="1" customFormat="1" ht="17.100000000000001" customHeight="1" x14ac:dyDescent="0.3">
      <c r="A82" s="62"/>
      <c r="B82" s="65" t="s">
        <v>21</v>
      </c>
      <c r="C82" s="65" t="s">
        <v>2</v>
      </c>
      <c r="D82" s="156" t="s">
        <v>210</v>
      </c>
      <c r="E82" s="213"/>
      <c r="F82" s="26"/>
      <c r="G82" s="26"/>
      <c r="H82" s="209"/>
      <c r="I82" s="146"/>
      <c r="J82" s="172"/>
      <c r="K82" s="209"/>
      <c r="L82" s="146"/>
      <c r="M82" s="172"/>
      <c r="N82" s="66">
        <f>IFERROR(SUM(N78:N80,N60:N71,N33:N52)*D82,0)</f>
        <v>0</v>
      </c>
      <c r="O82" s="76"/>
      <c r="P82" s="74"/>
      <c r="Q82" s="74"/>
    </row>
    <row r="83" spans="1:17" s="1" customFormat="1" ht="17.100000000000001" customHeight="1" x14ac:dyDescent="0.3">
      <c r="A83" s="62"/>
      <c r="B83" s="65" t="s">
        <v>65</v>
      </c>
      <c r="C83" s="65" t="s">
        <v>2</v>
      </c>
      <c r="D83" s="156" t="s">
        <v>210</v>
      </c>
      <c r="E83" s="213"/>
      <c r="F83" s="26"/>
      <c r="G83" s="68"/>
      <c r="H83" s="209"/>
      <c r="I83" s="172"/>
      <c r="J83" s="172"/>
      <c r="K83" s="209"/>
      <c r="L83" s="146"/>
      <c r="M83" s="172"/>
      <c r="N83" s="63">
        <f>IFERROR(SUM(N72:N77,N53:N59)*D83,0)</f>
        <v>0</v>
      </c>
      <c r="O83" s="76"/>
      <c r="P83" s="74"/>
      <c r="Q83" s="74"/>
    </row>
    <row r="84" spans="1:17" s="1" customFormat="1" ht="17.100000000000001" customHeight="1" x14ac:dyDescent="0.3">
      <c r="A84" s="62"/>
      <c r="B84" s="26" t="s">
        <v>22</v>
      </c>
      <c r="C84" s="26" t="s">
        <v>2</v>
      </c>
      <c r="D84" s="17"/>
      <c r="E84" s="213"/>
      <c r="F84" s="26"/>
      <c r="G84" s="26"/>
      <c r="H84" s="209"/>
      <c r="I84" s="146"/>
      <c r="J84" s="172"/>
      <c r="K84" s="209"/>
      <c r="L84" s="146"/>
      <c r="M84" s="172"/>
      <c r="N84" s="64">
        <f>SUM(N83,N82,N81)</f>
        <v>0</v>
      </c>
      <c r="O84" s="76"/>
      <c r="P84" s="74"/>
      <c r="Q84" s="74"/>
    </row>
    <row r="85" spans="1:17" s="1" customFormat="1" ht="17.100000000000001" customHeight="1" x14ac:dyDescent="0.3">
      <c r="A85" s="62"/>
      <c r="B85" s="65" t="s">
        <v>23</v>
      </c>
      <c r="C85" s="65" t="s">
        <v>2</v>
      </c>
      <c r="D85" s="156" t="s">
        <v>210</v>
      </c>
      <c r="E85" s="213"/>
      <c r="F85" s="26"/>
      <c r="G85" s="26"/>
      <c r="H85" s="209"/>
      <c r="I85" s="146"/>
      <c r="J85" s="172"/>
      <c r="K85" s="209"/>
      <c r="L85" s="146"/>
      <c r="M85" s="172"/>
      <c r="N85" s="66">
        <f>IFERROR(N84*D85,0)</f>
        <v>0</v>
      </c>
      <c r="O85" s="76"/>
      <c r="P85" s="74"/>
      <c r="Q85" s="74"/>
    </row>
    <row r="86" spans="1:17" s="74" customFormat="1" ht="17.100000000000001" customHeight="1" x14ac:dyDescent="0.3">
      <c r="A86" s="62"/>
      <c r="B86" s="26" t="s">
        <v>66</v>
      </c>
      <c r="C86" s="26"/>
      <c r="D86" s="17"/>
      <c r="E86" s="213"/>
      <c r="F86" s="26"/>
      <c r="G86" s="69"/>
      <c r="H86" s="209"/>
      <c r="I86" s="146"/>
      <c r="J86" s="172"/>
      <c r="K86" s="209"/>
      <c r="L86" s="146"/>
      <c r="M86" s="172"/>
      <c r="N86" s="64">
        <f>SUM(N84:N85)</f>
        <v>0</v>
      </c>
      <c r="O86" s="80"/>
      <c r="P86" s="1"/>
      <c r="Q86" s="1"/>
    </row>
    <row r="87" spans="1:17" s="132" customFormat="1" ht="25.5" customHeight="1" x14ac:dyDescent="0.25">
      <c r="A87" s="178"/>
      <c r="B87" s="31" t="s">
        <v>67</v>
      </c>
      <c r="C87" s="32"/>
      <c r="D87" s="46"/>
      <c r="E87" s="209"/>
      <c r="F87" s="46"/>
      <c r="G87" s="46"/>
      <c r="H87" s="209"/>
      <c r="I87" s="46"/>
      <c r="J87" s="46"/>
      <c r="K87" s="209"/>
      <c r="L87" s="49"/>
      <c r="M87" s="49"/>
      <c r="N87" s="33"/>
    </row>
    <row r="88" spans="1:17" s="133" customFormat="1" ht="15.75" x14ac:dyDescent="0.25">
      <c r="A88" s="91">
        <f>A87+1</f>
        <v>1</v>
      </c>
      <c r="B88" s="93" t="s">
        <v>143</v>
      </c>
      <c r="C88" s="94" t="s">
        <v>145</v>
      </c>
      <c r="D88" s="108">
        <v>450</v>
      </c>
      <c r="E88" s="215">
        <v>0</v>
      </c>
      <c r="F88" s="112"/>
      <c r="G88" s="184">
        <f>D88*F88</f>
        <v>0</v>
      </c>
      <c r="H88" s="221">
        <v>1.6260000000000001</v>
      </c>
      <c r="I88" s="194"/>
      <c r="J88" s="188">
        <f>D88*I88</f>
        <v>0</v>
      </c>
      <c r="K88" s="221">
        <v>9.1999999999999998E-2</v>
      </c>
      <c r="L88" s="191"/>
      <c r="M88" s="188">
        <f>D88*L88</f>
        <v>0</v>
      </c>
      <c r="N88" s="20">
        <f t="shared" ref="N88:N122" si="18">SUM(M88,J88,G88)</f>
        <v>0</v>
      </c>
    </row>
    <row r="89" spans="1:17" s="133" customFormat="1" ht="15.75" x14ac:dyDescent="0.25">
      <c r="A89" s="55">
        <f>A88+0.1</f>
        <v>1.1000000000000001</v>
      </c>
      <c r="B89" s="98" t="s">
        <v>144</v>
      </c>
      <c r="C89" s="99" t="s">
        <v>146</v>
      </c>
      <c r="D89" s="39">
        <f>D88</f>
        <v>450</v>
      </c>
      <c r="E89" s="215">
        <v>3.6</v>
      </c>
      <c r="F89" s="39"/>
      <c r="G89" s="184">
        <f t="shared" ref="G89:G122" si="19">D89*F89</f>
        <v>0</v>
      </c>
      <c r="H89" s="221">
        <v>0</v>
      </c>
      <c r="I89" s="194"/>
      <c r="J89" s="188">
        <f t="shared" ref="J89:J122" si="20">D89*I89</f>
        <v>0</v>
      </c>
      <c r="K89" s="221">
        <v>0</v>
      </c>
      <c r="L89" s="191"/>
      <c r="M89" s="188">
        <f t="shared" ref="M89:M122" si="21">D89*L89</f>
        <v>0</v>
      </c>
      <c r="N89" s="20">
        <f t="shared" si="18"/>
        <v>0</v>
      </c>
    </row>
    <row r="90" spans="1:17" s="134" customFormat="1" ht="45" x14ac:dyDescent="0.25">
      <c r="A90" s="34">
        <v>2</v>
      </c>
      <c r="B90" s="154" t="s">
        <v>204</v>
      </c>
      <c r="C90" s="35" t="s">
        <v>19</v>
      </c>
      <c r="D90" s="108">
        <v>567</v>
      </c>
      <c r="E90" s="215">
        <v>0.08</v>
      </c>
      <c r="F90" s="36"/>
      <c r="G90" s="184">
        <f t="shared" si="19"/>
        <v>0</v>
      </c>
      <c r="H90" s="215">
        <v>21.119999999999997</v>
      </c>
      <c r="I90" s="36"/>
      <c r="J90" s="188">
        <f t="shared" si="20"/>
        <v>0</v>
      </c>
      <c r="K90" s="215">
        <v>4.24</v>
      </c>
      <c r="L90" s="36"/>
      <c r="M90" s="188">
        <f t="shared" si="21"/>
        <v>0</v>
      </c>
      <c r="N90" s="20">
        <f t="shared" si="18"/>
        <v>0</v>
      </c>
    </row>
    <row r="91" spans="1:17" s="78" customFormat="1" x14ac:dyDescent="0.25">
      <c r="A91" s="55">
        <f>A90+0.1</f>
        <v>2.1</v>
      </c>
      <c r="B91" s="18" t="s">
        <v>190</v>
      </c>
      <c r="C91" s="15" t="s">
        <v>19</v>
      </c>
      <c r="D91" s="36">
        <f>D90*1.22</f>
        <v>691.74</v>
      </c>
      <c r="E91" s="215">
        <v>14.5</v>
      </c>
      <c r="F91" s="36"/>
      <c r="G91" s="184">
        <f t="shared" si="19"/>
        <v>0</v>
      </c>
      <c r="H91" s="221">
        <v>0</v>
      </c>
      <c r="I91" s="195"/>
      <c r="J91" s="188">
        <f t="shared" si="20"/>
        <v>0</v>
      </c>
      <c r="K91" s="221">
        <v>0</v>
      </c>
      <c r="L91" s="195"/>
      <c r="M91" s="188">
        <f t="shared" si="21"/>
        <v>0</v>
      </c>
      <c r="N91" s="20">
        <f t="shared" si="18"/>
        <v>0</v>
      </c>
    </row>
    <row r="92" spans="1:17" s="133" customFormat="1" ht="15.75" x14ac:dyDescent="0.25">
      <c r="A92" s="91">
        <f>A90+1</f>
        <v>3</v>
      </c>
      <c r="B92" s="93" t="s">
        <v>143</v>
      </c>
      <c r="C92" s="94" t="s">
        <v>145</v>
      </c>
      <c r="D92" s="95">
        <v>450</v>
      </c>
      <c r="E92" s="186">
        <v>0</v>
      </c>
      <c r="F92" s="98"/>
      <c r="G92" s="184">
        <f t="shared" si="19"/>
        <v>0</v>
      </c>
      <c r="H92" s="202">
        <v>1.6260000000000001</v>
      </c>
      <c r="I92" s="196"/>
      <c r="J92" s="188">
        <f t="shared" si="20"/>
        <v>0</v>
      </c>
      <c r="K92" s="202">
        <v>9.1999999999999998E-2</v>
      </c>
      <c r="L92" s="206"/>
      <c r="M92" s="188">
        <f t="shared" si="21"/>
        <v>0</v>
      </c>
      <c r="N92" s="20">
        <f t="shared" si="18"/>
        <v>0</v>
      </c>
    </row>
    <row r="93" spans="1:17" s="133" customFormat="1" ht="15.75" x14ac:dyDescent="0.25">
      <c r="A93" s="55">
        <f>A92+0.1</f>
        <v>3.1</v>
      </c>
      <c r="B93" s="98" t="s">
        <v>144</v>
      </c>
      <c r="C93" s="99" t="s">
        <v>146</v>
      </c>
      <c r="D93" s="97">
        <f>D92</f>
        <v>450</v>
      </c>
      <c r="E93" s="186">
        <v>3.6</v>
      </c>
      <c r="F93" s="97"/>
      <c r="G93" s="184">
        <f t="shared" si="19"/>
        <v>0</v>
      </c>
      <c r="H93" s="202">
        <v>0</v>
      </c>
      <c r="I93" s="196"/>
      <c r="J93" s="188">
        <f t="shared" si="20"/>
        <v>0</v>
      </c>
      <c r="K93" s="202">
        <v>0</v>
      </c>
      <c r="L93" s="206"/>
      <c r="M93" s="188">
        <f t="shared" si="21"/>
        <v>0</v>
      </c>
      <c r="N93" s="20">
        <f t="shared" si="18"/>
        <v>0</v>
      </c>
    </row>
    <row r="94" spans="1:17" s="100" customFormat="1" ht="15.75" x14ac:dyDescent="0.25">
      <c r="A94" s="92" t="s">
        <v>163</v>
      </c>
      <c r="B94" s="93" t="s">
        <v>132</v>
      </c>
      <c r="C94" s="93" t="s">
        <v>133</v>
      </c>
      <c r="D94" s="95">
        <v>21.8</v>
      </c>
      <c r="E94" s="186">
        <v>0</v>
      </c>
      <c r="F94" s="97"/>
      <c r="G94" s="184">
        <f t="shared" si="19"/>
        <v>0</v>
      </c>
      <c r="H94" s="186">
        <v>5.5659999999999998</v>
      </c>
      <c r="I94" s="190"/>
      <c r="J94" s="188">
        <f t="shared" si="20"/>
        <v>0</v>
      </c>
      <c r="K94" s="186">
        <v>0</v>
      </c>
      <c r="L94" s="207"/>
      <c r="M94" s="188">
        <f t="shared" si="21"/>
        <v>0</v>
      </c>
      <c r="N94" s="20">
        <f t="shared" si="18"/>
        <v>0</v>
      </c>
    </row>
    <row r="95" spans="1:17" s="133" customFormat="1" x14ac:dyDescent="0.25">
      <c r="A95" s="55">
        <f>A94+0.1</f>
        <v>4.0999999999999996</v>
      </c>
      <c r="B95" s="98" t="s">
        <v>162</v>
      </c>
      <c r="C95" s="98" t="s">
        <v>14</v>
      </c>
      <c r="D95" s="101">
        <f>D94*1.15</f>
        <v>25.07</v>
      </c>
      <c r="E95" s="186">
        <v>25</v>
      </c>
      <c r="F95" s="101"/>
      <c r="G95" s="184">
        <f t="shared" si="19"/>
        <v>0</v>
      </c>
      <c r="H95" s="202">
        <v>0</v>
      </c>
      <c r="I95" s="197"/>
      <c r="J95" s="188">
        <f t="shared" si="20"/>
        <v>0</v>
      </c>
      <c r="K95" s="202">
        <v>0</v>
      </c>
      <c r="L95" s="197"/>
      <c r="M95" s="188">
        <f t="shared" si="21"/>
        <v>0</v>
      </c>
      <c r="N95" s="20">
        <f t="shared" si="18"/>
        <v>0</v>
      </c>
    </row>
    <row r="96" spans="1:17" s="133" customFormat="1" ht="15.75" x14ac:dyDescent="0.25">
      <c r="A96" s="91">
        <f>A95+1</f>
        <v>5.0999999999999996</v>
      </c>
      <c r="B96" s="93" t="s">
        <v>143</v>
      </c>
      <c r="C96" s="94" t="s">
        <v>145</v>
      </c>
      <c r="D96" s="95">
        <v>450</v>
      </c>
      <c r="E96" s="186">
        <v>0</v>
      </c>
      <c r="F96" s="98"/>
      <c r="G96" s="184">
        <f t="shared" si="19"/>
        <v>0</v>
      </c>
      <c r="H96" s="202">
        <v>1.6260000000000001</v>
      </c>
      <c r="I96" s="196"/>
      <c r="J96" s="188">
        <f t="shared" si="20"/>
        <v>0</v>
      </c>
      <c r="K96" s="202">
        <v>9.1999999999999998E-2</v>
      </c>
      <c r="L96" s="206"/>
      <c r="M96" s="188">
        <f t="shared" si="21"/>
        <v>0</v>
      </c>
      <c r="N96" s="20">
        <f t="shared" si="18"/>
        <v>0</v>
      </c>
    </row>
    <row r="97" spans="1:14" s="133" customFormat="1" ht="15.75" x14ac:dyDescent="0.25">
      <c r="A97" s="55">
        <f>A96+0.1</f>
        <v>5.1999999999999993</v>
      </c>
      <c r="B97" s="98" t="s">
        <v>144</v>
      </c>
      <c r="C97" s="99" t="s">
        <v>146</v>
      </c>
      <c r="D97" s="97">
        <f>D96</f>
        <v>450</v>
      </c>
      <c r="E97" s="186">
        <v>3.6</v>
      </c>
      <c r="F97" s="97"/>
      <c r="G97" s="184">
        <f t="shared" si="19"/>
        <v>0</v>
      </c>
      <c r="H97" s="202">
        <v>0</v>
      </c>
      <c r="I97" s="196"/>
      <c r="J97" s="188">
        <f t="shared" si="20"/>
        <v>0</v>
      </c>
      <c r="K97" s="202">
        <v>0</v>
      </c>
      <c r="L97" s="206"/>
      <c r="M97" s="188">
        <f t="shared" si="21"/>
        <v>0</v>
      </c>
      <c r="N97" s="20">
        <f t="shared" si="18"/>
        <v>0</v>
      </c>
    </row>
    <row r="98" spans="1:14" s="133" customFormat="1" ht="15.75" x14ac:dyDescent="0.25">
      <c r="A98" s="91">
        <v>6</v>
      </c>
      <c r="B98" s="93" t="s">
        <v>151</v>
      </c>
      <c r="C98" s="94" t="s">
        <v>149</v>
      </c>
      <c r="D98" s="95">
        <v>148</v>
      </c>
      <c r="E98" s="186">
        <v>2.3999999999999998E-3</v>
      </c>
      <c r="F98" s="98"/>
      <c r="G98" s="184">
        <f t="shared" si="19"/>
        <v>0</v>
      </c>
      <c r="H98" s="202">
        <v>0.57540000000000002</v>
      </c>
      <c r="I98" s="196"/>
      <c r="J98" s="188">
        <f t="shared" si="20"/>
        <v>0</v>
      </c>
      <c r="K98" s="202">
        <v>0.18079999999999999</v>
      </c>
      <c r="L98" s="206"/>
      <c r="M98" s="188">
        <f t="shared" si="21"/>
        <v>0</v>
      </c>
      <c r="N98" s="20">
        <f t="shared" si="18"/>
        <v>0</v>
      </c>
    </row>
    <row r="99" spans="1:14" s="133" customFormat="1" ht="15.75" x14ac:dyDescent="0.25">
      <c r="A99" s="55">
        <f>A98+0.1</f>
        <v>6.1</v>
      </c>
      <c r="B99" s="98" t="s">
        <v>152</v>
      </c>
      <c r="C99" s="99" t="s">
        <v>146</v>
      </c>
      <c r="D99" s="97">
        <f>D98*1.01</f>
        <v>149.47999999999999</v>
      </c>
      <c r="E99" s="186">
        <v>3.5</v>
      </c>
      <c r="F99" s="97"/>
      <c r="G99" s="184">
        <f t="shared" si="19"/>
        <v>0</v>
      </c>
      <c r="H99" s="202">
        <v>0</v>
      </c>
      <c r="I99" s="196"/>
      <c r="J99" s="188">
        <f t="shared" si="20"/>
        <v>0</v>
      </c>
      <c r="K99" s="202">
        <v>0</v>
      </c>
      <c r="L99" s="206"/>
      <c r="M99" s="188">
        <f t="shared" si="21"/>
        <v>0</v>
      </c>
      <c r="N99" s="20">
        <f t="shared" si="18"/>
        <v>0</v>
      </c>
    </row>
    <row r="100" spans="1:14" s="133" customFormat="1" ht="29.25" x14ac:dyDescent="0.25">
      <c r="A100" s="91">
        <v>7</v>
      </c>
      <c r="B100" s="93" t="s">
        <v>154</v>
      </c>
      <c r="C100" s="94" t="s">
        <v>149</v>
      </c>
      <c r="D100" s="95">
        <v>148</v>
      </c>
      <c r="E100" s="186">
        <v>7.3599999999999999E-2</v>
      </c>
      <c r="F100" s="98"/>
      <c r="G100" s="184">
        <f t="shared" si="19"/>
        <v>0</v>
      </c>
      <c r="H100" s="202">
        <v>0.51659999999999995</v>
      </c>
      <c r="I100" s="196"/>
      <c r="J100" s="188">
        <f t="shared" si="20"/>
        <v>0</v>
      </c>
      <c r="K100" s="202">
        <v>0.15759999999999999</v>
      </c>
      <c r="L100" s="206"/>
      <c r="M100" s="188">
        <f t="shared" si="21"/>
        <v>0</v>
      </c>
      <c r="N100" s="20">
        <f t="shared" si="18"/>
        <v>0</v>
      </c>
    </row>
    <row r="101" spans="1:14" s="133" customFormat="1" ht="15.75" x14ac:dyDescent="0.25">
      <c r="A101" s="55">
        <f>A100+0.1</f>
        <v>7.1</v>
      </c>
      <c r="B101" s="98" t="s">
        <v>144</v>
      </c>
      <c r="C101" s="99" t="s">
        <v>146</v>
      </c>
      <c r="D101" s="97">
        <f>D100*0.21</f>
        <v>31.08</v>
      </c>
      <c r="E101" s="186">
        <v>3.6</v>
      </c>
      <c r="F101" s="97"/>
      <c r="G101" s="184">
        <f t="shared" si="19"/>
        <v>0</v>
      </c>
      <c r="H101" s="202">
        <v>0</v>
      </c>
      <c r="I101" s="196"/>
      <c r="J101" s="188">
        <f t="shared" si="20"/>
        <v>0</v>
      </c>
      <c r="K101" s="202">
        <v>0</v>
      </c>
      <c r="L101" s="206"/>
      <c r="M101" s="188">
        <f t="shared" si="21"/>
        <v>0</v>
      </c>
      <c r="N101" s="20">
        <f t="shared" si="18"/>
        <v>0</v>
      </c>
    </row>
    <row r="102" spans="1:14" s="133" customFormat="1" ht="28.5" customHeight="1" x14ac:dyDescent="0.25">
      <c r="A102" s="91">
        <v>8</v>
      </c>
      <c r="B102" s="93" t="s">
        <v>155</v>
      </c>
      <c r="C102" s="94" t="s">
        <v>149</v>
      </c>
      <c r="D102" s="95">
        <v>150</v>
      </c>
      <c r="E102" s="186">
        <v>4.7999999999999996E-3</v>
      </c>
      <c r="F102" s="98"/>
      <c r="G102" s="184">
        <f t="shared" si="19"/>
        <v>0</v>
      </c>
      <c r="H102" s="202">
        <v>0.71399999999999997</v>
      </c>
      <c r="I102" s="196"/>
      <c r="J102" s="188">
        <f t="shared" si="20"/>
        <v>0</v>
      </c>
      <c r="K102" s="202">
        <v>0.27</v>
      </c>
      <c r="L102" s="206"/>
      <c r="M102" s="188">
        <f t="shared" si="21"/>
        <v>0</v>
      </c>
      <c r="N102" s="20">
        <f t="shared" si="18"/>
        <v>0</v>
      </c>
    </row>
    <row r="103" spans="1:14" s="133" customFormat="1" x14ac:dyDescent="0.25">
      <c r="A103" s="55">
        <f>A102+0.1</f>
        <v>8.1</v>
      </c>
      <c r="B103" s="98" t="s">
        <v>150</v>
      </c>
      <c r="C103" s="99" t="s">
        <v>149</v>
      </c>
      <c r="D103" s="97">
        <f>D102*1.01</f>
        <v>151.5</v>
      </c>
      <c r="E103" s="186">
        <v>8</v>
      </c>
      <c r="F103" s="97"/>
      <c r="G103" s="184">
        <f t="shared" si="19"/>
        <v>0</v>
      </c>
      <c r="H103" s="202">
        <v>0</v>
      </c>
      <c r="I103" s="196"/>
      <c r="J103" s="188">
        <f t="shared" si="20"/>
        <v>0</v>
      </c>
      <c r="K103" s="202">
        <v>0</v>
      </c>
      <c r="L103" s="206"/>
      <c r="M103" s="188">
        <f t="shared" si="21"/>
        <v>0</v>
      </c>
      <c r="N103" s="20">
        <f t="shared" si="18"/>
        <v>0</v>
      </c>
    </row>
    <row r="104" spans="1:14" s="133" customFormat="1" ht="31.5" x14ac:dyDescent="0.25">
      <c r="A104" s="96">
        <f t="shared" ref="A104:A105" si="22">A103+0.1</f>
        <v>8.1999999999999993</v>
      </c>
      <c r="B104" s="98" t="s">
        <v>156</v>
      </c>
      <c r="C104" s="99" t="s">
        <v>13</v>
      </c>
      <c r="D104" s="97">
        <v>50</v>
      </c>
      <c r="E104" s="186">
        <v>34.9</v>
      </c>
      <c r="F104" s="97"/>
      <c r="G104" s="184">
        <f t="shared" si="19"/>
        <v>0</v>
      </c>
      <c r="H104" s="202">
        <v>0</v>
      </c>
      <c r="I104" s="196"/>
      <c r="J104" s="188">
        <f t="shared" si="20"/>
        <v>0</v>
      </c>
      <c r="K104" s="202">
        <v>0</v>
      </c>
      <c r="L104" s="206"/>
      <c r="M104" s="188">
        <f t="shared" si="21"/>
        <v>0</v>
      </c>
      <c r="N104" s="20">
        <f t="shared" si="18"/>
        <v>0</v>
      </c>
    </row>
    <row r="105" spans="1:14" s="133" customFormat="1" ht="15.75" x14ac:dyDescent="0.25">
      <c r="A105" s="96">
        <f t="shared" si="22"/>
        <v>8.2999999999999989</v>
      </c>
      <c r="B105" s="98" t="s">
        <v>153</v>
      </c>
      <c r="C105" s="99" t="s">
        <v>13</v>
      </c>
      <c r="D105" s="97">
        <v>100</v>
      </c>
      <c r="E105" s="186">
        <v>6.08</v>
      </c>
      <c r="F105" s="97"/>
      <c r="G105" s="184">
        <f t="shared" si="19"/>
        <v>0</v>
      </c>
      <c r="H105" s="202">
        <v>0</v>
      </c>
      <c r="I105" s="196"/>
      <c r="J105" s="188">
        <f t="shared" si="20"/>
        <v>0</v>
      </c>
      <c r="K105" s="202">
        <v>0</v>
      </c>
      <c r="L105" s="206"/>
      <c r="M105" s="188">
        <f t="shared" si="21"/>
        <v>0</v>
      </c>
      <c r="N105" s="20">
        <f t="shared" si="18"/>
        <v>0</v>
      </c>
    </row>
    <row r="106" spans="1:14" s="133" customFormat="1" ht="29.25" x14ac:dyDescent="0.25">
      <c r="A106" s="91">
        <v>9</v>
      </c>
      <c r="B106" s="93" t="s">
        <v>164</v>
      </c>
      <c r="C106" s="94" t="s">
        <v>149</v>
      </c>
      <c r="D106" s="95">
        <v>150</v>
      </c>
      <c r="E106" s="186">
        <v>0.1096</v>
      </c>
      <c r="F106" s="98"/>
      <c r="G106" s="184">
        <f t="shared" si="19"/>
        <v>0</v>
      </c>
      <c r="H106" s="202">
        <v>0.61799999999999988</v>
      </c>
      <c r="I106" s="196"/>
      <c r="J106" s="188">
        <f t="shared" si="20"/>
        <v>0</v>
      </c>
      <c r="K106" s="202">
        <v>0.19520000000000001</v>
      </c>
      <c r="L106" s="206"/>
      <c r="M106" s="188">
        <f t="shared" si="21"/>
        <v>0</v>
      </c>
      <c r="N106" s="20">
        <f t="shared" si="18"/>
        <v>0</v>
      </c>
    </row>
    <row r="107" spans="1:14" s="133" customFormat="1" ht="15.75" x14ac:dyDescent="0.25">
      <c r="A107" s="55">
        <f>A106+0.1</f>
        <v>9.1</v>
      </c>
      <c r="B107" s="98" t="s">
        <v>144</v>
      </c>
      <c r="C107" s="99" t="s">
        <v>146</v>
      </c>
      <c r="D107" s="97">
        <f>D106*0.4</f>
        <v>60</v>
      </c>
      <c r="E107" s="186">
        <v>3.6</v>
      </c>
      <c r="F107" s="97"/>
      <c r="G107" s="184">
        <f t="shared" si="19"/>
        <v>0</v>
      </c>
      <c r="H107" s="202">
        <v>0</v>
      </c>
      <c r="I107" s="196"/>
      <c r="J107" s="188">
        <f t="shared" si="20"/>
        <v>0</v>
      </c>
      <c r="K107" s="202">
        <v>0</v>
      </c>
      <c r="L107" s="206"/>
      <c r="M107" s="188">
        <f t="shared" si="21"/>
        <v>0</v>
      </c>
      <c r="N107" s="20">
        <f t="shared" si="18"/>
        <v>0</v>
      </c>
    </row>
    <row r="108" spans="1:14" s="134" customFormat="1" x14ac:dyDescent="0.25">
      <c r="A108" s="34">
        <v>10</v>
      </c>
      <c r="B108" s="177" t="s">
        <v>134</v>
      </c>
      <c r="C108" s="35" t="s">
        <v>19</v>
      </c>
      <c r="D108" s="108">
        <v>87</v>
      </c>
      <c r="E108" s="215">
        <v>0.08</v>
      </c>
      <c r="F108" s="36"/>
      <c r="G108" s="184">
        <f t="shared" si="19"/>
        <v>0</v>
      </c>
      <c r="H108" s="215">
        <v>21.12</v>
      </c>
      <c r="I108" s="36"/>
      <c r="J108" s="188">
        <f t="shared" si="20"/>
        <v>0</v>
      </c>
      <c r="K108" s="215">
        <v>4.24</v>
      </c>
      <c r="L108" s="36"/>
      <c r="M108" s="188">
        <f t="shared" si="21"/>
        <v>0</v>
      </c>
      <c r="N108" s="20">
        <f t="shared" si="18"/>
        <v>0</v>
      </c>
    </row>
    <row r="109" spans="1:14" s="78" customFormat="1" x14ac:dyDescent="0.25">
      <c r="A109" s="55">
        <f>A108+0.1</f>
        <v>10.1</v>
      </c>
      <c r="B109" s="15" t="s">
        <v>135</v>
      </c>
      <c r="C109" s="15" t="s">
        <v>19</v>
      </c>
      <c r="D109" s="36">
        <f>D108*1.22</f>
        <v>106.14</v>
      </c>
      <c r="E109" s="215">
        <v>21.8</v>
      </c>
      <c r="F109" s="36"/>
      <c r="G109" s="184">
        <f t="shared" si="19"/>
        <v>0</v>
      </c>
      <c r="H109" s="221">
        <v>0</v>
      </c>
      <c r="I109" s="195"/>
      <c r="J109" s="188">
        <f t="shared" si="20"/>
        <v>0</v>
      </c>
      <c r="K109" s="221">
        <v>0</v>
      </c>
      <c r="L109" s="195"/>
      <c r="M109" s="188">
        <f t="shared" si="21"/>
        <v>0</v>
      </c>
      <c r="N109" s="20">
        <f t="shared" si="18"/>
        <v>0</v>
      </c>
    </row>
    <row r="110" spans="1:14" s="133" customFormat="1" ht="15.75" x14ac:dyDescent="0.25">
      <c r="A110" s="91">
        <f>A108+1</f>
        <v>11</v>
      </c>
      <c r="B110" s="93" t="s">
        <v>143</v>
      </c>
      <c r="C110" s="94" t="s">
        <v>145</v>
      </c>
      <c r="D110" s="108">
        <v>450</v>
      </c>
      <c r="E110" s="215">
        <v>0</v>
      </c>
      <c r="F110" s="112"/>
      <c r="G110" s="184">
        <f t="shared" si="19"/>
        <v>0</v>
      </c>
      <c r="H110" s="221">
        <v>1.6260000000000001</v>
      </c>
      <c r="I110" s="194"/>
      <c r="J110" s="188">
        <f t="shared" si="20"/>
        <v>0</v>
      </c>
      <c r="K110" s="221">
        <v>9.1999999999999998E-2</v>
      </c>
      <c r="L110" s="191"/>
      <c r="M110" s="188">
        <f t="shared" si="21"/>
        <v>0</v>
      </c>
      <c r="N110" s="20">
        <f t="shared" si="18"/>
        <v>0</v>
      </c>
    </row>
    <row r="111" spans="1:14" s="133" customFormat="1" ht="15.75" x14ac:dyDescent="0.25">
      <c r="A111" s="55">
        <f>A110+0.1</f>
        <v>11.1</v>
      </c>
      <c r="B111" s="98" t="s">
        <v>144</v>
      </c>
      <c r="C111" s="99" t="s">
        <v>146</v>
      </c>
      <c r="D111" s="39">
        <f>D110</f>
        <v>450</v>
      </c>
      <c r="E111" s="215">
        <v>3.6</v>
      </c>
      <c r="F111" s="39"/>
      <c r="G111" s="184">
        <f t="shared" si="19"/>
        <v>0</v>
      </c>
      <c r="H111" s="221">
        <v>0</v>
      </c>
      <c r="I111" s="194"/>
      <c r="J111" s="188">
        <f t="shared" si="20"/>
        <v>0</v>
      </c>
      <c r="K111" s="221">
        <v>0</v>
      </c>
      <c r="L111" s="191"/>
      <c r="M111" s="188">
        <f t="shared" si="21"/>
        <v>0</v>
      </c>
      <c r="N111" s="20">
        <f t="shared" si="18"/>
        <v>0</v>
      </c>
    </row>
    <row r="112" spans="1:14" s="134" customFormat="1" ht="30" x14ac:dyDescent="0.25">
      <c r="A112" s="34">
        <v>12</v>
      </c>
      <c r="B112" s="177" t="s">
        <v>148</v>
      </c>
      <c r="C112" s="35" t="s">
        <v>19</v>
      </c>
      <c r="D112" s="108">
        <v>43.6</v>
      </c>
      <c r="E112" s="215">
        <v>0.08</v>
      </c>
      <c r="F112" s="36"/>
      <c r="G112" s="184">
        <f t="shared" si="19"/>
        <v>0</v>
      </c>
      <c r="H112" s="215">
        <v>21.12</v>
      </c>
      <c r="I112" s="36"/>
      <c r="J112" s="188">
        <f t="shared" si="20"/>
        <v>0</v>
      </c>
      <c r="K112" s="215">
        <v>4.24</v>
      </c>
      <c r="L112" s="36"/>
      <c r="M112" s="188">
        <f t="shared" si="21"/>
        <v>0</v>
      </c>
      <c r="N112" s="20">
        <f t="shared" si="18"/>
        <v>0</v>
      </c>
    </row>
    <row r="113" spans="1:17" s="78" customFormat="1" x14ac:dyDescent="0.25">
      <c r="A113" s="55">
        <f>A112+0.1</f>
        <v>12.1</v>
      </c>
      <c r="B113" s="15" t="s">
        <v>136</v>
      </c>
      <c r="C113" s="15" t="s">
        <v>19</v>
      </c>
      <c r="D113" s="36">
        <f>D112*1.22</f>
        <v>53.192</v>
      </c>
      <c r="E113" s="215">
        <v>21.8</v>
      </c>
      <c r="F113" s="36"/>
      <c r="G113" s="184">
        <f t="shared" si="19"/>
        <v>0</v>
      </c>
      <c r="H113" s="221">
        <v>0</v>
      </c>
      <c r="I113" s="195"/>
      <c r="J113" s="188">
        <f t="shared" si="20"/>
        <v>0</v>
      </c>
      <c r="K113" s="221">
        <v>0</v>
      </c>
      <c r="L113" s="195"/>
      <c r="M113" s="188">
        <f t="shared" si="21"/>
        <v>0</v>
      </c>
      <c r="N113" s="20">
        <f t="shared" si="18"/>
        <v>0</v>
      </c>
    </row>
    <row r="114" spans="1:17" s="134" customFormat="1" ht="45" x14ac:dyDescent="0.25">
      <c r="A114" s="16">
        <v>13</v>
      </c>
      <c r="B114" s="42" t="s">
        <v>68</v>
      </c>
      <c r="C114" s="179" t="s">
        <v>15</v>
      </c>
      <c r="D114" s="14">
        <v>450</v>
      </c>
      <c r="E114" s="215">
        <v>0.72</v>
      </c>
      <c r="F114" s="40"/>
      <c r="G114" s="184">
        <f t="shared" si="19"/>
        <v>0</v>
      </c>
      <c r="H114" s="221">
        <v>5.85</v>
      </c>
      <c r="I114" s="198"/>
      <c r="J114" s="188">
        <f t="shared" si="20"/>
        <v>0</v>
      </c>
      <c r="K114" s="221">
        <v>0.03</v>
      </c>
      <c r="L114" s="191"/>
      <c r="M114" s="188">
        <f t="shared" si="21"/>
        <v>0</v>
      </c>
      <c r="N114" s="20">
        <f t="shared" si="18"/>
        <v>0</v>
      </c>
    </row>
    <row r="115" spans="1:17" s="134" customFormat="1" ht="30" x14ac:dyDescent="0.25">
      <c r="A115" s="55">
        <f>A114+0.1</f>
        <v>13.1</v>
      </c>
      <c r="B115" s="70" t="s">
        <v>119</v>
      </c>
      <c r="C115" s="70" t="s">
        <v>15</v>
      </c>
      <c r="D115" s="39">
        <f>D114*1.02</f>
        <v>459</v>
      </c>
      <c r="E115" s="215">
        <v>68</v>
      </c>
      <c r="F115" s="40"/>
      <c r="G115" s="184">
        <f t="shared" si="19"/>
        <v>0</v>
      </c>
      <c r="H115" s="221">
        <v>0</v>
      </c>
      <c r="I115" s="198"/>
      <c r="J115" s="188">
        <f t="shared" si="20"/>
        <v>0</v>
      </c>
      <c r="K115" s="221">
        <v>0</v>
      </c>
      <c r="L115" s="191"/>
      <c r="M115" s="188">
        <f t="shared" si="21"/>
        <v>0</v>
      </c>
      <c r="N115" s="20">
        <f t="shared" si="18"/>
        <v>0</v>
      </c>
    </row>
    <row r="116" spans="1:17" s="129" customFormat="1" ht="30" x14ac:dyDescent="0.25">
      <c r="A116" s="15">
        <f t="shared" ref="A116:A118" si="23">A115+0.1</f>
        <v>13.2</v>
      </c>
      <c r="B116" s="25" t="s">
        <v>147</v>
      </c>
      <c r="C116" s="25" t="s">
        <v>35</v>
      </c>
      <c r="D116" s="49">
        <v>450</v>
      </c>
      <c r="E116" s="209">
        <v>7.5</v>
      </c>
      <c r="F116" s="49"/>
      <c r="G116" s="184">
        <f t="shared" si="19"/>
        <v>0</v>
      </c>
      <c r="H116" s="209">
        <v>0</v>
      </c>
      <c r="I116" s="49"/>
      <c r="J116" s="188">
        <f t="shared" si="20"/>
        <v>0</v>
      </c>
      <c r="K116" s="209">
        <v>0</v>
      </c>
      <c r="L116" s="49"/>
      <c r="M116" s="188">
        <f t="shared" si="21"/>
        <v>0</v>
      </c>
      <c r="N116" s="20">
        <f t="shared" si="18"/>
        <v>0</v>
      </c>
    </row>
    <row r="117" spans="1:17" s="78" customFormat="1" x14ac:dyDescent="0.25">
      <c r="A117" s="15">
        <f t="shared" si="23"/>
        <v>13.299999999999999</v>
      </c>
      <c r="B117" s="88" t="s">
        <v>69</v>
      </c>
      <c r="C117" s="36" t="s">
        <v>70</v>
      </c>
      <c r="D117" s="36">
        <f>D116*1.07</f>
        <v>481.5</v>
      </c>
      <c r="E117" s="215">
        <v>3.1</v>
      </c>
      <c r="F117" s="36"/>
      <c r="G117" s="184">
        <f t="shared" si="19"/>
        <v>0</v>
      </c>
      <c r="H117" s="221">
        <v>0</v>
      </c>
      <c r="I117" s="191"/>
      <c r="J117" s="188">
        <f t="shared" si="20"/>
        <v>0</v>
      </c>
      <c r="K117" s="221">
        <v>0</v>
      </c>
      <c r="L117" s="191"/>
      <c r="M117" s="188">
        <f t="shared" si="21"/>
        <v>0</v>
      </c>
      <c r="N117" s="20">
        <f t="shared" si="18"/>
        <v>0</v>
      </c>
    </row>
    <row r="118" spans="1:17" s="78" customFormat="1" x14ac:dyDescent="0.25">
      <c r="A118" s="15">
        <f t="shared" si="23"/>
        <v>13.399999999999999</v>
      </c>
      <c r="B118" s="88" t="s">
        <v>71</v>
      </c>
      <c r="C118" s="88" t="s">
        <v>36</v>
      </c>
      <c r="D118" s="36">
        <f>D116*0.2</f>
        <v>90</v>
      </c>
      <c r="E118" s="215">
        <v>6.9</v>
      </c>
      <c r="F118" s="36"/>
      <c r="G118" s="184">
        <f t="shared" si="19"/>
        <v>0</v>
      </c>
      <c r="H118" s="221">
        <v>0</v>
      </c>
      <c r="I118" s="191"/>
      <c r="J118" s="188">
        <f t="shared" si="20"/>
        <v>0</v>
      </c>
      <c r="K118" s="221">
        <v>0</v>
      </c>
      <c r="L118" s="191"/>
      <c r="M118" s="188">
        <f t="shared" si="21"/>
        <v>0</v>
      </c>
      <c r="N118" s="20">
        <f t="shared" si="18"/>
        <v>0</v>
      </c>
    </row>
    <row r="119" spans="1:17" s="135" customFormat="1" ht="30" x14ac:dyDescent="0.25">
      <c r="A119" s="41">
        <f>A114+1</f>
        <v>14</v>
      </c>
      <c r="B119" s="42" t="s">
        <v>72</v>
      </c>
      <c r="C119" s="154" t="s">
        <v>26</v>
      </c>
      <c r="D119" s="150">
        <f>D116*0.03</f>
        <v>13.5</v>
      </c>
      <c r="E119" s="209">
        <v>0.08</v>
      </c>
      <c r="F119" s="46"/>
      <c r="G119" s="184">
        <f t="shared" si="19"/>
        <v>0</v>
      </c>
      <c r="H119" s="209">
        <v>6.2400000000000011</v>
      </c>
      <c r="I119" s="46"/>
      <c r="J119" s="188">
        <f t="shared" si="20"/>
        <v>0</v>
      </c>
      <c r="K119" s="209">
        <v>4.992</v>
      </c>
      <c r="L119" s="49"/>
      <c r="M119" s="188">
        <f t="shared" si="21"/>
        <v>0</v>
      </c>
      <c r="N119" s="20">
        <f t="shared" si="18"/>
        <v>0</v>
      </c>
    </row>
    <row r="120" spans="1:17" s="132" customFormat="1" ht="30" x14ac:dyDescent="0.25">
      <c r="A120" s="55">
        <f>A119+0.1</f>
        <v>14.1</v>
      </c>
      <c r="B120" s="45" t="s">
        <v>73</v>
      </c>
      <c r="C120" s="45" t="s">
        <v>19</v>
      </c>
      <c r="D120" s="46">
        <f>D119*1.1</f>
        <v>14.850000000000001</v>
      </c>
      <c r="E120" s="209">
        <v>44.1</v>
      </c>
      <c r="F120" s="46"/>
      <c r="G120" s="184">
        <f t="shared" si="19"/>
        <v>0</v>
      </c>
      <c r="H120" s="209">
        <v>0</v>
      </c>
      <c r="I120" s="46"/>
      <c r="J120" s="188">
        <f t="shared" si="20"/>
        <v>0</v>
      </c>
      <c r="K120" s="209">
        <v>0</v>
      </c>
      <c r="L120" s="49"/>
      <c r="M120" s="188">
        <f t="shared" si="21"/>
        <v>0</v>
      </c>
      <c r="N120" s="20">
        <f t="shared" si="18"/>
        <v>0</v>
      </c>
    </row>
    <row r="121" spans="1:17" s="135" customFormat="1" ht="30" x14ac:dyDescent="0.25">
      <c r="A121" s="41">
        <f>A119+1</f>
        <v>15</v>
      </c>
      <c r="B121" s="42" t="s">
        <v>126</v>
      </c>
      <c r="C121" s="179" t="s">
        <v>15</v>
      </c>
      <c r="D121" s="150">
        <f>D116</f>
        <v>450</v>
      </c>
      <c r="E121" s="209">
        <v>0</v>
      </c>
      <c r="F121" s="46"/>
      <c r="G121" s="184">
        <f t="shared" si="19"/>
        <v>0</v>
      </c>
      <c r="H121" s="209">
        <v>0</v>
      </c>
      <c r="I121" s="46"/>
      <c r="J121" s="188">
        <f t="shared" si="20"/>
        <v>0</v>
      </c>
      <c r="K121" s="209">
        <v>0</v>
      </c>
      <c r="L121" s="49"/>
      <c r="M121" s="188">
        <f t="shared" si="21"/>
        <v>0</v>
      </c>
      <c r="N121" s="20"/>
    </row>
    <row r="122" spans="1:17" s="132" customFormat="1" x14ac:dyDescent="0.25">
      <c r="A122" s="44">
        <f>A121+0.1</f>
        <v>15.1</v>
      </c>
      <c r="B122" s="45" t="s">
        <v>127</v>
      </c>
      <c r="C122" s="45" t="s">
        <v>1</v>
      </c>
      <c r="D122" s="46">
        <f>D121*0.008</f>
        <v>3.6</v>
      </c>
      <c r="E122" s="209">
        <v>1750</v>
      </c>
      <c r="F122" s="46"/>
      <c r="G122" s="184">
        <f t="shared" si="19"/>
        <v>0</v>
      </c>
      <c r="H122" s="209">
        <v>0</v>
      </c>
      <c r="I122" s="46"/>
      <c r="J122" s="188">
        <f t="shared" si="20"/>
        <v>0</v>
      </c>
      <c r="K122" s="209">
        <v>0</v>
      </c>
      <c r="L122" s="49"/>
      <c r="M122" s="188">
        <f t="shared" si="21"/>
        <v>0</v>
      </c>
      <c r="N122" s="20">
        <f t="shared" si="18"/>
        <v>0</v>
      </c>
    </row>
    <row r="123" spans="1:17" s="81" customFormat="1" ht="17.100000000000001" customHeight="1" x14ac:dyDescent="0.3">
      <c r="A123" s="56"/>
      <c r="B123" s="17" t="s">
        <v>20</v>
      </c>
      <c r="C123" s="57"/>
      <c r="D123" s="17"/>
      <c r="E123" s="210"/>
      <c r="F123" s="57"/>
      <c r="G123" s="58">
        <f>SUM(G88:G122)</f>
        <v>0</v>
      </c>
      <c r="H123" s="209"/>
      <c r="I123" s="146"/>
      <c r="J123" s="172">
        <f>SUM(J88:J122)</f>
        <v>0</v>
      </c>
      <c r="K123" s="209"/>
      <c r="L123" s="146"/>
      <c r="M123" s="172">
        <f>SUM(M88:M122)</f>
        <v>0</v>
      </c>
      <c r="N123" s="142">
        <f>SUM(N88:N122)</f>
        <v>0</v>
      </c>
      <c r="O123" s="83"/>
      <c r="P123" s="82"/>
      <c r="Q123" s="82"/>
    </row>
    <row r="124" spans="1:17" s="81" customFormat="1" ht="17.100000000000001" customHeight="1" x14ac:dyDescent="0.3">
      <c r="A124" s="56"/>
      <c r="B124" s="60" t="s">
        <v>21</v>
      </c>
      <c r="C124" s="60" t="s">
        <v>2</v>
      </c>
      <c r="D124" s="156" t="s">
        <v>210</v>
      </c>
      <c r="E124" s="210"/>
      <c r="F124" s="57"/>
      <c r="G124" s="57"/>
      <c r="H124" s="209"/>
      <c r="I124" s="146"/>
      <c r="J124" s="172"/>
      <c r="K124" s="209"/>
      <c r="L124" s="146"/>
      <c r="M124" s="172"/>
      <c r="N124" s="61">
        <f>IFERROR(N123*D124,0)</f>
        <v>0</v>
      </c>
      <c r="O124" s="83"/>
      <c r="P124" s="82"/>
      <c r="Q124" s="82"/>
    </row>
    <row r="125" spans="1:17" s="81" customFormat="1" ht="17.100000000000001" customHeight="1" x14ac:dyDescent="0.3">
      <c r="A125" s="62"/>
      <c r="B125" s="26" t="s">
        <v>22</v>
      </c>
      <c r="C125" s="65" t="s">
        <v>2</v>
      </c>
      <c r="D125" s="145"/>
      <c r="E125" s="213"/>
      <c r="F125" s="26"/>
      <c r="G125" s="68"/>
      <c r="H125" s="209"/>
      <c r="I125" s="172"/>
      <c r="J125" s="172"/>
      <c r="K125" s="209"/>
      <c r="L125" s="146"/>
      <c r="M125" s="172"/>
      <c r="N125" s="68">
        <f>SUM(N123:N124)</f>
        <v>0</v>
      </c>
      <c r="O125" s="83"/>
      <c r="P125" s="82"/>
      <c r="Q125" s="82"/>
    </row>
    <row r="126" spans="1:17" s="81" customFormat="1" ht="17.100000000000001" customHeight="1" x14ac:dyDescent="0.3">
      <c r="A126" s="56"/>
      <c r="B126" s="60" t="s">
        <v>23</v>
      </c>
      <c r="C126" s="60" t="s">
        <v>2</v>
      </c>
      <c r="D126" s="160" t="s">
        <v>210</v>
      </c>
      <c r="E126" s="210"/>
      <c r="F126" s="57"/>
      <c r="G126" s="57"/>
      <c r="H126" s="209"/>
      <c r="I126" s="146"/>
      <c r="J126" s="172"/>
      <c r="K126" s="209"/>
      <c r="L126" s="146"/>
      <c r="M126" s="172"/>
      <c r="N126" s="61">
        <f>IFERROR(N125*D126,0)</f>
        <v>0</v>
      </c>
      <c r="O126" s="83"/>
      <c r="P126" s="82"/>
      <c r="Q126" s="82"/>
    </row>
    <row r="127" spans="1:17" s="81" customFormat="1" ht="17.100000000000001" customHeight="1" x14ac:dyDescent="0.3">
      <c r="A127" s="56"/>
      <c r="B127" s="57" t="s">
        <v>74</v>
      </c>
      <c r="C127" s="57"/>
      <c r="D127" s="17"/>
      <c r="E127" s="210"/>
      <c r="F127" s="57"/>
      <c r="G127" s="57"/>
      <c r="H127" s="209"/>
      <c r="I127" s="146"/>
      <c r="J127" s="172"/>
      <c r="K127" s="209"/>
      <c r="L127" s="146"/>
      <c r="M127" s="172"/>
      <c r="N127" s="59">
        <f>SUM(N125:N126)</f>
        <v>0</v>
      </c>
      <c r="O127" s="83"/>
      <c r="P127" s="82"/>
      <c r="Q127" s="82"/>
    </row>
    <row r="128" spans="1:17" s="132" customFormat="1" ht="26.25" customHeight="1" x14ac:dyDescent="0.25">
      <c r="A128" s="178"/>
      <c r="B128" s="31" t="s">
        <v>166</v>
      </c>
      <c r="C128" s="32"/>
      <c r="D128" s="46"/>
      <c r="E128" s="209"/>
      <c r="F128" s="46"/>
      <c r="G128" s="46"/>
      <c r="H128" s="209"/>
      <c r="I128" s="46"/>
      <c r="J128" s="46"/>
      <c r="K128" s="209"/>
      <c r="L128" s="49"/>
      <c r="M128" s="49"/>
      <c r="N128" s="33"/>
    </row>
    <row r="129" spans="1:14" s="130" customFormat="1" ht="45" x14ac:dyDescent="0.25">
      <c r="A129" s="110">
        <v>1</v>
      </c>
      <c r="B129" s="35" t="s">
        <v>205</v>
      </c>
      <c r="C129" s="35" t="s">
        <v>19</v>
      </c>
      <c r="D129" s="108">
        <v>1.7</v>
      </c>
      <c r="E129" s="215">
        <v>0.08</v>
      </c>
      <c r="F129" s="36"/>
      <c r="G129" s="36">
        <f>D129*F129</f>
        <v>0</v>
      </c>
      <c r="H129" s="215">
        <v>21.119999999999997</v>
      </c>
      <c r="I129" s="36"/>
      <c r="J129" s="188">
        <f>D129*I129</f>
        <v>0</v>
      </c>
      <c r="K129" s="215">
        <v>4.24</v>
      </c>
      <c r="L129" s="36"/>
      <c r="M129" s="188">
        <f>D129*L129</f>
        <v>0</v>
      </c>
      <c r="N129" s="20">
        <f t="shared" ref="N129:N163" si="24">SUM(M129,J129,G129)</f>
        <v>0</v>
      </c>
    </row>
    <row r="130" spans="1:14" s="136" customFormat="1" x14ac:dyDescent="0.25">
      <c r="A130" s="55">
        <f>A129+0.1</f>
        <v>1.1000000000000001</v>
      </c>
      <c r="B130" s="15" t="s">
        <v>157</v>
      </c>
      <c r="C130" s="15" t="s">
        <v>19</v>
      </c>
      <c r="D130" s="36">
        <f>D129*1.22</f>
        <v>2.0739999999999998</v>
      </c>
      <c r="E130" s="215">
        <v>21.8</v>
      </c>
      <c r="F130" s="36"/>
      <c r="G130" s="36">
        <f t="shared" ref="G130:G163" si="25">D130*F130</f>
        <v>0</v>
      </c>
      <c r="H130" s="221">
        <v>0</v>
      </c>
      <c r="I130" s="195"/>
      <c r="J130" s="188">
        <f t="shared" ref="J130:J163" si="26">D130*I130</f>
        <v>0</v>
      </c>
      <c r="K130" s="221">
        <v>0</v>
      </c>
      <c r="L130" s="195"/>
      <c r="M130" s="188">
        <f t="shared" ref="M130:M163" si="27">D130*L130</f>
        <v>0</v>
      </c>
      <c r="N130" s="20">
        <f t="shared" si="24"/>
        <v>0</v>
      </c>
    </row>
    <row r="131" spans="1:14" s="137" customFormat="1" x14ac:dyDescent="0.25">
      <c r="A131" s="111">
        <f>A129+1</f>
        <v>2</v>
      </c>
      <c r="B131" s="107" t="s">
        <v>167</v>
      </c>
      <c r="C131" s="107" t="s">
        <v>1</v>
      </c>
      <c r="D131" s="108">
        <f>D132/1000</f>
        <v>3.7400000000000003E-2</v>
      </c>
      <c r="E131" s="215">
        <v>28.6</v>
      </c>
      <c r="F131" s="39"/>
      <c r="G131" s="36">
        <f t="shared" si="25"/>
        <v>0</v>
      </c>
      <c r="H131" s="221">
        <v>73.8</v>
      </c>
      <c r="I131" s="184"/>
      <c r="J131" s="188">
        <f t="shared" si="26"/>
        <v>0</v>
      </c>
      <c r="K131" s="221">
        <v>5.6</v>
      </c>
      <c r="L131" s="195"/>
      <c r="M131" s="188">
        <f t="shared" si="27"/>
        <v>0</v>
      </c>
      <c r="N131" s="20">
        <f t="shared" si="24"/>
        <v>0</v>
      </c>
    </row>
    <row r="132" spans="1:14" s="137" customFormat="1" x14ac:dyDescent="0.25">
      <c r="A132" s="55">
        <f>A131+0.1</f>
        <v>2.1</v>
      </c>
      <c r="B132" s="151" t="s">
        <v>165</v>
      </c>
      <c r="C132" s="151" t="s">
        <v>37</v>
      </c>
      <c r="D132" s="49">
        <f>D135*10*1.1*0.4</f>
        <v>37.400000000000006</v>
      </c>
      <c r="E132" s="214">
        <v>2.5249999999999999</v>
      </c>
      <c r="F132" s="120"/>
      <c r="G132" s="36">
        <f t="shared" si="25"/>
        <v>0</v>
      </c>
      <c r="H132" s="209">
        <v>0</v>
      </c>
      <c r="I132" s="13"/>
      <c r="J132" s="188">
        <f t="shared" si="26"/>
        <v>0</v>
      </c>
      <c r="K132" s="211">
        <v>0</v>
      </c>
      <c r="L132" s="203"/>
      <c r="M132" s="188">
        <f t="shared" si="27"/>
        <v>0</v>
      </c>
      <c r="N132" s="20">
        <f t="shared" si="24"/>
        <v>0</v>
      </c>
    </row>
    <row r="133" spans="1:14" s="130" customFormat="1" ht="30" x14ac:dyDescent="0.25">
      <c r="A133" s="110">
        <f>A131+1</f>
        <v>3</v>
      </c>
      <c r="B133" s="103" t="s">
        <v>179</v>
      </c>
      <c r="C133" s="103" t="s">
        <v>19</v>
      </c>
      <c r="D133" s="108">
        <f>D135*0.1</f>
        <v>0.85000000000000009</v>
      </c>
      <c r="E133" s="215">
        <v>2.48</v>
      </c>
      <c r="F133" s="40"/>
      <c r="G133" s="36">
        <f t="shared" si="25"/>
        <v>0</v>
      </c>
      <c r="H133" s="221">
        <v>8.2200000000000006</v>
      </c>
      <c r="I133" s="189"/>
      <c r="J133" s="188">
        <f t="shared" si="26"/>
        <v>0</v>
      </c>
      <c r="K133" s="221">
        <v>1.1200000000000001</v>
      </c>
      <c r="L133" s="195"/>
      <c r="M133" s="188">
        <f t="shared" si="27"/>
        <v>0</v>
      </c>
      <c r="N133" s="20">
        <f t="shared" si="24"/>
        <v>0</v>
      </c>
    </row>
    <row r="134" spans="1:14" s="130" customFormat="1" x14ac:dyDescent="0.25">
      <c r="A134" s="55">
        <f>A133+0.1</f>
        <v>3.1</v>
      </c>
      <c r="B134" s="18" t="s">
        <v>34</v>
      </c>
      <c r="C134" s="37" t="s">
        <v>19</v>
      </c>
      <c r="D134" s="39">
        <f>D133*1.02</f>
        <v>0.8670000000000001</v>
      </c>
      <c r="E134" s="215">
        <v>138</v>
      </c>
      <c r="F134" s="40"/>
      <c r="G134" s="36">
        <f t="shared" si="25"/>
        <v>0</v>
      </c>
      <c r="H134" s="221">
        <v>0</v>
      </c>
      <c r="I134" s="189"/>
      <c r="J134" s="188">
        <f t="shared" si="26"/>
        <v>0</v>
      </c>
      <c r="K134" s="221">
        <v>0</v>
      </c>
      <c r="L134" s="195"/>
      <c r="M134" s="188">
        <f t="shared" si="27"/>
        <v>0</v>
      </c>
      <c r="N134" s="20">
        <f t="shared" si="24"/>
        <v>0</v>
      </c>
    </row>
    <row r="135" spans="1:14" s="130" customFormat="1" ht="30" x14ac:dyDescent="0.25">
      <c r="A135" s="109">
        <f>A133+1</f>
        <v>4</v>
      </c>
      <c r="B135" s="42" t="s">
        <v>168</v>
      </c>
      <c r="C135" s="179" t="s">
        <v>15</v>
      </c>
      <c r="D135" s="14">
        <v>8.5</v>
      </c>
      <c r="E135" s="215">
        <v>0.72</v>
      </c>
      <c r="F135" s="40"/>
      <c r="G135" s="36">
        <f t="shared" si="25"/>
        <v>0</v>
      </c>
      <c r="H135" s="221">
        <v>6.3180000000000005</v>
      </c>
      <c r="I135" s="198"/>
      <c r="J135" s="188">
        <f t="shared" si="26"/>
        <v>0</v>
      </c>
      <c r="K135" s="221">
        <v>5.1999999999999998E-2</v>
      </c>
      <c r="L135" s="191"/>
      <c r="M135" s="188">
        <f t="shared" si="27"/>
        <v>0</v>
      </c>
      <c r="N135" s="20">
        <f t="shared" si="24"/>
        <v>0</v>
      </c>
    </row>
    <row r="136" spans="1:14" s="130" customFormat="1" x14ac:dyDescent="0.25">
      <c r="A136" s="55">
        <f>A135+0.1</f>
        <v>4.0999999999999996</v>
      </c>
      <c r="B136" s="45" t="s">
        <v>158</v>
      </c>
      <c r="C136" s="70" t="s">
        <v>36</v>
      </c>
      <c r="D136" s="39">
        <f>D135*0.186</f>
        <v>1.581</v>
      </c>
      <c r="E136" s="215">
        <v>0.85</v>
      </c>
      <c r="F136" s="40"/>
      <c r="G136" s="36">
        <f t="shared" si="25"/>
        <v>0</v>
      </c>
      <c r="H136" s="221">
        <v>0</v>
      </c>
      <c r="I136" s="198"/>
      <c r="J136" s="188">
        <f t="shared" si="26"/>
        <v>0</v>
      </c>
      <c r="K136" s="221">
        <v>0</v>
      </c>
      <c r="L136" s="191"/>
      <c r="M136" s="188">
        <f t="shared" si="27"/>
        <v>0</v>
      </c>
      <c r="N136" s="20">
        <f t="shared" si="24"/>
        <v>0</v>
      </c>
    </row>
    <row r="137" spans="1:14" s="130" customFormat="1" x14ac:dyDescent="0.25">
      <c r="A137" s="106">
        <f t="shared" ref="A137" si="28">A136+0.1</f>
        <v>4.1999999999999993</v>
      </c>
      <c r="B137" s="70" t="s">
        <v>159</v>
      </c>
      <c r="C137" s="70" t="s">
        <v>36</v>
      </c>
      <c r="D137" s="39">
        <f>D135*0.5</f>
        <v>4.25</v>
      </c>
      <c r="E137" s="215">
        <v>0.3</v>
      </c>
      <c r="F137" s="40"/>
      <c r="G137" s="36">
        <f t="shared" si="25"/>
        <v>0</v>
      </c>
      <c r="H137" s="221">
        <v>0</v>
      </c>
      <c r="I137" s="198"/>
      <c r="J137" s="188">
        <f t="shared" si="26"/>
        <v>0</v>
      </c>
      <c r="K137" s="221">
        <v>0</v>
      </c>
      <c r="L137" s="191"/>
      <c r="M137" s="188">
        <f t="shared" si="27"/>
        <v>0</v>
      </c>
      <c r="N137" s="20">
        <f t="shared" si="24"/>
        <v>0</v>
      </c>
    </row>
    <row r="138" spans="1:14" ht="45" x14ac:dyDescent="0.25">
      <c r="A138" s="89">
        <v>5</v>
      </c>
      <c r="B138" s="154" t="s">
        <v>175</v>
      </c>
      <c r="C138" s="90" t="s">
        <v>19</v>
      </c>
      <c r="D138" s="7">
        <v>0.7</v>
      </c>
      <c r="E138" s="214">
        <v>0.08</v>
      </c>
      <c r="F138" s="125"/>
      <c r="G138" s="36">
        <f t="shared" si="25"/>
        <v>0</v>
      </c>
      <c r="H138" s="220">
        <v>6.9420000000000002</v>
      </c>
      <c r="I138" s="199"/>
      <c r="J138" s="188">
        <f t="shared" si="26"/>
        <v>0</v>
      </c>
      <c r="K138" s="220">
        <v>1.4800000000000002</v>
      </c>
      <c r="L138" s="188"/>
      <c r="M138" s="188">
        <f t="shared" si="27"/>
        <v>0</v>
      </c>
      <c r="N138" s="20">
        <f t="shared" si="24"/>
        <v>0</v>
      </c>
    </row>
    <row r="139" spans="1:14" x14ac:dyDescent="0.25">
      <c r="A139" s="55">
        <f>A138+0.1</f>
        <v>5.0999999999999996</v>
      </c>
      <c r="B139" s="18" t="s">
        <v>33</v>
      </c>
      <c r="C139" s="18" t="s">
        <v>19</v>
      </c>
      <c r="D139" s="49">
        <f>D138*1.15</f>
        <v>0.80499999999999994</v>
      </c>
      <c r="E139" s="209">
        <v>13.8</v>
      </c>
      <c r="F139" s="13"/>
      <c r="G139" s="36">
        <f t="shared" si="25"/>
        <v>0</v>
      </c>
      <c r="H139" s="218">
        <v>0</v>
      </c>
      <c r="I139" s="193"/>
      <c r="J139" s="188">
        <f t="shared" si="26"/>
        <v>0</v>
      </c>
      <c r="K139" s="218">
        <v>0</v>
      </c>
      <c r="L139" s="118"/>
      <c r="M139" s="188">
        <f t="shared" si="27"/>
        <v>0</v>
      </c>
      <c r="N139" s="20">
        <f t="shared" si="24"/>
        <v>0</v>
      </c>
    </row>
    <row r="140" spans="1:14" s="116" customFormat="1" x14ac:dyDescent="0.25">
      <c r="A140" s="89">
        <f>A138+1</f>
        <v>6</v>
      </c>
      <c r="B140" s="154" t="s">
        <v>176</v>
      </c>
      <c r="C140" s="154" t="s">
        <v>19</v>
      </c>
      <c r="D140" s="7">
        <v>2</v>
      </c>
      <c r="E140" s="209">
        <v>3.12</v>
      </c>
      <c r="F140" s="13"/>
      <c r="G140" s="36">
        <f t="shared" si="25"/>
        <v>0</v>
      </c>
      <c r="H140" s="218">
        <v>14.52</v>
      </c>
      <c r="I140" s="187"/>
      <c r="J140" s="188">
        <f t="shared" si="26"/>
        <v>0</v>
      </c>
      <c r="K140" s="218">
        <v>4.32</v>
      </c>
      <c r="L140" s="192"/>
      <c r="M140" s="188">
        <f t="shared" si="27"/>
        <v>0</v>
      </c>
      <c r="N140" s="20">
        <f t="shared" si="24"/>
        <v>0</v>
      </c>
    </row>
    <row r="141" spans="1:14" s="116" customFormat="1" x14ac:dyDescent="0.25">
      <c r="A141" s="55">
        <f>A140+0.1</f>
        <v>6.1</v>
      </c>
      <c r="B141" s="18" t="s">
        <v>34</v>
      </c>
      <c r="C141" s="18" t="s">
        <v>19</v>
      </c>
      <c r="D141" s="49">
        <f>D140*1.02</f>
        <v>2.04</v>
      </c>
      <c r="E141" s="209">
        <v>138</v>
      </c>
      <c r="F141" s="13"/>
      <c r="G141" s="36">
        <f t="shared" si="25"/>
        <v>0</v>
      </c>
      <c r="H141" s="218">
        <v>0</v>
      </c>
      <c r="I141" s="187"/>
      <c r="J141" s="188">
        <f t="shared" si="26"/>
        <v>0</v>
      </c>
      <c r="K141" s="218">
        <v>0</v>
      </c>
      <c r="L141" s="192"/>
      <c r="M141" s="188">
        <f t="shared" si="27"/>
        <v>0</v>
      </c>
      <c r="N141" s="20">
        <f t="shared" si="24"/>
        <v>0</v>
      </c>
    </row>
    <row r="142" spans="1:14" s="116" customFormat="1" x14ac:dyDescent="0.25">
      <c r="A142" s="55">
        <f t="shared" ref="A142:A143" si="29">A141+0.1</f>
        <v>6.1999999999999993</v>
      </c>
      <c r="B142" s="18" t="s">
        <v>116</v>
      </c>
      <c r="C142" s="18" t="s">
        <v>36</v>
      </c>
      <c r="D142" s="49">
        <v>21.3</v>
      </c>
      <c r="E142" s="214">
        <v>2.6560000000000001</v>
      </c>
      <c r="F142" s="120"/>
      <c r="G142" s="36">
        <f t="shared" si="25"/>
        <v>0</v>
      </c>
      <c r="H142" s="218">
        <v>0</v>
      </c>
      <c r="I142" s="187"/>
      <c r="J142" s="188">
        <f t="shared" si="26"/>
        <v>0</v>
      </c>
      <c r="K142" s="218">
        <v>0</v>
      </c>
      <c r="L142" s="192"/>
      <c r="M142" s="188">
        <f t="shared" si="27"/>
        <v>0</v>
      </c>
      <c r="N142" s="20">
        <f t="shared" si="24"/>
        <v>0</v>
      </c>
    </row>
    <row r="143" spans="1:14" s="116" customFormat="1" x14ac:dyDescent="0.25">
      <c r="A143" s="55">
        <f t="shared" si="29"/>
        <v>6.2999999999999989</v>
      </c>
      <c r="B143" s="18" t="s">
        <v>117</v>
      </c>
      <c r="C143" s="18" t="s">
        <v>36</v>
      </c>
      <c r="D143" s="49">
        <v>52.4</v>
      </c>
      <c r="E143" s="214">
        <v>2.5249999999999999</v>
      </c>
      <c r="F143" s="120"/>
      <c r="G143" s="36">
        <f t="shared" si="25"/>
        <v>0</v>
      </c>
      <c r="H143" s="218">
        <v>0</v>
      </c>
      <c r="I143" s="187"/>
      <c r="J143" s="188">
        <f t="shared" si="26"/>
        <v>0</v>
      </c>
      <c r="K143" s="218">
        <v>0</v>
      </c>
      <c r="L143" s="192"/>
      <c r="M143" s="188">
        <f t="shared" si="27"/>
        <v>0</v>
      </c>
      <c r="N143" s="20">
        <f t="shared" si="24"/>
        <v>0</v>
      </c>
    </row>
    <row r="144" spans="1:14" s="116" customFormat="1" x14ac:dyDescent="0.25">
      <c r="A144" s="89">
        <f>A140+1</f>
        <v>7</v>
      </c>
      <c r="B144" s="154" t="s">
        <v>177</v>
      </c>
      <c r="C144" s="103" t="s">
        <v>15</v>
      </c>
      <c r="D144" s="7">
        <v>4.8</v>
      </c>
      <c r="E144" s="209">
        <v>0.2</v>
      </c>
      <c r="F144" s="13"/>
      <c r="G144" s="36">
        <f t="shared" si="25"/>
        <v>0</v>
      </c>
      <c r="H144" s="218">
        <v>4.6739999999999995</v>
      </c>
      <c r="I144" s="187"/>
      <c r="J144" s="188">
        <f t="shared" si="26"/>
        <v>0</v>
      </c>
      <c r="K144" s="218">
        <v>0.4</v>
      </c>
      <c r="L144" s="192"/>
      <c r="M144" s="188">
        <f t="shared" si="27"/>
        <v>0</v>
      </c>
      <c r="N144" s="20">
        <f t="shared" si="24"/>
        <v>0</v>
      </c>
    </row>
    <row r="145" spans="1:14" s="116" customFormat="1" x14ac:dyDescent="0.25">
      <c r="A145" s="55">
        <f>A144+0.1</f>
        <v>7.1</v>
      </c>
      <c r="B145" s="18" t="s">
        <v>171</v>
      </c>
      <c r="C145" s="18" t="s">
        <v>35</v>
      </c>
      <c r="D145" s="49">
        <f>D144*1.02</f>
        <v>4.8959999999999999</v>
      </c>
      <c r="E145" s="209">
        <v>35</v>
      </c>
      <c r="F145" s="13"/>
      <c r="G145" s="36">
        <f t="shared" si="25"/>
        <v>0</v>
      </c>
      <c r="H145" s="218">
        <v>0</v>
      </c>
      <c r="I145" s="187"/>
      <c r="J145" s="188">
        <f t="shared" si="26"/>
        <v>0</v>
      </c>
      <c r="K145" s="218">
        <v>0</v>
      </c>
      <c r="L145" s="192"/>
      <c r="M145" s="188">
        <f t="shared" si="27"/>
        <v>0</v>
      </c>
      <c r="N145" s="20">
        <f t="shared" si="24"/>
        <v>0</v>
      </c>
    </row>
    <row r="146" spans="1:14" s="116" customFormat="1" x14ac:dyDescent="0.25">
      <c r="A146" s="180">
        <f t="shared" ref="A146" si="30">A145+0.1</f>
        <v>7.1999999999999993</v>
      </c>
      <c r="B146" s="18" t="s">
        <v>172</v>
      </c>
      <c r="C146" s="18" t="s">
        <v>36</v>
      </c>
      <c r="D146" s="49">
        <v>28.799999999999997</v>
      </c>
      <c r="E146" s="209">
        <v>0.65</v>
      </c>
      <c r="F146" s="13"/>
      <c r="G146" s="36">
        <f t="shared" si="25"/>
        <v>0</v>
      </c>
      <c r="H146" s="218">
        <v>0</v>
      </c>
      <c r="I146" s="187"/>
      <c r="J146" s="188">
        <f t="shared" si="26"/>
        <v>0</v>
      </c>
      <c r="K146" s="218">
        <v>0</v>
      </c>
      <c r="L146" s="192"/>
      <c r="M146" s="188">
        <f t="shared" si="27"/>
        <v>0</v>
      </c>
      <c r="N146" s="20">
        <f t="shared" si="24"/>
        <v>0</v>
      </c>
    </row>
    <row r="147" spans="1:14" ht="30" x14ac:dyDescent="0.25">
      <c r="A147" s="89">
        <f>A144+1</f>
        <v>8</v>
      </c>
      <c r="B147" s="154" t="s">
        <v>52</v>
      </c>
      <c r="C147" s="103" t="s">
        <v>15</v>
      </c>
      <c r="D147" s="7">
        <v>2</v>
      </c>
      <c r="E147" s="209">
        <v>0</v>
      </c>
      <c r="F147" s="49"/>
      <c r="G147" s="36">
        <f t="shared" si="25"/>
        <v>0</v>
      </c>
      <c r="H147" s="218">
        <v>7.2540000000000004</v>
      </c>
      <c r="I147" s="187"/>
      <c r="J147" s="188">
        <f t="shared" si="26"/>
        <v>0</v>
      </c>
      <c r="K147" s="218">
        <v>0.32479999999999998</v>
      </c>
      <c r="L147" s="192"/>
      <c r="M147" s="188">
        <f t="shared" si="27"/>
        <v>0</v>
      </c>
      <c r="N147" s="20">
        <f t="shared" si="24"/>
        <v>0</v>
      </c>
    </row>
    <row r="148" spans="1:14" x14ac:dyDescent="0.25">
      <c r="A148" s="55">
        <f>A147+0.1</f>
        <v>8.1</v>
      </c>
      <c r="B148" s="18" t="s">
        <v>53</v>
      </c>
      <c r="C148" s="18" t="s">
        <v>19</v>
      </c>
      <c r="D148" s="49">
        <v>5.1200000000000002E-2</v>
      </c>
      <c r="E148" s="209">
        <v>98</v>
      </c>
      <c r="F148" s="13"/>
      <c r="G148" s="36">
        <f t="shared" si="25"/>
        <v>0</v>
      </c>
      <c r="H148" s="218">
        <v>0</v>
      </c>
      <c r="I148" s="187"/>
      <c r="J148" s="188">
        <f t="shared" si="26"/>
        <v>0</v>
      </c>
      <c r="K148" s="218">
        <v>0</v>
      </c>
      <c r="L148" s="192"/>
      <c r="M148" s="188">
        <f t="shared" si="27"/>
        <v>0</v>
      </c>
      <c r="N148" s="20">
        <f t="shared" si="24"/>
        <v>0</v>
      </c>
    </row>
    <row r="149" spans="1:14" ht="30" x14ac:dyDescent="0.25">
      <c r="A149" s="115">
        <f>A147+1</f>
        <v>9</v>
      </c>
      <c r="B149" s="154" t="s">
        <v>54</v>
      </c>
      <c r="C149" s="179" t="s">
        <v>15</v>
      </c>
      <c r="D149" s="7">
        <f>D147</f>
        <v>2</v>
      </c>
      <c r="E149" s="209">
        <v>6.4000000000000001E-2</v>
      </c>
      <c r="F149" s="49"/>
      <c r="G149" s="36">
        <f t="shared" si="25"/>
        <v>0</v>
      </c>
      <c r="H149" s="218">
        <v>5.1324000000000005</v>
      </c>
      <c r="I149" s="187"/>
      <c r="J149" s="188">
        <f t="shared" si="26"/>
        <v>0</v>
      </c>
      <c r="K149" s="218">
        <v>0.04</v>
      </c>
      <c r="L149" s="192"/>
      <c r="M149" s="188">
        <f t="shared" si="27"/>
        <v>0</v>
      </c>
      <c r="N149" s="20">
        <f t="shared" si="24"/>
        <v>0</v>
      </c>
    </row>
    <row r="150" spans="1:14" x14ac:dyDescent="0.25">
      <c r="A150" s="55">
        <f>A149+0.1</f>
        <v>9.1</v>
      </c>
      <c r="B150" s="18" t="s">
        <v>55</v>
      </c>
      <c r="C150" s="18" t="s">
        <v>36</v>
      </c>
      <c r="D150" s="49">
        <v>1.26</v>
      </c>
      <c r="E150" s="209">
        <v>9</v>
      </c>
      <c r="F150" s="49"/>
      <c r="G150" s="36">
        <f t="shared" si="25"/>
        <v>0</v>
      </c>
      <c r="H150" s="218">
        <v>0</v>
      </c>
      <c r="I150" s="187"/>
      <c r="J150" s="188">
        <f t="shared" si="26"/>
        <v>0</v>
      </c>
      <c r="K150" s="218">
        <v>0</v>
      </c>
      <c r="L150" s="192"/>
      <c r="M150" s="188">
        <f t="shared" si="27"/>
        <v>0</v>
      </c>
      <c r="N150" s="20">
        <f t="shared" si="24"/>
        <v>0</v>
      </c>
    </row>
    <row r="151" spans="1:14" x14ac:dyDescent="0.25">
      <c r="A151" s="114">
        <f>A150+0.1</f>
        <v>9.1999999999999993</v>
      </c>
      <c r="B151" s="18" t="s">
        <v>56</v>
      </c>
      <c r="C151" s="18" t="s">
        <v>36</v>
      </c>
      <c r="D151" s="49">
        <v>1.58</v>
      </c>
      <c r="E151" s="209">
        <v>1.8</v>
      </c>
      <c r="F151" s="49"/>
      <c r="G151" s="36">
        <f t="shared" si="25"/>
        <v>0</v>
      </c>
      <c r="H151" s="218">
        <v>0</v>
      </c>
      <c r="I151" s="187"/>
      <c r="J151" s="188">
        <f t="shared" si="26"/>
        <v>0</v>
      </c>
      <c r="K151" s="218">
        <v>0</v>
      </c>
      <c r="L151" s="192"/>
      <c r="M151" s="188">
        <f t="shared" si="27"/>
        <v>0</v>
      </c>
      <c r="N151" s="20">
        <f t="shared" si="24"/>
        <v>0</v>
      </c>
    </row>
    <row r="152" spans="1:14" x14ac:dyDescent="0.25">
      <c r="A152" s="89">
        <f>A149+1</f>
        <v>10</v>
      </c>
      <c r="B152" s="27" t="s">
        <v>178</v>
      </c>
      <c r="C152" s="27" t="s">
        <v>1</v>
      </c>
      <c r="D152" s="147">
        <v>0.122976</v>
      </c>
      <c r="E152" s="217">
        <v>38.336000000000006</v>
      </c>
      <c r="F152" s="29"/>
      <c r="G152" s="36">
        <f t="shared" si="25"/>
        <v>0</v>
      </c>
      <c r="H152" s="218">
        <v>151.32</v>
      </c>
      <c r="I152" s="187"/>
      <c r="J152" s="188">
        <f t="shared" si="26"/>
        <v>0</v>
      </c>
      <c r="K152" s="218">
        <v>8.36</v>
      </c>
      <c r="L152" s="192"/>
      <c r="M152" s="188">
        <f t="shared" si="27"/>
        <v>0</v>
      </c>
      <c r="N152" s="20">
        <f t="shared" si="24"/>
        <v>0</v>
      </c>
    </row>
    <row r="153" spans="1:14" x14ac:dyDescent="0.25">
      <c r="A153" s="55">
        <f>A152+0.1</f>
        <v>10.1</v>
      </c>
      <c r="B153" s="86" t="s">
        <v>42</v>
      </c>
      <c r="C153" s="86" t="s">
        <v>40</v>
      </c>
      <c r="D153" s="29">
        <v>36.6</v>
      </c>
      <c r="E153" s="217">
        <v>11.86</v>
      </c>
      <c r="F153" s="29"/>
      <c r="G153" s="36">
        <f t="shared" si="25"/>
        <v>0</v>
      </c>
      <c r="H153" s="218">
        <v>0</v>
      </c>
      <c r="I153" s="192"/>
      <c r="J153" s="188">
        <f t="shared" si="26"/>
        <v>0</v>
      </c>
      <c r="K153" s="218">
        <v>0</v>
      </c>
      <c r="L153" s="192"/>
      <c r="M153" s="188">
        <f t="shared" si="27"/>
        <v>0</v>
      </c>
      <c r="N153" s="20">
        <f t="shared" si="24"/>
        <v>0</v>
      </c>
    </row>
    <row r="154" spans="1:14" s="104" customFormat="1" x14ac:dyDescent="0.25">
      <c r="A154" s="102">
        <f>A152+1</f>
        <v>11</v>
      </c>
      <c r="B154" s="103" t="s">
        <v>180</v>
      </c>
      <c r="C154" s="103" t="s">
        <v>15</v>
      </c>
      <c r="D154" s="14">
        <f>D153*0.16</f>
        <v>5.8560000000000008</v>
      </c>
      <c r="E154" s="215">
        <v>7.6E-3</v>
      </c>
      <c r="F154" s="38"/>
      <c r="G154" s="36">
        <f t="shared" si="25"/>
        <v>0</v>
      </c>
      <c r="H154" s="215">
        <v>5.3040000000000003</v>
      </c>
      <c r="I154" s="37"/>
      <c r="J154" s="188">
        <f t="shared" si="26"/>
        <v>0</v>
      </c>
      <c r="K154" s="215">
        <v>0</v>
      </c>
      <c r="L154" s="208"/>
      <c r="M154" s="188">
        <f t="shared" si="27"/>
        <v>0</v>
      </c>
      <c r="N154" s="20">
        <f t="shared" si="24"/>
        <v>0</v>
      </c>
    </row>
    <row r="155" spans="1:14" s="104" customFormat="1" x14ac:dyDescent="0.25">
      <c r="A155" s="55">
        <f>A154+0.1</f>
        <v>11.1</v>
      </c>
      <c r="B155" s="37" t="s">
        <v>173</v>
      </c>
      <c r="C155" s="37" t="s">
        <v>36</v>
      </c>
      <c r="D155" s="36">
        <f>D154*0.5</f>
        <v>2.9280000000000004</v>
      </c>
      <c r="E155" s="215">
        <v>5.0999999999999996</v>
      </c>
      <c r="F155" s="40"/>
      <c r="G155" s="36">
        <f t="shared" si="25"/>
        <v>0</v>
      </c>
      <c r="H155" s="215">
        <v>0</v>
      </c>
      <c r="I155" s="37"/>
      <c r="J155" s="188">
        <f t="shared" si="26"/>
        <v>0</v>
      </c>
      <c r="K155" s="215">
        <v>0</v>
      </c>
      <c r="L155" s="15"/>
      <c r="M155" s="188">
        <f t="shared" si="27"/>
        <v>0</v>
      </c>
      <c r="N155" s="20">
        <f t="shared" si="24"/>
        <v>0</v>
      </c>
    </row>
    <row r="156" spans="1:14" s="104" customFormat="1" x14ac:dyDescent="0.25">
      <c r="A156" s="114">
        <f t="shared" ref="A156" si="31">A155+0.1</f>
        <v>11.2</v>
      </c>
      <c r="B156" s="37" t="s">
        <v>174</v>
      </c>
      <c r="C156" s="37" t="s">
        <v>36</v>
      </c>
      <c r="D156" s="36">
        <f>D154*0.027</f>
        <v>0.15811200000000003</v>
      </c>
      <c r="E156" s="215">
        <v>3.8</v>
      </c>
      <c r="F156" s="40"/>
      <c r="G156" s="36">
        <f t="shared" si="25"/>
        <v>0</v>
      </c>
      <c r="H156" s="215">
        <v>0</v>
      </c>
      <c r="I156" s="37"/>
      <c r="J156" s="188">
        <f t="shared" si="26"/>
        <v>0</v>
      </c>
      <c r="K156" s="215">
        <v>0</v>
      </c>
      <c r="L156" s="15"/>
      <c r="M156" s="188">
        <f t="shared" si="27"/>
        <v>0</v>
      </c>
      <c r="N156" s="20">
        <f t="shared" si="24"/>
        <v>0</v>
      </c>
    </row>
    <row r="157" spans="1:14" ht="45" x14ac:dyDescent="0.25">
      <c r="A157" s="89">
        <v>12</v>
      </c>
      <c r="B157" s="154" t="s">
        <v>169</v>
      </c>
      <c r="C157" s="90" t="s">
        <v>19</v>
      </c>
      <c r="D157" s="7">
        <v>0.11</v>
      </c>
      <c r="E157" s="214">
        <v>0.08</v>
      </c>
      <c r="F157" s="125"/>
      <c r="G157" s="36">
        <f t="shared" si="25"/>
        <v>0</v>
      </c>
      <c r="H157" s="220">
        <v>6.9419999999999993</v>
      </c>
      <c r="I157" s="199"/>
      <c r="J157" s="188">
        <f t="shared" si="26"/>
        <v>0</v>
      </c>
      <c r="K157" s="220">
        <v>1.48</v>
      </c>
      <c r="L157" s="188"/>
      <c r="M157" s="188">
        <f t="shared" si="27"/>
        <v>0</v>
      </c>
      <c r="N157" s="20">
        <f t="shared" si="24"/>
        <v>0</v>
      </c>
    </row>
    <row r="158" spans="1:14" x14ac:dyDescent="0.25">
      <c r="A158" s="55">
        <f>A157+0.1</f>
        <v>12.1</v>
      </c>
      <c r="B158" s="18" t="s">
        <v>33</v>
      </c>
      <c r="C158" s="18" t="s">
        <v>19</v>
      </c>
      <c r="D158" s="49">
        <f>D157*1.15</f>
        <v>0.1265</v>
      </c>
      <c r="E158" s="209">
        <v>13.8</v>
      </c>
      <c r="F158" s="13"/>
      <c r="G158" s="36">
        <f t="shared" si="25"/>
        <v>0</v>
      </c>
      <c r="H158" s="218">
        <v>0</v>
      </c>
      <c r="I158" s="193"/>
      <c r="J158" s="188">
        <f t="shared" si="26"/>
        <v>0</v>
      </c>
      <c r="K158" s="218">
        <v>0</v>
      </c>
      <c r="L158" s="118"/>
      <c r="M158" s="188">
        <f t="shared" si="27"/>
        <v>0</v>
      </c>
      <c r="N158" s="20">
        <f t="shared" si="24"/>
        <v>0</v>
      </c>
    </row>
    <row r="159" spans="1:14" s="116" customFormat="1" x14ac:dyDescent="0.25">
      <c r="A159" s="89">
        <f>A157+1</f>
        <v>13</v>
      </c>
      <c r="B159" s="154" t="s">
        <v>181</v>
      </c>
      <c r="C159" s="154" t="s">
        <v>19</v>
      </c>
      <c r="D159" s="7">
        <v>0.1</v>
      </c>
      <c r="E159" s="209">
        <v>3.1200000000000006</v>
      </c>
      <c r="F159" s="13"/>
      <c r="G159" s="36">
        <f t="shared" si="25"/>
        <v>0</v>
      </c>
      <c r="H159" s="218">
        <v>14.52</v>
      </c>
      <c r="I159" s="187"/>
      <c r="J159" s="188">
        <f t="shared" si="26"/>
        <v>0</v>
      </c>
      <c r="K159" s="218">
        <v>4.32</v>
      </c>
      <c r="L159" s="192"/>
      <c r="M159" s="188">
        <f t="shared" si="27"/>
        <v>0</v>
      </c>
      <c r="N159" s="20">
        <f t="shared" si="24"/>
        <v>0</v>
      </c>
    </row>
    <row r="160" spans="1:14" s="116" customFormat="1" x14ac:dyDescent="0.25">
      <c r="A160" s="55">
        <f>A159+0.1</f>
        <v>13.1</v>
      </c>
      <c r="B160" s="18" t="s">
        <v>34</v>
      </c>
      <c r="C160" s="18" t="s">
        <v>19</v>
      </c>
      <c r="D160" s="49">
        <f>D159*1.02</f>
        <v>0.10200000000000001</v>
      </c>
      <c r="E160" s="209">
        <v>138</v>
      </c>
      <c r="F160" s="13"/>
      <c r="G160" s="36">
        <f t="shared" si="25"/>
        <v>0</v>
      </c>
      <c r="H160" s="218">
        <v>0</v>
      </c>
      <c r="I160" s="187"/>
      <c r="J160" s="188">
        <f t="shared" si="26"/>
        <v>0</v>
      </c>
      <c r="K160" s="218">
        <v>0</v>
      </c>
      <c r="L160" s="192"/>
      <c r="M160" s="188">
        <f t="shared" si="27"/>
        <v>0</v>
      </c>
      <c r="N160" s="20">
        <f t="shared" si="24"/>
        <v>0</v>
      </c>
    </row>
    <row r="161" spans="1:14" s="116" customFormat="1" ht="30" x14ac:dyDescent="0.25">
      <c r="A161" s="89">
        <f>A159+1</f>
        <v>14</v>
      </c>
      <c r="B161" s="154" t="s">
        <v>170</v>
      </c>
      <c r="C161" s="103" t="s">
        <v>15</v>
      </c>
      <c r="D161" s="7">
        <v>0.7</v>
      </c>
      <c r="E161" s="209">
        <v>0.19999999999999998</v>
      </c>
      <c r="F161" s="13"/>
      <c r="G161" s="36">
        <f t="shared" si="25"/>
        <v>0</v>
      </c>
      <c r="H161" s="218">
        <v>4.6740000000000004</v>
      </c>
      <c r="I161" s="187"/>
      <c r="J161" s="188">
        <f t="shared" si="26"/>
        <v>0</v>
      </c>
      <c r="K161" s="218">
        <v>0.39999999999999997</v>
      </c>
      <c r="L161" s="192"/>
      <c r="M161" s="188">
        <f t="shared" si="27"/>
        <v>0</v>
      </c>
      <c r="N161" s="20">
        <f t="shared" si="24"/>
        <v>0</v>
      </c>
    </row>
    <row r="162" spans="1:14" s="116" customFormat="1" x14ac:dyDescent="0.25">
      <c r="A162" s="55">
        <f>A161+0.1</f>
        <v>14.1</v>
      </c>
      <c r="B162" s="18" t="s">
        <v>171</v>
      </c>
      <c r="C162" s="18" t="s">
        <v>35</v>
      </c>
      <c r="D162" s="13">
        <f>D161*1.02</f>
        <v>0.71399999999999997</v>
      </c>
      <c r="E162" s="209">
        <v>35</v>
      </c>
      <c r="F162" s="13"/>
      <c r="G162" s="36">
        <f t="shared" si="25"/>
        <v>0</v>
      </c>
      <c r="H162" s="218">
        <v>0</v>
      </c>
      <c r="I162" s="187"/>
      <c r="J162" s="188">
        <f t="shared" si="26"/>
        <v>0</v>
      </c>
      <c r="K162" s="218">
        <v>0</v>
      </c>
      <c r="L162" s="192"/>
      <c r="M162" s="188">
        <f t="shared" si="27"/>
        <v>0</v>
      </c>
      <c r="N162" s="20">
        <f t="shared" si="24"/>
        <v>0</v>
      </c>
    </row>
    <row r="163" spans="1:14" s="116" customFormat="1" x14ac:dyDescent="0.25">
      <c r="A163" s="180">
        <f t="shared" ref="A163" si="32">A162+0.1</f>
        <v>14.2</v>
      </c>
      <c r="B163" s="18" t="s">
        <v>172</v>
      </c>
      <c r="C163" s="18" t="s">
        <v>36</v>
      </c>
      <c r="D163" s="13">
        <f>D161*6</f>
        <v>4.1999999999999993</v>
      </c>
      <c r="E163" s="209">
        <v>0.65</v>
      </c>
      <c r="F163" s="13"/>
      <c r="G163" s="36">
        <f t="shared" si="25"/>
        <v>0</v>
      </c>
      <c r="H163" s="218">
        <v>0</v>
      </c>
      <c r="I163" s="187"/>
      <c r="J163" s="188">
        <f t="shared" si="26"/>
        <v>0</v>
      </c>
      <c r="K163" s="218">
        <v>0</v>
      </c>
      <c r="L163" s="192"/>
      <c r="M163" s="188">
        <f t="shared" si="27"/>
        <v>0</v>
      </c>
      <c r="N163" s="20">
        <f t="shared" si="24"/>
        <v>0</v>
      </c>
    </row>
    <row r="164" spans="1:14" s="105" customFormat="1" ht="18" customHeight="1" x14ac:dyDescent="0.25">
      <c r="A164" s="56"/>
      <c r="B164" s="17" t="s">
        <v>20</v>
      </c>
      <c r="C164" s="57"/>
      <c r="D164" s="17"/>
      <c r="E164" s="210"/>
      <c r="F164" s="57"/>
      <c r="G164" s="58">
        <f>SUM(G129:G163)</f>
        <v>0</v>
      </c>
      <c r="H164" s="209"/>
      <c r="I164" s="146"/>
      <c r="J164" s="172">
        <f>SUM(J129:J163)</f>
        <v>0</v>
      </c>
      <c r="K164" s="209"/>
      <c r="L164" s="146"/>
      <c r="M164" s="172">
        <f>SUM(M129:M163)</f>
        <v>0</v>
      </c>
      <c r="N164" s="142">
        <f>SUM(N129:N163)</f>
        <v>0</v>
      </c>
    </row>
    <row r="165" spans="1:14" s="105" customFormat="1" ht="18" customHeight="1" x14ac:dyDescent="0.25">
      <c r="A165" s="56"/>
      <c r="B165" s="60" t="s">
        <v>21</v>
      </c>
      <c r="C165" s="60" t="s">
        <v>2</v>
      </c>
      <c r="D165" s="156" t="s">
        <v>210</v>
      </c>
      <c r="E165" s="210"/>
      <c r="F165" s="57"/>
      <c r="G165" s="57"/>
      <c r="H165" s="209"/>
      <c r="I165" s="146"/>
      <c r="J165" s="172"/>
      <c r="K165" s="209"/>
      <c r="L165" s="146"/>
      <c r="M165" s="172"/>
      <c r="N165" s="61">
        <f>IFERROR(N164*D165,0)</f>
        <v>0</v>
      </c>
    </row>
    <row r="166" spans="1:14" s="105" customFormat="1" ht="18" customHeight="1" x14ac:dyDescent="0.25">
      <c r="A166" s="62"/>
      <c r="B166" s="26" t="s">
        <v>22</v>
      </c>
      <c r="C166" s="65" t="s">
        <v>2</v>
      </c>
      <c r="D166" s="145"/>
      <c r="E166" s="213"/>
      <c r="F166" s="26"/>
      <c r="G166" s="68"/>
      <c r="H166" s="209"/>
      <c r="I166" s="172"/>
      <c r="J166" s="172"/>
      <c r="K166" s="209"/>
      <c r="L166" s="146"/>
      <c r="M166" s="172"/>
      <c r="N166" s="68">
        <f>SUM(N164:N165)</f>
        <v>0</v>
      </c>
    </row>
    <row r="167" spans="1:14" s="105" customFormat="1" ht="18" customHeight="1" x14ac:dyDescent="0.25">
      <c r="A167" s="56"/>
      <c r="B167" s="60" t="s">
        <v>23</v>
      </c>
      <c r="C167" s="60" t="s">
        <v>2</v>
      </c>
      <c r="D167" s="160" t="s">
        <v>210</v>
      </c>
      <c r="E167" s="210"/>
      <c r="F167" s="57"/>
      <c r="G167" s="57"/>
      <c r="H167" s="209"/>
      <c r="I167" s="146"/>
      <c r="J167" s="172"/>
      <c r="K167" s="209"/>
      <c r="L167" s="146"/>
      <c r="M167" s="172"/>
      <c r="N167" s="61">
        <f>IFERROR(N166*D167,0)</f>
        <v>0</v>
      </c>
    </row>
    <row r="168" spans="1:14" s="105" customFormat="1" ht="18" customHeight="1" x14ac:dyDescent="0.25">
      <c r="A168" s="56"/>
      <c r="B168" s="57" t="s">
        <v>82</v>
      </c>
      <c r="C168" s="57"/>
      <c r="D168" s="17"/>
      <c r="E168" s="210"/>
      <c r="F168" s="57"/>
      <c r="G168" s="57"/>
      <c r="H168" s="209"/>
      <c r="I168" s="146"/>
      <c r="J168" s="172"/>
      <c r="K168" s="209"/>
      <c r="L168" s="146"/>
      <c r="M168" s="172"/>
      <c r="N168" s="59">
        <f>SUM(N166:N167)</f>
        <v>0</v>
      </c>
    </row>
    <row r="169" spans="1:14" ht="28.5" customHeight="1" x14ac:dyDescent="0.25">
      <c r="A169" s="55"/>
      <c r="B169" s="154" t="s">
        <v>198</v>
      </c>
      <c r="C169" s="18"/>
      <c r="D169" s="49"/>
      <c r="E169" s="209"/>
      <c r="F169" s="49"/>
      <c r="G169" s="13"/>
      <c r="H169" s="209"/>
      <c r="I169" s="13"/>
      <c r="J169" s="13"/>
      <c r="K169" s="209"/>
      <c r="L169" s="49"/>
      <c r="M169" s="49"/>
      <c r="N169" s="20"/>
    </row>
    <row r="170" spans="1:14" ht="50.25" customHeight="1" x14ac:dyDescent="0.25">
      <c r="A170" s="67" t="s">
        <v>0</v>
      </c>
      <c r="B170" s="154" t="s">
        <v>32</v>
      </c>
      <c r="C170" s="22" t="s">
        <v>19</v>
      </c>
      <c r="D170" s="7">
        <v>0.2</v>
      </c>
      <c r="E170" s="214">
        <v>0.08</v>
      </c>
      <c r="F170" s="123"/>
      <c r="G170" s="13">
        <f>D170*F170</f>
        <v>0</v>
      </c>
      <c r="H170" s="220">
        <v>6.9420000000000002</v>
      </c>
      <c r="I170" s="188"/>
      <c r="J170" s="188">
        <f>D170*I170</f>
        <v>0</v>
      </c>
      <c r="K170" s="220">
        <v>1.4799999999999998</v>
      </c>
      <c r="L170" s="188"/>
      <c r="M170" s="188">
        <f>D170*L170</f>
        <v>0</v>
      </c>
      <c r="N170" s="20">
        <f t="shared" ref="N170:N185" si="33">SUM(M170,J170,G170)</f>
        <v>0</v>
      </c>
    </row>
    <row r="171" spans="1:14" ht="21.75" customHeight="1" x14ac:dyDescent="0.25">
      <c r="A171" s="55">
        <f>A170+0.1</f>
        <v>1.1000000000000001</v>
      </c>
      <c r="B171" s="18" t="s">
        <v>33</v>
      </c>
      <c r="C171" s="18" t="s">
        <v>19</v>
      </c>
      <c r="D171" s="49">
        <f>D170*1.15</f>
        <v>0.22999999999999998</v>
      </c>
      <c r="E171" s="209">
        <v>13.8</v>
      </c>
      <c r="F171" s="49"/>
      <c r="G171" s="13">
        <f t="shared" ref="G171:G188" si="34">D171*F171</f>
        <v>0</v>
      </c>
      <c r="H171" s="218">
        <v>0</v>
      </c>
      <c r="I171" s="193"/>
      <c r="J171" s="188">
        <f t="shared" ref="J171:J188" si="35">D171*I171</f>
        <v>0</v>
      </c>
      <c r="K171" s="218">
        <v>0</v>
      </c>
      <c r="L171" s="118"/>
      <c r="M171" s="188">
        <f t="shared" ref="M171:M188" si="36">D171*L171</f>
        <v>0</v>
      </c>
      <c r="N171" s="20">
        <f t="shared" si="33"/>
        <v>0</v>
      </c>
    </row>
    <row r="172" spans="1:14" ht="30" x14ac:dyDescent="0.25">
      <c r="A172" s="47">
        <f>A170+1</f>
        <v>2</v>
      </c>
      <c r="B172" s="154" t="s">
        <v>75</v>
      </c>
      <c r="C172" s="154" t="s">
        <v>19</v>
      </c>
      <c r="D172" s="8">
        <v>1.5</v>
      </c>
      <c r="E172" s="209">
        <v>40.479999999999997</v>
      </c>
      <c r="F172" s="49"/>
      <c r="G172" s="13">
        <f t="shared" si="34"/>
        <v>0</v>
      </c>
      <c r="H172" s="218">
        <v>27</v>
      </c>
      <c r="I172" s="193"/>
      <c r="J172" s="188">
        <f t="shared" si="35"/>
        <v>0</v>
      </c>
      <c r="K172" s="218">
        <v>1.4799999999999998</v>
      </c>
      <c r="L172" s="118"/>
      <c r="M172" s="188">
        <f t="shared" si="36"/>
        <v>0</v>
      </c>
      <c r="N172" s="20">
        <f t="shared" si="33"/>
        <v>0</v>
      </c>
    </row>
    <row r="173" spans="1:14" ht="24" customHeight="1" x14ac:dyDescent="0.25">
      <c r="A173" s="55">
        <f>A172+0.1</f>
        <v>2.1</v>
      </c>
      <c r="B173" s="18" t="s">
        <v>76</v>
      </c>
      <c r="C173" s="18" t="s">
        <v>19</v>
      </c>
      <c r="D173" s="49">
        <f>D172*1.02</f>
        <v>1.53</v>
      </c>
      <c r="E173" s="214">
        <v>140</v>
      </c>
      <c r="F173" s="123"/>
      <c r="G173" s="13">
        <f t="shared" si="34"/>
        <v>0</v>
      </c>
      <c r="H173" s="218">
        <v>0</v>
      </c>
      <c r="I173" s="193"/>
      <c r="J173" s="188">
        <f t="shared" si="35"/>
        <v>0</v>
      </c>
      <c r="K173" s="218">
        <v>0</v>
      </c>
      <c r="L173" s="118"/>
      <c r="M173" s="188">
        <f t="shared" si="36"/>
        <v>0</v>
      </c>
      <c r="N173" s="20">
        <f t="shared" si="33"/>
        <v>0</v>
      </c>
    </row>
    <row r="174" spans="1:14" s="131" customFormat="1" ht="27" x14ac:dyDescent="0.25">
      <c r="A174" s="181">
        <v>3</v>
      </c>
      <c r="B174" s="152" t="s">
        <v>160</v>
      </c>
      <c r="C174" s="152" t="s">
        <v>36</v>
      </c>
      <c r="D174" s="153">
        <f>D175+D176</f>
        <v>175.94</v>
      </c>
      <c r="E174" s="216">
        <v>1.1200000000000001</v>
      </c>
      <c r="F174" s="159"/>
      <c r="G174" s="13">
        <f t="shared" si="34"/>
        <v>0</v>
      </c>
      <c r="H174" s="186">
        <v>1.6379999999999999</v>
      </c>
      <c r="I174" s="190"/>
      <c r="J174" s="188">
        <f t="shared" si="35"/>
        <v>0</v>
      </c>
      <c r="K174" s="186">
        <v>5.5999999999999999E-3</v>
      </c>
      <c r="L174" s="99"/>
      <c r="M174" s="188">
        <f t="shared" si="36"/>
        <v>0</v>
      </c>
      <c r="N174" s="20">
        <f t="shared" si="33"/>
        <v>0</v>
      </c>
    </row>
    <row r="175" spans="1:14" s="131" customFormat="1" x14ac:dyDescent="0.25">
      <c r="A175" s="55">
        <f>A174+0.1</f>
        <v>3.1</v>
      </c>
      <c r="B175" s="151" t="s">
        <v>197</v>
      </c>
      <c r="C175" s="151" t="s">
        <v>36</v>
      </c>
      <c r="D175" s="120">
        <v>148.18</v>
      </c>
      <c r="E175" s="209">
        <v>4.21</v>
      </c>
      <c r="F175" s="49"/>
      <c r="G175" s="13">
        <f t="shared" si="34"/>
        <v>0</v>
      </c>
      <c r="H175" s="214">
        <v>0</v>
      </c>
      <c r="I175" s="120"/>
      <c r="J175" s="188">
        <f t="shared" si="35"/>
        <v>0</v>
      </c>
      <c r="K175" s="214">
        <v>0</v>
      </c>
      <c r="L175" s="120"/>
      <c r="M175" s="188">
        <f t="shared" si="36"/>
        <v>0</v>
      </c>
      <c r="N175" s="20">
        <f t="shared" si="33"/>
        <v>0</v>
      </c>
    </row>
    <row r="176" spans="1:14" s="131" customFormat="1" x14ac:dyDescent="0.25">
      <c r="A176" s="182">
        <f t="shared" ref="A176" si="37">A175+0.1</f>
        <v>3.2</v>
      </c>
      <c r="B176" s="151" t="s">
        <v>161</v>
      </c>
      <c r="C176" s="151" t="s">
        <v>37</v>
      </c>
      <c r="D176" s="120">
        <v>27.76</v>
      </c>
      <c r="E176" s="209">
        <v>2.42</v>
      </c>
      <c r="F176" s="49"/>
      <c r="G176" s="13">
        <f t="shared" si="34"/>
        <v>0</v>
      </c>
      <c r="H176" s="214">
        <v>0</v>
      </c>
      <c r="I176" s="120"/>
      <c r="J176" s="188">
        <f t="shared" si="35"/>
        <v>0</v>
      </c>
      <c r="K176" s="214">
        <v>0</v>
      </c>
      <c r="L176" s="120"/>
      <c r="M176" s="188">
        <f t="shared" si="36"/>
        <v>0</v>
      </c>
      <c r="N176" s="20">
        <f t="shared" si="33"/>
        <v>0</v>
      </c>
    </row>
    <row r="177" spans="1:17" ht="30" x14ac:dyDescent="0.25">
      <c r="A177" s="47">
        <v>4</v>
      </c>
      <c r="B177" s="154" t="s">
        <v>77</v>
      </c>
      <c r="C177" s="154" t="s">
        <v>78</v>
      </c>
      <c r="D177" s="7">
        <v>2</v>
      </c>
      <c r="E177" s="209">
        <v>0</v>
      </c>
      <c r="F177" s="49"/>
      <c r="G177" s="13">
        <f t="shared" si="34"/>
        <v>0</v>
      </c>
      <c r="H177" s="209">
        <v>85</v>
      </c>
      <c r="I177" s="13"/>
      <c r="J177" s="188">
        <f t="shared" si="35"/>
        <v>0</v>
      </c>
      <c r="K177" s="209">
        <v>0</v>
      </c>
      <c r="L177" s="49"/>
      <c r="M177" s="188">
        <f t="shared" si="36"/>
        <v>0</v>
      </c>
      <c r="N177" s="20">
        <f t="shared" si="33"/>
        <v>0</v>
      </c>
    </row>
    <row r="178" spans="1:17" ht="18" customHeight="1" x14ac:dyDescent="0.25">
      <c r="A178" s="55">
        <f>A177+0.1</f>
        <v>4.0999999999999996</v>
      </c>
      <c r="B178" s="18" t="s">
        <v>79</v>
      </c>
      <c r="C178" s="86" t="s">
        <v>40</v>
      </c>
      <c r="D178" s="49">
        <v>19.5</v>
      </c>
      <c r="E178" s="209">
        <v>19.100000000000001</v>
      </c>
      <c r="F178" s="49"/>
      <c r="G178" s="13">
        <f t="shared" si="34"/>
        <v>0</v>
      </c>
      <c r="H178" s="218">
        <v>0</v>
      </c>
      <c r="I178" s="193"/>
      <c r="J178" s="188">
        <f t="shared" si="35"/>
        <v>0</v>
      </c>
      <c r="K178" s="218">
        <v>0</v>
      </c>
      <c r="L178" s="118"/>
      <c r="M178" s="188">
        <f t="shared" si="36"/>
        <v>0</v>
      </c>
      <c r="N178" s="20">
        <f t="shared" si="33"/>
        <v>0</v>
      </c>
    </row>
    <row r="179" spans="1:17" ht="18" customHeight="1" x14ac:dyDescent="0.25">
      <c r="A179" s="71">
        <f t="shared" ref="A179:A181" si="38">A178+0.1</f>
        <v>4.1999999999999993</v>
      </c>
      <c r="B179" s="18" t="s">
        <v>80</v>
      </c>
      <c r="C179" s="86" t="s">
        <v>40</v>
      </c>
      <c r="D179" s="49">
        <v>17.399999999999999</v>
      </c>
      <c r="E179" s="209">
        <v>30.1</v>
      </c>
      <c r="F179" s="49"/>
      <c r="G179" s="13">
        <f t="shared" si="34"/>
        <v>0</v>
      </c>
      <c r="H179" s="218">
        <v>0</v>
      </c>
      <c r="I179" s="193"/>
      <c r="J179" s="188">
        <f t="shared" si="35"/>
        <v>0</v>
      </c>
      <c r="K179" s="218">
        <v>0</v>
      </c>
      <c r="L179" s="118"/>
      <c r="M179" s="188">
        <f t="shared" si="36"/>
        <v>0</v>
      </c>
      <c r="N179" s="20">
        <f t="shared" si="33"/>
        <v>0</v>
      </c>
    </row>
    <row r="180" spans="1:17" ht="18" customHeight="1" x14ac:dyDescent="0.25">
      <c r="A180" s="71">
        <f t="shared" si="38"/>
        <v>4.2999999999999989</v>
      </c>
      <c r="B180" s="18" t="s">
        <v>81</v>
      </c>
      <c r="C180" s="18" t="s">
        <v>36</v>
      </c>
      <c r="D180" s="13">
        <v>19.2</v>
      </c>
      <c r="E180" s="209">
        <v>0.68</v>
      </c>
      <c r="F180" s="49"/>
      <c r="G180" s="13">
        <f t="shared" si="34"/>
        <v>0</v>
      </c>
      <c r="H180" s="209">
        <v>0</v>
      </c>
      <c r="I180" s="13"/>
      <c r="J180" s="188">
        <f t="shared" si="35"/>
        <v>0</v>
      </c>
      <c r="K180" s="209">
        <v>0</v>
      </c>
      <c r="L180" s="49"/>
      <c r="M180" s="188">
        <f t="shared" si="36"/>
        <v>0</v>
      </c>
      <c r="N180" s="20">
        <f t="shared" si="33"/>
        <v>0</v>
      </c>
    </row>
    <row r="181" spans="1:17" ht="18" customHeight="1" x14ac:dyDescent="0.25">
      <c r="A181" s="71">
        <f t="shared" si="38"/>
        <v>4.3999999999999986</v>
      </c>
      <c r="B181" s="18" t="s">
        <v>120</v>
      </c>
      <c r="C181" s="18" t="s">
        <v>35</v>
      </c>
      <c r="D181" s="13">
        <v>25.6</v>
      </c>
      <c r="E181" s="209">
        <v>10</v>
      </c>
      <c r="F181" s="49"/>
      <c r="G181" s="13">
        <f t="shared" si="34"/>
        <v>0</v>
      </c>
      <c r="H181" s="209">
        <v>0</v>
      </c>
      <c r="I181" s="13"/>
      <c r="J181" s="188">
        <f t="shared" si="35"/>
        <v>0</v>
      </c>
      <c r="K181" s="209">
        <v>0</v>
      </c>
      <c r="L181" s="49"/>
      <c r="M181" s="188">
        <f t="shared" si="36"/>
        <v>0</v>
      </c>
      <c r="N181" s="20">
        <f t="shared" si="33"/>
        <v>0</v>
      </c>
    </row>
    <row r="182" spans="1:17" ht="30" x14ac:dyDescent="0.25">
      <c r="A182" s="47">
        <f>A177+1</f>
        <v>5</v>
      </c>
      <c r="B182" s="154" t="s">
        <v>196</v>
      </c>
      <c r="C182" s="154" t="s">
        <v>78</v>
      </c>
      <c r="D182" s="7">
        <v>1</v>
      </c>
      <c r="E182" s="209">
        <v>0</v>
      </c>
      <c r="F182" s="49"/>
      <c r="G182" s="13">
        <f t="shared" si="34"/>
        <v>0</v>
      </c>
      <c r="H182" s="209">
        <v>140</v>
      </c>
      <c r="I182" s="13"/>
      <c r="J182" s="188">
        <f t="shared" si="35"/>
        <v>0</v>
      </c>
      <c r="K182" s="209">
        <v>0</v>
      </c>
      <c r="L182" s="49"/>
      <c r="M182" s="188">
        <f t="shared" si="36"/>
        <v>0</v>
      </c>
      <c r="N182" s="20">
        <f t="shared" si="33"/>
        <v>0</v>
      </c>
    </row>
    <row r="183" spans="1:17" ht="18" customHeight="1" x14ac:dyDescent="0.25">
      <c r="A183" s="55">
        <f>A182+0.1</f>
        <v>5.0999999999999996</v>
      </c>
      <c r="B183" s="86" t="s">
        <v>183</v>
      </c>
      <c r="C183" s="86" t="s">
        <v>40</v>
      </c>
      <c r="D183" s="29">
        <f>6.8*D182</f>
        <v>6.8</v>
      </c>
      <c r="E183" s="217">
        <v>74.599999999999994</v>
      </c>
      <c r="F183" s="29"/>
      <c r="G183" s="13">
        <f t="shared" si="34"/>
        <v>0</v>
      </c>
      <c r="H183" s="218">
        <v>0</v>
      </c>
      <c r="I183" s="192"/>
      <c r="J183" s="188">
        <f t="shared" si="35"/>
        <v>0</v>
      </c>
      <c r="K183" s="218">
        <v>0</v>
      </c>
      <c r="L183" s="192"/>
      <c r="M183" s="188">
        <f t="shared" si="36"/>
        <v>0</v>
      </c>
      <c r="N183" s="20">
        <f t="shared" si="33"/>
        <v>0</v>
      </c>
    </row>
    <row r="184" spans="1:17" s="77" customFormat="1" ht="18" customHeight="1" x14ac:dyDescent="0.25">
      <c r="A184" s="71">
        <f t="shared" ref="A184:A186" si="39">A183+0.1</f>
        <v>5.1999999999999993</v>
      </c>
      <c r="B184" s="86" t="s">
        <v>184</v>
      </c>
      <c r="C184" s="86" t="s">
        <v>15</v>
      </c>
      <c r="D184" s="29">
        <f>0.25*D182</f>
        <v>0.25</v>
      </c>
      <c r="E184" s="217">
        <v>309.10000000000002</v>
      </c>
      <c r="F184" s="29"/>
      <c r="G184" s="13">
        <f t="shared" si="34"/>
        <v>0</v>
      </c>
      <c r="H184" s="218">
        <v>0</v>
      </c>
      <c r="I184" s="192"/>
      <c r="J184" s="188">
        <f t="shared" si="35"/>
        <v>0</v>
      </c>
      <c r="K184" s="218">
        <v>0</v>
      </c>
      <c r="L184" s="192"/>
      <c r="M184" s="188">
        <f t="shared" si="36"/>
        <v>0</v>
      </c>
      <c r="N184" s="20">
        <f t="shared" si="33"/>
        <v>0</v>
      </c>
    </row>
    <row r="185" spans="1:17" ht="18" customHeight="1" x14ac:dyDescent="0.25">
      <c r="A185" s="71">
        <f t="shared" si="39"/>
        <v>5.2999999999999989</v>
      </c>
      <c r="B185" s="86" t="s">
        <v>185</v>
      </c>
      <c r="C185" s="86" t="s">
        <v>15</v>
      </c>
      <c r="D185" s="29">
        <f>D182*0.33</f>
        <v>0.33</v>
      </c>
      <c r="E185" s="217">
        <v>139</v>
      </c>
      <c r="F185" s="29"/>
      <c r="G185" s="13">
        <f t="shared" si="34"/>
        <v>0</v>
      </c>
      <c r="H185" s="218">
        <v>0</v>
      </c>
      <c r="I185" s="192"/>
      <c r="J185" s="188">
        <f t="shared" si="35"/>
        <v>0</v>
      </c>
      <c r="K185" s="218">
        <v>0</v>
      </c>
      <c r="L185" s="192"/>
      <c r="M185" s="188">
        <f t="shared" si="36"/>
        <v>0</v>
      </c>
      <c r="N185" s="20">
        <f t="shared" si="33"/>
        <v>0</v>
      </c>
    </row>
    <row r="186" spans="1:17" ht="18" customHeight="1" x14ac:dyDescent="0.25">
      <c r="A186" s="71">
        <f t="shared" si="39"/>
        <v>5.3999999999999986</v>
      </c>
      <c r="B186" s="86" t="s">
        <v>186</v>
      </c>
      <c r="C186" s="86" t="s">
        <v>12</v>
      </c>
      <c r="D186" s="29">
        <f>D182</f>
        <v>1</v>
      </c>
      <c r="E186" s="217">
        <v>300</v>
      </c>
      <c r="F186" s="29"/>
      <c r="G186" s="13">
        <f t="shared" si="34"/>
        <v>0</v>
      </c>
      <c r="H186" s="218">
        <v>0</v>
      </c>
      <c r="I186" s="192"/>
      <c r="J186" s="188">
        <f t="shared" si="35"/>
        <v>0</v>
      </c>
      <c r="K186" s="218">
        <v>0</v>
      </c>
      <c r="L186" s="192"/>
      <c r="M186" s="188">
        <f t="shared" si="36"/>
        <v>0</v>
      </c>
      <c r="N186" s="20">
        <f>SUM(M186,J186,G186)</f>
        <v>0</v>
      </c>
    </row>
    <row r="187" spans="1:17" ht="18" customHeight="1" x14ac:dyDescent="0.25">
      <c r="A187" s="21">
        <f>A182+1</f>
        <v>6</v>
      </c>
      <c r="B187" s="154" t="s">
        <v>62</v>
      </c>
      <c r="C187" s="154" t="s">
        <v>46</v>
      </c>
      <c r="D187" s="8">
        <v>15.6332</v>
      </c>
      <c r="E187" s="209">
        <v>7.6E-3</v>
      </c>
      <c r="F187" s="49"/>
      <c r="G187" s="13">
        <f t="shared" si="34"/>
        <v>0</v>
      </c>
      <c r="H187" s="209">
        <v>5.3040000000000003</v>
      </c>
      <c r="I187" s="13"/>
      <c r="J187" s="188">
        <f t="shared" si="35"/>
        <v>0</v>
      </c>
      <c r="K187" s="209">
        <v>1.1999999999999999E-3</v>
      </c>
      <c r="L187" s="205"/>
      <c r="M187" s="188">
        <f t="shared" si="36"/>
        <v>0</v>
      </c>
      <c r="N187" s="20">
        <f>SUM(M187,J187,G187)</f>
        <v>0</v>
      </c>
    </row>
    <row r="188" spans="1:17" ht="18" customHeight="1" x14ac:dyDescent="0.25">
      <c r="A188" s="55">
        <f>A187+0.1</f>
        <v>6.1</v>
      </c>
      <c r="B188" s="18" t="s">
        <v>63</v>
      </c>
      <c r="C188" s="18" t="s">
        <v>36</v>
      </c>
      <c r="D188" s="13">
        <f>D187*0.28</f>
        <v>4.3772960000000003</v>
      </c>
      <c r="E188" s="209">
        <v>5</v>
      </c>
      <c r="F188" s="49"/>
      <c r="G188" s="13">
        <f t="shared" si="34"/>
        <v>0</v>
      </c>
      <c r="H188" s="209">
        <v>0</v>
      </c>
      <c r="I188" s="13"/>
      <c r="J188" s="188">
        <f t="shared" si="35"/>
        <v>0</v>
      </c>
      <c r="K188" s="209">
        <v>0</v>
      </c>
      <c r="L188" s="49"/>
      <c r="M188" s="188">
        <f t="shared" si="36"/>
        <v>0</v>
      </c>
      <c r="N188" s="19">
        <f t="shared" ref="N188" si="40">G188+J188+M188</f>
        <v>0</v>
      </c>
    </row>
    <row r="189" spans="1:17" s="1" customFormat="1" ht="18" customHeight="1" x14ac:dyDescent="0.3">
      <c r="A189" s="62"/>
      <c r="B189" s="26" t="s">
        <v>20</v>
      </c>
      <c r="C189" s="26"/>
      <c r="D189" s="17"/>
      <c r="E189" s="213"/>
      <c r="F189" s="26"/>
      <c r="G189" s="63">
        <f>SUM(G170:G188)</f>
        <v>0</v>
      </c>
      <c r="H189" s="209"/>
      <c r="I189" s="146"/>
      <c r="J189" s="172">
        <f>SUM(J170:J188)</f>
        <v>0</v>
      </c>
      <c r="K189" s="209"/>
      <c r="L189" s="146"/>
      <c r="M189" s="172">
        <f>SUM(M170:M188)</f>
        <v>0</v>
      </c>
      <c r="N189" s="68">
        <f>SUM(N170:N188)</f>
        <v>0</v>
      </c>
      <c r="O189" s="76"/>
      <c r="P189" s="74"/>
      <c r="Q189" s="74"/>
    </row>
    <row r="190" spans="1:17" s="1" customFormat="1" ht="18" customHeight="1" x14ac:dyDescent="0.3">
      <c r="A190" s="62"/>
      <c r="B190" s="65" t="s">
        <v>21</v>
      </c>
      <c r="C190" s="65" t="s">
        <v>2</v>
      </c>
      <c r="D190" s="156" t="s">
        <v>210</v>
      </c>
      <c r="E190" s="213"/>
      <c r="F190" s="26"/>
      <c r="G190" s="26"/>
      <c r="H190" s="209"/>
      <c r="I190" s="146"/>
      <c r="J190" s="172"/>
      <c r="K190" s="209"/>
      <c r="L190" s="146"/>
      <c r="M190" s="172"/>
      <c r="N190" s="66">
        <f>IFERROR(SUM(N187:N188,N170:N173)*D190,0)</f>
        <v>0</v>
      </c>
      <c r="O190" s="76"/>
      <c r="P190" s="74"/>
      <c r="Q190" s="74"/>
    </row>
    <row r="191" spans="1:17" s="1" customFormat="1" ht="18" customHeight="1" x14ac:dyDescent="0.3">
      <c r="A191" s="62"/>
      <c r="B191" s="65" t="s">
        <v>65</v>
      </c>
      <c r="C191" s="65" t="s">
        <v>2</v>
      </c>
      <c r="D191" s="156" t="s">
        <v>210</v>
      </c>
      <c r="E191" s="213"/>
      <c r="F191" s="26"/>
      <c r="G191" s="68"/>
      <c r="H191" s="209"/>
      <c r="I191" s="172"/>
      <c r="J191" s="172"/>
      <c r="K191" s="209"/>
      <c r="L191" s="146"/>
      <c r="M191" s="172"/>
      <c r="N191" s="63">
        <f>IFERROR(SUM(N177:N186)*D191,0)</f>
        <v>0</v>
      </c>
      <c r="O191" s="76"/>
      <c r="P191" s="74"/>
      <c r="Q191" s="74"/>
    </row>
    <row r="192" spans="1:17" s="1" customFormat="1" ht="18" customHeight="1" x14ac:dyDescent="0.3">
      <c r="A192" s="62"/>
      <c r="B192" s="26" t="s">
        <v>22</v>
      </c>
      <c r="C192" s="26" t="s">
        <v>2</v>
      </c>
      <c r="D192" s="17"/>
      <c r="E192" s="213"/>
      <c r="F192" s="26"/>
      <c r="G192" s="26"/>
      <c r="H192" s="209"/>
      <c r="I192" s="146"/>
      <c r="J192" s="172"/>
      <c r="K192" s="209"/>
      <c r="L192" s="146"/>
      <c r="M192" s="172"/>
      <c r="N192" s="64">
        <f>SUM(N189:N191)</f>
        <v>0</v>
      </c>
      <c r="O192" s="76"/>
      <c r="P192" s="74"/>
      <c r="Q192" s="74"/>
    </row>
    <row r="193" spans="1:17" s="1" customFormat="1" ht="18" customHeight="1" x14ac:dyDescent="0.3">
      <c r="A193" s="62"/>
      <c r="B193" s="65" t="s">
        <v>23</v>
      </c>
      <c r="C193" s="65" t="s">
        <v>2</v>
      </c>
      <c r="D193" s="156" t="s">
        <v>210</v>
      </c>
      <c r="E193" s="213"/>
      <c r="F193" s="26"/>
      <c r="G193" s="26"/>
      <c r="H193" s="209"/>
      <c r="I193" s="146"/>
      <c r="J193" s="172"/>
      <c r="K193" s="209"/>
      <c r="L193" s="146"/>
      <c r="M193" s="172"/>
      <c r="N193" s="66">
        <f>IFERROR(N192*D193,0)</f>
        <v>0</v>
      </c>
      <c r="O193" s="76"/>
      <c r="P193" s="74"/>
      <c r="Q193" s="74"/>
    </row>
    <row r="194" spans="1:17" s="1" customFormat="1" ht="29.25" customHeight="1" x14ac:dyDescent="0.3">
      <c r="A194" s="62"/>
      <c r="B194" s="26" t="s">
        <v>84</v>
      </c>
      <c r="C194" s="26"/>
      <c r="D194" s="17"/>
      <c r="E194" s="213"/>
      <c r="F194" s="26"/>
      <c r="G194" s="69"/>
      <c r="H194" s="209"/>
      <c r="I194" s="146"/>
      <c r="J194" s="172"/>
      <c r="K194" s="209"/>
      <c r="L194" s="146"/>
      <c r="M194" s="172"/>
      <c r="N194" s="64">
        <f>SUM(N192:N193)</f>
        <v>0</v>
      </c>
      <c r="O194" s="76"/>
      <c r="P194" s="74"/>
      <c r="Q194" s="74"/>
    </row>
    <row r="195" spans="1:17" ht="56.25" customHeight="1" x14ac:dyDescent="0.25">
      <c r="A195" s="55"/>
      <c r="B195" s="154" t="s">
        <v>199</v>
      </c>
      <c r="C195" s="18"/>
      <c r="D195" s="49"/>
      <c r="E195" s="209"/>
      <c r="F195" s="49"/>
      <c r="G195" s="49"/>
      <c r="H195" s="209"/>
      <c r="I195" s="49"/>
      <c r="J195" s="49"/>
      <c r="K195" s="209"/>
      <c r="L195" s="49"/>
      <c r="M195" s="49"/>
      <c r="N195" s="23"/>
    </row>
    <row r="196" spans="1:17" ht="56.25" customHeight="1" x14ac:dyDescent="0.25">
      <c r="A196" s="21">
        <v>1</v>
      </c>
      <c r="B196" s="154" t="s">
        <v>32</v>
      </c>
      <c r="C196" s="154" t="s">
        <v>14</v>
      </c>
      <c r="D196" s="7">
        <v>0.8</v>
      </c>
      <c r="E196" s="214">
        <v>0.08</v>
      </c>
      <c r="F196" s="123"/>
      <c r="G196" s="13">
        <f>D196*F196</f>
        <v>0</v>
      </c>
      <c r="H196" s="220">
        <v>6.9420000000000002</v>
      </c>
      <c r="I196" s="188"/>
      <c r="J196" s="188">
        <f>D196*I196</f>
        <v>0</v>
      </c>
      <c r="K196" s="220">
        <v>1.4799999999999998</v>
      </c>
      <c r="L196" s="188"/>
      <c r="M196" s="188">
        <f>D196*L196</f>
        <v>0</v>
      </c>
      <c r="N196" s="20">
        <f>SUM(M196,J196,G196)</f>
        <v>0</v>
      </c>
    </row>
    <row r="197" spans="1:17" ht="27.75" customHeight="1" x14ac:dyDescent="0.25">
      <c r="A197" s="55">
        <f>A196+0.1</f>
        <v>1.1000000000000001</v>
      </c>
      <c r="B197" s="18" t="s">
        <v>33</v>
      </c>
      <c r="C197" s="18" t="s">
        <v>19</v>
      </c>
      <c r="D197" s="49">
        <f>D196*1.15</f>
        <v>0.91999999999999993</v>
      </c>
      <c r="E197" s="209">
        <v>13.8</v>
      </c>
      <c r="F197" s="49"/>
      <c r="G197" s="13">
        <f t="shared" ref="G197:G216" si="41">D197*F197</f>
        <v>0</v>
      </c>
      <c r="H197" s="218">
        <v>0</v>
      </c>
      <c r="I197" s="193"/>
      <c r="J197" s="188">
        <f t="shared" ref="J197:J216" si="42">D197*I197</f>
        <v>0</v>
      </c>
      <c r="K197" s="218">
        <v>0</v>
      </c>
      <c r="L197" s="118"/>
      <c r="M197" s="188">
        <f t="shared" ref="M197:M216" si="43">D197*L197</f>
        <v>0</v>
      </c>
      <c r="N197" s="20">
        <f t="shared" ref="N197:N216" si="44">SUM(M197,J197,G197)</f>
        <v>0</v>
      </c>
    </row>
    <row r="198" spans="1:17" ht="30" x14ac:dyDescent="0.25">
      <c r="A198" s="21">
        <f>A196+1</f>
        <v>2</v>
      </c>
      <c r="B198" s="154" t="s">
        <v>75</v>
      </c>
      <c r="C198" s="154" t="s">
        <v>14</v>
      </c>
      <c r="D198" s="8">
        <v>4</v>
      </c>
      <c r="E198" s="209">
        <v>40.479999999999997</v>
      </c>
      <c r="F198" s="49"/>
      <c r="G198" s="13">
        <f t="shared" si="41"/>
        <v>0</v>
      </c>
      <c r="H198" s="218">
        <v>27</v>
      </c>
      <c r="I198" s="193"/>
      <c r="J198" s="188">
        <f t="shared" si="42"/>
        <v>0</v>
      </c>
      <c r="K198" s="218">
        <v>1.48</v>
      </c>
      <c r="L198" s="118"/>
      <c r="M198" s="188">
        <f t="shared" si="43"/>
        <v>0</v>
      </c>
      <c r="N198" s="20">
        <f t="shared" si="44"/>
        <v>0</v>
      </c>
    </row>
    <row r="199" spans="1:17" x14ac:dyDescent="0.25">
      <c r="A199" s="55">
        <f>A198+0.1</f>
        <v>2.1</v>
      </c>
      <c r="B199" s="18" t="s">
        <v>76</v>
      </c>
      <c r="C199" s="18" t="s">
        <v>19</v>
      </c>
      <c r="D199" s="49">
        <f>D198*1.02</f>
        <v>4.08</v>
      </c>
      <c r="E199" s="214">
        <v>140</v>
      </c>
      <c r="F199" s="123"/>
      <c r="G199" s="13">
        <f t="shared" si="41"/>
        <v>0</v>
      </c>
      <c r="H199" s="218">
        <v>0</v>
      </c>
      <c r="I199" s="193"/>
      <c r="J199" s="188">
        <f t="shared" si="42"/>
        <v>0</v>
      </c>
      <c r="K199" s="218">
        <v>0</v>
      </c>
      <c r="L199" s="118"/>
      <c r="M199" s="188">
        <f t="shared" si="43"/>
        <v>0</v>
      </c>
      <c r="N199" s="20">
        <f t="shared" si="44"/>
        <v>0</v>
      </c>
    </row>
    <row r="200" spans="1:17" s="128" customFormat="1" x14ac:dyDescent="0.25">
      <c r="A200" s="21">
        <f>A198+1</f>
        <v>3</v>
      </c>
      <c r="B200" s="22" t="s">
        <v>128</v>
      </c>
      <c r="C200" s="22" t="s">
        <v>13</v>
      </c>
      <c r="D200" s="7">
        <f>D198</f>
        <v>4</v>
      </c>
      <c r="E200" s="209">
        <v>0.84</v>
      </c>
      <c r="F200" s="49"/>
      <c r="G200" s="13">
        <f t="shared" si="41"/>
        <v>0</v>
      </c>
      <c r="H200" s="209">
        <v>15.120000000000001</v>
      </c>
      <c r="I200" s="49"/>
      <c r="J200" s="188">
        <f t="shared" si="42"/>
        <v>0</v>
      </c>
      <c r="K200" s="209">
        <v>93.480500000000006</v>
      </c>
      <c r="L200" s="49"/>
      <c r="M200" s="188">
        <f t="shared" si="43"/>
        <v>0</v>
      </c>
      <c r="N200" s="20">
        <f t="shared" si="44"/>
        <v>0</v>
      </c>
    </row>
    <row r="201" spans="1:17" s="128" customFormat="1" ht="18" customHeight="1" x14ac:dyDescent="0.25">
      <c r="A201" s="55">
        <f>A200+0.1</f>
        <v>3.1</v>
      </c>
      <c r="B201" s="25" t="s">
        <v>85</v>
      </c>
      <c r="C201" s="25" t="s">
        <v>86</v>
      </c>
      <c r="D201" s="49">
        <v>24</v>
      </c>
      <c r="E201" s="209">
        <v>55.1</v>
      </c>
      <c r="F201" s="49"/>
      <c r="G201" s="13">
        <f t="shared" si="41"/>
        <v>0</v>
      </c>
      <c r="H201" s="209">
        <v>0</v>
      </c>
      <c r="I201" s="49"/>
      <c r="J201" s="188">
        <f t="shared" si="42"/>
        <v>0</v>
      </c>
      <c r="K201" s="209">
        <v>0</v>
      </c>
      <c r="L201" s="49"/>
      <c r="M201" s="188">
        <f t="shared" si="43"/>
        <v>0</v>
      </c>
      <c r="N201" s="20">
        <f t="shared" si="44"/>
        <v>0</v>
      </c>
    </row>
    <row r="202" spans="1:17" s="128" customFormat="1" ht="18" customHeight="1" x14ac:dyDescent="0.25">
      <c r="A202" s="52">
        <f t="shared" ref="A202:A209" si="45">A201+0.1</f>
        <v>3.2</v>
      </c>
      <c r="B202" s="25" t="s">
        <v>87</v>
      </c>
      <c r="C202" s="25" t="s">
        <v>86</v>
      </c>
      <c r="D202" s="49">
        <v>10</v>
      </c>
      <c r="E202" s="209">
        <v>38.5</v>
      </c>
      <c r="F202" s="49"/>
      <c r="G202" s="13">
        <f t="shared" si="41"/>
        <v>0</v>
      </c>
      <c r="H202" s="209">
        <v>0</v>
      </c>
      <c r="I202" s="49"/>
      <c r="J202" s="188">
        <f t="shared" si="42"/>
        <v>0</v>
      </c>
      <c r="K202" s="209">
        <v>0</v>
      </c>
      <c r="L202" s="49"/>
      <c r="M202" s="188">
        <f t="shared" si="43"/>
        <v>0</v>
      </c>
      <c r="N202" s="20">
        <f t="shared" si="44"/>
        <v>0</v>
      </c>
    </row>
    <row r="203" spans="1:17" ht="18" customHeight="1" x14ac:dyDescent="0.25">
      <c r="A203" s="52">
        <f t="shared" si="45"/>
        <v>3.3000000000000003</v>
      </c>
      <c r="B203" s="25" t="s">
        <v>90</v>
      </c>
      <c r="C203" s="86" t="s">
        <v>40</v>
      </c>
      <c r="D203" s="49">
        <v>8.8000000000000007</v>
      </c>
      <c r="E203" s="217">
        <v>9.66</v>
      </c>
      <c r="F203" s="29"/>
      <c r="G203" s="13">
        <f t="shared" si="41"/>
        <v>0</v>
      </c>
      <c r="H203" s="218">
        <v>0</v>
      </c>
      <c r="I203" s="192"/>
      <c r="J203" s="188">
        <f t="shared" si="42"/>
        <v>0</v>
      </c>
      <c r="K203" s="218">
        <v>0</v>
      </c>
      <c r="L203" s="192"/>
      <c r="M203" s="188">
        <f t="shared" si="43"/>
        <v>0</v>
      </c>
      <c r="N203" s="20">
        <f t="shared" si="44"/>
        <v>0</v>
      </c>
    </row>
    <row r="204" spans="1:17" ht="18" customHeight="1" x14ac:dyDescent="0.25">
      <c r="A204" s="52">
        <f t="shared" si="45"/>
        <v>3.4000000000000004</v>
      </c>
      <c r="B204" s="86" t="s">
        <v>91</v>
      </c>
      <c r="C204" s="86" t="s">
        <v>40</v>
      </c>
      <c r="D204" s="49">
        <v>12</v>
      </c>
      <c r="E204" s="217">
        <v>14.75</v>
      </c>
      <c r="F204" s="29"/>
      <c r="G204" s="13">
        <f t="shared" si="41"/>
        <v>0</v>
      </c>
      <c r="H204" s="218">
        <v>0</v>
      </c>
      <c r="I204" s="192"/>
      <c r="J204" s="188">
        <f t="shared" si="42"/>
        <v>0</v>
      </c>
      <c r="K204" s="218">
        <v>0</v>
      </c>
      <c r="L204" s="192"/>
      <c r="M204" s="188">
        <f t="shared" si="43"/>
        <v>0</v>
      </c>
      <c r="N204" s="20">
        <f t="shared" si="44"/>
        <v>0</v>
      </c>
    </row>
    <row r="205" spans="1:17" ht="18" customHeight="1" x14ac:dyDescent="0.25">
      <c r="A205" s="52">
        <f t="shared" si="45"/>
        <v>3.5000000000000004</v>
      </c>
      <c r="B205" s="53" t="s">
        <v>42</v>
      </c>
      <c r="C205" s="53" t="s">
        <v>40</v>
      </c>
      <c r="D205" s="49">
        <v>8</v>
      </c>
      <c r="E205" s="217">
        <v>11.86</v>
      </c>
      <c r="F205" s="117"/>
      <c r="G205" s="13">
        <f t="shared" si="41"/>
        <v>0</v>
      </c>
      <c r="H205" s="218">
        <v>0</v>
      </c>
      <c r="I205" s="187"/>
      <c r="J205" s="188">
        <f t="shared" si="42"/>
        <v>0</v>
      </c>
      <c r="K205" s="218">
        <v>0</v>
      </c>
      <c r="L205" s="192"/>
      <c r="M205" s="188">
        <f t="shared" si="43"/>
        <v>0</v>
      </c>
      <c r="N205" s="20">
        <f t="shared" si="44"/>
        <v>0</v>
      </c>
    </row>
    <row r="206" spans="1:17" ht="18" customHeight="1" x14ac:dyDescent="0.25">
      <c r="A206" s="52">
        <f t="shared" si="45"/>
        <v>3.6000000000000005</v>
      </c>
      <c r="B206" s="86" t="s">
        <v>92</v>
      </c>
      <c r="C206" s="86" t="s">
        <v>15</v>
      </c>
      <c r="D206" s="49">
        <v>2.2000000000000002</v>
      </c>
      <c r="E206" s="217">
        <v>139.4</v>
      </c>
      <c r="F206" s="29"/>
      <c r="G206" s="13">
        <f t="shared" si="41"/>
        <v>0</v>
      </c>
      <c r="H206" s="218">
        <v>0</v>
      </c>
      <c r="I206" s="192"/>
      <c r="J206" s="188">
        <f t="shared" si="42"/>
        <v>0</v>
      </c>
      <c r="K206" s="218">
        <v>0</v>
      </c>
      <c r="L206" s="192"/>
      <c r="M206" s="188">
        <f t="shared" si="43"/>
        <v>0</v>
      </c>
      <c r="N206" s="20">
        <f t="shared" si="44"/>
        <v>0</v>
      </c>
    </row>
    <row r="207" spans="1:17" ht="18" customHeight="1" x14ac:dyDescent="0.25">
      <c r="A207" s="52">
        <f t="shared" si="45"/>
        <v>3.7000000000000006</v>
      </c>
      <c r="B207" s="86" t="s">
        <v>129</v>
      </c>
      <c r="C207" s="86" t="s">
        <v>15</v>
      </c>
      <c r="D207" s="49">
        <v>7.0000000000000007E-2</v>
      </c>
      <c r="E207" s="217">
        <v>84.1</v>
      </c>
      <c r="F207" s="29"/>
      <c r="G207" s="13">
        <f t="shared" si="41"/>
        <v>0</v>
      </c>
      <c r="H207" s="218">
        <v>0</v>
      </c>
      <c r="I207" s="192"/>
      <c r="J207" s="188">
        <f t="shared" si="42"/>
        <v>0</v>
      </c>
      <c r="K207" s="218">
        <v>0</v>
      </c>
      <c r="L207" s="192"/>
      <c r="M207" s="188">
        <f t="shared" si="43"/>
        <v>0</v>
      </c>
      <c r="N207" s="20">
        <f t="shared" si="44"/>
        <v>0</v>
      </c>
    </row>
    <row r="208" spans="1:17" ht="18" customHeight="1" x14ac:dyDescent="0.25">
      <c r="A208" s="52">
        <f t="shared" si="45"/>
        <v>3.8000000000000007</v>
      </c>
      <c r="B208" s="86" t="s">
        <v>93</v>
      </c>
      <c r="C208" s="86" t="s">
        <v>13</v>
      </c>
      <c r="D208" s="49">
        <v>44</v>
      </c>
      <c r="E208" s="217">
        <v>3.5</v>
      </c>
      <c r="F208" s="29"/>
      <c r="G208" s="13">
        <f t="shared" si="41"/>
        <v>0</v>
      </c>
      <c r="H208" s="218">
        <v>0</v>
      </c>
      <c r="I208" s="192"/>
      <c r="J208" s="188">
        <f t="shared" si="42"/>
        <v>0</v>
      </c>
      <c r="K208" s="218">
        <v>0</v>
      </c>
      <c r="L208" s="192"/>
      <c r="M208" s="188">
        <f t="shared" si="43"/>
        <v>0</v>
      </c>
      <c r="N208" s="20">
        <f t="shared" si="44"/>
        <v>0</v>
      </c>
    </row>
    <row r="209" spans="1:17" ht="18" customHeight="1" x14ac:dyDescent="0.25">
      <c r="A209" s="52">
        <f t="shared" si="45"/>
        <v>3.9000000000000008</v>
      </c>
      <c r="B209" s="86" t="s">
        <v>88</v>
      </c>
      <c r="C209" s="86" t="s">
        <v>13</v>
      </c>
      <c r="D209" s="49">
        <f>D200</f>
        <v>4</v>
      </c>
      <c r="E209" s="217">
        <v>78.2</v>
      </c>
      <c r="F209" s="29"/>
      <c r="G209" s="13">
        <f t="shared" si="41"/>
        <v>0</v>
      </c>
      <c r="H209" s="218">
        <v>0</v>
      </c>
      <c r="I209" s="192"/>
      <c r="J209" s="188">
        <f t="shared" si="42"/>
        <v>0</v>
      </c>
      <c r="K209" s="218">
        <v>0</v>
      </c>
      <c r="L209" s="192"/>
      <c r="M209" s="188">
        <f t="shared" si="43"/>
        <v>0</v>
      </c>
      <c r="N209" s="20">
        <f t="shared" si="44"/>
        <v>0</v>
      </c>
    </row>
    <row r="210" spans="1:17" s="128" customFormat="1" ht="18" customHeight="1" x14ac:dyDescent="0.25">
      <c r="A210" s="85">
        <v>3.1</v>
      </c>
      <c r="B210" s="25" t="s">
        <v>89</v>
      </c>
      <c r="C210" s="86" t="s">
        <v>13</v>
      </c>
      <c r="D210" s="49">
        <v>4</v>
      </c>
      <c r="E210" s="209">
        <v>10</v>
      </c>
      <c r="F210" s="49"/>
      <c r="G210" s="13">
        <f t="shared" si="41"/>
        <v>0</v>
      </c>
      <c r="H210" s="209">
        <v>0</v>
      </c>
      <c r="I210" s="49"/>
      <c r="J210" s="188">
        <f t="shared" si="42"/>
        <v>0</v>
      </c>
      <c r="K210" s="209">
        <v>0</v>
      </c>
      <c r="L210" s="49"/>
      <c r="M210" s="188">
        <f t="shared" si="43"/>
        <v>0</v>
      </c>
      <c r="N210" s="20">
        <f t="shared" si="44"/>
        <v>0</v>
      </c>
    </row>
    <row r="211" spans="1:17" ht="24" customHeight="1" x14ac:dyDescent="0.25">
      <c r="A211" s="21">
        <f>A200+1</f>
        <v>4</v>
      </c>
      <c r="B211" s="22" t="s">
        <v>94</v>
      </c>
      <c r="C211" s="22" t="s">
        <v>12</v>
      </c>
      <c r="D211" s="7">
        <f>D200</f>
        <v>4</v>
      </c>
      <c r="E211" s="209">
        <v>1.4</v>
      </c>
      <c r="F211" s="49"/>
      <c r="G211" s="13">
        <f t="shared" si="41"/>
        <v>0</v>
      </c>
      <c r="H211" s="209">
        <v>54</v>
      </c>
      <c r="I211" s="200"/>
      <c r="J211" s="188">
        <f t="shared" si="42"/>
        <v>0</v>
      </c>
      <c r="K211" s="209">
        <v>3.08</v>
      </c>
      <c r="L211" s="48"/>
      <c r="M211" s="188">
        <f t="shared" si="43"/>
        <v>0</v>
      </c>
      <c r="N211" s="20">
        <f t="shared" si="44"/>
        <v>0</v>
      </c>
    </row>
    <row r="212" spans="1:17" ht="18" customHeight="1" x14ac:dyDescent="0.25">
      <c r="A212" s="55">
        <f>A211+0.1</f>
        <v>4.0999999999999996</v>
      </c>
      <c r="B212" s="86" t="s">
        <v>43</v>
      </c>
      <c r="C212" s="86" t="s">
        <v>40</v>
      </c>
      <c r="D212" s="29">
        <f>D211*10</f>
        <v>40</v>
      </c>
      <c r="E212" s="217">
        <v>5.08</v>
      </c>
      <c r="F212" s="29"/>
      <c r="G212" s="13">
        <f t="shared" si="41"/>
        <v>0</v>
      </c>
      <c r="H212" s="218">
        <v>0</v>
      </c>
      <c r="I212" s="192"/>
      <c r="J212" s="188">
        <f t="shared" si="42"/>
        <v>0</v>
      </c>
      <c r="K212" s="218">
        <v>0</v>
      </c>
      <c r="L212" s="192"/>
      <c r="M212" s="188">
        <f t="shared" si="43"/>
        <v>0</v>
      </c>
      <c r="N212" s="20">
        <f t="shared" si="44"/>
        <v>0</v>
      </c>
    </row>
    <row r="213" spans="1:17" ht="18" customHeight="1" x14ac:dyDescent="0.25">
      <c r="A213" s="52">
        <f t="shared" ref="A213:A214" si="46">A212+0.1</f>
        <v>4.1999999999999993</v>
      </c>
      <c r="B213" s="18" t="s">
        <v>95</v>
      </c>
      <c r="C213" s="86" t="s">
        <v>40</v>
      </c>
      <c r="D213" s="49">
        <f>D211*10</f>
        <v>40</v>
      </c>
      <c r="E213" s="219">
        <v>5.05</v>
      </c>
      <c r="F213" s="124"/>
      <c r="G213" s="13">
        <f t="shared" si="41"/>
        <v>0</v>
      </c>
      <c r="H213" s="209">
        <v>0</v>
      </c>
      <c r="I213" s="200"/>
      <c r="J213" s="188">
        <f t="shared" si="42"/>
        <v>0</v>
      </c>
      <c r="K213" s="209">
        <v>0</v>
      </c>
      <c r="L213" s="48"/>
      <c r="M213" s="188">
        <f t="shared" si="43"/>
        <v>0</v>
      </c>
      <c r="N213" s="20">
        <f t="shared" si="44"/>
        <v>0</v>
      </c>
    </row>
    <row r="214" spans="1:17" ht="18" customHeight="1" x14ac:dyDescent="0.25">
      <c r="A214" s="52">
        <f t="shared" si="46"/>
        <v>4.2999999999999989</v>
      </c>
      <c r="B214" s="18" t="s">
        <v>96</v>
      </c>
      <c r="C214" s="183" t="s">
        <v>36</v>
      </c>
      <c r="D214" s="49">
        <f>D211*2.5</f>
        <v>10</v>
      </c>
      <c r="E214" s="219">
        <v>1.02</v>
      </c>
      <c r="F214" s="124"/>
      <c r="G214" s="13">
        <f t="shared" si="41"/>
        <v>0</v>
      </c>
      <c r="H214" s="209">
        <v>0</v>
      </c>
      <c r="I214" s="200"/>
      <c r="J214" s="188">
        <f t="shared" si="42"/>
        <v>0</v>
      </c>
      <c r="K214" s="209">
        <v>0</v>
      </c>
      <c r="L214" s="48"/>
      <c r="M214" s="188">
        <f t="shared" si="43"/>
        <v>0</v>
      </c>
      <c r="N214" s="20">
        <f t="shared" si="44"/>
        <v>0</v>
      </c>
    </row>
    <row r="215" spans="1:17" ht="36" customHeight="1" x14ac:dyDescent="0.25">
      <c r="A215" s="72">
        <f>A211+1</f>
        <v>5</v>
      </c>
      <c r="B215" s="154" t="s">
        <v>83</v>
      </c>
      <c r="C215" s="154" t="s">
        <v>46</v>
      </c>
      <c r="D215" s="150">
        <v>26.675799999999999</v>
      </c>
      <c r="E215" s="209">
        <v>7.6E-3</v>
      </c>
      <c r="F215" s="49"/>
      <c r="G215" s="13">
        <f t="shared" si="41"/>
        <v>0</v>
      </c>
      <c r="H215" s="209">
        <v>5.3040000000000003</v>
      </c>
      <c r="I215" s="13"/>
      <c r="J215" s="188">
        <f t="shared" si="42"/>
        <v>0</v>
      </c>
      <c r="K215" s="209">
        <v>1.1999999999999999E-3</v>
      </c>
      <c r="L215" s="49"/>
      <c r="M215" s="188">
        <f t="shared" si="43"/>
        <v>0</v>
      </c>
      <c r="N215" s="20">
        <f t="shared" si="44"/>
        <v>0</v>
      </c>
    </row>
    <row r="216" spans="1:17" ht="24" customHeight="1" x14ac:dyDescent="0.25">
      <c r="A216" s="55">
        <f>A215+0.1</f>
        <v>5.0999999999999996</v>
      </c>
      <c r="B216" s="18" t="s">
        <v>63</v>
      </c>
      <c r="C216" s="18" t="s">
        <v>36</v>
      </c>
      <c r="D216" s="13">
        <f>D215*0.28</f>
        <v>7.4692240000000005</v>
      </c>
      <c r="E216" s="209">
        <v>5</v>
      </c>
      <c r="F216" s="49"/>
      <c r="G216" s="13">
        <f t="shared" si="41"/>
        <v>0</v>
      </c>
      <c r="H216" s="209">
        <v>0</v>
      </c>
      <c r="I216" s="13"/>
      <c r="J216" s="188">
        <f t="shared" si="42"/>
        <v>0</v>
      </c>
      <c r="K216" s="209">
        <v>0</v>
      </c>
      <c r="L216" s="49"/>
      <c r="M216" s="188">
        <f t="shared" si="43"/>
        <v>0</v>
      </c>
      <c r="N216" s="20">
        <f t="shared" si="44"/>
        <v>0</v>
      </c>
    </row>
    <row r="217" spans="1:17" s="1" customFormat="1" ht="20.100000000000001" customHeight="1" x14ac:dyDescent="0.3">
      <c r="A217" s="62"/>
      <c r="B217" s="26" t="s">
        <v>20</v>
      </c>
      <c r="C217" s="26"/>
      <c r="D217" s="17"/>
      <c r="E217" s="213"/>
      <c r="F217" s="26"/>
      <c r="G217" s="68">
        <f>SUM(G196:G216)</f>
        <v>0</v>
      </c>
      <c r="H217" s="209"/>
      <c r="I217" s="172"/>
      <c r="J217" s="172">
        <f>SUM(J196:J216)</f>
        <v>0</v>
      </c>
      <c r="K217" s="209"/>
      <c r="L217" s="146"/>
      <c r="M217" s="172">
        <f>SUM(M196:M216)</f>
        <v>0</v>
      </c>
      <c r="N217" s="68">
        <f>SUM(N196:N216)</f>
        <v>0</v>
      </c>
      <c r="O217" s="76"/>
      <c r="P217" s="74"/>
      <c r="Q217" s="74"/>
    </row>
    <row r="218" spans="1:17" s="81" customFormat="1" ht="20.100000000000001" customHeight="1" x14ac:dyDescent="0.3">
      <c r="A218" s="62"/>
      <c r="B218" s="65" t="s">
        <v>21</v>
      </c>
      <c r="C218" s="65" t="s">
        <v>2</v>
      </c>
      <c r="D218" s="156" t="s">
        <v>210</v>
      </c>
      <c r="E218" s="213"/>
      <c r="F218" s="26"/>
      <c r="G218" s="68"/>
      <c r="H218" s="209"/>
      <c r="I218" s="172"/>
      <c r="J218" s="172"/>
      <c r="K218" s="209"/>
      <c r="L218" s="146"/>
      <c r="M218" s="172"/>
      <c r="N218" s="68">
        <f>IFERROR(SUM(N215:N216,N196:N199)*D218,0)</f>
        <v>0</v>
      </c>
      <c r="O218" s="83"/>
      <c r="P218" s="82"/>
      <c r="Q218" s="82"/>
    </row>
    <row r="219" spans="1:17" s="81" customFormat="1" ht="20.100000000000001" customHeight="1" x14ac:dyDescent="0.3">
      <c r="A219" s="62"/>
      <c r="B219" s="65" t="s">
        <v>65</v>
      </c>
      <c r="C219" s="65" t="s">
        <v>2</v>
      </c>
      <c r="D219" s="156" t="s">
        <v>210</v>
      </c>
      <c r="E219" s="213"/>
      <c r="F219" s="26"/>
      <c r="G219" s="68"/>
      <c r="H219" s="209"/>
      <c r="I219" s="172"/>
      <c r="J219" s="172"/>
      <c r="K219" s="209"/>
      <c r="L219" s="146"/>
      <c r="M219" s="172"/>
      <c r="N219" s="68">
        <f>IFERROR(SUM(N200:N214)*D219,0)</f>
        <v>0</v>
      </c>
      <c r="O219" s="83"/>
      <c r="P219" s="82"/>
      <c r="Q219" s="82"/>
    </row>
    <row r="220" spans="1:17" s="81" customFormat="1" ht="20.100000000000001" customHeight="1" x14ac:dyDescent="0.3">
      <c r="A220" s="62"/>
      <c r="B220" s="26" t="s">
        <v>22</v>
      </c>
      <c r="C220" s="26" t="s">
        <v>2</v>
      </c>
      <c r="D220" s="17"/>
      <c r="E220" s="213"/>
      <c r="F220" s="26"/>
      <c r="G220" s="68"/>
      <c r="H220" s="209"/>
      <c r="I220" s="172"/>
      <c r="J220" s="172"/>
      <c r="K220" s="209"/>
      <c r="L220" s="146"/>
      <c r="M220" s="172"/>
      <c r="N220" s="68">
        <f>SUM(N217:N219)</f>
        <v>0</v>
      </c>
      <c r="O220" s="83"/>
      <c r="P220" s="82"/>
      <c r="Q220" s="82"/>
    </row>
    <row r="221" spans="1:17" s="81" customFormat="1" ht="18" customHeight="1" x14ac:dyDescent="0.3">
      <c r="A221" s="62"/>
      <c r="B221" s="65" t="s">
        <v>23</v>
      </c>
      <c r="C221" s="65" t="s">
        <v>2</v>
      </c>
      <c r="D221" s="156" t="s">
        <v>210</v>
      </c>
      <c r="E221" s="213"/>
      <c r="F221" s="26"/>
      <c r="G221" s="68"/>
      <c r="H221" s="209"/>
      <c r="I221" s="172"/>
      <c r="J221" s="172"/>
      <c r="K221" s="209"/>
      <c r="L221" s="146"/>
      <c r="M221" s="172"/>
      <c r="N221" s="63">
        <f>IFERROR(N220*D221,0)</f>
        <v>0</v>
      </c>
      <c r="O221" s="83"/>
      <c r="P221" s="82"/>
      <c r="Q221" s="82"/>
    </row>
    <row r="222" spans="1:17" s="1" customFormat="1" ht="18" customHeight="1" x14ac:dyDescent="0.3">
      <c r="A222" s="62"/>
      <c r="B222" s="26" t="s">
        <v>112</v>
      </c>
      <c r="C222" s="26"/>
      <c r="D222" s="17"/>
      <c r="E222" s="213"/>
      <c r="F222" s="26"/>
      <c r="G222" s="63"/>
      <c r="H222" s="209"/>
      <c r="I222" s="172"/>
      <c r="J222" s="172"/>
      <c r="K222" s="209"/>
      <c r="L222" s="146"/>
      <c r="M222" s="172"/>
      <c r="N222" s="68">
        <f>SUM(N220:N221)</f>
        <v>0</v>
      </c>
      <c r="O222" s="76"/>
      <c r="P222" s="74"/>
      <c r="Q222" s="74"/>
    </row>
    <row r="223" spans="1:17" ht="25.5" customHeight="1" x14ac:dyDescent="0.25">
      <c r="A223" s="55"/>
      <c r="B223" s="154" t="s">
        <v>200</v>
      </c>
      <c r="C223" s="18"/>
      <c r="D223" s="49"/>
      <c r="E223" s="209"/>
      <c r="F223" s="49"/>
      <c r="G223" s="49"/>
      <c r="H223" s="209"/>
      <c r="I223" s="49"/>
      <c r="J223" s="49"/>
      <c r="K223" s="209"/>
      <c r="L223" s="49"/>
      <c r="M223" s="49"/>
      <c r="N223" s="23"/>
    </row>
    <row r="224" spans="1:17" x14ac:dyDescent="0.25">
      <c r="A224" s="72">
        <v>1</v>
      </c>
      <c r="B224" s="154" t="s">
        <v>97</v>
      </c>
      <c r="C224" s="154" t="s">
        <v>12</v>
      </c>
      <c r="D224" s="150">
        <v>8</v>
      </c>
      <c r="E224" s="209">
        <v>1.07</v>
      </c>
      <c r="F224" s="49"/>
      <c r="G224" s="13">
        <f>D224*F224</f>
        <v>0</v>
      </c>
      <c r="H224" s="209">
        <v>15.299999999999999</v>
      </c>
      <c r="I224" s="13"/>
      <c r="J224" s="188">
        <f>D224*I224</f>
        <v>0</v>
      </c>
      <c r="K224" s="209">
        <v>3.44</v>
      </c>
      <c r="L224" s="49"/>
      <c r="M224" s="188">
        <f>D224*L224</f>
        <v>0</v>
      </c>
      <c r="N224" s="20">
        <f t="shared" ref="N224:N241" si="47">SUM(M224,J224,G224)</f>
        <v>0</v>
      </c>
    </row>
    <row r="225" spans="1:14" x14ac:dyDescent="0.25">
      <c r="A225" s="55">
        <f>A224+0.1</f>
        <v>1.1000000000000001</v>
      </c>
      <c r="B225" s="15" t="s">
        <v>124</v>
      </c>
      <c r="C225" s="18" t="s">
        <v>12</v>
      </c>
      <c r="D225" s="13">
        <f>D224*1</f>
        <v>8</v>
      </c>
      <c r="E225" s="209">
        <v>280</v>
      </c>
      <c r="F225" s="49"/>
      <c r="G225" s="13">
        <f t="shared" ref="G225:G241" si="48">D225*F225</f>
        <v>0</v>
      </c>
      <c r="H225" s="209">
        <v>0</v>
      </c>
      <c r="I225" s="13"/>
      <c r="J225" s="188">
        <f t="shared" ref="J225:J241" si="49">D225*I225</f>
        <v>0</v>
      </c>
      <c r="K225" s="209">
        <v>0</v>
      </c>
      <c r="L225" s="49"/>
      <c r="M225" s="188">
        <f t="shared" ref="M225:M241" si="50">D225*L225</f>
        <v>0</v>
      </c>
      <c r="N225" s="20">
        <f t="shared" si="47"/>
        <v>0</v>
      </c>
    </row>
    <row r="226" spans="1:14" x14ac:dyDescent="0.25">
      <c r="A226" s="72">
        <f>A224+1</f>
        <v>2</v>
      </c>
      <c r="B226" s="154" t="s">
        <v>98</v>
      </c>
      <c r="C226" s="154" t="s">
        <v>86</v>
      </c>
      <c r="D226" s="8">
        <f>SUM(D227:D228)</f>
        <v>154</v>
      </c>
      <c r="E226" s="209">
        <v>6</v>
      </c>
      <c r="F226" s="49"/>
      <c r="G226" s="13">
        <f t="shared" si="48"/>
        <v>0</v>
      </c>
      <c r="H226" s="209">
        <v>0.32200000000000001</v>
      </c>
      <c r="I226" s="13"/>
      <c r="J226" s="188">
        <f t="shared" si="49"/>
        <v>0</v>
      </c>
      <c r="K226" s="209">
        <v>0.19359999999999999</v>
      </c>
      <c r="L226" s="49"/>
      <c r="M226" s="188">
        <f t="shared" si="50"/>
        <v>0</v>
      </c>
      <c r="N226" s="20">
        <f t="shared" si="47"/>
        <v>0</v>
      </c>
    </row>
    <row r="227" spans="1:14" s="113" customFormat="1" x14ac:dyDescent="0.25">
      <c r="A227" s="55">
        <f>A226+0.1</f>
        <v>2.1</v>
      </c>
      <c r="B227" s="18" t="s">
        <v>99</v>
      </c>
      <c r="C227" s="18" t="s">
        <v>86</v>
      </c>
      <c r="D227" s="13">
        <v>90</v>
      </c>
      <c r="E227" s="209">
        <v>14.75</v>
      </c>
      <c r="F227" s="46"/>
      <c r="G227" s="13">
        <f t="shared" si="48"/>
        <v>0</v>
      </c>
      <c r="H227" s="209">
        <v>0</v>
      </c>
      <c r="I227" s="201"/>
      <c r="J227" s="188">
        <f t="shared" si="49"/>
        <v>0</v>
      </c>
      <c r="K227" s="209">
        <v>0</v>
      </c>
      <c r="L227" s="48"/>
      <c r="M227" s="188">
        <f t="shared" si="50"/>
        <v>0</v>
      </c>
      <c r="N227" s="20">
        <f t="shared" si="47"/>
        <v>0</v>
      </c>
    </row>
    <row r="228" spans="1:14" x14ac:dyDescent="0.25">
      <c r="A228" s="44">
        <f t="shared" ref="A228:A231" si="51">A227+0.1</f>
        <v>2.2000000000000002</v>
      </c>
      <c r="B228" s="18" t="s">
        <v>100</v>
      </c>
      <c r="C228" s="18" t="s">
        <v>86</v>
      </c>
      <c r="D228" s="49">
        <v>64</v>
      </c>
      <c r="E228" s="209">
        <v>3.73</v>
      </c>
      <c r="F228" s="49"/>
      <c r="G228" s="13">
        <f t="shared" si="48"/>
        <v>0</v>
      </c>
      <c r="H228" s="209">
        <v>0</v>
      </c>
      <c r="I228" s="13"/>
      <c r="J228" s="188">
        <f t="shared" si="49"/>
        <v>0</v>
      </c>
      <c r="K228" s="209">
        <v>0</v>
      </c>
      <c r="L228" s="49"/>
      <c r="M228" s="188">
        <f t="shared" si="50"/>
        <v>0</v>
      </c>
      <c r="N228" s="20">
        <f t="shared" si="47"/>
        <v>0</v>
      </c>
    </row>
    <row r="229" spans="1:14" x14ac:dyDescent="0.25">
      <c r="A229" s="44">
        <f t="shared" si="51"/>
        <v>2.3000000000000003</v>
      </c>
      <c r="B229" s="18" t="s">
        <v>101</v>
      </c>
      <c r="C229" s="18" t="s">
        <v>13</v>
      </c>
      <c r="D229" s="13">
        <v>10</v>
      </c>
      <c r="E229" s="209">
        <v>8.34</v>
      </c>
      <c r="F229" s="49"/>
      <c r="G229" s="13">
        <f t="shared" si="48"/>
        <v>0</v>
      </c>
      <c r="H229" s="209">
        <v>0</v>
      </c>
      <c r="I229" s="201"/>
      <c r="J229" s="188">
        <f t="shared" si="49"/>
        <v>0</v>
      </c>
      <c r="K229" s="209">
        <v>0</v>
      </c>
      <c r="L229" s="48"/>
      <c r="M229" s="188">
        <f t="shared" si="50"/>
        <v>0</v>
      </c>
      <c r="N229" s="20">
        <f t="shared" si="47"/>
        <v>0</v>
      </c>
    </row>
    <row r="230" spans="1:14" s="113" customFormat="1" x14ac:dyDescent="0.25">
      <c r="A230" s="44">
        <f t="shared" si="51"/>
        <v>2.4000000000000004</v>
      </c>
      <c r="B230" s="18" t="s">
        <v>102</v>
      </c>
      <c r="C230" s="18" t="s">
        <v>86</v>
      </c>
      <c r="D230" s="13">
        <v>74</v>
      </c>
      <c r="E230" s="209">
        <v>1</v>
      </c>
      <c r="F230" s="13"/>
      <c r="G230" s="13">
        <f t="shared" si="48"/>
        <v>0</v>
      </c>
      <c r="H230" s="209">
        <v>0</v>
      </c>
      <c r="I230" s="201"/>
      <c r="J230" s="188">
        <f t="shared" si="49"/>
        <v>0</v>
      </c>
      <c r="K230" s="209">
        <v>0</v>
      </c>
      <c r="L230" s="48"/>
      <c r="M230" s="188">
        <f t="shared" si="50"/>
        <v>0</v>
      </c>
      <c r="N230" s="20">
        <f t="shared" si="47"/>
        <v>0</v>
      </c>
    </row>
    <row r="231" spans="1:14" s="113" customFormat="1" x14ac:dyDescent="0.25">
      <c r="A231" s="44">
        <f t="shared" si="51"/>
        <v>2.5000000000000004</v>
      </c>
      <c r="B231" s="18" t="s">
        <v>103</v>
      </c>
      <c r="C231" s="18" t="s">
        <v>86</v>
      </c>
      <c r="D231" s="13">
        <f>D227</f>
        <v>90</v>
      </c>
      <c r="E231" s="209">
        <v>2.46</v>
      </c>
      <c r="F231" s="13"/>
      <c r="G231" s="13">
        <f t="shared" si="48"/>
        <v>0</v>
      </c>
      <c r="H231" s="209">
        <v>0</v>
      </c>
      <c r="I231" s="201"/>
      <c r="J231" s="188">
        <f t="shared" si="49"/>
        <v>0</v>
      </c>
      <c r="K231" s="209">
        <v>0</v>
      </c>
      <c r="L231" s="48"/>
      <c r="M231" s="188">
        <f t="shared" si="50"/>
        <v>0</v>
      </c>
      <c r="N231" s="20">
        <f t="shared" si="47"/>
        <v>0</v>
      </c>
    </row>
    <row r="232" spans="1:14" s="113" customFormat="1" ht="33" customHeight="1" x14ac:dyDescent="0.25">
      <c r="A232" s="12">
        <f>A226+1</f>
        <v>3</v>
      </c>
      <c r="B232" s="5" t="s">
        <v>104</v>
      </c>
      <c r="C232" s="5" t="s">
        <v>19</v>
      </c>
      <c r="D232" s="7">
        <f>(D230*0.5*0.2)</f>
        <v>7.4</v>
      </c>
      <c r="E232" s="209">
        <v>0.04</v>
      </c>
      <c r="F232" s="49"/>
      <c r="G232" s="13">
        <f t="shared" si="48"/>
        <v>0</v>
      </c>
      <c r="H232" s="209">
        <v>18</v>
      </c>
      <c r="I232" s="48"/>
      <c r="J232" s="188">
        <f t="shared" si="49"/>
        <v>0</v>
      </c>
      <c r="K232" s="209">
        <v>0</v>
      </c>
      <c r="L232" s="48"/>
      <c r="M232" s="188">
        <f t="shared" si="50"/>
        <v>0</v>
      </c>
      <c r="N232" s="20">
        <f t="shared" si="47"/>
        <v>0</v>
      </c>
    </row>
    <row r="233" spans="1:14" s="113" customFormat="1" x14ac:dyDescent="0.25">
      <c r="A233" s="55">
        <f>A232+0.1</f>
        <v>3.1</v>
      </c>
      <c r="B233" s="48" t="s">
        <v>105</v>
      </c>
      <c r="C233" s="48" t="s">
        <v>19</v>
      </c>
      <c r="D233" s="49">
        <f>D232*1.15</f>
        <v>8.51</v>
      </c>
      <c r="E233" s="209">
        <v>38.1</v>
      </c>
      <c r="F233" s="49"/>
      <c r="G233" s="13">
        <f t="shared" si="48"/>
        <v>0</v>
      </c>
      <c r="H233" s="209">
        <v>0</v>
      </c>
      <c r="I233" s="48"/>
      <c r="J233" s="188">
        <f t="shared" si="49"/>
        <v>0</v>
      </c>
      <c r="K233" s="209">
        <v>0</v>
      </c>
      <c r="L233" s="48"/>
      <c r="M233" s="188">
        <f t="shared" si="50"/>
        <v>0</v>
      </c>
      <c r="N233" s="20">
        <f t="shared" si="47"/>
        <v>0</v>
      </c>
    </row>
    <row r="234" spans="1:14" s="113" customFormat="1" ht="30.75" customHeight="1" x14ac:dyDescent="0.25">
      <c r="A234" s="6">
        <f>A232+1</f>
        <v>4</v>
      </c>
      <c r="B234" s="54" t="s">
        <v>106</v>
      </c>
      <c r="C234" s="2" t="s">
        <v>78</v>
      </c>
      <c r="D234" s="8">
        <v>1</v>
      </c>
      <c r="E234" s="209">
        <v>40.4</v>
      </c>
      <c r="F234" s="13"/>
      <c r="G234" s="13">
        <f t="shared" si="48"/>
        <v>0</v>
      </c>
      <c r="H234" s="209">
        <v>150</v>
      </c>
      <c r="I234" s="201"/>
      <c r="J234" s="188">
        <f t="shared" si="49"/>
        <v>0</v>
      </c>
      <c r="K234" s="209">
        <v>2.8</v>
      </c>
      <c r="L234" s="49"/>
      <c r="M234" s="188">
        <f t="shared" si="50"/>
        <v>0</v>
      </c>
      <c r="N234" s="20">
        <f t="shared" si="47"/>
        <v>0</v>
      </c>
    </row>
    <row r="235" spans="1:14" s="113" customFormat="1" x14ac:dyDescent="0.25">
      <c r="A235" s="55">
        <f>A234+0.1</f>
        <v>4.0999999999999996</v>
      </c>
      <c r="B235" s="50" t="s">
        <v>107</v>
      </c>
      <c r="C235" s="50" t="s">
        <v>13</v>
      </c>
      <c r="D235" s="13">
        <v>1</v>
      </c>
      <c r="E235" s="209">
        <v>80</v>
      </c>
      <c r="F235" s="13"/>
      <c r="G235" s="13">
        <f t="shared" si="48"/>
        <v>0</v>
      </c>
      <c r="H235" s="209">
        <v>0</v>
      </c>
      <c r="I235" s="201"/>
      <c r="J235" s="188">
        <f t="shared" si="49"/>
        <v>0</v>
      </c>
      <c r="K235" s="209">
        <v>0</v>
      </c>
      <c r="L235" s="48"/>
      <c r="M235" s="188">
        <f t="shared" si="50"/>
        <v>0</v>
      </c>
      <c r="N235" s="20">
        <f t="shared" si="47"/>
        <v>0</v>
      </c>
    </row>
    <row r="236" spans="1:14" s="113" customFormat="1" x14ac:dyDescent="0.25">
      <c r="A236" s="51">
        <f t="shared" ref="A236:A239" si="52">A235+0.1</f>
        <v>4.1999999999999993</v>
      </c>
      <c r="B236" s="50" t="s">
        <v>121</v>
      </c>
      <c r="C236" s="50" t="s">
        <v>13</v>
      </c>
      <c r="D236" s="13">
        <v>1</v>
      </c>
      <c r="E236" s="209">
        <v>85</v>
      </c>
      <c r="F236" s="50"/>
      <c r="G236" s="13">
        <f t="shared" si="48"/>
        <v>0</v>
      </c>
      <c r="H236" s="209">
        <v>0</v>
      </c>
      <c r="I236" s="201"/>
      <c r="J236" s="188">
        <f t="shared" si="49"/>
        <v>0</v>
      </c>
      <c r="K236" s="209">
        <v>0</v>
      </c>
      <c r="L236" s="48"/>
      <c r="M236" s="188">
        <f t="shared" si="50"/>
        <v>0</v>
      </c>
      <c r="N236" s="20">
        <f t="shared" si="47"/>
        <v>0</v>
      </c>
    </row>
    <row r="237" spans="1:14" s="113" customFormat="1" x14ac:dyDescent="0.25">
      <c r="A237" s="51">
        <f t="shared" si="52"/>
        <v>4.2999999999999989</v>
      </c>
      <c r="B237" s="50" t="s">
        <v>108</v>
      </c>
      <c r="C237" s="50" t="s">
        <v>13</v>
      </c>
      <c r="D237" s="13">
        <v>1</v>
      </c>
      <c r="E237" s="209">
        <v>25.4</v>
      </c>
      <c r="F237" s="50"/>
      <c r="G237" s="13">
        <f t="shared" si="48"/>
        <v>0</v>
      </c>
      <c r="H237" s="209">
        <v>0</v>
      </c>
      <c r="I237" s="201"/>
      <c r="J237" s="188">
        <f t="shared" si="49"/>
        <v>0</v>
      </c>
      <c r="K237" s="209">
        <v>0</v>
      </c>
      <c r="L237" s="48"/>
      <c r="M237" s="188">
        <f t="shared" si="50"/>
        <v>0</v>
      </c>
      <c r="N237" s="20">
        <f t="shared" si="47"/>
        <v>0</v>
      </c>
    </row>
    <row r="238" spans="1:14" s="113" customFormat="1" x14ac:dyDescent="0.25">
      <c r="A238" s="51">
        <f t="shared" si="52"/>
        <v>4.3999999999999986</v>
      </c>
      <c r="B238" s="50" t="s">
        <v>109</v>
      </c>
      <c r="C238" s="50" t="s">
        <v>13</v>
      </c>
      <c r="D238" s="13">
        <v>1</v>
      </c>
      <c r="E238" s="209">
        <v>80</v>
      </c>
      <c r="F238" s="13"/>
      <c r="G238" s="13">
        <f t="shared" si="48"/>
        <v>0</v>
      </c>
      <c r="H238" s="209">
        <v>0</v>
      </c>
      <c r="I238" s="201"/>
      <c r="J238" s="188">
        <f t="shared" si="49"/>
        <v>0</v>
      </c>
      <c r="K238" s="209">
        <v>0</v>
      </c>
      <c r="L238" s="48"/>
      <c r="M238" s="188">
        <f t="shared" si="50"/>
        <v>0</v>
      </c>
      <c r="N238" s="20">
        <f t="shared" si="47"/>
        <v>0</v>
      </c>
    </row>
    <row r="239" spans="1:14" s="113" customFormat="1" x14ac:dyDescent="0.25">
      <c r="A239" s="51">
        <f t="shared" si="52"/>
        <v>4.4999999999999982</v>
      </c>
      <c r="B239" s="50" t="s">
        <v>110</v>
      </c>
      <c r="C239" s="50" t="s">
        <v>13</v>
      </c>
      <c r="D239" s="13">
        <v>1</v>
      </c>
      <c r="E239" s="209">
        <v>67.400000000000006</v>
      </c>
      <c r="F239" s="13"/>
      <c r="G239" s="13">
        <f t="shared" si="48"/>
        <v>0</v>
      </c>
      <c r="H239" s="209">
        <v>0</v>
      </c>
      <c r="I239" s="201"/>
      <c r="J239" s="188">
        <f t="shared" si="49"/>
        <v>0</v>
      </c>
      <c r="K239" s="209">
        <v>0</v>
      </c>
      <c r="L239" s="48"/>
      <c r="M239" s="188">
        <f t="shared" si="50"/>
        <v>0</v>
      </c>
      <c r="N239" s="20">
        <f t="shared" si="47"/>
        <v>0</v>
      </c>
    </row>
    <row r="240" spans="1:14" s="139" customFormat="1" ht="18" customHeight="1" x14ac:dyDescent="0.25">
      <c r="A240" s="89">
        <f>A234+1</f>
        <v>5</v>
      </c>
      <c r="B240" s="90" t="s">
        <v>130</v>
      </c>
      <c r="C240" s="90" t="s">
        <v>46</v>
      </c>
      <c r="D240" s="90">
        <v>468</v>
      </c>
      <c r="E240" s="215">
        <v>0</v>
      </c>
      <c r="F240" s="15"/>
      <c r="G240" s="13">
        <f t="shared" si="48"/>
        <v>0</v>
      </c>
      <c r="H240" s="215">
        <v>0.2</v>
      </c>
      <c r="I240" s="15"/>
      <c r="J240" s="188">
        <f t="shared" si="49"/>
        <v>0</v>
      </c>
      <c r="K240" s="215">
        <v>0</v>
      </c>
      <c r="L240" s="15"/>
      <c r="M240" s="188">
        <f t="shared" si="50"/>
        <v>0</v>
      </c>
      <c r="N240" s="20">
        <f t="shared" si="47"/>
        <v>0</v>
      </c>
    </row>
    <row r="241" spans="1:17" s="140" customFormat="1" ht="24" customHeight="1" x14ac:dyDescent="0.25">
      <c r="A241" s="21">
        <f>A240+1</f>
        <v>6</v>
      </c>
      <c r="B241" s="22" t="s">
        <v>131</v>
      </c>
      <c r="C241" s="22" t="s">
        <v>16</v>
      </c>
      <c r="D241" s="7">
        <v>1</v>
      </c>
      <c r="E241" s="209">
        <v>0</v>
      </c>
      <c r="F241" s="49"/>
      <c r="G241" s="13">
        <f t="shared" si="48"/>
        <v>0</v>
      </c>
      <c r="H241" s="209">
        <v>0</v>
      </c>
      <c r="I241" s="50"/>
      <c r="J241" s="188">
        <f t="shared" si="49"/>
        <v>0</v>
      </c>
      <c r="K241" s="209">
        <v>4.45</v>
      </c>
      <c r="L241" s="48"/>
      <c r="M241" s="188">
        <f t="shared" si="50"/>
        <v>0</v>
      </c>
      <c r="N241" s="20">
        <f t="shared" si="47"/>
        <v>0</v>
      </c>
    </row>
    <row r="242" spans="1:17" s="1" customFormat="1" x14ac:dyDescent="0.3">
      <c r="A242" s="62"/>
      <c r="B242" s="26" t="s">
        <v>20</v>
      </c>
      <c r="C242" s="26"/>
      <c r="D242" s="17"/>
      <c r="E242" s="17"/>
      <c r="F242" s="26"/>
      <c r="G242" s="68">
        <f>SUM(G224:G241)</f>
        <v>0</v>
      </c>
      <c r="H242" s="172"/>
      <c r="I242" s="146"/>
      <c r="J242" s="166">
        <f>SUM(J224:J241)</f>
        <v>0</v>
      </c>
      <c r="K242" s="172"/>
      <c r="L242" s="146"/>
      <c r="M242" s="166">
        <f>SUM(M224:M241)</f>
        <v>0</v>
      </c>
      <c r="N242" s="68">
        <f>SUM(N224:N241)</f>
        <v>0</v>
      </c>
      <c r="O242" s="76"/>
      <c r="P242" s="74"/>
      <c r="Q242" s="74"/>
    </row>
    <row r="243" spans="1:17" s="1" customFormat="1" x14ac:dyDescent="0.3">
      <c r="A243" s="62"/>
      <c r="B243" s="65" t="s">
        <v>111</v>
      </c>
      <c r="C243" s="65" t="s">
        <v>2</v>
      </c>
      <c r="D243" s="156" t="s">
        <v>210</v>
      </c>
      <c r="E243" s="156"/>
      <c r="F243" s="26"/>
      <c r="G243" s="26"/>
      <c r="H243" s="26"/>
      <c r="I243" s="65"/>
      <c r="J243" s="63"/>
      <c r="K243" s="63"/>
      <c r="L243" s="65"/>
      <c r="M243" s="63"/>
      <c r="N243" s="66">
        <f>IFERROR(J242*D243,0)</f>
        <v>0</v>
      </c>
      <c r="O243" s="76"/>
      <c r="P243" s="74"/>
      <c r="Q243" s="74"/>
    </row>
    <row r="244" spans="1:17" s="1" customFormat="1" x14ac:dyDescent="0.3">
      <c r="A244" s="62"/>
      <c r="B244" s="26" t="s">
        <v>22</v>
      </c>
      <c r="C244" s="26" t="s">
        <v>2</v>
      </c>
      <c r="D244" s="17"/>
      <c r="E244" s="17"/>
      <c r="F244" s="26"/>
      <c r="G244" s="26"/>
      <c r="H244" s="26"/>
      <c r="I244" s="65"/>
      <c r="J244" s="63"/>
      <c r="K244" s="63"/>
      <c r="L244" s="65"/>
      <c r="M244" s="63"/>
      <c r="N244" s="64">
        <f>SUM(N242:N243)</f>
        <v>0</v>
      </c>
      <c r="O244" s="76"/>
      <c r="P244" s="74"/>
      <c r="Q244" s="74"/>
    </row>
    <row r="245" spans="1:17" s="1" customFormat="1" x14ac:dyDescent="0.3">
      <c r="A245" s="62"/>
      <c r="B245" s="65" t="s">
        <v>23</v>
      </c>
      <c r="C245" s="65" t="s">
        <v>2</v>
      </c>
      <c r="D245" s="156" t="s">
        <v>210</v>
      </c>
      <c r="E245" s="156"/>
      <c r="F245" s="26"/>
      <c r="G245" s="26"/>
      <c r="H245" s="26"/>
      <c r="I245" s="65"/>
      <c r="J245" s="63"/>
      <c r="K245" s="63"/>
      <c r="L245" s="65"/>
      <c r="M245" s="63"/>
      <c r="N245" s="66">
        <f>IFERROR(N244*D245,0)</f>
        <v>0</v>
      </c>
      <c r="O245" s="76"/>
      <c r="P245" s="74"/>
      <c r="Q245" s="74"/>
    </row>
    <row r="246" spans="1:17" s="1" customFormat="1" x14ac:dyDescent="0.3">
      <c r="A246" s="62"/>
      <c r="B246" s="26" t="s">
        <v>201</v>
      </c>
      <c r="C246" s="26"/>
      <c r="D246" s="17"/>
      <c r="E246" s="17"/>
      <c r="F246" s="26"/>
      <c r="G246" s="69"/>
      <c r="H246" s="69"/>
      <c r="I246" s="65"/>
      <c r="J246" s="63"/>
      <c r="K246" s="63"/>
      <c r="L246" s="65"/>
      <c r="M246" s="63"/>
      <c r="N246" s="64">
        <f>SUM(N244:N245)</f>
        <v>0</v>
      </c>
      <c r="O246" s="76"/>
      <c r="P246" s="74"/>
      <c r="Q246" s="74"/>
    </row>
    <row r="247" spans="1:17" s="1" customFormat="1" x14ac:dyDescent="0.3">
      <c r="A247" s="169"/>
      <c r="B247" s="26" t="s">
        <v>182</v>
      </c>
      <c r="C247" s="65" t="s">
        <v>9</v>
      </c>
      <c r="D247" s="166"/>
      <c r="E247" s="166"/>
      <c r="F247" s="63"/>
      <c r="G247" s="63"/>
      <c r="H247" s="63"/>
      <c r="I247" s="63"/>
      <c r="J247" s="63"/>
      <c r="K247" s="63"/>
      <c r="L247" s="63"/>
      <c r="M247" s="63"/>
      <c r="N247" s="68">
        <f>SUM(N246,N222,N194,N168,N127,N86,N31,N15)</f>
        <v>0</v>
      </c>
    </row>
    <row r="248" spans="1:17" s="1" customFormat="1" x14ac:dyDescent="0.3">
      <c r="A248" s="170"/>
      <c r="B248" s="161" t="s">
        <v>113</v>
      </c>
      <c r="C248" s="65" t="s">
        <v>2</v>
      </c>
      <c r="D248" s="167">
        <v>0.03</v>
      </c>
      <c r="E248" s="167"/>
      <c r="F248" s="162"/>
      <c r="G248" s="162"/>
      <c r="H248" s="162"/>
      <c r="I248" s="162"/>
      <c r="J248" s="162"/>
      <c r="K248" s="162"/>
      <c r="L248" s="162"/>
      <c r="M248" s="162"/>
      <c r="N248" s="162">
        <f>N247*D248</f>
        <v>0</v>
      </c>
    </row>
    <row r="249" spans="1:17" s="1" customFormat="1" x14ac:dyDescent="0.3">
      <c r="A249" s="170"/>
      <c r="B249" s="65" t="s">
        <v>22</v>
      </c>
      <c r="C249" s="65" t="s">
        <v>2</v>
      </c>
      <c r="D249" s="168"/>
      <c r="E249" s="168"/>
      <c r="F249" s="63"/>
      <c r="G249" s="63"/>
      <c r="H249" s="63"/>
      <c r="I249" s="63"/>
      <c r="J249" s="63"/>
      <c r="K249" s="63"/>
      <c r="L249" s="63"/>
      <c r="M249" s="63"/>
      <c r="N249" s="163">
        <f>SUM(N247:N248)</f>
        <v>0</v>
      </c>
      <c r="O249" s="80"/>
    </row>
    <row r="250" spans="1:17" s="1" customFormat="1" x14ac:dyDescent="0.3">
      <c r="A250" s="170"/>
      <c r="B250" s="161" t="s">
        <v>114</v>
      </c>
      <c r="C250" s="161"/>
      <c r="D250" s="167">
        <v>0.18</v>
      </c>
      <c r="E250" s="167"/>
      <c r="F250" s="162"/>
      <c r="G250" s="162"/>
      <c r="H250" s="162"/>
      <c r="I250" s="162"/>
      <c r="J250" s="162"/>
      <c r="K250" s="162"/>
      <c r="L250" s="162"/>
      <c r="M250" s="162"/>
      <c r="N250" s="162">
        <f>N249*D250</f>
        <v>0</v>
      </c>
    </row>
    <row r="251" spans="1:17" s="1" customFormat="1" x14ac:dyDescent="0.3">
      <c r="A251" s="170"/>
      <c r="B251" s="26" t="s">
        <v>115</v>
      </c>
      <c r="C251" s="164" t="s">
        <v>2</v>
      </c>
      <c r="D251" s="165"/>
      <c r="E251" s="165"/>
      <c r="F251" s="163"/>
      <c r="G251" s="163"/>
      <c r="H251" s="163"/>
      <c r="I251" s="162"/>
      <c r="J251" s="162"/>
      <c r="K251" s="162"/>
      <c r="L251" s="162"/>
      <c r="M251" s="162"/>
      <c r="N251" s="163">
        <f>SUM(N249:N250)</f>
        <v>0</v>
      </c>
      <c r="O251" s="80"/>
      <c r="P251" s="84"/>
    </row>
    <row r="252" spans="1:17" x14ac:dyDescent="0.25">
      <c r="M252" s="138"/>
    </row>
    <row r="253" spans="1:17" ht="112.5" customHeight="1" x14ac:dyDescent="0.25">
      <c r="B253" s="223" t="s">
        <v>209</v>
      </c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</row>
    <row r="254" spans="1:17" x14ac:dyDescent="0.25">
      <c r="K254" s="119"/>
      <c r="L254" s="119"/>
      <c r="M254" s="119"/>
      <c r="N254" s="119"/>
    </row>
    <row r="255" spans="1:17" x14ac:dyDescent="0.25">
      <c r="K255" s="119"/>
      <c r="L255" s="119"/>
      <c r="M255" s="119"/>
      <c r="N255" s="119"/>
    </row>
    <row r="256" spans="1:17" x14ac:dyDescent="0.25">
      <c r="K256" s="119"/>
      <c r="L256" s="119"/>
      <c r="M256" s="119"/>
      <c r="N256" s="119"/>
    </row>
    <row r="257" spans="11:14" x14ac:dyDescent="0.25">
      <c r="K257" s="119"/>
      <c r="L257" s="119"/>
      <c r="M257" s="119"/>
      <c r="N257" s="119"/>
    </row>
    <row r="258" spans="11:14" x14ac:dyDescent="0.25">
      <c r="K258" s="119"/>
      <c r="L258" s="119"/>
      <c r="M258" s="119"/>
      <c r="N258" s="119"/>
    </row>
    <row r="259" spans="11:14" x14ac:dyDescent="0.25">
      <c r="K259" s="119"/>
      <c r="L259" s="119"/>
      <c r="M259" s="119"/>
      <c r="N259" s="119"/>
    </row>
    <row r="260" spans="11:14" x14ac:dyDescent="0.25">
      <c r="K260" s="119"/>
      <c r="L260" s="119"/>
      <c r="M260" s="119"/>
      <c r="N260" s="119"/>
    </row>
    <row r="261" spans="11:14" x14ac:dyDescent="0.25">
      <c r="K261" s="119"/>
      <c r="L261" s="119"/>
      <c r="M261" s="119"/>
      <c r="N261" s="119"/>
    </row>
    <row r="262" spans="11:14" x14ac:dyDescent="0.25">
      <c r="K262" s="119"/>
      <c r="L262" s="119"/>
      <c r="M262" s="119"/>
      <c r="N262" s="119"/>
    </row>
    <row r="263" spans="11:14" x14ac:dyDescent="0.25">
      <c r="K263" s="119"/>
      <c r="L263" s="119"/>
      <c r="M263" s="119"/>
      <c r="N263" s="119"/>
    </row>
    <row r="264" spans="11:14" x14ac:dyDescent="0.25">
      <c r="K264" s="119"/>
      <c r="L264" s="119"/>
      <c r="M264" s="119"/>
      <c r="N264" s="119"/>
    </row>
    <row r="265" spans="11:14" x14ac:dyDescent="0.25">
      <c r="K265" s="119"/>
      <c r="L265" s="119"/>
      <c r="M265" s="119"/>
      <c r="N265" s="119"/>
    </row>
    <row r="266" spans="11:14" x14ac:dyDescent="0.25">
      <c r="K266" s="119"/>
      <c r="L266" s="119"/>
      <c r="M266" s="119"/>
      <c r="N266" s="119"/>
    </row>
    <row r="267" spans="11:14" x14ac:dyDescent="0.25">
      <c r="K267" s="119"/>
      <c r="L267" s="119"/>
      <c r="M267" s="119"/>
      <c r="N267" s="119"/>
    </row>
    <row r="268" spans="11:14" x14ac:dyDescent="0.25">
      <c r="K268" s="119"/>
      <c r="L268" s="119"/>
      <c r="M268" s="119"/>
      <c r="N268" s="119"/>
    </row>
    <row r="269" spans="11:14" x14ac:dyDescent="0.25">
      <c r="K269" s="119"/>
      <c r="L269" s="119"/>
      <c r="M269" s="119"/>
      <c r="N269" s="119"/>
    </row>
    <row r="270" spans="11:14" x14ac:dyDescent="0.25">
      <c r="K270" s="119"/>
      <c r="L270" s="119"/>
      <c r="M270" s="119"/>
      <c r="N270" s="119"/>
    </row>
    <row r="271" spans="11:14" x14ac:dyDescent="0.25">
      <c r="K271" s="119"/>
      <c r="L271" s="119"/>
      <c r="M271" s="119"/>
      <c r="N271" s="119"/>
    </row>
    <row r="272" spans="11:14" x14ac:dyDescent="0.25">
      <c r="K272" s="119"/>
      <c r="L272" s="119"/>
      <c r="M272" s="119"/>
      <c r="N272" s="119"/>
    </row>
    <row r="273" spans="11:14" x14ac:dyDescent="0.25">
      <c r="K273" s="119"/>
      <c r="L273" s="119"/>
      <c r="M273" s="119"/>
      <c r="N273" s="119"/>
    </row>
    <row r="274" spans="11:14" x14ac:dyDescent="0.25">
      <c r="K274" s="119"/>
      <c r="L274" s="119"/>
      <c r="M274" s="119"/>
      <c r="N274" s="119"/>
    </row>
    <row r="275" spans="11:14" x14ac:dyDescent="0.25">
      <c r="K275" s="119"/>
      <c r="L275" s="119"/>
      <c r="M275" s="119"/>
      <c r="N275" s="119"/>
    </row>
    <row r="276" spans="11:14" x14ac:dyDescent="0.25">
      <c r="K276" s="119"/>
      <c r="L276" s="119"/>
      <c r="M276" s="119"/>
      <c r="N276" s="119"/>
    </row>
    <row r="277" spans="11:14" x14ac:dyDescent="0.25">
      <c r="K277" s="119"/>
      <c r="L277" s="119"/>
      <c r="M277" s="119"/>
      <c r="N277" s="119"/>
    </row>
    <row r="278" spans="11:14" x14ac:dyDescent="0.25">
      <c r="K278" s="119"/>
      <c r="L278" s="119"/>
      <c r="M278" s="119"/>
      <c r="N278" s="119"/>
    </row>
  </sheetData>
  <mergeCells count="11">
    <mergeCell ref="A1:N1"/>
    <mergeCell ref="B253:N253"/>
    <mergeCell ref="N3:N4"/>
    <mergeCell ref="A2:N2"/>
    <mergeCell ref="A3:A4"/>
    <mergeCell ref="B3:B4"/>
    <mergeCell ref="C3:C4"/>
    <mergeCell ref="E3:G3"/>
    <mergeCell ref="H3:J3"/>
    <mergeCell ref="K3:M3"/>
    <mergeCell ref="D3:D4"/>
  </mergeCells>
  <printOptions horizontalCentered="1"/>
  <pageMargins left="0" right="0" top="0.35" bottom="0.39" header="0.31496062992125984" footer="0.17"/>
  <pageSetup paperSize="9" scale="77" orientation="landscape" r:id="rId1"/>
  <headerFooter>
    <oddFooter>Страница  &amp;P из &amp;N</oddFooter>
  </headerFooter>
  <rowBreaks count="1" manualBreakCount="1">
    <brk id="2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გამსხვილებული</vt:lpstr>
      <vt:lpstr>გამსხვილებული!Print_Area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Irakli Merebashvili</cp:lastModifiedBy>
  <cp:lastPrinted>2022-03-02T11:21:38Z</cp:lastPrinted>
  <dcterms:created xsi:type="dcterms:W3CDTF">2021-05-22T22:21:18Z</dcterms:created>
  <dcterms:modified xsi:type="dcterms:W3CDTF">2022-03-02T12:31:51Z</dcterms:modified>
</cp:coreProperties>
</file>