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752"/>
  </bookViews>
  <sheets>
    <sheet name="Sheet1" sheetId="21" r:id="rId1"/>
    <sheet name="77777" sheetId="4" state="hidden" r:id="rId2"/>
  </sheets>
  <definedNames>
    <definedName name="_xlnm.Print_Area" localSheetId="0">Sheet1!$A$1:$M$34</definedName>
    <definedName name="_xlnm.Print_Titles" localSheetId="1">'77777'!$3:$6</definedName>
  </definedNames>
  <calcPr calcId="162913"/>
</workbook>
</file>

<file path=xl/calcChain.xml><?xml version="1.0" encoding="utf-8"?>
<calcChain xmlns="http://schemas.openxmlformats.org/spreadsheetml/2006/main">
  <c r="E22" i="21" l="1"/>
  <c r="D16" i="21"/>
  <c r="D10" i="21"/>
  <c r="L22" i="21"/>
  <c r="K22" i="21"/>
  <c r="J22" i="21"/>
  <c r="I22" i="21"/>
  <c r="H22" i="21"/>
  <c r="G22" i="21"/>
  <c r="F22" i="21"/>
  <c r="D22" i="21" l="1"/>
  <c r="D193" i="4" l="1"/>
  <c r="D192" i="4"/>
  <c r="E192" i="4" s="1"/>
  <c r="E187" i="4"/>
  <c r="D188" i="4"/>
  <c r="E188" i="4" s="1"/>
  <c r="D187" i="4"/>
  <c r="D186" i="4"/>
  <c r="E186" i="4" s="1"/>
  <c r="D185" i="4"/>
  <c r="E185" i="4" s="1"/>
  <c r="D184" i="4"/>
  <c r="E184" i="4" s="1"/>
  <c r="D189" i="4"/>
  <c r="E189" i="4" s="1"/>
  <c r="D182" i="4"/>
  <c r="E182" i="4" s="1"/>
  <c r="D183" i="4"/>
  <c r="E183" i="4" s="1"/>
  <c r="D181" i="4"/>
  <c r="E181" i="4" s="1"/>
  <c r="D180" i="4"/>
  <c r="E180" i="4" s="1"/>
  <c r="E190" i="4" l="1"/>
  <c r="D190" i="4"/>
  <c r="BE21" i="4"/>
  <c r="BE22" i="4"/>
  <c r="BE23" i="4"/>
  <c r="BE24" i="4"/>
  <c r="Z21" i="4"/>
  <c r="AA21" i="4"/>
  <c r="AJ21" i="4"/>
  <c r="AU21" i="4"/>
  <c r="BD21" i="4"/>
  <c r="Z22" i="4"/>
  <c r="AA22" i="4"/>
  <c r="AJ22" i="4"/>
  <c r="AU22" i="4"/>
  <c r="BD22" i="4"/>
  <c r="Z23" i="4"/>
  <c r="AA23" i="4"/>
  <c r="AJ23" i="4"/>
  <c r="AU23" i="4"/>
  <c r="BD23" i="4"/>
  <c r="Z24" i="4"/>
  <c r="AA24" i="4"/>
  <c r="AJ24" i="4"/>
  <c r="AU24" i="4"/>
  <c r="BD24" i="4"/>
  <c r="I21" i="4"/>
  <c r="I22" i="4"/>
  <c r="I23" i="4"/>
  <c r="I24" i="4"/>
  <c r="O21" i="4"/>
  <c r="S21" i="4"/>
  <c r="X21" i="4"/>
  <c r="O22" i="4"/>
  <c r="S22" i="4"/>
  <c r="X22" i="4"/>
  <c r="O23" i="4"/>
  <c r="S23" i="4"/>
  <c r="X23" i="4"/>
  <c r="O24" i="4"/>
  <c r="S24" i="4"/>
  <c r="X24" i="4"/>
  <c r="D21" i="4"/>
  <c r="E21" i="4"/>
  <c r="D22" i="4"/>
  <c r="E22" i="4"/>
  <c r="D23" i="4"/>
  <c r="E23" i="4"/>
  <c r="E175" i="4" l="1"/>
  <c r="D65" i="4" l="1"/>
  <c r="D163" i="4"/>
  <c r="D150" i="4"/>
  <c r="D165" i="4" s="1"/>
  <c r="D149" i="4"/>
  <c r="D164" i="4" s="1"/>
  <c r="D147" i="4"/>
  <c r="D162" i="4" s="1"/>
  <c r="CS130" i="4" l="1"/>
  <c r="CM130" i="4"/>
  <c r="CN130" i="4"/>
  <c r="CO130" i="4"/>
  <c r="CP130" i="4"/>
  <c r="CR130" i="4"/>
  <c r="CL130" i="4"/>
  <c r="BV130" i="4"/>
  <c r="BW130" i="4"/>
  <c r="BX130" i="4"/>
  <c r="BY130" i="4"/>
  <c r="BZ130" i="4"/>
  <c r="CA130" i="4"/>
  <c r="CB130" i="4"/>
  <c r="CC130" i="4"/>
  <c r="CD130" i="4"/>
  <c r="CE130" i="4"/>
  <c r="CF130" i="4"/>
  <c r="CH130" i="4"/>
  <c r="CI130" i="4"/>
  <c r="CJ130" i="4"/>
  <c r="BU130" i="4"/>
  <c r="BI130" i="4"/>
  <c r="BJ130" i="4"/>
  <c r="BK130" i="4"/>
  <c r="BM130" i="4"/>
  <c r="BN130" i="4"/>
  <c r="BO130" i="4"/>
  <c r="BP130" i="4"/>
  <c r="BQ130" i="4"/>
  <c r="BR130" i="4"/>
  <c r="BS130" i="4"/>
  <c r="BT130" i="4"/>
  <c r="AB130" i="4"/>
  <c r="AC130" i="4"/>
  <c r="AD130" i="4"/>
  <c r="AE130" i="4"/>
  <c r="AF130" i="4"/>
  <c r="AG130" i="4"/>
  <c r="AH130" i="4"/>
  <c r="AI130" i="4"/>
  <c r="AK130" i="4"/>
  <c r="AL130" i="4"/>
  <c r="AM130" i="4"/>
  <c r="AN130" i="4"/>
  <c r="AO130" i="4"/>
  <c r="AP130" i="4"/>
  <c r="AQ130" i="4"/>
  <c r="AR130" i="4"/>
  <c r="AS130" i="4"/>
  <c r="AT130" i="4"/>
  <c r="AV130" i="4"/>
  <c r="AW130" i="4"/>
  <c r="AX130" i="4"/>
  <c r="AY130" i="4"/>
  <c r="AZ130" i="4"/>
  <c r="BA130" i="4"/>
  <c r="BB130" i="4"/>
  <c r="BC130" i="4"/>
  <c r="K130" i="4"/>
  <c r="L130" i="4"/>
  <c r="M130" i="4"/>
  <c r="N130" i="4"/>
  <c r="P130" i="4"/>
  <c r="Q130" i="4"/>
  <c r="R130" i="4"/>
  <c r="T130" i="4"/>
  <c r="U130" i="4"/>
  <c r="V130" i="4"/>
  <c r="W130" i="4"/>
  <c r="Y130" i="4"/>
  <c r="J130" i="4"/>
  <c r="CS170" i="4"/>
  <c r="CM170" i="4"/>
  <c r="CN170" i="4"/>
  <c r="CO170" i="4"/>
  <c r="CP170" i="4"/>
  <c r="CQ170" i="4"/>
  <c r="CR170" i="4"/>
  <c r="CL170" i="4"/>
  <c r="BV170" i="4"/>
  <c r="BW170" i="4"/>
  <c r="BX170" i="4"/>
  <c r="BY170" i="4"/>
  <c r="BZ170" i="4"/>
  <c r="CA170" i="4"/>
  <c r="CB170" i="4"/>
  <c r="CG170" i="4"/>
  <c r="CH170" i="4"/>
  <c r="CI170" i="4"/>
  <c r="CJ170" i="4"/>
  <c r="BU170" i="4"/>
  <c r="BI170" i="4"/>
  <c r="BJ170" i="4"/>
  <c r="BK170" i="4"/>
  <c r="BM170" i="4"/>
  <c r="BN170" i="4"/>
  <c r="BO170" i="4"/>
  <c r="BP170" i="4"/>
  <c r="BQ170" i="4"/>
  <c r="BR170" i="4"/>
  <c r="BS170" i="4"/>
  <c r="BT170" i="4"/>
  <c r="AB170" i="4"/>
  <c r="AC170" i="4"/>
  <c r="AD170" i="4"/>
  <c r="AE170" i="4"/>
  <c r="AF170" i="4"/>
  <c r="AG170" i="4"/>
  <c r="AH170" i="4"/>
  <c r="AJ170" i="4"/>
  <c r="AK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AY170" i="4"/>
  <c r="AZ170" i="4"/>
  <c r="BA170" i="4"/>
  <c r="BB170" i="4"/>
  <c r="BC170" i="4"/>
  <c r="BD170" i="4"/>
  <c r="AA170" i="4"/>
  <c r="K170" i="4"/>
  <c r="L170" i="4"/>
  <c r="O170" i="4"/>
  <c r="P170" i="4"/>
  <c r="Q170" i="4"/>
  <c r="R170" i="4"/>
  <c r="S170" i="4"/>
  <c r="T170" i="4"/>
  <c r="U170" i="4"/>
  <c r="V170" i="4"/>
  <c r="W170" i="4"/>
  <c r="X170" i="4"/>
  <c r="Y170" i="4"/>
  <c r="J170" i="4"/>
  <c r="CT128" i="4"/>
  <c r="CK128" i="4"/>
  <c r="CT127" i="4"/>
  <c r="CK127" i="4"/>
  <c r="CQ126" i="4"/>
  <c r="CQ130" i="4" s="1"/>
  <c r="CG126" i="4"/>
  <c r="CK126" i="4" s="1"/>
  <c r="BE126" i="4"/>
  <c r="BE130" i="4" s="1"/>
  <c r="BD126" i="4"/>
  <c r="BD130" i="4" s="1"/>
  <c r="AU126" i="4"/>
  <c r="AU130" i="4" s="1"/>
  <c r="AJ126" i="4"/>
  <c r="AJ130" i="4" s="1"/>
  <c r="AA126" i="4"/>
  <c r="AA130" i="4" s="1"/>
  <c r="Z126" i="4"/>
  <c r="Z130" i="4" s="1"/>
  <c r="X126" i="4"/>
  <c r="X130" i="4" s="1"/>
  <c r="S126" i="4"/>
  <c r="S130" i="4" s="1"/>
  <c r="O126" i="4"/>
  <c r="O130" i="4" s="1"/>
  <c r="I126" i="4"/>
  <c r="I130" i="4" s="1"/>
  <c r="E126" i="4"/>
  <c r="D126" i="4"/>
  <c r="CT144" i="4"/>
  <c r="CK144" i="4"/>
  <c r="CT143" i="4"/>
  <c r="CK143" i="4"/>
  <c r="AL143" i="4"/>
  <c r="AI143" i="4"/>
  <c r="N143" i="4"/>
  <c r="M143" i="4"/>
  <c r="E142" i="4"/>
  <c r="D142" i="4"/>
  <c r="CT141" i="4"/>
  <c r="CF141" i="4"/>
  <c r="CK141" i="4" s="1"/>
  <c r="BE141" i="4"/>
  <c r="AL141" i="4"/>
  <c r="AI141" i="4"/>
  <c r="Z141" i="4"/>
  <c r="N141" i="4"/>
  <c r="M141" i="4"/>
  <c r="I141" i="4"/>
  <c r="E141" i="4"/>
  <c r="D141" i="4"/>
  <c r="CT140" i="4"/>
  <c r="CF140" i="4"/>
  <c r="CE140" i="4"/>
  <c r="CE170" i="4" s="1"/>
  <c r="CD140" i="4"/>
  <c r="CC140" i="4"/>
  <c r="BE140" i="4"/>
  <c r="AL140" i="4"/>
  <c r="AI140" i="4"/>
  <c r="Z140" i="4"/>
  <c r="N140" i="4"/>
  <c r="M140" i="4"/>
  <c r="I140" i="4"/>
  <c r="E140" i="4"/>
  <c r="D140" i="4"/>
  <c r="E139" i="4"/>
  <c r="D139" i="4"/>
  <c r="CT138" i="4"/>
  <c r="CD138" i="4"/>
  <c r="CC138" i="4"/>
  <c r="BE138" i="4"/>
  <c r="AL138" i="4"/>
  <c r="AI138" i="4"/>
  <c r="Z138" i="4"/>
  <c r="N138" i="4"/>
  <c r="M138" i="4"/>
  <c r="I138" i="4"/>
  <c r="E138" i="4"/>
  <c r="D138" i="4"/>
  <c r="CT137" i="4"/>
  <c r="CF137" i="4"/>
  <c r="CK137" i="4" s="1"/>
  <c r="BE137" i="4"/>
  <c r="AL137" i="4"/>
  <c r="AI137" i="4"/>
  <c r="Z137" i="4"/>
  <c r="N137" i="4"/>
  <c r="M137" i="4"/>
  <c r="I137" i="4"/>
  <c r="E137" i="4"/>
  <c r="D137" i="4"/>
  <c r="CK140" i="4" l="1"/>
  <c r="BF140" i="4" s="1"/>
  <c r="CK138" i="4"/>
  <c r="BF138" i="4" s="1"/>
  <c r="BF127" i="4"/>
  <c r="BG127" i="4" s="1"/>
  <c r="I170" i="4"/>
  <c r="AI170" i="4"/>
  <c r="M170" i="4"/>
  <c r="BE170" i="4"/>
  <c r="Z170" i="4"/>
  <c r="CD170" i="4"/>
  <c r="AL170" i="4"/>
  <c r="N170" i="4"/>
  <c r="BF137" i="4"/>
  <c r="BG137" i="4" s="1"/>
  <c r="BF141" i="4"/>
  <c r="BG141" i="4" s="1"/>
  <c r="CT126" i="4"/>
  <c r="BF126" i="4" s="1"/>
  <c r="BF144" i="4"/>
  <c r="BL144" i="4" s="1"/>
  <c r="BF128" i="4"/>
  <c r="BH128" i="4" s="1"/>
  <c r="CC170" i="4"/>
  <c r="CG130" i="4"/>
  <c r="CF170" i="4"/>
  <c r="BF143" i="4"/>
  <c r="BH143" i="4" s="1"/>
  <c r="BH137" i="4" l="1"/>
  <c r="BG144" i="4"/>
  <c r="BL128" i="4"/>
  <c r="BH138" i="4"/>
  <c r="BL138" i="4"/>
  <c r="BH127" i="4"/>
  <c r="BL127" i="4"/>
  <c r="BF130" i="4"/>
  <c r="BG126" i="4"/>
  <c r="BG143" i="4"/>
  <c r="BL143" i="4"/>
  <c r="BG128" i="4"/>
  <c r="BL137" i="4"/>
  <c r="BH141" i="4"/>
  <c r="BL141" i="4"/>
  <c r="BG138" i="4"/>
  <c r="BH126" i="4"/>
  <c r="BF170" i="4"/>
  <c r="BH144" i="4"/>
  <c r="BL126" i="4"/>
  <c r="BG140" i="4"/>
  <c r="BL140" i="4"/>
  <c r="BH140" i="4"/>
  <c r="BL130" i="4" l="1"/>
  <c r="BH130" i="4"/>
  <c r="BG130" i="4"/>
  <c r="BG170" i="4"/>
  <c r="BH170" i="4"/>
  <c r="BL170" i="4"/>
  <c r="N38" i="4" l="1"/>
  <c r="N40" i="4"/>
  <c r="N39" i="4"/>
  <c r="D228" i="4"/>
  <c r="D227" i="4"/>
  <c r="C227" i="4"/>
  <c r="N111" i="4" l="1"/>
  <c r="E174" i="4" l="1"/>
  <c r="CI132" i="4"/>
  <c r="CR132" i="4"/>
  <c r="D102" i="4" l="1"/>
  <c r="D103" i="4"/>
  <c r="D100" i="4"/>
  <c r="D101" i="4"/>
  <c r="P289" i="4" l="1"/>
  <c r="P290" i="4"/>
  <c r="G290" i="4"/>
  <c r="H290" i="4" s="1"/>
  <c r="G289" i="4"/>
  <c r="O289" i="4" s="1"/>
  <c r="E290" i="4"/>
  <c r="M290" i="4" s="1"/>
  <c r="E289" i="4"/>
  <c r="M289" i="4" s="1"/>
  <c r="P288" i="4"/>
  <c r="G288" i="4"/>
  <c r="H288" i="4" s="1"/>
  <c r="E288" i="4"/>
  <c r="M288" i="4" s="1"/>
  <c r="BE39" i="4"/>
  <c r="CQ7" i="4"/>
  <c r="CG7" i="4"/>
  <c r="L304" i="4"/>
  <c r="L309" i="4"/>
  <c r="O309" i="4" s="1"/>
  <c r="Q309" i="4"/>
  <c r="R309" i="4"/>
  <c r="P279" i="4"/>
  <c r="J304" i="4"/>
  <c r="G304" i="4"/>
  <c r="H304" i="4" s="1"/>
  <c r="E304" i="4"/>
  <c r="F304" i="4" s="1"/>
  <c r="G279" i="4"/>
  <c r="O279" i="4" s="1"/>
  <c r="E279" i="4"/>
  <c r="M279" i="4" s="1"/>
  <c r="R290" i="4" l="1"/>
  <c r="F289" i="4"/>
  <c r="O290" i="4"/>
  <c r="Q289" i="4"/>
  <c r="Q279" i="4"/>
  <c r="F288" i="4"/>
  <c r="O288" i="4"/>
  <c r="F290" i="4"/>
  <c r="R288" i="4"/>
  <c r="H289" i="4"/>
  <c r="Q290" i="4"/>
  <c r="R289" i="4"/>
  <c r="Q288" i="4"/>
  <c r="M309" i="4"/>
  <c r="R279" i="4"/>
  <c r="Q304" i="4"/>
  <c r="R304" i="4"/>
  <c r="H279" i="4"/>
  <c r="M304" i="4"/>
  <c r="F279" i="4"/>
  <c r="O304" i="4"/>
  <c r="CT36" i="4"/>
  <c r="CL7" i="4"/>
  <c r="CL34" i="4" s="1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U36" i="4"/>
  <c r="I36" i="4"/>
  <c r="BC38" i="4"/>
  <c r="AX38" i="4"/>
  <c r="BD29" i="4"/>
  <c r="BD30" i="4"/>
  <c r="BD31" i="4"/>
  <c r="BD32" i="4"/>
  <c r="BD33" i="4"/>
  <c r="BD34" i="4"/>
  <c r="BD35" i="4"/>
  <c r="BD25" i="4"/>
  <c r="BD26" i="4"/>
  <c r="BD27" i="4"/>
  <c r="BC37" i="4"/>
  <c r="BC36" i="4"/>
  <c r="BC28" i="4"/>
  <c r="AZ36" i="4"/>
  <c r="AJ36" i="4"/>
  <c r="AA36" i="4"/>
  <c r="Z36" i="4"/>
  <c r="D36" i="4"/>
  <c r="AX37" i="4"/>
  <c r="AX28" i="4"/>
  <c r="BA40" i="4"/>
  <c r="AU25" i="4"/>
  <c r="AU26" i="4"/>
  <c r="AU27" i="4"/>
  <c r="AU29" i="4"/>
  <c r="AU30" i="4"/>
  <c r="AU31" i="4"/>
  <c r="AU32" i="4"/>
  <c r="AU33" i="4"/>
  <c r="AU34" i="4"/>
  <c r="AU35" i="4"/>
  <c r="AA38" i="4"/>
  <c r="AJ40" i="4"/>
  <c r="AJ38" i="4"/>
  <c r="AJ37" i="4"/>
  <c r="AJ35" i="4"/>
  <c r="AJ34" i="4"/>
  <c r="AJ33" i="4"/>
  <c r="AJ32" i="4"/>
  <c r="AJ31" i="4"/>
  <c r="AJ30" i="4"/>
  <c r="AJ29" i="4"/>
  <c r="AJ28" i="4"/>
  <c r="AJ27" i="4"/>
  <c r="AJ26" i="4"/>
  <c r="AJ25" i="4"/>
  <c r="AA40" i="4"/>
  <c r="AA37" i="4"/>
  <c r="AA35" i="4"/>
  <c r="AA34" i="4"/>
  <c r="AA33" i="4"/>
  <c r="AA32" i="4"/>
  <c r="AA31" i="4"/>
  <c r="AA30" i="4"/>
  <c r="AA29" i="4"/>
  <c r="AA28" i="4"/>
  <c r="AA27" i="4"/>
  <c r="AA26" i="4"/>
  <c r="AA25" i="4"/>
  <c r="Z40" i="4"/>
  <c r="Z38" i="4"/>
  <c r="Z37" i="4"/>
  <c r="Z35" i="4"/>
  <c r="Z34" i="4"/>
  <c r="Z33" i="4"/>
  <c r="Z32" i="4"/>
  <c r="Z31" i="4"/>
  <c r="Z30" i="4"/>
  <c r="Z29" i="4"/>
  <c r="Z28" i="4"/>
  <c r="Z27" i="4"/>
  <c r="Z26" i="4"/>
  <c r="Z25" i="4"/>
  <c r="O37" i="4"/>
  <c r="O25" i="4"/>
  <c r="O26" i="4"/>
  <c r="O27" i="4"/>
  <c r="O28" i="4"/>
  <c r="O29" i="4"/>
  <c r="O30" i="4"/>
  <c r="O31" i="4"/>
  <c r="O32" i="4"/>
  <c r="O33" i="4"/>
  <c r="O34" i="4"/>
  <c r="O35" i="4"/>
  <c r="X36" i="4"/>
  <c r="X35" i="4"/>
  <c r="X34" i="4"/>
  <c r="X33" i="4"/>
  <c r="X32" i="4"/>
  <c r="X31" i="4"/>
  <c r="X30" i="4"/>
  <c r="X29" i="4"/>
  <c r="X28" i="4"/>
  <c r="X27" i="4"/>
  <c r="X26" i="4"/>
  <c r="X25" i="4"/>
  <c r="M38" i="4"/>
  <c r="M39" i="4"/>
  <c r="D39" i="4"/>
  <c r="M40" i="4"/>
  <c r="R37" i="4"/>
  <c r="S29" i="4"/>
  <c r="S30" i="4"/>
  <c r="S31" i="4"/>
  <c r="S32" i="4"/>
  <c r="S33" i="4"/>
  <c r="S34" i="4"/>
  <c r="S35" i="4"/>
  <c r="S25" i="4"/>
  <c r="S26" i="4"/>
  <c r="S27" i="4"/>
  <c r="S28" i="4"/>
  <c r="I40" i="4"/>
  <c r="I38" i="4"/>
  <c r="I37" i="4"/>
  <c r="I35" i="4"/>
  <c r="I34" i="4"/>
  <c r="I33" i="4"/>
  <c r="I32" i="4"/>
  <c r="I31" i="4"/>
  <c r="I30" i="4"/>
  <c r="I29" i="4"/>
  <c r="I28" i="4"/>
  <c r="I27" i="4"/>
  <c r="I26" i="4"/>
  <c r="I25" i="4"/>
  <c r="CL24" i="4" l="1"/>
  <c r="CL26" i="4"/>
  <c r="CL21" i="4"/>
  <c r="CL22" i="4"/>
  <c r="CL32" i="4"/>
  <c r="CL23" i="4"/>
  <c r="CL31" i="4"/>
  <c r="CL35" i="4"/>
  <c r="CL25" i="4"/>
  <c r="CL27" i="4"/>
  <c r="CL29" i="4"/>
  <c r="CL33" i="4"/>
  <c r="CL30" i="4"/>
  <c r="J298" i="4" l="1"/>
  <c r="G284" i="4" l="1"/>
  <c r="H284" i="4" s="1"/>
  <c r="G283" i="4"/>
  <c r="H283" i="4" s="1"/>
  <c r="CI172" i="4"/>
  <c r="CE7" i="4"/>
  <c r="CE111" i="4" s="1"/>
  <c r="CD7" i="4"/>
  <c r="CC7" i="4"/>
  <c r="P282" i="4"/>
  <c r="P283" i="4"/>
  <c r="P284" i="4"/>
  <c r="G282" i="4"/>
  <c r="O282" i="4" s="1"/>
  <c r="E284" i="4"/>
  <c r="F284" i="4" s="1"/>
  <c r="E283" i="4"/>
  <c r="M283" i="4" s="1"/>
  <c r="E282" i="4"/>
  <c r="F282" i="4" s="1"/>
  <c r="CH111" i="4"/>
  <c r="BZ7" i="4"/>
  <c r="D40" i="4"/>
  <c r="E39" i="4"/>
  <c r="E36" i="4"/>
  <c r="E38" i="4"/>
  <c r="D38" i="4"/>
  <c r="CD111" i="4" l="1"/>
  <c r="O283" i="4"/>
  <c r="R284" i="4"/>
  <c r="O284" i="4"/>
  <c r="M282" i="4"/>
  <c r="BZ38" i="4"/>
  <c r="BZ36" i="4"/>
  <c r="H282" i="4"/>
  <c r="M284" i="4"/>
  <c r="R282" i="4"/>
  <c r="Q283" i="4"/>
  <c r="F283" i="4"/>
  <c r="Q284" i="4"/>
  <c r="Q282" i="4"/>
  <c r="R283" i="4"/>
  <c r="E118" i="4"/>
  <c r="G275" i="4"/>
  <c r="O275" i="4" s="1"/>
  <c r="G274" i="4"/>
  <c r="E275" i="4"/>
  <c r="F275" i="4" s="1"/>
  <c r="P275" i="4"/>
  <c r="C218" i="4"/>
  <c r="D218" i="4"/>
  <c r="C222" i="4"/>
  <c r="D222" i="4"/>
  <c r="E35" i="4"/>
  <c r="E34" i="4"/>
  <c r="E33" i="4"/>
  <c r="E32" i="4"/>
  <c r="E31" i="4"/>
  <c r="E30" i="4"/>
  <c r="E29" i="4"/>
  <c r="E25" i="4"/>
  <c r="E24" i="4"/>
  <c r="D35" i="4"/>
  <c r="D34" i="4"/>
  <c r="D33" i="4"/>
  <c r="D32" i="4"/>
  <c r="D31" i="4"/>
  <c r="D30" i="4"/>
  <c r="D29" i="4"/>
  <c r="D24" i="4"/>
  <c r="D25" i="4"/>
  <c r="D26" i="4"/>
  <c r="D115" i="4"/>
  <c r="E115" i="4"/>
  <c r="CC111" i="4" l="1"/>
  <c r="Q275" i="4"/>
  <c r="M275" i="4"/>
  <c r="R275" i="4"/>
  <c r="H275" i="4"/>
  <c r="E116" i="4"/>
  <c r="D116" i="4"/>
  <c r="CI113" i="4"/>
  <c r="CR113" i="4"/>
  <c r="BQ113" i="4"/>
  <c r="C217" i="4"/>
  <c r="D217" i="4" s="1"/>
  <c r="F213" i="4" l="1"/>
  <c r="F218" i="4"/>
  <c r="E251" i="4"/>
  <c r="E238" i="4"/>
  <c r="J299" i="4"/>
  <c r="J297" i="4"/>
  <c r="G299" i="4"/>
  <c r="G298" i="4"/>
  <c r="G297" i="4"/>
  <c r="E299" i="4"/>
  <c r="E298" i="4"/>
  <c r="E297" i="4"/>
  <c r="G276" i="4"/>
  <c r="G273" i="4"/>
  <c r="G272" i="4"/>
  <c r="G271" i="4"/>
  <c r="G270" i="4"/>
  <c r="E276" i="4"/>
  <c r="F276" i="4" s="1"/>
  <c r="E274" i="4"/>
  <c r="E273" i="4"/>
  <c r="E272" i="4"/>
  <c r="E271" i="4"/>
  <c r="E270" i="4"/>
  <c r="P276" i="4"/>
  <c r="K111" i="4"/>
  <c r="CN7" i="4"/>
  <c r="CN37" i="4" s="1"/>
  <c r="CM7" i="4"/>
  <c r="CM39" i="4" s="1"/>
  <c r="CT39" i="4" s="1"/>
  <c r="CA7" i="4"/>
  <c r="CA36" i="4" s="1"/>
  <c r="BY7" i="4"/>
  <c r="BY37" i="4" s="1"/>
  <c r="BX7" i="4"/>
  <c r="BX39" i="4" s="1"/>
  <c r="BW7" i="4"/>
  <c r="BW36" i="4" s="1"/>
  <c r="BV7" i="4"/>
  <c r="BU7" i="4"/>
  <c r="E37" i="4"/>
  <c r="E28" i="4"/>
  <c r="E27" i="4"/>
  <c r="E26" i="4"/>
  <c r="D27" i="4"/>
  <c r="D28" i="4"/>
  <c r="D37" i="4"/>
  <c r="CK40" i="4"/>
  <c r="CT40" i="4"/>
  <c r="CK41" i="4"/>
  <c r="CT41" i="4"/>
  <c r="CK42" i="4"/>
  <c r="CT42" i="4"/>
  <c r="J313" i="4" l="1"/>
  <c r="BU34" i="4"/>
  <c r="BU23" i="4"/>
  <c r="BU36" i="4"/>
  <c r="BU33" i="4"/>
  <c r="BU29" i="4"/>
  <c r="BU22" i="4"/>
  <c r="BU37" i="4"/>
  <c r="BU32" i="4"/>
  <c r="BU21" i="4"/>
  <c r="BU25" i="4"/>
  <c r="BU35" i="4"/>
  <c r="BU31" i="4"/>
  <c r="BU26" i="4"/>
  <c r="BU24" i="4"/>
  <c r="BU30" i="4"/>
  <c r="BV36" i="4"/>
  <c r="BV27" i="4"/>
  <c r="BV37" i="4"/>
  <c r="BV26" i="4"/>
  <c r="BV39" i="4"/>
  <c r="CK39" i="4" s="1"/>
  <c r="BF39" i="4" s="1"/>
  <c r="BL39" i="4" s="1"/>
  <c r="BV28" i="4"/>
  <c r="M276" i="4"/>
  <c r="Q276" i="4"/>
  <c r="O276" i="4"/>
  <c r="H276" i="4"/>
  <c r="BF40" i="4"/>
  <c r="BG40" i="4" s="1"/>
  <c r="BF41" i="4"/>
  <c r="BL41" i="4" s="1"/>
  <c r="BF42" i="4"/>
  <c r="BL42" i="4" s="1"/>
  <c r="R276" i="4"/>
  <c r="CK36" i="4" l="1"/>
  <c r="BF36" i="4" s="1"/>
  <c r="BL36" i="4" s="1"/>
  <c r="BG42" i="4"/>
  <c r="BL40" i="4"/>
  <c r="BH42" i="4"/>
  <c r="BH41" i="4"/>
  <c r="BG41" i="4"/>
  <c r="BH40" i="4"/>
  <c r="BG39" i="4"/>
  <c r="BH39" i="4"/>
  <c r="BG36" i="4" l="1"/>
  <c r="BH36" i="4"/>
  <c r="CK45" i="4" l="1"/>
  <c r="CT45" i="4"/>
  <c r="CK46" i="4"/>
  <c r="CT46" i="4"/>
  <c r="CK47" i="4"/>
  <c r="CT47" i="4"/>
  <c r="BF47" i="4" l="1"/>
  <c r="BL47" i="4" s="1"/>
  <c r="BF45" i="4"/>
  <c r="BH45" i="4" s="1"/>
  <c r="BF46" i="4"/>
  <c r="BL46" i="4" s="1"/>
  <c r="BL45" i="4" l="1"/>
  <c r="BG45" i="4"/>
  <c r="BH47" i="4"/>
  <c r="BG46" i="4"/>
  <c r="BG47" i="4"/>
  <c r="BH46" i="4"/>
  <c r="CT38" i="4" l="1"/>
  <c r="CT37" i="4"/>
  <c r="CK38" i="4"/>
  <c r="CK37" i="4"/>
  <c r="CK35" i="4"/>
  <c r="BF38" i="4" l="1"/>
  <c r="BG38" i="4" s="1"/>
  <c r="BF37" i="4"/>
  <c r="BR37" i="4" s="1"/>
  <c r="CT35" i="4"/>
  <c r="BF35" i="4" s="1"/>
  <c r="BH38" i="4" l="1"/>
  <c r="BL38" i="4" s="1"/>
  <c r="BH35" i="4"/>
  <c r="BL35" i="4"/>
  <c r="BG35" i="4"/>
  <c r="BG37" i="4"/>
  <c r="BH37" i="4"/>
  <c r="BL37" i="4"/>
  <c r="E247" i="4" l="1"/>
  <c r="CT23" i="4" l="1"/>
  <c r="CT24" i="4"/>
  <c r="CK23" i="4"/>
  <c r="BI111" i="4" l="1"/>
  <c r="CQ111" i="4" l="1"/>
  <c r="CS111" i="4"/>
  <c r="BJ111" i="4"/>
  <c r="BK111" i="4"/>
  <c r="BM111" i="4"/>
  <c r="BN111" i="4"/>
  <c r="BO111" i="4"/>
  <c r="BQ111" i="4"/>
  <c r="BS111" i="4"/>
  <c r="BT111" i="4"/>
  <c r="CJ111" i="4"/>
  <c r="AB111" i="4"/>
  <c r="AC111" i="4"/>
  <c r="AD111" i="4"/>
  <c r="AE111" i="4"/>
  <c r="AF111" i="4"/>
  <c r="AG111" i="4"/>
  <c r="AH111" i="4"/>
  <c r="AI111" i="4"/>
  <c r="AK111" i="4"/>
  <c r="AL111" i="4"/>
  <c r="AN111" i="4"/>
  <c r="AO111" i="4"/>
  <c r="AP111" i="4"/>
  <c r="AQ111" i="4"/>
  <c r="AR111" i="4"/>
  <c r="AS111" i="4"/>
  <c r="AT111" i="4"/>
  <c r="AV111" i="4"/>
  <c r="AW111" i="4"/>
  <c r="AY111" i="4"/>
  <c r="BA111" i="4"/>
  <c r="BB111" i="4"/>
  <c r="L111" i="4"/>
  <c r="P111" i="4"/>
  <c r="Q111" i="4"/>
  <c r="S111" i="4"/>
  <c r="T111" i="4"/>
  <c r="W111" i="4"/>
  <c r="Y111" i="4"/>
  <c r="J111" i="4"/>
  <c r="AM111" i="4" l="1"/>
  <c r="AJ111" i="4"/>
  <c r="O111" i="4"/>
  <c r="M111" i="4"/>
  <c r="U111" i="4" l="1"/>
  <c r="X111" i="4"/>
  <c r="AZ111" i="4"/>
  <c r="AU111" i="4"/>
  <c r="BD111" i="4"/>
  <c r="R111" i="4"/>
  <c r="V111" i="4"/>
  <c r="AX111" i="4"/>
  <c r="BC111" i="4"/>
  <c r="CR111" i="4" l="1"/>
  <c r="CB111" i="4"/>
  <c r="CA111" i="4"/>
  <c r="BZ111" i="4"/>
  <c r="P270" i="4"/>
  <c r="M270" i="4"/>
  <c r="CI111" i="4" l="1"/>
  <c r="CN111" i="4"/>
  <c r="BX111" i="4" l="1"/>
  <c r="BU111" i="4"/>
  <c r="BY111" i="4"/>
  <c r="CM111" i="4"/>
  <c r="BV111" i="4"/>
  <c r="BW111" i="4"/>
  <c r="C357" i="4" l="1"/>
  <c r="D357" i="4"/>
  <c r="E357" i="4"/>
  <c r="C358" i="4"/>
  <c r="D358" i="4"/>
  <c r="E358" i="4"/>
  <c r="C359" i="4"/>
  <c r="D359" i="4"/>
  <c r="E359" i="4"/>
  <c r="C360" i="4"/>
  <c r="D360" i="4"/>
  <c r="E360" i="4"/>
  <c r="C361" i="4"/>
  <c r="D361" i="4"/>
  <c r="E361" i="4"/>
  <c r="C362" i="4"/>
  <c r="D362" i="4"/>
  <c r="E362" i="4"/>
  <c r="C363" i="4"/>
  <c r="D363" i="4"/>
  <c r="E363" i="4"/>
  <c r="D356" i="4"/>
  <c r="Q298" i="4"/>
  <c r="R298" i="4"/>
  <c r="Q299" i="4"/>
  <c r="R299" i="4"/>
  <c r="R297" i="4"/>
  <c r="Q297" i="4"/>
  <c r="O270" i="4"/>
  <c r="L298" i="4"/>
  <c r="O298" i="4" s="1"/>
  <c r="L299" i="4"/>
  <c r="M299" i="4" s="1"/>
  <c r="L297" i="4"/>
  <c r="M297" i="4" s="1"/>
  <c r="R270" i="4"/>
  <c r="M271" i="4"/>
  <c r="E367" i="4"/>
  <c r="D367" i="4"/>
  <c r="C367" i="4"/>
  <c r="E365" i="4"/>
  <c r="D365" i="4"/>
  <c r="C365" i="4"/>
  <c r="C356" i="4"/>
  <c r="D352" i="4"/>
  <c r="C353" i="4"/>
  <c r="C354" i="4"/>
  <c r="C355" i="4"/>
  <c r="C352" i="4"/>
  <c r="R313" i="4" l="1"/>
  <c r="Q270" i="4"/>
  <c r="Q313" i="4"/>
  <c r="O297" i="4"/>
  <c r="M298" i="4"/>
  <c r="O299" i="4"/>
  <c r="D66" i="4"/>
  <c r="D67" i="4"/>
  <c r="M313" i="4" l="1"/>
  <c r="O313" i="4"/>
  <c r="CT34" i="4" l="1"/>
  <c r="CK34" i="4"/>
  <c r="CT25" i="4"/>
  <c r="CT26" i="4"/>
  <c r="CT27" i="4"/>
  <c r="CT28" i="4"/>
  <c r="CT29" i="4"/>
  <c r="CT30" i="4"/>
  <c r="CK24" i="4"/>
  <c r="CK25" i="4"/>
  <c r="CK26" i="4"/>
  <c r="CK27" i="4"/>
  <c r="CK28" i="4"/>
  <c r="CK29" i="4"/>
  <c r="CK30" i="4"/>
  <c r="BF27" i="4" l="1"/>
  <c r="BF29" i="4"/>
  <c r="BH29" i="4" s="1"/>
  <c r="BF25" i="4"/>
  <c r="BF28" i="4"/>
  <c r="BH28" i="4" s="1"/>
  <c r="BF24" i="4"/>
  <c r="BF30" i="4"/>
  <c r="BF26" i="4"/>
  <c r="BF34" i="4"/>
  <c r="BH34" i="4" s="1"/>
  <c r="BL24" i="4" l="1"/>
  <c r="BH27" i="4"/>
  <c r="BL27" i="4" s="1"/>
  <c r="BG27" i="4"/>
  <c r="BG29" i="4"/>
  <c r="BL29" i="4"/>
  <c r="BG34" i="4"/>
  <c r="BL34" i="4"/>
  <c r="BH25" i="4"/>
  <c r="BG25" i="4"/>
  <c r="BL28" i="4"/>
  <c r="BG28" i="4"/>
  <c r="BG24" i="4"/>
  <c r="BH24" i="4"/>
  <c r="BG26" i="4"/>
  <c r="BH26" i="4"/>
  <c r="BG30" i="4"/>
  <c r="BH30" i="4"/>
  <c r="BL26" i="4" l="1"/>
  <c r="BL25" i="4"/>
  <c r="BL30" i="4"/>
  <c r="BP111" i="4"/>
  <c r="D355" i="4" l="1"/>
  <c r="E356" i="4"/>
  <c r="E355" i="4"/>
  <c r="E354" i="4"/>
  <c r="D354" i="4"/>
  <c r="E353" i="4"/>
  <c r="D353" i="4"/>
  <c r="E352" i="4"/>
  <c r="CT31" i="4" l="1"/>
  <c r="CT32" i="4"/>
  <c r="CT12" i="4"/>
  <c r="CT13" i="4"/>
  <c r="CT16" i="4"/>
  <c r="CT17" i="4"/>
  <c r="CT18" i="4"/>
  <c r="CK32" i="4"/>
  <c r="BF32" i="4" l="1"/>
  <c r="CK15" i="4"/>
  <c r="CK33" i="4"/>
  <c r="CK31" i="4"/>
  <c r="BF31" i="4" s="1"/>
  <c r="CK12" i="4"/>
  <c r="CT19" i="4"/>
  <c r="CT10" i="4"/>
  <c r="CK10" i="4"/>
  <c r="CK14" i="4"/>
  <c r="CK17" i="4"/>
  <c r="CK19" i="4"/>
  <c r="CT33" i="4"/>
  <c r="CT14" i="4"/>
  <c r="CT15" i="4"/>
  <c r="CK22" i="4"/>
  <c r="CK16" i="4"/>
  <c r="CK18" i="4"/>
  <c r="CK21" i="4"/>
  <c r="BF23" i="4"/>
  <c r="CT11" i="4"/>
  <c r="H299" i="4"/>
  <c r="H298" i="4"/>
  <c r="F299" i="4"/>
  <c r="F298" i="4"/>
  <c r="P271" i="4"/>
  <c r="Q271" i="4" s="1"/>
  <c r="P272" i="4"/>
  <c r="R272" i="4" s="1"/>
  <c r="P273" i="4"/>
  <c r="P274" i="4"/>
  <c r="O274" i="4"/>
  <c r="O273" i="4"/>
  <c r="O272" i="4"/>
  <c r="O271" i="4"/>
  <c r="M274" i="4"/>
  <c r="M273" i="4"/>
  <c r="M272" i="4"/>
  <c r="BH23" i="4" l="1"/>
  <c r="BL23" i="4"/>
  <c r="BF33" i="4"/>
  <c r="BG23" i="4"/>
  <c r="BH32" i="4"/>
  <c r="BG32" i="4"/>
  <c r="BH31" i="4"/>
  <c r="BG31" i="4"/>
  <c r="CT22" i="4"/>
  <c r="BF22" i="4" s="1"/>
  <c r="CT21" i="4"/>
  <c r="BF21" i="4" s="1"/>
  <c r="M294" i="4"/>
  <c r="M315" i="4" s="1"/>
  <c r="G248" i="4" s="1"/>
  <c r="CK11" i="4"/>
  <c r="Q272" i="4"/>
  <c r="R273" i="4"/>
  <c r="CK13" i="4"/>
  <c r="CL111" i="4"/>
  <c r="R271" i="4"/>
  <c r="Q274" i="4"/>
  <c r="R274" i="4"/>
  <c r="Q273" i="4"/>
  <c r="E253" i="4" l="1"/>
  <c r="BL32" i="4"/>
  <c r="BL31" i="4"/>
  <c r="R294" i="4"/>
  <c r="R315" i="4" s="1"/>
  <c r="BL22" i="4"/>
  <c r="BH22" i="4"/>
  <c r="BG22" i="4"/>
  <c r="BH21" i="4"/>
  <c r="BG21" i="4"/>
  <c r="BL21" i="4"/>
  <c r="BG33" i="4"/>
  <c r="BH33" i="4"/>
  <c r="BG111" i="4" l="1"/>
  <c r="BR111" i="4"/>
  <c r="BH111" i="4"/>
  <c r="BL33" i="4"/>
  <c r="BL111" i="4" s="1"/>
  <c r="H274" i="4" l="1"/>
  <c r="F274" i="4"/>
  <c r="H273" i="4"/>
  <c r="F273" i="4"/>
  <c r="AA111" i="4"/>
  <c r="H377" i="4" l="1"/>
  <c r="H272" i="4"/>
  <c r="I111" i="4"/>
  <c r="F270" i="4"/>
  <c r="F271" i="4"/>
  <c r="G377" i="4"/>
  <c r="Z111" i="4"/>
  <c r="H270" i="4"/>
  <c r="H297" i="4"/>
  <c r="C377" i="4"/>
  <c r="F272" i="4"/>
  <c r="BE111" i="4"/>
  <c r="E377" i="4"/>
  <c r="F297" i="4"/>
  <c r="D377" i="4"/>
  <c r="H271" i="4"/>
  <c r="F313" i="4" l="1"/>
  <c r="H294" i="4"/>
  <c r="H313" i="4"/>
  <c r="F294" i="4"/>
  <c r="O294" i="4"/>
  <c r="O315" i="4" s="1"/>
  <c r="G254" i="4" s="1"/>
  <c r="F315" i="4" l="1"/>
  <c r="H315" i="4"/>
  <c r="Q294" i="4"/>
  <c r="Q315" i="4" s="1"/>
  <c r="BF111" i="4" l="1"/>
</calcChain>
</file>

<file path=xl/sharedStrings.xml><?xml version="1.0" encoding="utf-8"?>
<sst xmlns="http://schemas.openxmlformats.org/spreadsheetml/2006/main" count="564" uniqueCount="340">
  <si>
    <t>##</t>
  </si>
  <si>
    <t>g/m</t>
  </si>
  <si>
    <t>c</t>
  </si>
  <si>
    <t>SeniSvna</t>
  </si>
  <si>
    <t>kbm</t>
  </si>
  <si>
    <t>kvm</t>
  </si>
  <si>
    <t>tn</t>
  </si>
  <si>
    <t>Weri</t>
  </si>
  <si>
    <t>iataki</t>
  </si>
  <si>
    <t>kedlebi</t>
  </si>
  <si>
    <t>zomebi</t>
  </si>
  <si>
    <t>TabaSirmuyao</t>
  </si>
  <si>
    <t>plastikati</t>
  </si>
  <si>
    <t xml:space="preserve">stiaJka </t>
  </si>
  <si>
    <t>laminati</t>
  </si>
  <si>
    <t>plintusi</t>
  </si>
  <si>
    <t>SeRebva</t>
  </si>
  <si>
    <t>kafeli</t>
  </si>
  <si>
    <t>sul</t>
  </si>
  <si>
    <t>betonis iataki</t>
  </si>
  <si>
    <t>lesva Sida kedlebi</t>
  </si>
  <si>
    <t xml:space="preserve">metlaxi </t>
  </si>
  <si>
    <t>amstrongi</t>
  </si>
  <si>
    <t>keramograniti</t>
  </si>
  <si>
    <t>damuSaveba, dubliaJi, emuls SeRebva</t>
  </si>
  <si>
    <t>damuSaveba, dubliaJi, Spalieri</t>
  </si>
  <si>
    <t>Sekiduli</t>
  </si>
  <si>
    <t>karebebi</t>
  </si>
  <si>
    <t>X</t>
  </si>
  <si>
    <r>
      <rPr>
        <b/>
        <sz val="14"/>
        <color theme="1"/>
        <rFont val="Calibri"/>
        <family val="2"/>
        <charset val="204"/>
        <scheme val="minor"/>
      </rPr>
      <t xml:space="preserve">S </t>
    </r>
    <r>
      <rPr>
        <b/>
        <sz val="12"/>
        <color theme="1"/>
        <rFont val="AcadNusx"/>
      </rPr>
      <t>kvm</t>
    </r>
  </si>
  <si>
    <r>
      <rPr>
        <b/>
        <sz val="14"/>
        <color theme="1"/>
        <rFont val="Calibri"/>
        <family val="2"/>
        <charset val="204"/>
        <scheme val="minor"/>
      </rPr>
      <t>P</t>
    </r>
    <r>
      <rPr>
        <b/>
        <sz val="12"/>
        <color theme="1"/>
        <rFont val="AcadNusx"/>
      </rPr>
      <t xml:space="preserve"> g/m</t>
    </r>
  </si>
  <si>
    <t>mopirkeTeba</t>
  </si>
  <si>
    <t>m o c u l o b e b i</t>
  </si>
  <si>
    <t>5</t>
  </si>
  <si>
    <t>arsebuli keramograniti</t>
  </si>
  <si>
    <t>metlaxis iatakis demontaJi</t>
  </si>
  <si>
    <t>#1</t>
  </si>
  <si>
    <t>TviTmasworebadi fena</t>
  </si>
  <si>
    <t>sikaCapturi xsnariT</t>
  </si>
  <si>
    <t>mSrali xis iataki -gembanuri  -- 10-12 sm SipebiT</t>
  </si>
  <si>
    <t>fanjrebi</t>
  </si>
  <si>
    <t>filiT</t>
  </si>
  <si>
    <t>laminirebuli</t>
  </si>
  <si>
    <t>demontaJi</t>
  </si>
  <si>
    <t>xis iatakis demontaJi</t>
  </si>
  <si>
    <t>betonis iatakis demontaJi</t>
  </si>
  <si>
    <t>mowyoba</t>
  </si>
  <si>
    <t>arsebuli mozaikuri</t>
  </si>
  <si>
    <t>paneliT mopirketeba</t>
  </si>
  <si>
    <t>mozaikis  iatakis demontaJi</t>
  </si>
  <si>
    <t>Weris karnizi</t>
  </si>
  <si>
    <t>saerTo samSeneblo samuSaoebi</t>
  </si>
  <si>
    <t>3</t>
  </si>
  <si>
    <t>k 1</t>
  </si>
  <si>
    <t>k 2</t>
  </si>
  <si>
    <t>k 3</t>
  </si>
  <si>
    <t>k 4</t>
  </si>
  <si>
    <t>f 1</t>
  </si>
  <si>
    <t>S</t>
  </si>
  <si>
    <t>raodenoba</t>
  </si>
  <si>
    <t>s u l</t>
  </si>
  <si>
    <t>Riobebis gamoklebiT</t>
  </si>
  <si>
    <t>rafa g/m</t>
  </si>
  <si>
    <r>
      <t>sul</t>
    </r>
    <r>
      <rPr>
        <b/>
        <sz val="14"/>
        <color theme="1"/>
        <rFont val="Calibri"/>
        <family val="2"/>
        <charset val="204"/>
        <scheme val="minor"/>
      </rPr>
      <t xml:space="preserve"> S</t>
    </r>
  </si>
  <si>
    <t>k 5</t>
  </si>
  <si>
    <t>mdf-is 15sm siganis zoli</t>
  </si>
  <si>
    <t>*</t>
  </si>
  <si>
    <r>
      <rPr>
        <b/>
        <sz val="14"/>
        <color theme="1"/>
        <rFont val="Calibri"/>
        <family val="2"/>
        <charset val="204"/>
        <scheme val="minor"/>
      </rPr>
      <t xml:space="preserve">P </t>
    </r>
    <r>
      <rPr>
        <b/>
        <sz val="14"/>
        <color theme="1"/>
        <rFont val="AcadNusx"/>
      </rPr>
      <t>g/m</t>
    </r>
  </si>
  <si>
    <r>
      <t>P</t>
    </r>
    <r>
      <rPr>
        <b/>
        <sz val="14"/>
        <color theme="1"/>
        <rFont val="AcadNusx"/>
      </rPr>
      <t xml:space="preserve"> g/m</t>
    </r>
  </si>
  <si>
    <r>
      <rPr>
        <b/>
        <sz val="14"/>
        <color theme="1"/>
        <rFont val="AcadNusx"/>
      </rPr>
      <t>sul</t>
    </r>
    <r>
      <rPr>
        <b/>
        <sz val="14"/>
        <color theme="1"/>
        <rFont val="Calibri"/>
        <family val="2"/>
        <charset val="204"/>
        <scheme val="minor"/>
      </rPr>
      <t xml:space="preserve"> P</t>
    </r>
  </si>
  <si>
    <t>masala</t>
  </si>
  <si>
    <t xml:space="preserve">S </t>
  </si>
  <si>
    <t>fasadi</t>
  </si>
  <si>
    <t>wertilovani saZirkvlebi</t>
  </si>
  <si>
    <t>gidroizolacia</t>
  </si>
  <si>
    <t>ws-1</t>
  </si>
  <si>
    <t>ws-2</t>
  </si>
  <si>
    <t>ws-3</t>
  </si>
  <si>
    <t>ws-4</t>
  </si>
  <si>
    <t>ws-5</t>
  </si>
  <si>
    <t>fskeris farTi, (RorRi  10sm)</t>
  </si>
  <si>
    <t>grunti</t>
  </si>
  <si>
    <t>saqvabe</t>
  </si>
  <si>
    <t>ZiriTadi Senoba</t>
  </si>
  <si>
    <t>grunti mTlian qvabulSi kbm</t>
  </si>
  <si>
    <t>RorRi mTlian qvabulSi                    kvm</t>
  </si>
  <si>
    <t>liTonis moajiri</t>
  </si>
  <si>
    <t>teritoria</t>
  </si>
  <si>
    <t>6</t>
  </si>
  <si>
    <t>saZirkvlis koWi</t>
  </si>
  <si>
    <t>1</t>
  </si>
  <si>
    <t>2</t>
  </si>
  <si>
    <t>4</t>
  </si>
  <si>
    <t xml:space="preserve"> </t>
  </si>
  <si>
    <t>amstrongis</t>
  </si>
  <si>
    <t>plastikatis Sekiduli Weri</t>
  </si>
  <si>
    <t>TabaSirmuyaos Sekiduli Weri</t>
  </si>
  <si>
    <t xml:space="preserve">lesva </t>
  </si>
  <si>
    <t>damuSaveba, dubliaJis qaRaldi, emulsiuri SeRebva</t>
  </si>
  <si>
    <t>profilirebuli xis abSivka</t>
  </si>
  <si>
    <t>nestgamZle TabaSirmuyao</t>
  </si>
  <si>
    <t>akustikuri TabaSirmuyao</t>
  </si>
  <si>
    <t>al Sekiduli weri</t>
  </si>
  <si>
    <t>arsebulis datoveba</t>
  </si>
  <si>
    <t>stiaJkis demontaJi</t>
  </si>
  <si>
    <t>mozaika baseinis</t>
  </si>
  <si>
    <t>keramogranitis iatakis demontaJi</t>
  </si>
  <si>
    <t>xis parketis iatakis demontaJi</t>
  </si>
  <si>
    <t>laminirebuli parketis iatakis demontaJi</t>
  </si>
  <si>
    <t>linoleumis iatakis demontaJi</t>
  </si>
  <si>
    <t>parketis iataki moxvewa galaqva</t>
  </si>
  <si>
    <t>kavralini-rbili iataki</t>
  </si>
  <si>
    <t>xis iataki Cornapoli</t>
  </si>
  <si>
    <t>calobiTi  parketis</t>
  </si>
  <si>
    <t>kauCukis sportuli safari</t>
  </si>
  <si>
    <t>yinvagamZle keramograniti safexurebze da baqnebze</t>
  </si>
  <si>
    <t xml:space="preserve">keramograniti yinvagamZe </t>
  </si>
  <si>
    <t xml:space="preserve">bunebrivi granitis, bazaltis, fila </t>
  </si>
  <si>
    <t>lesva</t>
  </si>
  <si>
    <t>lesvis demontaJi</t>
  </si>
  <si>
    <t>saRebavis fenilis demontaJi</t>
  </si>
  <si>
    <t>akustikuri TabaSirmuyaos filiT mopirketeba</t>
  </si>
  <si>
    <t>TabaSirmuyaos filiT mopirketeba</t>
  </si>
  <si>
    <t xml:space="preserve">mowyoba </t>
  </si>
  <si>
    <t>k-1</t>
  </si>
  <si>
    <t>k-2</t>
  </si>
  <si>
    <t>k-3</t>
  </si>
  <si>
    <t>k-4</t>
  </si>
  <si>
    <t>k-5</t>
  </si>
  <si>
    <t>f-1</t>
  </si>
  <si>
    <t>Sida kibeebi -- safexurebi baqnebi moajiri</t>
  </si>
  <si>
    <t>safexurebi</t>
  </si>
  <si>
    <t>baqnebi</t>
  </si>
  <si>
    <t>gare kibeebi -- safexurebi baqnebi moajiri</t>
  </si>
  <si>
    <t xml:space="preserve">s u l </t>
  </si>
  <si>
    <t xml:space="preserve">saproeqto gare kedlebi </t>
  </si>
  <si>
    <t>39*19*30</t>
  </si>
  <si>
    <t>saproeqto kedlebi da tixrebis wyoba</t>
  </si>
  <si>
    <t>39*19*10</t>
  </si>
  <si>
    <t>39*19*15</t>
  </si>
  <si>
    <t>39*19*20</t>
  </si>
  <si>
    <t>iataki, Weri, stiaJka</t>
  </si>
  <si>
    <t>Sida kedlebi</t>
  </si>
  <si>
    <t>gare kedlebi</t>
  </si>
  <si>
    <t>atkosebi</t>
  </si>
  <si>
    <t>fanjara</t>
  </si>
  <si>
    <t>karebi</t>
  </si>
  <si>
    <t>rulonuri saxuravi</t>
  </si>
  <si>
    <t>sarineli</t>
  </si>
  <si>
    <t>demonrtaJi</t>
  </si>
  <si>
    <t>axlis mowyoba</t>
  </si>
  <si>
    <t>baz filiT mopirketeba</t>
  </si>
  <si>
    <t>ws-6</t>
  </si>
  <si>
    <t>ws-7</t>
  </si>
  <si>
    <t>ws-8</t>
  </si>
  <si>
    <t>ws-9</t>
  </si>
  <si>
    <t>ws-10</t>
  </si>
  <si>
    <t>ws-11</t>
  </si>
  <si>
    <t>ws-12</t>
  </si>
  <si>
    <t xml:space="preserve">gare       </t>
  </si>
  <si>
    <t xml:space="preserve">Sida </t>
  </si>
  <si>
    <t>fanjrebi karebebi</t>
  </si>
  <si>
    <t>mdf</t>
  </si>
  <si>
    <t>0,8*2,1</t>
  </si>
  <si>
    <t>cokoli</t>
  </si>
  <si>
    <t>sul Riobebis gamoklebiT</t>
  </si>
  <si>
    <t>sul vertikaluri farTi</t>
  </si>
  <si>
    <t>poliureTanis 5 Sriani safari</t>
  </si>
  <si>
    <t>damuSaveba,  emuls SeRebva</t>
  </si>
  <si>
    <t xml:space="preserve">liT moajiri,  SeRebva </t>
  </si>
  <si>
    <t>miunxenis lesva</t>
  </si>
  <si>
    <t>saZirkvlis filis grunti</t>
  </si>
  <si>
    <t xml:space="preserve">sardafis sarTuli   </t>
  </si>
  <si>
    <t>aivani</t>
  </si>
  <si>
    <t>saevakuacio kibe</t>
  </si>
  <si>
    <t>safexurebi graniti bazalti</t>
  </si>
  <si>
    <t>baqani graniti bazalti</t>
  </si>
  <si>
    <t>cokolis mopirketeba granitiT bazalti</t>
  </si>
  <si>
    <r>
      <t xml:space="preserve">safexurebi </t>
    </r>
    <r>
      <rPr>
        <b/>
        <sz val="12"/>
        <color rgb="FFFF0000"/>
        <rFont val="AcadNusx"/>
      </rPr>
      <t>graniti</t>
    </r>
    <r>
      <rPr>
        <b/>
        <sz val="12"/>
        <rFont val="AcadNusx"/>
      </rPr>
      <t xml:space="preserve"> bazalti</t>
    </r>
  </si>
  <si>
    <r>
      <t xml:space="preserve">baqani </t>
    </r>
    <r>
      <rPr>
        <b/>
        <sz val="12"/>
        <color rgb="FFFF0000"/>
        <rFont val="AcadNusx"/>
      </rPr>
      <t xml:space="preserve">graniti </t>
    </r>
    <r>
      <rPr>
        <b/>
        <sz val="12"/>
        <rFont val="AcadNusx"/>
      </rPr>
      <t>bazalti</t>
    </r>
  </si>
  <si>
    <r>
      <t xml:space="preserve">cokolis mopirketeba </t>
    </r>
    <r>
      <rPr>
        <b/>
        <sz val="12"/>
        <color rgb="FFFF0000"/>
        <rFont val="AcadNusx"/>
      </rPr>
      <t xml:space="preserve">granitiT </t>
    </r>
    <r>
      <rPr>
        <b/>
        <sz val="12"/>
        <rFont val="AcadNusx"/>
      </rPr>
      <t>bazalti</t>
    </r>
  </si>
  <si>
    <r>
      <t xml:space="preserve">baqani </t>
    </r>
    <r>
      <rPr>
        <b/>
        <sz val="12"/>
        <color rgb="FFFF0000"/>
        <rFont val="AcadNusx"/>
      </rPr>
      <t>graniti</t>
    </r>
    <r>
      <rPr>
        <b/>
        <sz val="12"/>
        <rFont val="AcadNusx"/>
      </rPr>
      <t xml:space="preserve"> bazalti</t>
    </r>
  </si>
  <si>
    <r>
      <t xml:space="preserve">cokolis mopirketeba </t>
    </r>
    <r>
      <rPr>
        <b/>
        <sz val="12"/>
        <color rgb="FFFF0000"/>
        <rFont val="AcadNusx"/>
      </rPr>
      <t>granitiT</t>
    </r>
    <r>
      <rPr>
        <b/>
        <sz val="12"/>
        <rFont val="AcadNusx"/>
      </rPr>
      <t xml:space="preserve"> bazalti</t>
    </r>
  </si>
  <si>
    <t>aivnis qveda mxareebi</t>
  </si>
  <si>
    <t>metpl TeTri</t>
  </si>
  <si>
    <t>v-1</t>
  </si>
  <si>
    <t>#</t>
  </si>
  <si>
    <t>kibis qveda mxare</t>
  </si>
  <si>
    <r>
      <t xml:space="preserve">XPS + </t>
    </r>
    <r>
      <rPr>
        <b/>
        <sz val="11"/>
        <color theme="1"/>
        <rFont val="AcadNusx"/>
      </rPr>
      <t>SeRebva</t>
    </r>
  </si>
  <si>
    <r>
      <t xml:space="preserve">baqani + pandusi </t>
    </r>
    <r>
      <rPr>
        <b/>
        <sz val="12"/>
        <color rgb="FFFF0000"/>
        <rFont val="AcadNusx"/>
      </rPr>
      <t xml:space="preserve">graniti </t>
    </r>
    <r>
      <rPr>
        <b/>
        <sz val="12"/>
        <rFont val="AcadNusx"/>
      </rPr>
      <t>bazalti</t>
    </r>
  </si>
  <si>
    <t>0,9*2,1</t>
  </si>
  <si>
    <t xml:space="preserve">VII sarTuli  </t>
  </si>
  <si>
    <t>sardafis sarTuli</t>
  </si>
  <si>
    <t>4,30*2,45</t>
  </si>
  <si>
    <t>1,90*2,60</t>
  </si>
  <si>
    <t>6,50*6,20</t>
  </si>
  <si>
    <t>kab</t>
  </si>
  <si>
    <t>arqivi</t>
  </si>
  <si>
    <t>sawyobi</t>
  </si>
  <si>
    <t>damx saTav</t>
  </si>
  <si>
    <t>7-7*</t>
  </si>
  <si>
    <t>f-2</t>
  </si>
  <si>
    <t>f-3</t>
  </si>
  <si>
    <t>1,0*2,2</t>
  </si>
  <si>
    <t>0,9*2,2</t>
  </si>
  <si>
    <t>1,5*2,8</t>
  </si>
  <si>
    <t>2,6*2,8</t>
  </si>
  <si>
    <t>1,7*1,7</t>
  </si>
  <si>
    <t>1,75*1,75</t>
  </si>
  <si>
    <t>1,2*1,7</t>
  </si>
  <si>
    <t>demontaji</t>
  </si>
  <si>
    <r>
      <t xml:space="preserve">WC + WC + </t>
    </r>
    <r>
      <rPr>
        <b/>
        <sz val="11"/>
        <rFont val="AcadNusx"/>
      </rPr>
      <t xml:space="preserve">SSmp </t>
    </r>
    <r>
      <rPr>
        <b/>
        <sz val="11"/>
        <rFont val="Calibri"/>
        <family val="2"/>
        <charset val="204"/>
        <scheme val="minor"/>
      </rPr>
      <t xml:space="preserve"> WC</t>
    </r>
  </si>
  <si>
    <t>koridori</t>
  </si>
  <si>
    <t>v 1</t>
  </si>
  <si>
    <t>f 2</t>
  </si>
  <si>
    <t>f 3</t>
  </si>
  <si>
    <t>metpl</t>
  </si>
  <si>
    <t>(0)* h=(0+0)</t>
  </si>
  <si>
    <t>(0)* h=(0)</t>
  </si>
  <si>
    <t>tixrebis demontaJi</t>
  </si>
  <si>
    <t>radiatorebis demontaJi</t>
  </si>
  <si>
    <t>kondicionerebis demontaJi</t>
  </si>
  <si>
    <r>
      <t xml:space="preserve">(6,2*2+3,75*1+3,75*3)* 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=2,8-0,8*2,1*6</t>
    </r>
  </si>
  <si>
    <t>WC</t>
  </si>
  <si>
    <t xml:space="preserve"> #2</t>
  </si>
  <si>
    <t>fanjris Riobebis gadideba</t>
  </si>
  <si>
    <t>(1,7*1,7-0,85*1,4)*  (3+5+9+1)</t>
  </si>
  <si>
    <r>
      <t xml:space="preserve">(12,8+0,15+3,3+0,15+3,10+0,15)* </t>
    </r>
    <r>
      <rPr>
        <b/>
        <sz val="12"/>
        <rFont val="Calibri"/>
        <family val="2"/>
        <charset val="204"/>
        <scheme val="minor"/>
      </rPr>
      <t>H</t>
    </r>
    <r>
      <rPr>
        <b/>
        <sz val="12"/>
        <rFont val="AcadNusx"/>
      </rPr>
      <t>=2,8*0,3+ 3,4*</t>
    </r>
    <r>
      <rPr>
        <b/>
        <sz val="12"/>
        <rFont val="Calibri"/>
        <family val="2"/>
        <charset val="204"/>
        <scheme val="minor"/>
      </rPr>
      <t>H</t>
    </r>
    <r>
      <rPr>
        <b/>
        <sz val="12"/>
        <rFont val="AcadNusx"/>
      </rPr>
      <t>=2,8*0,2 + 6,25*</t>
    </r>
    <r>
      <rPr>
        <b/>
        <sz val="12"/>
        <rFont val="Calibri"/>
        <family val="2"/>
        <charset val="204"/>
        <scheme val="minor"/>
      </rPr>
      <t>H</t>
    </r>
    <r>
      <rPr>
        <b/>
        <sz val="12"/>
        <rFont val="AcadNusx"/>
      </rPr>
      <t>=2,8*0,15</t>
    </r>
  </si>
  <si>
    <t>3,20*6,00</t>
  </si>
  <si>
    <t>6,30*6,00</t>
  </si>
  <si>
    <t>3,25*6,10</t>
  </si>
  <si>
    <t>3,00*6,10</t>
  </si>
  <si>
    <t>3,35*6,10</t>
  </si>
  <si>
    <t>3,20*6,10</t>
  </si>
  <si>
    <t>3,15*6,10</t>
  </si>
  <si>
    <t>korid</t>
  </si>
  <si>
    <t>kabinetebi</t>
  </si>
  <si>
    <r>
      <t>6,2*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=2,8*8c *0,15</t>
    </r>
  </si>
  <si>
    <r>
      <t>(19,5+19,5+2,7)*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=2,8*0,2 - (11*1,0*2,2+1*1,5*2,8)*0,2</t>
    </r>
  </si>
  <si>
    <t>k 6</t>
  </si>
  <si>
    <t>0,7*2,0</t>
  </si>
  <si>
    <t>8+1 c</t>
  </si>
  <si>
    <t>damxmare saTavso 2c</t>
  </si>
  <si>
    <t>1,30*1,10 *2c</t>
  </si>
  <si>
    <r>
      <rPr>
        <b/>
        <sz val="11"/>
        <rFont val="Calibri"/>
        <family val="2"/>
        <charset val="204"/>
        <scheme val="minor"/>
      </rPr>
      <t>L</t>
    </r>
    <r>
      <rPr>
        <b/>
        <sz val="11"/>
        <rFont val="AcadNusx"/>
      </rPr>
      <t xml:space="preserve">=6,6*4+3,55+3,2+6,4=39,55   X   </t>
    </r>
    <r>
      <rPr>
        <b/>
        <sz val="11"/>
        <rFont val="Calibri"/>
        <family val="2"/>
        <charset val="204"/>
        <scheme val="minor"/>
      </rPr>
      <t>B</t>
    </r>
    <r>
      <rPr>
        <b/>
        <sz val="11"/>
        <rFont val="AcadNusx"/>
      </rPr>
      <t>=(3,15+2,35)=5,5</t>
    </r>
  </si>
  <si>
    <t>kibis ujredi</t>
  </si>
  <si>
    <t>6,6*3,0</t>
  </si>
  <si>
    <t>2,2*1,5</t>
  </si>
  <si>
    <t>k-6</t>
  </si>
  <si>
    <t>saTavso</t>
  </si>
  <si>
    <t>6,70*6,10</t>
  </si>
  <si>
    <t>19,75*6,10</t>
  </si>
  <si>
    <t>6,30*5,80</t>
  </si>
  <si>
    <t>26,60*3,20</t>
  </si>
  <si>
    <t>3,85*5,80</t>
  </si>
  <si>
    <t>sardafi</t>
  </si>
  <si>
    <t>VII sarTuli</t>
  </si>
  <si>
    <t>S k-1</t>
  </si>
  <si>
    <t>S k-2</t>
  </si>
  <si>
    <t>S k-3</t>
  </si>
  <si>
    <t>1,5*2,1</t>
  </si>
  <si>
    <t>0,90*2,10</t>
  </si>
  <si>
    <t>1,50*2,10</t>
  </si>
  <si>
    <t>1,80*2,40</t>
  </si>
  <si>
    <t>I sarTuli</t>
  </si>
  <si>
    <t>sardafis k-1</t>
  </si>
  <si>
    <t>sardafis k-2</t>
  </si>
  <si>
    <t>sardafis k-3</t>
  </si>
  <si>
    <t>1,8*2,4</t>
  </si>
  <si>
    <t>demontaJi VII</t>
  </si>
  <si>
    <t>demontaJi sardafi</t>
  </si>
  <si>
    <t>demontaJi I</t>
  </si>
  <si>
    <t>I sarTulis     k-1</t>
  </si>
  <si>
    <t>al gamWvirvale miniT</t>
  </si>
  <si>
    <t xml:space="preserve">liT </t>
  </si>
  <si>
    <t>koridori*</t>
  </si>
  <si>
    <t>4,3*1,05+7,4*1,2</t>
  </si>
  <si>
    <t>ofisi</t>
  </si>
  <si>
    <t>4,2*4,8</t>
  </si>
  <si>
    <t>baqnebisa da kibis marsebis qveS</t>
  </si>
  <si>
    <t>1,1*0,5</t>
  </si>
  <si>
    <t>I sarTulis     f-1</t>
  </si>
  <si>
    <t>armirebuli</t>
  </si>
  <si>
    <t xml:space="preserve">(0,3+0,15)*  * </t>
  </si>
  <si>
    <t xml:space="preserve"> * </t>
  </si>
  <si>
    <t>arsebuli  (sardafSi)</t>
  </si>
  <si>
    <t>1,1*2,2</t>
  </si>
  <si>
    <t>1,5*2,2</t>
  </si>
  <si>
    <t xml:space="preserve">(0,15+0,3)*  * </t>
  </si>
  <si>
    <t xml:space="preserve">(0,15+0,3)* * </t>
  </si>
  <si>
    <t>#1 sardafSi</t>
  </si>
  <si>
    <r>
      <t xml:space="preserve">safexurebi graniti </t>
    </r>
    <r>
      <rPr>
        <b/>
        <sz val="12"/>
        <color rgb="FFFF0000"/>
        <rFont val="AcadNusx"/>
      </rPr>
      <t>bazalti</t>
    </r>
  </si>
  <si>
    <r>
      <t xml:space="preserve">baqani graniti </t>
    </r>
    <r>
      <rPr>
        <b/>
        <sz val="12"/>
        <color rgb="FFFF0000"/>
        <rFont val="AcadNusx"/>
      </rPr>
      <t>bazalti</t>
    </r>
  </si>
  <si>
    <r>
      <t xml:space="preserve">cokolis mopirketeba granitiT </t>
    </r>
    <r>
      <rPr>
        <b/>
        <sz val="12"/>
        <color rgb="FFFF0000"/>
        <rFont val="AcadNusx"/>
      </rPr>
      <t>bazalti</t>
    </r>
  </si>
  <si>
    <t>1,8*0,95/2*2+0,3*0,16*2*6</t>
  </si>
  <si>
    <t xml:space="preserve">(0,16+0,3)*1,2*6 </t>
  </si>
  <si>
    <t>arsebuli</t>
  </si>
  <si>
    <t>aguris wyobis kedlis demontaJi sardafSi</t>
  </si>
  <si>
    <r>
      <t>5,4*</t>
    </r>
    <r>
      <rPr>
        <b/>
        <sz val="12"/>
        <color theme="1"/>
        <rFont val="Calibri"/>
        <family val="2"/>
        <charset val="204"/>
        <scheme val="minor"/>
      </rPr>
      <t>H</t>
    </r>
    <r>
      <rPr>
        <b/>
        <sz val="12"/>
        <color theme="1"/>
        <rFont val="AcadNusx"/>
      </rPr>
      <t>=4,3*0,25</t>
    </r>
  </si>
  <si>
    <r>
      <t xml:space="preserve">16g/m X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=4,15-0,4</t>
    </r>
  </si>
  <si>
    <t>Ф6АIII  b.600</t>
  </si>
  <si>
    <r>
      <rPr>
        <b/>
        <sz val="12"/>
        <rFont val="Calibri"/>
        <family val="2"/>
        <charset val="204"/>
        <scheme val="minor"/>
      </rPr>
      <t>H</t>
    </r>
    <r>
      <rPr>
        <b/>
        <sz val="12"/>
        <rFont val="AcadNusx"/>
      </rPr>
      <t>=(4,15-0,4)/0,6=7</t>
    </r>
  </si>
  <si>
    <t xml:space="preserve">Sekiduli Weris damuSaveba, emulsiuri SeRebva </t>
  </si>
  <si>
    <t>cem xs-iT nalesi Weris damuSaveba, emulsiuri SeRebva</t>
  </si>
  <si>
    <t>kibeebi -- safexurebi baqnebi moajiri</t>
  </si>
  <si>
    <t xml:space="preserve">(0,16+0,3)*  * </t>
  </si>
  <si>
    <t>metpl feradi</t>
  </si>
  <si>
    <t>betonis filis demontaJi sardafSi (kibe da baqani seifis qveS)</t>
  </si>
  <si>
    <t>liTonis seifis demontaJi dasawyobeba damkveTis mier miTiTebul adgilzed</t>
  </si>
  <si>
    <t>2,0kvm*0,15+3,30*2,0*0,2</t>
  </si>
  <si>
    <t>1,85*3,0*h=1,60   *2c</t>
  </si>
  <si>
    <t>stelaJebi</t>
  </si>
  <si>
    <t>kv mili 40*40*3</t>
  </si>
  <si>
    <t>5,2   *1c</t>
  </si>
  <si>
    <t>7c*2c*3,7g/m+    6,1g/m*2c*8c+   0,5g/m*7c*8c</t>
  </si>
  <si>
    <t>7c*2c*3,7g/m+    6,2g/m*2c*8c+   0,5g/m*7c*8c</t>
  </si>
  <si>
    <t>8c*2c*3,7g/m+    6,5g/m*2c*8c+   0,5g/m*8c*8c</t>
  </si>
  <si>
    <t>6,2g/m</t>
  </si>
  <si>
    <t>6,5g/m</t>
  </si>
  <si>
    <t>3,8g/m   *5c</t>
  </si>
  <si>
    <t>4,7g/m   *1c</t>
  </si>
  <si>
    <t>3,5g/m   *10c</t>
  </si>
  <si>
    <t>6,75g/m</t>
  </si>
  <si>
    <t>6c*2c*3,7g/m+    4,7g/m*2c*8c+   0,5g/m*6c*8c</t>
  </si>
  <si>
    <r>
      <rPr>
        <b/>
        <sz val="12"/>
        <color rgb="FFFF0000"/>
        <rFont val="AcadNusx"/>
      </rPr>
      <t>10c* [</t>
    </r>
    <r>
      <rPr>
        <b/>
        <sz val="12"/>
        <rFont val="AcadNusx"/>
      </rPr>
      <t>5c*2c*3,7g/m+ 3,5g/m*2c*8c+   0,5g/m*5c*8c</t>
    </r>
    <r>
      <rPr>
        <b/>
        <sz val="12"/>
        <color rgb="FFFF0000"/>
        <rFont val="AcadNusx"/>
      </rPr>
      <t>]</t>
    </r>
  </si>
  <si>
    <t>6c*2c*3,7g/m+    5,2g/m*2c*8c+   0,5g/m*6c*8c</t>
  </si>
  <si>
    <t>8c*2c*3,7g/m+    6,75g/m*2c*8c+   0,5g/m*8c*8c</t>
  </si>
  <si>
    <t>dsp 16mm</t>
  </si>
  <si>
    <r>
      <t xml:space="preserve">8c*0,5* </t>
    </r>
    <r>
      <rPr>
        <b/>
        <sz val="12"/>
        <color rgb="FFFF0000"/>
        <rFont val="AcadNusx"/>
      </rPr>
      <t>[</t>
    </r>
    <r>
      <rPr>
        <b/>
        <sz val="12"/>
        <rFont val="AcadNusx"/>
      </rPr>
      <t>6,1+6,2+6,2+6,5+5c*3,8+ 1c*4,7+10c*3,5+1c*5,2+ 6,75+6,5</t>
    </r>
    <r>
      <rPr>
        <b/>
        <sz val="12"/>
        <color rgb="FFFF0000"/>
        <rFont val="AcadNusx"/>
      </rPr>
      <t>]</t>
    </r>
  </si>
  <si>
    <r>
      <t>5c</t>
    </r>
    <r>
      <rPr>
        <b/>
        <sz val="12"/>
        <color rgb="FFFF0000"/>
        <rFont val="AcadNusx"/>
      </rPr>
      <t>* [</t>
    </r>
    <r>
      <rPr>
        <b/>
        <sz val="12"/>
        <rFont val="AcadNusx"/>
      </rPr>
      <t>5c*2c*3,7g/m+ 3,8g/m*2c*8c+   0,5g/m*5c*8c</t>
    </r>
    <r>
      <rPr>
        <b/>
        <sz val="12"/>
        <color rgb="FFFF0000"/>
        <rFont val="AcadNusx"/>
      </rPr>
      <t>]</t>
    </r>
  </si>
  <si>
    <r>
      <rPr>
        <b/>
        <sz val="12"/>
        <color rgb="FFFF0000"/>
        <rFont val="AcadNusx"/>
      </rPr>
      <t>[</t>
    </r>
    <r>
      <rPr>
        <b/>
        <sz val="12"/>
        <rFont val="AcadNusx"/>
      </rPr>
      <t>6,1+6,2+6,2+6,5+5c*3,8+ 1c*4,7+10c*3,5+1c*5,2+ 6,75+6,5</t>
    </r>
    <r>
      <rPr>
        <b/>
        <sz val="12"/>
        <color rgb="FFFF0000"/>
        <rFont val="AcadNusx"/>
      </rPr>
      <t>]</t>
    </r>
  </si>
  <si>
    <t>susti denebi - Senobis saxanZro usafrTxoebis qselis, videomonitoringisa da iternetis qselis montaJi</t>
  </si>
  <si>
    <t>wyalsadenisa da kanalizaciis qselis montaJis samuSaoebi</t>
  </si>
  <si>
    <t>gaTboba-gagrileba-ventilaciis sistemis montajis samuSaoebi</t>
  </si>
  <si>
    <t>el montaJis samuSaoebi</t>
  </si>
  <si>
    <t>სამუშაოების ტიპები და განაწილება.</t>
  </si>
  <si>
    <t>კალენდარული თვეები</t>
  </si>
  <si>
    <t>ჯამური ღირებულება</t>
  </si>
  <si>
    <t>საერთო პერიოდის და თვის განმავლობაში შესრულებადი სამუშაოების ჯამური ღირებულების განაწილება.</t>
  </si>
  <si>
    <t>სამუშაოების წარმოების ფინანსური გრაფიკი (დანართი N3)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</si>
</sst>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b/>
      <sz val="14"/>
      <color theme="1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cadMtavr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2"/>
      <color rgb="FFFF0000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b/>
      <sz val="11"/>
      <name val="Calibri"/>
      <family val="2"/>
      <charset val="204"/>
      <scheme val="minor"/>
    </font>
    <font>
      <sz val="11"/>
      <color rgb="FFFF0000"/>
      <name val="AcadNusx"/>
    </font>
    <font>
      <b/>
      <sz val="12"/>
      <color rgb="FFFF0000"/>
      <name val="AcadNusx"/>
    </font>
    <font>
      <b/>
      <sz val="11"/>
      <color rgb="FFFF0000"/>
      <name val="AcadNusx"/>
    </font>
    <font>
      <b/>
      <sz val="12"/>
      <color rgb="FF0000FF"/>
      <name val="AcadNusx"/>
    </font>
    <font>
      <b/>
      <sz val="12"/>
      <color rgb="FF0000CC"/>
      <name val="AcadNusx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AcadNusx"/>
    </font>
    <font>
      <sz val="14"/>
      <color theme="0"/>
      <name val="AcadNusx"/>
    </font>
    <font>
      <sz val="12"/>
      <color theme="0"/>
      <name val="AcadNusx"/>
    </font>
    <font>
      <b/>
      <sz val="12"/>
      <color theme="0"/>
      <name val="AcadNusx"/>
    </font>
    <font>
      <b/>
      <sz val="14"/>
      <color theme="0"/>
      <name val="AcadMtavr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02">
    <xf numFmtId="0" fontId="0" fillId="0" borderId="0"/>
    <xf numFmtId="0" fontId="11" fillId="0" borderId="0"/>
    <xf numFmtId="0" fontId="19" fillId="0" borderId="0"/>
    <xf numFmtId="0" fontId="22" fillId="0" borderId="0"/>
    <xf numFmtId="0" fontId="25" fillId="0" borderId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4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7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48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30" fillId="32" borderId="12" applyNumberFormat="0" applyAlignment="0" applyProtection="0"/>
    <xf numFmtId="0" fontId="49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0" fontId="31" fillId="33" borderId="13" applyNumberFormat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62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6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6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2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3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37" fillId="19" borderId="12" applyNumberFormat="0" applyAlignment="0" applyProtection="0"/>
    <xf numFmtId="0" fontId="56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57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40" fillId="0" borderId="0"/>
    <xf numFmtId="0" fontId="25" fillId="0" borderId="0"/>
    <xf numFmtId="0" fontId="64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65" fillId="0" borderId="0"/>
    <xf numFmtId="0" fontId="19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9" fillId="0" borderId="0"/>
    <xf numFmtId="0" fontId="63" fillId="0" borderId="0"/>
    <xf numFmtId="0" fontId="19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19" fillId="35" borderId="18" applyNumberFormat="0" applyFont="0" applyAlignment="0" applyProtection="0"/>
    <xf numFmtId="0" fontId="58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0" fontId="41" fillId="32" borderId="19" applyNumberForma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0" borderId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0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1" fillId="0" borderId="0"/>
    <xf numFmtId="0" fontId="25" fillId="0" borderId="0"/>
    <xf numFmtId="0" fontId="19" fillId="0" borderId="0"/>
    <xf numFmtId="0" fontId="19" fillId="0" borderId="0"/>
    <xf numFmtId="0" fontId="63" fillId="0" borderId="0"/>
    <xf numFmtId="0" fontId="2" fillId="0" borderId="0"/>
    <xf numFmtId="0" fontId="2" fillId="0" borderId="0"/>
    <xf numFmtId="0" fontId="19" fillId="0" borderId="0"/>
    <xf numFmtId="0" fontId="67" fillId="13" borderId="0" applyNumberFormat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/>
    <xf numFmtId="0" fontId="1" fillId="0" borderId="0"/>
    <xf numFmtId="0" fontId="63" fillId="0" borderId="0"/>
  </cellStyleXfs>
  <cellXfs count="54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1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68" fillId="1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71" fillId="5" borderId="2" xfId="0" applyFont="1" applyFill="1" applyBorder="1" applyAlignment="1">
      <alignment vertical="center" wrapText="1"/>
    </xf>
    <xf numFmtId="0" fontId="71" fillId="5" borderId="1" xfId="0" applyFont="1" applyFill="1" applyBorder="1" applyAlignment="1">
      <alignment horizontal="center" vertical="center" wrapText="1"/>
    </xf>
    <xf numFmtId="0" fontId="72" fillId="0" borderId="1" xfId="0" applyNumberFormat="1" applyFont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4" fillId="0" borderId="32" xfId="0" applyNumberFormat="1" applyFont="1" applyBorder="1" applyAlignment="1">
      <alignment horizontal="center" vertical="center" wrapText="1"/>
    </xf>
    <xf numFmtId="0" fontId="69" fillId="0" borderId="1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36" borderId="32" xfId="0" applyNumberFormat="1" applyFont="1" applyFill="1" applyBorder="1" applyAlignment="1">
      <alignment horizontal="center" vertical="center" wrapText="1"/>
    </xf>
    <xf numFmtId="0" fontId="24" fillId="36" borderId="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4" fillId="12" borderId="28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32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6" borderId="1" xfId="0" applyNumberFormat="1" applyFont="1" applyFill="1" applyBorder="1" applyAlignment="1">
      <alignment vertical="center" wrapText="1"/>
    </xf>
    <xf numFmtId="0" fontId="9" fillId="36" borderId="32" xfId="0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0" fontId="73" fillId="0" borderId="1" xfId="0" applyNumberFormat="1" applyFont="1" applyBorder="1" applyAlignment="1">
      <alignment horizontal="center" vertical="center" wrapText="1"/>
    </xf>
    <xf numFmtId="49" fontId="71" fillId="0" borderId="3" xfId="0" applyNumberFormat="1" applyFont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49" fontId="71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9" fillId="10" borderId="26" xfId="0" applyNumberFormat="1" applyFont="1" applyFill="1" applyBorder="1" applyAlignment="1">
      <alignment horizontal="center" vertical="center" wrapText="1"/>
    </xf>
    <xf numFmtId="0" fontId="68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12" fillId="40" borderId="4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6" fillId="10" borderId="44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41" borderId="6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18" fillId="37" borderId="45" xfId="0" applyFont="1" applyFill="1" applyBorder="1" applyAlignment="1">
      <alignment horizontal="center" vertical="center" wrapText="1"/>
    </xf>
    <xf numFmtId="0" fontId="12" fillId="37" borderId="45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12" fillId="37" borderId="51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74" fillId="0" borderId="1" xfId="0" applyNumberFormat="1" applyFont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 wrapText="1"/>
    </xf>
    <xf numFmtId="0" fontId="73" fillId="12" borderId="3" xfId="0" applyNumberFormat="1" applyFont="1" applyFill="1" applyBorder="1" applyAlignment="1">
      <alignment horizontal="center" vertical="center" wrapText="1"/>
    </xf>
    <xf numFmtId="0" fontId="74" fillId="12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center" wrapText="1"/>
    </xf>
    <xf numFmtId="0" fontId="68" fillId="41" borderId="3" xfId="0" applyNumberFormat="1" applyFont="1" applyFill="1" applyBorder="1" applyAlignment="1">
      <alignment horizontal="center" vertical="center" wrapText="1"/>
    </xf>
    <xf numFmtId="49" fontId="9" fillId="41" borderId="26" xfId="0" applyNumberFormat="1" applyFont="1" applyFill="1" applyBorder="1" applyAlignment="1">
      <alignment horizontal="center" vertical="center" wrapText="1"/>
    </xf>
    <xf numFmtId="0" fontId="9" fillId="41" borderId="3" xfId="0" applyNumberFormat="1" applyFont="1" applyFill="1" applyBorder="1" applyAlignment="1">
      <alignment horizontal="center" vertical="center" wrapText="1"/>
    </xf>
    <xf numFmtId="0" fontId="4" fillId="41" borderId="1" xfId="0" applyFont="1" applyFill="1" applyBorder="1" applyAlignment="1">
      <alignment horizontal="center" vertical="center" wrapText="1"/>
    </xf>
    <xf numFmtId="0" fontId="9" fillId="41" borderId="8" xfId="0" applyNumberFormat="1" applyFont="1" applyFill="1" applyBorder="1" applyAlignment="1">
      <alignment horizontal="center" vertical="center" wrapText="1"/>
    </xf>
    <xf numFmtId="0" fontId="73" fillId="41" borderId="52" xfId="0" applyNumberFormat="1" applyFont="1" applyFill="1" applyBorder="1" applyAlignment="1">
      <alignment horizontal="center" vertical="center" wrapText="1"/>
    </xf>
    <xf numFmtId="49" fontId="9" fillId="38" borderId="26" xfId="0" applyNumberFormat="1" applyFont="1" applyFill="1" applyBorder="1" applyAlignment="1">
      <alignment horizontal="center" vertical="center" wrapText="1"/>
    </xf>
    <xf numFmtId="0" fontId="68" fillId="38" borderId="3" xfId="0" applyNumberFormat="1" applyFont="1" applyFill="1" applyBorder="1" applyAlignment="1">
      <alignment horizontal="center" vertical="center" wrapText="1"/>
    </xf>
    <xf numFmtId="0" fontId="9" fillId="38" borderId="1" xfId="0" applyNumberFormat="1" applyFont="1" applyFill="1" applyBorder="1" applyAlignment="1">
      <alignment horizontal="center" vertical="center" wrapText="1"/>
    </xf>
    <xf numFmtId="0" fontId="9" fillId="38" borderId="3" xfId="0" applyNumberFormat="1" applyFont="1" applyFill="1" applyBorder="1" applyAlignment="1">
      <alignment horizontal="center" vertical="center" wrapText="1"/>
    </xf>
    <xf numFmtId="0" fontId="4" fillId="38" borderId="1" xfId="0" applyFont="1" applyFill="1" applyBorder="1" applyAlignment="1">
      <alignment horizontal="center" vertical="center" wrapText="1"/>
    </xf>
    <xf numFmtId="0" fontId="73" fillId="38" borderId="52" xfId="0" applyNumberFormat="1" applyFont="1" applyFill="1" applyBorder="1" applyAlignment="1">
      <alignment horizontal="center" vertical="center" wrapText="1"/>
    </xf>
    <xf numFmtId="49" fontId="9" fillId="42" borderId="26" xfId="0" applyNumberFormat="1" applyFont="1" applyFill="1" applyBorder="1" applyAlignment="1">
      <alignment horizontal="center" vertical="center" wrapText="1"/>
    </xf>
    <xf numFmtId="0" fontId="68" fillId="42" borderId="3" xfId="0" applyNumberFormat="1" applyFont="1" applyFill="1" applyBorder="1" applyAlignment="1">
      <alignment horizontal="center" vertical="center" wrapText="1"/>
    </xf>
    <xf numFmtId="0" fontId="9" fillId="42" borderId="1" xfId="0" applyNumberFormat="1" applyFont="1" applyFill="1" applyBorder="1" applyAlignment="1">
      <alignment horizontal="center" vertical="center" wrapText="1"/>
    </xf>
    <xf numFmtId="0" fontId="9" fillId="42" borderId="3" xfId="0" applyNumberFormat="1" applyFont="1" applyFill="1" applyBorder="1" applyAlignment="1">
      <alignment horizontal="center" vertical="center" wrapText="1"/>
    </xf>
    <xf numFmtId="0" fontId="4" fillId="42" borderId="1" xfId="0" applyFont="1" applyFill="1" applyBorder="1" applyAlignment="1">
      <alignment horizontal="center" vertical="center" wrapText="1"/>
    </xf>
    <xf numFmtId="0" fontId="73" fillId="42" borderId="34" xfId="0" applyNumberFormat="1" applyFont="1" applyFill="1" applyBorder="1" applyAlignment="1">
      <alignment horizontal="center" vertical="center" wrapText="1"/>
    </xf>
    <xf numFmtId="0" fontId="73" fillId="42" borderId="52" xfId="0" applyNumberFormat="1" applyFont="1" applyFill="1" applyBorder="1" applyAlignment="1">
      <alignment horizontal="center" vertical="center" wrapText="1"/>
    </xf>
    <xf numFmtId="0" fontId="73" fillId="42" borderId="47" xfId="0" applyNumberFormat="1" applyFont="1" applyFill="1" applyBorder="1" applyAlignment="1">
      <alignment horizontal="center" vertical="center" wrapText="1"/>
    </xf>
    <xf numFmtId="0" fontId="73" fillId="41" borderId="34" xfId="0" applyNumberFormat="1" applyFont="1" applyFill="1" applyBorder="1" applyAlignment="1">
      <alignment horizontal="center" vertical="center" wrapText="1"/>
    </xf>
    <xf numFmtId="0" fontId="73" fillId="41" borderId="47" xfId="0" applyNumberFormat="1" applyFont="1" applyFill="1" applyBorder="1" applyAlignment="1">
      <alignment horizontal="center" vertical="center" wrapText="1"/>
    </xf>
    <xf numFmtId="0" fontId="73" fillId="38" borderId="34" xfId="0" applyNumberFormat="1" applyFont="1" applyFill="1" applyBorder="1" applyAlignment="1">
      <alignment horizontal="center" vertical="center" wrapText="1"/>
    </xf>
    <xf numFmtId="0" fontId="73" fillId="38" borderId="47" xfId="0" applyNumberFormat="1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7" fillId="10" borderId="25" xfId="0" applyNumberFormat="1" applyFont="1" applyFill="1" applyBorder="1" applyAlignment="1">
      <alignment horizontal="center" vertical="center" wrapText="1"/>
    </xf>
    <xf numFmtId="49" fontId="9" fillId="37" borderId="26" xfId="0" applyNumberFormat="1" applyFont="1" applyFill="1" applyBorder="1" applyAlignment="1">
      <alignment horizontal="center" vertical="center" wrapText="1"/>
    </xf>
    <xf numFmtId="0" fontId="68" fillId="37" borderId="3" xfId="0" applyNumberFormat="1" applyFont="1" applyFill="1" applyBorder="1" applyAlignment="1">
      <alignment horizontal="center" vertical="center" wrapText="1"/>
    </xf>
    <xf numFmtId="0" fontId="9" fillId="37" borderId="8" xfId="0" applyNumberFormat="1" applyFont="1" applyFill="1" applyBorder="1" applyAlignment="1">
      <alignment horizontal="center" vertical="center" wrapText="1"/>
    </xf>
    <xf numFmtId="0" fontId="9" fillId="37" borderId="1" xfId="0" applyNumberFormat="1" applyFont="1" applyFill="1" applyBorder="1" applyAlignment="1">
      <alignment horizontal="center" vertical="center" wrapText="1"/>
    </xf>
    <xf numFmtId="0" fontId="73" fillId="37" borderId="34" xfId="0" applyNumberFormat="1" applyFont="1" applyFill="1" applyBorder="1" applyAlignment="1">
      <alignment horizontal="center" vertical="center" wrapText="1"/>
    </xf>
    <xf numFmtId="0" fontId="73" fillId="37" borderId="52" xfId="0" applyNumberFormat="1" applyFont="1" applyFill="1" applyBorder="1" applyAlignment="1">
      <alignment horizontal="center" vertical="center" wrapText="1"/>
    </xf>
    <xf numFmtId="0" fontId="68" fillId="37" borderId="1" xfId="0" applyNumberFormat="1" applyFont="1" applyFill="1" applyBorder="1" applyAlignment="1">
      <alignment horizontal="center" vertical="center" wrapText="1"/>
    </xf>
    <xf numFmtId="49" fontId="9" fillId="37" borderId="27" xfId="0" applyNumberFormat="1" applyFont="1" applyFill="1" applyBorder="1" applyAlignment="1">
      <alignment horizontal="center" vertical="center" wrapText="1"/>
    </xf>
    <xf numFmtId="0" fontId="68" fillId="37" borderId="28" xfId="0" applyNumberFormat="1" applyFont="1" applyFill="1" applyBorder="1" applyAlignment="1">
      <alignment horizontal="center" vertical="center" wrapText="1"/>
    </xf>
    <xf numFmtId="0" fontId="9" fillId="37" borderId="28" xfId="0" applyNumberFormat="1" applyFont="1" applyFill="1" applyBorder="1" applyAlignment="1">
      <alignment horizontal="center" vertical="center" wrapText="1"/>
    </xf>
    <xf numFmtId="0" fontId="73" fillId="37" borderId="54" xfId="0" applyNumberFormat="1" applyFont="1" applyFill="1" applyBorder="1" applyAlignment="1">
      <alignment horizontal="center" vertical="center" wrapText="1"/>
    </xf>
    <xf numFmtId="0" fontId="74" fillId="3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4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70" fillId="4" borderId="2" xfId="0" applyFont="1" applyFill="1" applyBorder="1" applyAlignment="1">
      <alignment horizontal="center" vertical="center" wrapText="1"/>
    </xf>
    <xf numFmtId="49" fontId="71" fillId="0" borderId="26" xfId="0" applyNumberFormat="1" applyFont="1" applyFill="1" applyBorder="1" applyAlignment="1">
      <alignment horizontal="center" vertical="center" wrapText="1"/>
    </xf>
    <xf numFmtId="49" fontId="71" fillId="0" borderId="43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40" borderId="1" xfId="0" applyFont="1" applyFill="1" applyBorder="1" applyAlignment="1">
      <alignment horizontal="center" vertical="center" wrapText="1"/>
    </xf>
    <xf numFmtId="0" fontId="16" fillId="40" borderId="1" xfId="0" applyFont="1" applyFill="1" applyBorder="1" applyAlignment="1">
      <alignment horizontal="center" vertical="center" wrapText="1"/>
    </xf>
    <xf numFmtId="0" fontId="24" fillId="36" borderId="28" xfId="0" applyNumberFormat="1" applyFont="1" applyFill="1" applyBorder="1" applyAlignment="1">
      <alignment horizontal="center" vertical="center" wrapText="1"/>
    </xf>
    <xf numFmtId="0" fontId="9" fillId="36" borderId="28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7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74" fillId="41" borderId="1" xfId="0" applyFont="1" applyFill="1" applyBorder="1" applyAlignment="1">
      <alignment horizontal="center" vertical="center" wrapText="1"/>
    </xf>
    <xf numFmtId="0" fontId="9" fillId="41" borderId="1" xfId="0" applyNumberFormat="1" applyFont="1" applyFill="1" applyBorder="1" applyAlignment="1">
      <alignment horizontal="center" vertical="center" wrapText="1"/>
    </xf>
    <xf numFmtId="0" fontId="74" fillId="0" borderId="4" xfId="0" applyNumberFormat="1" applyFont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center" vertical="center" wrapText="1"/>
    </xf>
    <xf numFmtId="0" fontId="9" fillId="38" borderId="1" xfId="0" applyFont="1" applyFill="1" applyBorder="1" applyAlignment="1">
      <alignment horizontal="center" vertical="center" wrapText="1"/>
    </xf>
    <xf numFmtId="0" fontId="73" fillId="12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12" borderId="39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74" fillId="0" borderId="34" xfId="0" applyNumberFormat="1" applyFont="1" applyBorder="1" applyAlignment="1">
      <alignment horizontal="center" vertical="center" wrapText="1"/>
    </xf>
    <xf numFmtId="0" fontId="74" fillId="0" borderId="47" xfId="0" applyNumberFormat="1" applyFont="1" applyBorder="1" applyAlignment="1">
      <alignment horizontal="center" vertical="center" wrapText="1"/>
    </xf>
    <xf numFmtId="0" fontId="74" fillId="0" borderId="52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4" fillId="0" borderId="54" xfId="0" applyNumberFormat="1" applyFont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vertical="center" wrapText="1"/>
    </xf>
    <xf numFmtId="0" fontId="9" fillId="0" borderId="27" xfId="0" applyNumberFormat="1" applyFont="1" applyFill="1" applyBorder="1" applyAlignment="1">
      <alignment vertical="center" wrapText="1"/>
    </xf>
    <xf numFmtId="0" fontId="69" fillId="0" borderId="28" xfId="0" applyNumberFormat="1" applyFont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6" fillId="40" borderId="49" xfId="0" applyFont="1" applyFill="1" applyBorder="1" applyAlignment="1">
      <alignment horizontal="center" vertical="center" wrapText="1"/>
    </xf>
    <xf numFmtId="0" fontId="6" fillId="40" borderId="50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71" fillId="12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71" fillId="12" borderId="1" xfId="0" applyNumberFormat="1" applyFont="1" applyFill="1" applyBorder="1" applyAlignment="1">
      <alignment horizontal="center" vertical="center" wrapText="1"/>
    </xf>
    <xf numFmtId="0" fontId="71" fillId="0" borderId="1" xfId="0" applyFont="1" applyBorder="1" applyAlignment="1">
      <alignment vertical="center" wrapText="1"/>
    </xf>
    <xf numFmtId="0" fontId="71" fillId="0" borderId="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6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24" fillId="37" borderId="3" xfId="0" applyNumberFormat="1" applyFont="1" applyFill="1" applyBorder="1" applyAlignment="1">
      <alignment horizontal="center" vertical="center" wrapText="1"/>
    </xf>
    <xf numFmtId="0" fontId="24" fillId="38" borderId="3" xfId="0" applyNumberFormat="1" applyFont="1" applyFill="1" applyBorder="1" applyAlignment="1">
      <alignment horizontal="center" vertical="center" wrapText="1"/>
    </xf>
    <xf numFmtId="49" fontId="76" fillId="38" borderId="26" xfId="0" applyNumberFormat="1" applyFont="1" applyFill="1" applyBorder="1" applyAlignment="1">
      <alignment horizontal="center" vertical="center" wrapText="1"/>
    </xf>
    <xf numFmtId="49" fontId="71" fillId="40" borderId="1" xfId="0" applyNumberFormat="1" applyFont="1" applyFill="1" applyBorder="1" applyAlignment="1">
      <alignment vertical="center" wrapText="1"/>
    </xf>
    <xf numFmtId="0" fontId="24" fillId="40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38" borderId="1" xfId="0" applyNumberFormat="1" applyFont="1" applyFill="1" applyBorder="1" applyAlignment="1">
      <alignment horizontal="center" vertical="center" wrapText="1"/>
    </xf>
    <xf numFmtId="0" fontId="24" fillId="40" borderId="2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72" fillId="1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78" fillId="0" borderId="1" xfId="0" applyNumberFormat="1" applyFont="1" applyBorder="1" applyAlignment="1">
      <alignment horizontal="left" vertical="center" wrapText="1"/>
    </xf>
    <xf numFmtId="0" fontId="24" fillId="43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4" fillId="44" borderId="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4" fillId="44" borderId="32" xfId="0" applyNumberFormat="1" applyFont="1" applyFill="1" applyBorder="1" applyAlignment="1">
      <alignment horizontal="center" vertical="center" wrapText="1"/>
    </xf>
    <xf numFmtId="49" fontId="71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71" fillId="46" borderId="1" xfId="0" applyFont="1" applyFill="1" applyBorder="1" applyAlignment="1">
      <alignment horizontal="center" vertical="center" wrapText="1"/>
    </xf>
    <xf numFmtId="0" fontId="9" fillId="46" borderId="1" xfId="0" applyFont="1" applyFill="1" applyBorder="1" applyAlignment="1">
      <alignment horizontal="center" vertical="center" wrapText="1"/>
    </xf>
    <xf numFmtId="0" fontId="4" fillId="46" borderId="1" xfId="0" applyFont="1" applyFill="1" applyBorder="1" applyAlignment="1">
      <alignment horizontal="center" vertical="center" wrapText="1"/>
    </xf>
    <xf numFmtId="0" fontId="71" fillId="46" borderId="1" xfId="0" applyNumberFormat="1" applyFont="1" applyFill="1" applyBorder="1" applyAlignment="1">
      <alignment horizontal="center" vertical="center" wrapText="1"/>
    </xf>
    <xf numFmtId="0" fontId="9" fillId="46" borderId="1" xfId="0" applyNumberFormat="1" applyFont="1" applyFill="1" applyBorder="1" applyAlignment="1">
      <alignment horizontal="center" vertical="center" wrapText="1"/>
    </xf>
    <xf numFmtId="0" fontId="81" fillId="45" borderId="1" xfId="0" applyFont="1" applyFill="1" applyBorder="1" applyAlignment="1">
      <alignment horizontal="center" vertical="center" wrapText="1"/>
    </xf>
    <xf numFmtId="0" fontId="80" fillId="45" borderId="1" xfId="0" applyFont="1" applyFill="1" applyBorder="1" applyAlignment="1">
      <alignment horizontal="center" vertical="center" wrapText="1"/>
    </xf>
    <xf numFmtId="0" fontId="80" fillId="45" borderId="1" xfId="0" applyFont="1" applyFill="1" applyBorder="1" applyAlignment="1">
      <alignment vertical="center" wrapText="1"/>
    </xf>
    <xf numFmtId="0" fontId="80" fillId="45" borderId="1" xfId="0" applyNumberFormat="1" applyFont="1" applyFill="1" applyBorder="1" applyAlignment="1">
      <alignment horizontal="center" vertical="center" wrapText="1"/>
    </xf>
    <xf numFmtId="0" fontId="81" fillId="45" borderId="1" xfId="0" applyNumberFormat="1" applyFont="1" applyFill="1" applyBorder="1" applyAlignment="1">
      <alignment horizontal="center" vertical="center" wrapText="1"/>
    </xf>
    <xf numFmtId="0" fontId="80" fillId="45" borderId="0" xfId="0" applyFont="1" applyFill="1" applyAlignment="1">
      <alignment horizontal="center" vertical="center" wrapText="1"/>
    </xf>
    <xf numFmtId="0" fontId="79" fillId="45" borderId="1" xfId="0" applyFont="1" applyFill="1" applyBorder="1" applyAlignment="1">
      <alignment horizontal="center" vertical="center" wrapText="1"/>
    </xf>
    <xf numFmtId="0" fontId="79" fillId="45" borderId="1" xfId="0" applyFont="1" applyFill="1" applyBorder="1" applyAlignment="1">
      <alignment vertical="center" wrapText="1"/>
    </xf>
    <xf numFmtId="0" fontId="79" fillId="45" borderId="1" xfId="0" applyNumberFormat="1" applyFont="1" applyFill="1" applyBorder="1" applyAlignment="1">
      <alignment horizontal="center" vertical="center" wrapText="1"/>
    </xf>
    <xf numFmtId="0" fontId="79" fillId="45" borderId="0" xfId="0" applyFont="1" applyFill="1" applyAlignment="1">
      <alignment horizontal="center" vertical="center" wrapText="1"/>
    </xf>
    <xf numFmtId="0" fontId="3" fillId="46" borderId="1" xfId="0" applyFont="1" applyFill="1" applyBorder="1" applyAlignment="1">
      <alignment horizontal="center" vertical="center" wrapText="1"/>
    </xf>
    <xf numFmtId="0" fontId="24" fillId="46" borderId="1" xfId="0" applyNumberFormat="1" applyFont="1" applyFill="1" applyBorder="1" applyAlignment="1">
      <alignment horizontal="center" vertical="center" wrapText="1"/>
    </xf>
    <xf numFmtId="0" fontId="9" fillId="46" borderId="3" xfId="0" applyNumberFormat="1" applyFont="1" applyFill="1" applyBorder="1" applyAlignment="1">
      <alignment horizontal="center" vertical="center" wrapText="1"/>
    </xf>
    <xf numFmtId="0" fontId="5" fillId="46" borderId="1" xfId="0" applyFont="1" applyFill="1" applyBorder="1" applyAlignment="1">
      <alignment horizontal="center" vertical="center" wrapText="1"/>
    </xf>
    <xf numFmtId="0" fontId="5" fillId="46" borderId="25" xfId="0" applyFont="1" applyFill="1" applyBorder="1" applyAlignment="1">
      <alignment horizontal="center" vertical="center" wrapText="1"/>
    </xf>
    <xf numFmtId="0" fontId="5" fillId="46" borderId="4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2" fillId="46" borderId="1" xfId="0" applyNumberFormat="1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4" fillId="46" borderId="1" xfId="0" applyFont="1" applyFill="1" applyBorder="1" applyAlignment="1">
      <alignment horizontal="center" vertical="center" wrapText="1"/>
    </xf>
    <xf numFmtId="0" fontId="9" fillId="46" borderId="8" xfId="0" applyNumberFormat="1" applyFont="1" applyFill="1" applyBorder="1" applyAlignment="1">
      <alignment horizontal="center" vertical="center" wrapText="1"/>
    </xf>
    <xf numFmtId="0" fontId="24" fillId="46" borderId="32" xfId="0" applyNumberFormat="1" applyFont="1" applyFill="1" applyBorder="1" applyAlignment="1">
      <alignment horizontal="center" vertical="center" wrapText="1"/>
    </xf>
    <xf numFmtId="0" fontId="24" fillId="40" borderId="1" xfId="0" applyFont="1" applyFill="1" applyBorder="1" applyAlignment="1">
      <alignment horizontal="center" vertical="center" wrapText="1"/>
    </xf>
    <xf numFmtId="0" fontId="9" fillId="44" borderId="1" xfId="0" applyFont="1" applyFill="1" applyBorder="1" applyAlignment="1">
      <alignment horizontal="center" vertical="center" wrapText="1"/>
    </xf>
    <xf numFmtId="49" fontId="9" fillId="44" borderId="1" xfId="0" applyNumberFormat="1" applyFont="1" applyFill="1" applyBorder="1" applyAlignment="1">
      <alignment horizontal="center" vertical="center" wrapText="1"/>
    </xf>
    <xf numFmtId="0" fontId="24" fillId="44" borderId="1" xfId="0" applyFont="1" applyFill="1" applyBorder="1" applyAlignment="1">
      <alignment horizontal="left" vertical="center" wrapText="1"/>
    </xf>
    <xf numFmtId="0" fontId="9" fillId="44" borderId="1" xfId="0" applyFont="1" applyFill="1" applyBorder="1" applyAlignment="1">
      <alignment horizontal="left" vertical="center" wrapText="1"/>
    </xf>
    <xf numFmtId="0" fontId="9" fillId="44" borderId="1" xfId="0" applyNumberFormat="1" applyFont="1" applyFill="1" applyBorder="1" applyAlignment="1">
      <alignment horizontal="center" vertical="center" wrapText="1"/>
    </xf>
    <xf numFmtId="0" fontId="5" fillId="4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left" vertical="center" wrapText="1"/>
    </xf>
    <xf numFmtId="0" fontId="16" fillId="47" borderId="22" xfId="0" applyNumberFormat="1" applyFont="1" applyFill="1" applyBorder="1" applyAlignment="1">
      <alignment horizontal="left" vertical="center" wrapText="1"/>
    </xf>
    <xf numFmtId="0" fontId="7" fillId="0" borderId="66" xfId="0" applyNumberFormat="1" applyFont="1" applyBorder="1" applyAlignment="1">
      <alignment horizontal="left" vertical="center" wrapText="1"/>
    </xf>
    <xf numFmtId="0" fontId="7" fillId="0" borderId="67" xfId="0" applyNumberFormat="1" applyFont="1" applyBorder="1" applyAlignment="1">
      <alignment horizontal="left" vertical="center" wrapText="1"/>
    </xf>
    <xf numFmtId="0" fontId="7" fillId="0" borderId="68" xfId="0" applyNumberFormat="1" applyFont="1" applyBorder="1" applyAlignment="1">
      <alignment horizontal="left" vertical="center" wrapText="1"/>
    </xf>
    <xf numFmtId="0" fontId="16" fillId="47" borderId="66" xfId="0" applyNumberFormat="1" applyFont="1" applyFill="1" applyBorder="1" applyAlignment="1">
      <alignment horizontal="left" vertical="center" wrapText="1"/>
    </xf>
    <xf numFmtId="0" fontId="7" fillId="0" borderId="72" xfId="0" applyNumberFormat="1" applyFont="1" applyBorder="1" applyAlignment="1">
      <alignment horizontal="left" vertical="center" wrapText="1"/>
    </xf>
    <xf numFmtId="0" fontId="84" fillId="0" borderId="0" xfId="0" applyFont="1"/>
    <xf numFmtId="0" fontId="84" fillId="0" borderId="0" xfId="0" applyFont="1" applyBorder="1"/>
    <xf numFmtId="0" fontId="84" fillId="0" borderId="65" xfId="0" applyFont="1" applyBorder="1"/>
    <xf numFmtId="0" fontId="84" fillId="0" borderId="0" xfId="0" applyFont="1" applyFill="1" applyBorder="1" applyAlignment="1"/>
    <xf numFmtId="2" fontId="84" fillId="0" borderId="0" xfId="0" applyNumberFormat="1" applyFont="1" applyFill="1" applyBorder="1" applyAlignment="1">
      <alignment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47" borderId="61" xfId="0" applyFont="1" applyFill="1" applyBorder="1" applyAlignment="1">
      <alignment horizontal="center"/>
    </xf>
    <xf numFmtId="0" fontId="84" fillId="47" borderId="56" xfId="0" applyFont="1" applyFill="1" applyBorder="1" applyAlignment="1">
      <alignment horizontal="center"/>
    </xf>
    <xf numFmtId="0" fontId="84" fillId="47" borderId="74" xfId="0" applyFont="1" applyFill="1" applyBorder="1" applyAlignment="1">
      <alignment horizontal="center"/>
    </xf>
    <xf numFmtId="0" fontId="84" fillId="47" borderId="48" xfId="0" applyFont="1" applyFill="1" applyBorder="1" applyAlignment="1">
      <alignment horizontal="center"/>
    </xf>
    <xf numFmtId="0" fontId="84" fillId="47" borderId="49" xfId="0" applyFont="1" applyFill="1" applyBorder="1" applyAlignment="1">
      <alignment horizontal="center"/>
    </xf>
    <xf numFmtId="0" fontId="84" fillId="47" borderId="5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85" fillId="0" borderId="31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84" fillId="0" borderId="31" xfId="0" applyFont="1" applyBorder="1" applyAlignment="1">
      <alignment horizontal="center"/>
    </xf>
    <xf numFmtId="2" fontId="85" fillId="0" borderId="69" xfId="0" applyNumberFormat="1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4" fillId="0" borderId="71" xfId="0" applyFont="1" applyBorder="1" applyAlignment="1">
      <alignment horizontal="center" vertical="center" wrapText="1"/>
    </xf>
    <xf numFmtId="0" fontId="84" fillId="0" borderId="75" xfId="0" applyFont="1" applyBorder="1" applyAlignment="1">
      <alignment horizontal="center" vertical="center" wrapText="1"/>
    </xf>
    <xf numFmtId="2" fontId="16" fillId="47" borderId="71" xfId="0" applyNumberFormat="1" applyFont="1" applyFill="1" applyBorder="1" applyAlignment="1">
      <alignment horizontal="center" vertical="center" wrapText="1"/>
    </xf>
    <xf numFmtId="2" fontId="16" fillId="47" borderId="70" xfId="0" applyNumberFormat="1" applyFont="1" applyFill="1" applyBorder="1" applyAlignment="1">
      <alignment horizontal="center" vertical="center" wrapText="1"/>
    </xf>
    <xf numFmtId="2" fontId="16" fillId="47" borderId="75" xfId="0" applyNumberFormat="1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22" xfId="0" applyNumberFormat="1" applyFont="1" applyBorder="1" applyAlignment="1">
      <alignment horizontal="center" vertical="center" wrapText="1"/>
    </xf>
    <xf numFmtId="0" fontId="85" fillId="0" borderId="68" xfId="0" applyNumberFormat="1" applyFont="1" applyBorder="1" applyAlignment="1">
      <alignment horizontal="center" vertical="center" wrapText="1"/>
    </xf>
    <xf numFmtId="2" fontId="85" fillId="0" borderId="30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2" fontId="85" fillId="0" borderId="32" xfId="0" applyNumberFormat="1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2" fontId="84" fillId="2" borderId="39" xfId="0" applyNumberFormat="1" applyFont="1" applyFill="1" applyBorder="1" applyAlignment="1">
      <alignment horizontal="center" vertical="center"/>
    </xf>
    <xf numFmtId="2" fontId="84" fillId="2" borderId="4" xfId="0" applyNumberFormat="1" applyFont="1" applyFill="1" applyBorder="1" applyAlignment="1">
      <alignment horizontal="center" vertical="center"/>
    </xf>
    <xf numFmtId="2" fontId="84" fillId="2" borderId="41" xfId="0" applyNumberFormat="1" applyFont="1" applyFill="1" applyBorder="1" applyAlignment="1">
      <alignment horizontal="center" vertical="center"/>
    </xf>
    <xf numFmtId="2" fontId="84" fillId="2" borderId="53" xfId="0" applyNumberFormat="1" applyFont="1" applyFill="1" applyBorder="1" applyAlignment="1">
      <alignment horizontal="center" vertical="center"/>
    </xf>
    <xf numFmtId="2" fontId="84" fillId="2" borderId="52" xfId="0" applyNumberFormat="1" applyFont="1" applyFill="1" applyBorder="1" applyAlignment="1">
      <alignment horizontal="center" vertical="center"/>
    </xf>
    <xf numFmtId="2" fontId="84" fillId="2" borderId="54" xfId="0" applyNumberFormat="1" applyFont="1" applyFill="1" applyBorder="1" applyAlignment="1">
      <alignment horizontal="center" vertical="center"/>
    </xf>
    <xf numFmtId="2" fontId="84" fillId="2" borderId="36" xfId="0" applyNumberFormat="1" applyFont="1" applyFill="1" applyBorder="1" applyAlignment="1">
      <alignment horizontal="center" vertical="center"/>
    </xf>
    <xf numFmtId="2" fontId="84" fillId="2" borderId="37" xfId="0" applyNumberFormat="1" applyFont="1" applyFill="1" applyBorder="1" applyAlignment="1">
      <alignment horizontal="center" vertical="center"/>
    </xf>
    <xf numFmtId="2" fontId="84" fillId="2" borderId="38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12" borderId="26" xfId="0" applyNumberFormat="1" applyFont="1" applyFill="1" applyBorder="1" applyAlignment="1">
      <alignment horizontal="center" vertical="center" wrapText="1"/>
    </xf>
    <xf numFmtId="49" fontId="9" fillId="12" borderId="27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9" fillId="12" borderId="30" xfId="0" applyNumberFormat="1" applyFont="1" applyFill="1" applyBorder="1" applyAlignment="1">
      <alignment horizontal="center" vertical="center" wrapText="1"/>
    </xf>
    <xf numFmtId="0" fontId="16" fillId="40" borderId="35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24" fillId="40" borderId="1" xfId="0" applyFont="1" applyFill="1" applyBorder="1" applyAlignment="1">
      <alignment horizontal="center" vertical="center" wrapText="1"/>
    </xf>
    <xf numFmtId="0" fontId="82" fillId="45" borderId="7" xfId="0" applyFont="1" applyFill="1" applyBorder="1" applyAlignment="1">
      <alignment horizontal="center" vertical="center" wrapText="1"/>
    </xf>
    <xf numFmtId="0" fontId="82" fillId="45" borderId="6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6" fillId="40" borderId="57" xfId="0" applyFont="1" applyFill="1" applyBorder="1" applyAlignment="1">
      <alignment horizontal="center" vertical="center" wrapText="1"/>
    </xf>
    <xf numFmtId="0" fontId="16" fillId="40" borderId="58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 wrapText="1"/>
    </xf>
    <xf numFmtId="49" fontId="3" fillId="40" borderId="1" xfId="0" applyNumberFormat="1" applyFont="1" applyFill="1" applyBorder="1" applyAlignment="1">
      <alignment horizontal="center" vertical="center" wrapText="1"/>
    </xf>
    <xf numFmtId="0" fontId="9" fillId="40" borderId="1" xfId="0" applyNumberFormat="1" applyFont="1" applyFill="1" applyBorder="1" applyAlignment="1">
      <alignment horizontal="center" vertical="center" wrapText="1"/>
    </xf>
    <xf numFmtId="0" fontId="16" fillId="40" borderId="48" xfId="0" applyFont="1" applyFill="1" applyBorder="1" applyAlignment="1">
      <alignment horizontal="center" vertical="center" wrapText="1"/>
    </xf>
    <xf numFmtId="0" fontId="16" fillId="40" borderId="49" xfId="0" applyFont="1" applyFill="1" applyBorder="1" applyAlignment="1">
      <alignment horizontal="center" vertical="center" wrapText="1"/>
    </xf>
    <xf numFmtId="0" fontId="16" fillId="40" borderId="50" xfId="0" applyFont="1" applyFill="1" applyBorder="1" applyAlignment="1">
      <alignment horizontal="center" vertical="center" wrapText="1"/>
    </xf>
    <xf numFmtId="0" fontId="9" fillId="40" borderId="22" xfId="0" applyNumberFormat="1" applyFont="1" applyFill="1" applyBorder="1" applyAlignment="1">
      <alignment horizontal="center" vertical="center" wrapText="1"/>
    </xf>
    <xf numFmtId="0" fontId="9" fillId="40" borderId="23" xfId="0" applyNumberFormat="1" applyFont="1" applyFill="1" applyBorder="1" applyAlignment="1">
      <alignment horizontal="center" vertical="center" wrapText="1"/>
    </xf>
    <xf numFmtId="0" fontId="9" fillId="40" borderId="40" xfId="0" applyNumberFormat="1" applyFont="1" applyFill="1" applyBorder="1" applyAlignment="1">
      <alignment horizontal="center" vertical="center" wrapText="1"/>
    </xf>
    <xf numFmtId="0" fontId="9" fillId="40" borderId="5" xfId="0" applyNumberFormat="1" applyFont="1" applyFill="1" applyBorder="1" applyAlignment="1">
      <alignment horizontal="center" vertical="center" wrapText="1"/>
    </xf>
    <xf numFmtId="0" fontId="9" fillId="40" borderId="7" xfId="0" applyNumberFormat="1" applyFont="1" applyFill="1" applyBorder="1" applyAlignment="1">
      <alignment horizontal="center" vertical="center" wrapText="1"/>
    </xf>
    <xf numFmtId="0" fontId="9" fillId="40" borderId="6" xfId="0" applyNumberFormat="1" applyFont="1" applyFill="1" applyBorder="1" applyAlignment="1">
      <alignment horizontal="center" vertical="center" wrapText="1"/>
    </xf>
    <xf numFmtId="0" fontId="9" fillId="40" borderId="24" xfId="0" applyNumberFormat="1" applyFont="1" applyFill="1" applyBorder="1" applyAlignment="1">
      <alignment horizontal="center" vertical="center" wrapText="1"/>
    </xf>
  </cellXfs>
  <cellStyles count="902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0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1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ELEQ_SUSTI DENEBI_axalqalaqis skola " xfId="89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0"/>
  <tableStyles count="0" defaultTableStyle="TableStyleMedium9" defaultPivotStyle="PivotStyleLight16"/>
  <colors>
    <mruColors>
      <color rgb="FFFFCCFF"/>
      <color rgb="FFFF99FF"/>
      <color rgb="FFCCFF33"/>
      <color rgb="FF008080"/>
      <color rgb="FF0000FF"/>
      <color rgb="FFFFFFCC"/>
      <color rgb="FFCCCCFF"/>
      <color rgb="FFFF6600"/>
      <color rgb="FFCCCC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23"/>
  <sheetViews>
    <sheetView tabSelected="1" view="pageBreakPreview" zoomScaleNormal="100" zoomScaleSheetLayoutView="100" workbookViewId="0">
      <selection activeCell="G4" sqref="G4"/>
    </sheetView>
  </sheetViews>
  <sheetFormatPr defaultRowHeight="15" x14ac:dyDescent="0.25"/>
  <cols>
    <col min="3" max="3" width="68.140625" customWidth="1"/>
    <col min="4" max="4" width="14.5703125" customWidth="1"/>
    <col min="5" max="5" width="10.140625" customWidth="1"/>
  </cols>
  <sheetData>
    <row r="6" spans="3:12" ht="19.5" x14ac:dyDescent="0.25">
      <c r="C6" s="455" t="s">
        <v>339</v>
      </c>
      <c r="D6" s="455"/>
      <c r="E6" s="455"/>
      <c r="F6" s="455"/>
      <c r="G6" s="455"/>
      <c r="H6" s="455"/>
      <c r="I6" s="455"/>
      <c r="J6" s="455"/>
      <c r="K6" s="455"/>
      <c r="L6" s="455"/>
    </row>
    <row r="7" spans="3:12" ht="15.75" thickBot="1" x14ac:dyDescent="0.3">
      <c r="C7" s="441"/>
      <c r="D7" s="441"/>
      <c r="E7" s="441"/>
      <c r="F7" s="441"/>
      <c r="G7" s="441"/>
      <c r="H7" s="441"/>
      <c r="I7" s="441"/>
      <c r="J7" s="441"/>
      <c r="K7" s="441"/>
      <c r="L7" s="441"/>
    </row>
    <row r="8" spans="3:12" ht="17.25" customHeight="1" x14ac:dyDescent="0.25">
      <c r="C8" s="468" t="s">
        <v>335</v>
      </c>
      <c r="D8" s="463" t="s">
        <v>337</v>
      </c>
      <c r="E8" s="458" t="s">
        <v>336</v>
      </c>
      <c r="F8" s="459"/>
      <c r="G8" s="459"/>
      <c r="H8" s="459"/>
      <c r="I8" s="459"/>
      <c r="J8" s="459"/>
      <c r="K8" s="459"/>
      <c r="L8" s="460"/>
    </row>
    <row r="9" spans="3:12" ht="15.75" customHeight="1" thickBot="1" x14ac:dyDescent="0.3">
      <c r="C9" s="469"/>
      <c r="D9" s="464"/>
      <c r="E9" s="446">
        <v>1</v>
      </c>
      <c r="F9" s="447">
        <v>2</v>
      </c>
      <c r="G9" s="447">
        <v>3</v>
      </c>
      <c r="H9" s="447">
        <v>4</v>
      </c>
      <c r="I9" s="447">
        <v>5</v>
      </c>
      <c r="J9" s="447">
        <v>6</v>
      </c>
      <c r="K9" s="447">
        <v>7</v>
      </c>
      <c r="L9" s="448">
        <v>8</v>
      </c>
    </row>
    <row r="10" spans="3:12" ht="16.5" thickBot="1" x14ac:dyDescent="0.3">
      <c r="C10" s="435" t="s">
        <v>256</v>
      </c>
      <c r="D10" s="465">
        <f>SUM(E11:L15)</f>
        <v>0</v>
      </c>
      <c r="E10" s="444"/>
      <c r="F10" s="444"/>
      <c r="G10" s="449"/>
      <c r="H10" s="450"/>
      <c r="I10" s="450"/>
      <c r="J10" s="450"/>
      <c r="K10" s="450"/>
      <c r="L10" s="451"/>
    </row>
    <row r="11" spans="3:12" ht="15" customHeight="1" x14ac:dyDescent="0.25">
      <c r="C11" s="436" t="s">
        <v>51</v>
      </c>
      <c r="D11" s="466"/>
      <c r="E11" s="445"/>
      <c r="F11" s="445"/>
      <c r="G11" s="482">
        <v>0</v>
      </c>
      <c r="H11" s="476">
        <v>0</v>
      </c>
      <c r="I11" s="476">
        <v>0</v>
      </c>
      <c r="J11" s="476">
        <v>0</v>
      </c>
      <c r="K11" s="476">
        <v>0</v>
      </c>
      <c r="L11" s="479">
        <v>0</v>
      </c>
    </row>
    <row r="12" spans="3:12" ht="15" customHeight="1" x14ac:dyDescent="0.25">
      <c r="C12" s="437" t="s">
        <v>334</v>
      </c>
      <c r="D12" s="466"/>
      <c r="E12" s="445"/>
      <c r="F12" s="445"/>
      <c r="G12" s="483"/>
      <c r="H12" s="477"/>
      <c r="I12" s="477"/>
      <c r="J12" s="477"/>
      <c r="K12" s="477"/>
      <c r="L12" s="480"/>
    </row>
    <row r="13" spans="3:12" ht="27" x14ac:dyDescent="0.25">
      <c r="C13" s="437" t="s">
        <v>331</v>
      </c>
      <c r="D13" s="466"/>
      <c r="E13" s="445"/>
      <c r="F13" s="445"/>
      <c r="G13" s="483"/>
      <c r="H13" s="477"/>
      <c r="I13" s="477"/>
      <c r="J13" s="477"/>
      <c r="K13" s="477"/>
      <c r="L13" s="480"/>
    </row>
    <row r="14" spans="3:12" ht="15" customHeight="1" x14ac:dyDescent="0.25">
      <c r="C14" s="437" t="s">
        <v>332</v>
      </c>
      <c r="D14" s="466"/>
      <c r="E14" s="445"/>
      <c r="F14" s="445"/>
      <c r="G14" s="483"/>
      <c r="H14" s="477"/>
      <c r="I14" s="477"/>
      <c r="J14" s="477"/>
      <c r="K14" s="477"/>
      <c r="L14" s="480"/>
    </row>
    <row r="15" spans="3:12" ht="15.75" customHeight="1" thickBot="1" x14ac:dyDescent="0.3">
      <c r="C15" s="438" t="s">
        <v>333</v>
      </c>
      <c r="D15" s="467"/>
      <c r="E15" s="445"/>
      <c r="F15" s="445"/>
      <c r="G15" s="484"/>
      <c r="H15" s="478"/>
      <c r="I15" s="478"/>
      <c r="J15" s="478"/>
      <c r="K15" s="478"/>
      <c r="L15" s="481"/>
    </row>
    <row r="16" spans="3:12" ht="16.5" thickBot="1" x14ac:dyDescent="0.3">
      <c r="C16" s="439" t="s">
        <v>192</v>
      </c>
      <c r="D16" s="465">
        <f>SUM(E17:I21)</f>
        <v>0</v>
      </c>
      <c r="E16" s="452"/>
      <c r="F16" s="453"/>
      <c r="G16" s="453"/>
      <c r="H16" s="454"/>
      <c r="I16" s="442"/>
      <c r="J16" s="442"/>
      <c r="K16" s="442"/>
      <c r="L16" s="443"/>
    </row>
    <row r="17" spans="3:12" ht="15" customHeight="1" x14ac:dyDescent="0.25">
      <c r="C17" s="437" t="s">
        <v>51</v>
      </c>
      <c r="D17" s="466"/>
      <c r="E17" s="482">
        <v>0</v>
      </c>
      <c r="F17" s="476">
        <v>0</v>
      </c>
      <c r="G17" s="476">
        <v>0</v>
      </c>
      <c r="H17" s="479">
        <v>0</v>
      </c>
      <c r="I17" s="442"/>
      <c r="J17" s="442"/>
      <c r="K17" s="442"/>
      <c r="L17" s="443"/>
    </row>
    <row r="18" spans="3:12" ht="15" customHeight="1" x14ac:dyDescent="0.25">
      <c r="C18" s="437" t="s">
        <v>334</v>
      </c>
      <c r="D18" s="466"/>
      <c r="E18" s="483"/>
      <c r="F18" s="477"/>
      <c r="G18" s="477"/>
      <c r="H18" s="480"/>
      <c r="I18" s="442"/>
      <c r="J18" s="442"/>
      <c r="K18" s="442"/>
      <c r="L18" s="443"/>
    </row>
    <row r="19" spans="3:12" ht="27" x14ac:dyDescent="0.25">
      <c r="C19" s="437" t="s">
        <v>331</v>
      </c>
      <c r="D19" s="466"/>
      <c r="E19" s="483"/>
      <c r="F19" s="477"/>
      <c r="G19" s="477"/>
      <c r="H19" s="480"/>
      <c r="I19" s="442"/>
      <c r="J19" s="442"/>
      <c r="K19" s="442"/>
      <c r="L19" s="443"/>
    </row>
    <row r="20" spans="3:12" ht="15" customHeight="1" x14ac:dyDescent="0.25">
      <c r="C20" s="437" t="s">
        <v>332</v>
      </c>
      <c r="D20" s="466"/>
      <c r="E20" s="483"/>
      <c r="F20" s="477"/>
      <c r="G20" s="477"/>
      <c r="H20" s="480"/>
      <c r="I20" s="442"/>
      <c r="J20" s="442"/>
      <c r="K20" s="442"/>
      <c r="L20" s="443"/>
    </row>
    <row r="21" spans="3:12" ht="15.75" customHeight="1" thickBot="1" x14ac:dyDescent="0.3">
      <c r="C21" s="440" t="s">
        <v>333</v>
      </c>
      <c r="D21" s="466"/>
      <c r="E21" s="484"/>
      <c r="F21" s="478"/>
      <c r="G21" s="478"/>
      <c r="H21" s="481"/>
      <c r="I21" s="442"/>
      <c r="J21" s="442"/>
      <c r="K21" s="442"/>
      <c r="L21" s="443"/>
    </row>
    <row r="22" spans="3:12" ht="15.75" customHeight="1" x14ac:dyDescent="0.25">
      <c r="C22" s="470" t="s">
        <v>338</v>
      </c>
      <c r="D22" s="461">
        <f>D10+D16</f>
        <v>0</v>
      </c>
      <c r="E22" s="472">
        <f>E11+E17</f>
        <v>0</v>
      </c>
      <c r="F22" s="474">
        <f t="shared" ref="F22:I22" si="0">F11+F17</f>
        <v>0</v>
      </c>
      <c r="G22" s="474">
        <f t="shared" si="0"/>
        <v>0</v>
      </c>
      <c r="H22" s="474">
        <f t="shared" si="0"/>
        <v>0</v>
      </c>
      <c r="I22" s="474">
        <f t="shared" si="0"/>
        <v>0</v>
      </c>
      <c r="J22" s="474">
        <f>J11</f>
        <v>0</v>
      </c>
      <c r="K22" s="474">
        <f>K11</f>
        <v>0</v>
      </c>
      <c r="L22" s="456">
        <f>L11</f>
        <v>0</v>
      </c>
    </row>
    <row r="23" spans="3:12" ht="15.75" customHeight="1" thickBot="1" x14ac:dyDescent="0.3">
      <c r="C23" s="471"/>
      <c r="D23" s="462"/>
      <c r="E23" s="473"/>
      <c r="F23" s="475"/>
      <c r="G23" s="475"/>
      <c r="H23" s="475"/>
      <c r="I23" s="475"/>
      <c r="J23" s="475"/>
      <c r="K23" s="475"/>
      <c r="L23" s="457"/>
    </row>
  </sheetData>
  <mergeCells count="28">
    <mergeCell ref="J22:J23"/>
    <mergeCell ref="K22:K23"/>
    <mergeCell ref="K11:K15"/>
    <mergeCell ref="L11:L15"/>
    <mergeCell ref="E17:E21"/>
    <mergeCell ref="F17:F21"/>
    <mergeCell ref="G17:G21"/>
    <mergeCell ref="H17:H21"/>
    <mergeCell ref="G11:G15"/>
    <mergeCell ref="H11:H15"/>
    <mergeCell ref="I11:I15"/>
    <mergeCell ref="J11:J15"/>
    <mergeCell ref="G10:L10"/>
    <mergeCell ref="E16:H16"/>
    <mergeCell ref="C6:L6"/>
    <mergeCell ref="L22:L23"/>
    <mergeCell ref="E8:L8"/>
    <mergeCell ref="D22:D23"/>
    <mergeCell ref="D8:D9"/>
    <mergeCell ref="D10:D15"/>
    <mergeCell ref="D16:D21"/>
    <mergeCell ref="C8:C9"/>
    <mergeCell ref="C22:C23"/>
    <mergeCell ref="E22:E23"/>
    <mergeCell ref="F22:F23"/>
    <mergeCell ref="G22:G23"/>
    <mergeCell ref="H22:H23"/>
    <mergeCell ref="I22:I23"/>
  </mergeCells>
  <pageMargins left="0.7" right="0.7" top="0.75" bottom="0.75" header="0.3" footer="0.3"/>
  <pageSetup scale="4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U377"/>
  <sheetViews>
    <sheetView zoomScale="60" zoomScaleNormal="60" workbookViewId="0">
      <pane xSplit="8" ySplit="8" topLeftCell="I20" activePane="bottomRight" state="frozen"/>
      <selection pane="topRight" activeCell="I1" sqref="I1"/>
      <selection pane="bottomLeft" activeCell="A8" sqref="A8"/>
      <selection pane="bottomRight" activeCell="E35" sqref="E35"/>
    </sheetView>
  </sheetViews>
  <sheetFormatPr defaultColWidth="9.140625" defaultRowHeight="16.5" x14ac:dyDescent="0.25"/>
  <cols>
    <col min="1" max="1" width="10.28515625" style="4" customWidth="1"/>
    <col min="2" max="2" width="28.85546875" style="25" customWidth="1"/>
    <col min="3" max="3" width="39.140625" style="1" customWidth="1"/>
    <col min="4" max="4" width="17.7109375" style="1" customWidth="1"/>
    <col min="5" max="5" width="17.7109375" style="2" customWidth="1"/>
    <col min="6" max="8" width="17.7109375" style="18" customWidth="1"/>
    <col min="9" max="9" width="11.28515625" style="1" customWidth="1"/>
    <col min="10" max="10" width="11.28515625" style="2" customWidth="1"/>
    <col min="11" max="15" width="11.28515625" style="18" customWidth="1"/>
    <col min="16" max="16" width="11.28515625" style="1" customWidth="1"/>
    <col min="17" max="17" width="11.28515625" style="2" customWidth="1"/>
    <col min="18" max="20" width="11.28515625" style="18" customWidth="1"/>
    <col min="21" max="22" width="11.28515625" style="2" customWidth="1"/>
    <col min="23" max="24" width="11.28515625" style="1" customWidth="1"/>
    <col min="25" max="25" width="11.28515625" style="18" customWidth="1"/>
    <col min="26" max="26" width="11.28515625" style="1" customWidth="1"/>
    <col min="27" max="27" width="11.28515625" style="2" customWidth="1"/>
    <col min="28" max="31" width="11.28515625" style="18" customWidth="1"/>
    <col min="32" max="32" width="11.28515625" style="2" customWidth="1"/>
    <col min="33" max="34" width="11.28515625" style="18" customWidth="1"/>
    <col min="35" max="35" width="11.28515625" style="2" customWidth="1"/>
    <col min="36" max="36" width="11.28515625" style="18" customWidth="1"/>
    <col min="37" max="37" width="11.28515625" style="2" customWidth="1"/>
    <col min="38" max="47" width="11.28515625" style="18" customWidth="1"/>
    <col min="48" max="49" width="11.28515625" style="1" customWidth="1"/>
    <col min="50" max="50" width="11.28515625" style="2" customWidth="1"/>
    <col min="51" max="52" width="11.28515625" style="18" customWidth="1"/>
    <col min="53" max="53" width="11.28515625" style="2" customWidth="1"/>
    <col min="54" max="55" width="11.28515625" style="18" customWidth="1"/>
    <col min="56" max="56" width="11.28515625" style="1" customWidth="1"/>
    <col min="57" max="65" width="11.28515625" style="18" customWidth="1"/>
    <col min="66" max="66" width="11.28515625" style="1" customWidth="1"/>
    <col min="67" max="69" width="11.28515625" style="2" customWidth="1"/>
    <col min="70" max="71" width="11.28515625" style="18" customWidth="1"/>
    <col min="72" max="72" width="11.28515625" style="1" customWidth="1"/>
    <col min="73" max="98" width="11.28515625" style="74" customWidth="1"/>
    <col min="99" max="99" width="11.140625" style="1" customWidth="1"/>
    <col min="100" max="16384" width="9.140625" style="1"/>
  </cols>
  <sheetData>
    <row r="1" spans="1:98" ht="27.75" customHeight="1" x14ac:dyDescent="0.25">
      <c r="A1" s="497" t="s">
        <v>32</v>
      </c>
      <c r="B1" s="498"/>
      <c r="C1" s="498"/>
      <c r="D1" s="498"/>
      <c r="E1" s="498"/>
      <c r="F1" s="498"/>
      <c r="G1" s="498"/>
      <c r="H1" s="498"/>
    </row>
    <row r="2" spans="1:98" ht="27.75" customHeight="1" x14ac:dyDescent="0.25"/>
    <row r="3" spans="1:98" ht="27.75" customHeight="1" x14ac:dyDescent="0.25">
      <c r="A3" s="50"/>
      <c r="B3" s="46"/>
      <c r="C3" s="502"/>
      <c r="D3" s="503"/>
      <c r="E3" s="504"/>
      <c r="F3" s="22"/>
      <c r="G3" s="22"/>
      <c r="H3" s="22"/>
      <c r="I3" s="505" t="s">
        <v>7</v>
      </c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40"/>
      <c r="Z3" s="491" t="s">
        <v>8</v>
      </c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3"/>
      <c r="BE3" s="486" t="s">
        <v>9</v>
      </c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8"/>
      <c r="BU3" s="79"/>
      <c r="BV3" s="79"/>
      <c r="BW3" s="79"/>
      <c r="BX3" s="79"/>
      <c r="BY3" s="93"/>
      <c r="BZ3" s="93"/>
      <c r="CA3" s="93"/>
      <c r="CB3" s="93"/>
      <c r="CC3" s="354"/>
      <c r="CD3" s="354"/>
      <c r="CE3" s="354"/>
      <c r="CF3" s="354"/>
      <c r="CG3" s="354"/>
      <c r="CH3" s="354"/>
      <c r="CI3" s="93"/>
      <c r="CJ3" s="93"/>
      <c r="CK3" s="79"/>
      <c r="CL3" s="79"/>
      <c r="CM3" s="79"/>
      <c r="CN3" s="79"/>
      <c r="CO3" s="370"/>
      <c r="CP3" s="370"/>
      <c r="CQ3" s="79"/>
      <c r="CR3" s="79"/>
      <c r="CS3" s="79"/>
      <c r="CT3" s="79"/>
    </row>
    <row r="4" spans="1:98" s="2" customFormat="1" ht="27.75" customHeight="1" x14ac:dyDescent="0.25">
      <c r="A4" s="50"/>
      <c r="B4" s="46"/>
      <c r="C4" s="499" t="s">
        <v>10</v>
      </c>
      <c r="D4" s="500"/>
      <c r="E4" s="501"/>
      <c r="F4" s="21"/>
      <c r="G4" s="21"/>
      <c r="H4" s="24"/>
      <c r="I4" s="97"/>
      <c r="J4" s="506" t="s">
        <v>43</v>
      </c>
      <c r="K4" s="507"/>
      <c r="L4" s="508"/>
      <c r="M4" s="96"/>
      <c r="N4" s="379"/>
      <c r="O4" s="506" t="s">
        <v>16</v>
      </c>
      <c r="P4" s="508"/>
      <c r="Q4" s="506" t="s">
        <v>26</v>
      </c>
      <c r="R4" s="507"/>
      <c r="S4" s="507"/>
      <c r="T4" s="507"/>
      <c r="U4" s="507"/>
      <c r="V4" s="507"/>
      <c r="W4" s="508"/>
      <c r="X4" s="97"/>
      <c r="Y4" s="509" t="s">
        <v>65</v>
      </c>
      <c r="Z4" s="95"/>
      <c r="AA4" s="491" t="s">
        <v>43</v>
      </c>
      <c r="AB4" s="492"/>
      <c r="AC4" s="492"/>
      <c r="AD4" s="492"/>
      <c r="AE4" s="492"/>
      <c r="AF4" s="492"/>
      <c r="AG4" s="492"/>
      <c r="AH4" s="493"/>
      <c r="AI4" s="491" t="s">
        <v>46</v>
      </c>
      <c r="AJ4" s="492"/>
      <c r="AK4" s="492"/>
      <c r="AL4" s="492"/>
      <c r="AM4" s="493"/>
      <c r="AN4" s="494" t="s">
        <v>103</v>
      </c>
      <c r="AO4" s="494"/>
      <c r="AP4" s="494"/>
      <c r="AQ4" s="491" t="s">
        <v>31</v>
      </c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3"/>
      <c r="BC4" s="29"/>
      <c r="BD4" s="95"/>
      <c r="BE4" s="19"/>
      <c r="BF4" s="94"/>
      <c r="BG4" s="94"/>
      <c r="BH4" s="94"/>
      <c r="BI4" s="255"/>
      <c r="BJ4" s="94"/>
      <c r="BK4" s="486" t="s">
        <v>31</v>
      </c>
      <c r="BL4" s="487"/>
      <c r="BM4" s="487"/>
      <c r="BN4" s="487"/>
      <c r="BO4" s="487"/>
      <c r="BP4" s="487"/>
      <c r="BQ4" s="487"/>
      <c r="BR4" s="487"/>
      <c r="BS4" s="487"/>
      <c r="BT4" s="488"/>
      <c r="BU4" s="495" t="s">
        <v>27</v>
      </c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81"/>
      <c r="CL4" s="485" t="s">
        <v>40</v>
      </c>
      <c r="CM4" s="485"/>
      <c r="CN4" s="485"/>
      <c r="CO4" s="485"/>
      <c r="CP4" s="485"/>
      <c r="CQ4" s="485"/>
      <c r="CR4" s="485"/>
      <c r="CS4" s="485"/>
      <c r="CT4" s="81"/>
    </row>
    <row r="5" spans="1:98" s="18" customFormat="1" ht="85.9" customHeight="1" x14ac:dyDescent="0.25">
      <c r="A5" s="50"/>
      <c r="B5" s="46"/>
      <c r="C5" s="8"/>
      <c r="D5" s="8"/>
      <c r="E5" s="8"/>
      <c r="F5" s="8"/>
      <c r="G5" s="8"/>
      <c r="H5" s="23"/>
      <c r="I5" s="97"/>
      <c r="J5" s="96"/>
      <c r="K5" s="335"/>
      <c r="L5" s="335"/>
      <c r="M5" s="96"/>
      <c r="N5" s="380"/>
      <c r="O5" s="97"/>
      <c r="P5" s="97"/>
      <c r="Q5" s="97"/>
      <c r="R5" s="97"/>
      <c r="S5" s="97"/>
      <c r="T5" s="97"/>
      <c r="U5" s="97"/>
      <c r="V5" s="97"/>
      <c r="W5" s="97"/>
      <c r="X5" s="97"/>
      <c r="Y5" s="510"/>
      <c r="Z5" s="95"/>
      <c r="AA5" s="102" t="s">
        <v>104</v>
      </c>
      <c r="AB5" s="95"/>
      <c r="AC5" s="95"/>
      <c r="AD5" s="95"/>
      <c r="AE5" s="95"/>
      <c r="AF5" s="95"/>
      <c r="AG5" s="95"/>
      <c r="AH5" s="95"/>
      <c r="AI5" s="102" t="s">
        <v>282</v>
      </c>
      <c r="AJ5" s="95"/>
      <c r="AK5" s="95"/>
      <c r="AL5" s="95"/>
      <c r="AM5" s="243"/>
      <c r="AN5" s="32"/>
      <c r="AO5" s="32"/>
      <c r="AP5" s="32"/>
      <c r="AQ5" s="95"/>
      <c r="AR5" s="95"/>
      <c r="AS5" s="95"/>
      <c r="AT5" s="95"/>
      <c r="AU5" s="95"/>
      <c r="AV5" s="95"/>
      <c r="AW5" s="95"/>
      <c r="AX5" s="491" t="s">
        <v>23</v>
      </c>
      <c r="AY5" s="492"/>
      <c r="AZ5" s="492"/>
      <c r="BA5" s="493"/>
      <c r="BB5" s="95"/>
      <c r="BC5" s="489" t="s">
        <v>15</v>
      </c>
      <c r="BD5" s="490"/>
      <c r="BE5" s="486" t="s">
        <v>60</v>
      </c>
      <c r="BF5" s="488"/>
      <c r="BG5" s="486" t="s">
        <v>118</v>
      </c>
      <c r="BH5" s="487"/>
      <c r="BI5" s="488"/>
      <c r="BJ5" s="486" t="s">
        <v>16</v>
      </c>
      <c r="BK5" s="487"/>
      <c r="BL5" s="487"/>
      <c r="BM5" s="487"/>
      <c r="BN5" s="486" t="s">
        <v>11</v>
      </c>
      <c r="BO5" s="487"/>
      <c r="BP5" s="488"/>
      <c r="BQ5" s="486" t="s">
        <v>17</v>
      </c>
      <c r="BR5" s="488"/>
      <c r="BS5" s="486" t="s">
        <v>48</v>
      </c>
      <c r="BT5" s="488"/>
      <c r="BU5" s="80" t="s">
        <v>124</v>
      </c>
      <c r="BV5" s="92" t="s">
        <v>125</v>
      </c>
      <c r="BW5" s="92" t="s">
        <v>126</v>
      </c>
      <c r="BX5" s="92" t="s">
        <v>127</v>
      </c>
      <c r="BY5" s="92" t="s">
        <v>128</v>
      </c>
      <c r="BZ5" s="353" t="s">
        <v>248</v>
      </c>
      <c r="CA5" s="357" t="s">
        <v>185</v>
      </c>
      <c r="CB5" s="92"/>
      <c r="CC5" s="353" t="s">
        <v>265</v>
      </c>
      <c r="CD5" s="353" t="s">
        <v>266</v>
      </c>
      <c r="CE5" s="353" t="s">
        <v>267</v>
      </c>
      <c r="CF5" s="345" t="s">
        <v>296</v>
      </c>
      <c r="CG5" s="353" t="s">
        <v>272</v>
      </c>
      <c r="CH5" s="353"/>
      <c r="CI5" s="345" t="s">
        <v>210</v>
      </c>
      <c r="CJ5" s="92"/>
      <c r="CK5" s="81"/>
      <c r="CL5" s="80" t="s">
        <v>129</v>
      </c>
      <c r="CM5" s="334" t="s">
        <v>201</v>
      </c>
      <c r="CN5" s="334" t="s">
        <v>202</v>
      </c>
      <c r="CO5" s="369"/>
      <c r="CP5" s="369"/>
      <c r="CQ5" s="369" t="s">
        <v>281</v>
      </c>
      <c r="CR5" s="345" t="s">
        <v>210</v>
      </c>
      <c r="CS5" s="80"/>
      <c r="CT5" s="81"/>
    </row>
    <row r="6" spans="1:98" ht="159.75" customHeight="1" x14ac:dyDescent="0.25">
      <c r="A6" s="50"/>
      <c r="B6" s="46"/>
      <c r="C6" s="8" t="s">
        <v>28</v>
      </c>
      <c r="D6" s="8" t="s">
        <v>29</v>
      </c>
      <c r="E6" s="8" t="s">
        <v>30</v>
      </c>
      <c r="F6" s="26" t="s">
        <v>40</v>
      </c>
      <c r="G6" s="26" t="s">
        <v>27</v>
      </c>
      <c r="H6" s="34" t="s">
        <v>3</v>
      </c>
      <c r="I6" s="6" t="s">
        <v>18</v>
      </c>
      <c r="J6" s="35" t="s">
        <v>95</v>
      </c>
      <c r="K6" s="35" t="s">
        <v>96</v>
      </c>
      <c r="L6" s="35" t="s">
        <v>94</v>
      </c>
      <c r="M6" s="35" t="s">
        <v>97</v>
      </c>
      <c r="N6" s="6" t="s">
        <v>303</v>
      </c>
      <c r="O6" s="6" t="s">
        <v>302</v>
      </c>
      <c r="P6" s="6" t="s">
        <v>98</v>
      </c>
      <c r="Q6" s="11" t="s">
        <v>99</v>
      </c>
      <c r="R6" s="6" t="s">
        <v>100</v>
      </c>
      <c r="S6" s="6" t="s">
        <v>11</v>
      </c>
      <c r="T6" s="6" t="s">
        <v>101</v>
      </c>
      <c r="U6" s="6" t="s">
        <v>22</v>
      </c>
      <c r="V6" s="6" t="s">
        <v>102</v>
      </c>
      <c r="W6" s="6" t="s">
        <v>12</v>
      </c>
      <c r="X6" s="6" t="s">
        <v>50</v>
      </c>
      <c r="Y6" s="511"/>
      <c r="Z6" s="95" t="s">
        <v>18</v>
      </c>
      <c r="AA6" s="7" t="s">
        <v>45</v>
      </c>
      <c r="AB6" s="7" t="s">
        <v>35</v>
      </c>
      <c r="AC6" s="7" t="s">
        <v>106</v>
      </c>
      <c r="AD6" s="7" t="s">
        <v>44</v>
      </c>
      <c r="AE6" s="7" t="s">
        <v>107</v>
      </c>
      <c r="AF6" s="7" t="s">
        <v>108</v>
      </c>
      <c r="AG6" s="7" t="s">
        <v>109</v>
      </c>
      <c r="AH6" s="7" t="s">
        <v>49</v>
      </c>
      <c r="AI6" s="7" t="s">
        <v>19</v>
      </c>
      <c r="AJ6" s="30" t="s">
        <v>13</v>
      </c>
      <c r="AK6" s="27" t="s">
        <v>37</v>
      </c>
      <c r="AL6" s="27" t="s">
        <v>38</v>
      </c>
      <c r="AM6" s="251" t="s">
        <v>167</v>
      </c>
      <c r="AN6" s="7" t="s">
        <v>34</v>
      </c>
      <c r="AO6" s="7" t="s">
        <v>47</v>
      </c>
      <c r="AP6" s="30" t="s">
        <v>110</v>
      </c>
      <c r="AQ6" s="31" t="s">
        <v>111</v>
      </c>
      <c r="AR6" s="28" t="s">
        <v>39</v>
      </c>
      <c r="AS6" s="28" t="s">
        <v>112</v>
      </c>
      <c r="AT6" s="28" t="s">
        <v>113</v>
      </c>
      <c r="AU6" s="7" t="s">
        <v>14</v>
      </c>
      <c r="AV6" s="30" t="s">
        <v>114</v>
      </c>
      <c r="AW6" s="30" t="s">
        <v>105</v>
      </c>
      <c r="AX6" s="7" t="s">
        <v>21</v>
      </c>
      <c r="AY6" s="31" t="s">
        <v>115</v>
      </c>
      <c r="AZ6" s="31" t="s">
        <v>23</v>
      </c>
      <c r="BA6" s="31" t="s">
        <v>116</v>
      </c>
      <c r="BB6" s="28" t="s">
        <v>117</v>
      </c>
      <c r="BC6" s="28" t="s">
        <v>41</v>
      </c>
      <c r="BD6" s="28" t="s">
        <v>42</v>
      </c>
      <c r="BE6" s="5" t="s">
        <v>18</v>
      </c>
      <c r="BF6" s="5" t="s">
        <v>61</v>
      </c>
      <c r="BG6" s="103" t="s">
        <v>119</v>
      </c>
      <c r="BH6" s="104" t="s">
        <v>20</v>
      </c>
      <c r="BI6" s="262" t="s">
        <v>170</v>
      </c>
      <c r="BJ6" s="105" t="s">
        <v>120</v>
      </c>
      <c r="BK6" s="5" t="s">
        <v>24</v>
      </c>
      <c r="BL6" s="5" t="s">
        <v>168</v>
      </c>
      <c r="BM6" s="5" t="s">
        <v>25</v>
      </c>
      <c r="BN6" s="106" t="s">
        <v>43</v>
      </c>
      <c r="BO6" s="5" t="s">
        <v>121</v>
      </c>
      <c r="BP6" s="5" t="s">
        <v>122</v>
      </c>
      <c r="BQ6" s="106" t="s">
        <v>43</v>
      </c>
      <c r="BR6" s="5" t="s">
        <v>123</v>
      </c>
      <c r="BS6" s="106" t="s">
        <v>43</v>
      </c>
      <c r="BT6" s="5" t="s">
        <v>123</v>
      </c>
      <c r="BU6" s="80" t="s">
        <v>203</v>
      </c>
      <c r="BV6" s="80" t="s">
        <v>204</v>
      </c>
      <c r="BW6" s="80" t="s">
        <v>205</v>
      </c>
      <c r="BX6" s="80" t="s">
        <v>190</v>
      </c>
      <c r="BY6" s="92" t="s">
        <v>163</v>
      </c>
      <c r="BZ6" s="353" t="s">
        <v>240</v>
      </c>
      <c r="CA6" s="357" t="s">
        <v>206</v>
      </c>
      <c r="CB6" s="92"/>
      <c r="CC6" s="353" t="s">
        <v>190</v>
      </c>
      <c r="CD6" s="353" t="s">
        <v>260</v>
      </c>
      <c r="CE6" s="353" t="s">
        <v>268</v>
      </c>
      <c r="CF6" s="353"/>
      <c r="CG6" s="353" t="s">
        <v>204</v>
      </c>
      <c r="CH6" s="353"/>
      <c r="CI6" s="92"/>
      <c r="CJ6" s="92"/>
      <c r="CK6" s="81"/>
      <c r="CL6" s="80" t="s">
        <v>207</v>
      </c>
      <c r="CM6" s="80" t="s">
        <v>208</v>
      </c>
      <c r="CN6" s="80" t="s">
        <v>209</v>
      </c>
      <c r="CO6" s="369"/>
      <c r="CP6" s="369"/>
      <c r="CQ6" s="80" t="s">
        <v>280</v>
      </c>
      <c r="CR6" s="80"/>
      <c r="CS6" s="80"/>
      <c r="CT6" s="81"/>
    </row>
    <row r="7" spans="1:98" s="18" customFormat="1" ht="24" customHeight="1" x14ac:dyDescent="0.25">
      <c r="A7" s="63"/>
      <c r="B7" s="65"/>
      <c r="C7" s="8"/>
      <c r="D7" s="8"/>
      <c r="E7" s="8"/>
      <c r="F7" s="26"/>
      <c r="G7" s="26"/>
      <c r="H7" s="34"/>
      <c r="I7" s="6"/>
      <c r="J7" s="35"/>
      <c r="K7" s="35"/>
      <c r="L7" s="35"/>
      <c r="M7" s="35"/>
      <c r="N7" s="35"/>
      <c r="O7" s="35"/>
      <c r="P7" s="6"/>
      <c r="Q7" s="11"/>
      <c r="R7" s="11"/>
      <c r="S7" s="11"/>
      <c r="T7" s="11"/>
      <c r="U7" s="6"/>
      <c r="V7" s="6"/>
      <c r="W7" s="6"/>
      <c r="X7" s="6"/>
      <c r="Y7" s="100"/>
      <c r="Z7" s="101"/>
      <c r="AA7" s="7"/>
      <c r="AB7" s="7"/>
      <c r="AC7" s="7"/>
      <c r="AD7" s="7"/>
      <c r="AE7" s="7"/>
      <c r="AF7" s="7"/>
      <c r="AG7" s="30"/>
      <c r="AH7" s="27"/>
      <c r="AI7" s="27"/>
      <c r="AJ7" s="30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7"/>
      <c r="AW7" s="7"/>
      <c r="AX7" s="31"/>
      <c r="AY7" s="31"/>
      <c r="AZ7" s="28"/>
      <c r="BA7" s="7"/>
      <c r="BB7" s="7"/>
      <c r="BC7" s="28"/>
      <c r="BD7" s="28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185">
        <f>1*2.2</f>
        <v>2.2000000000000002</v>
      </c>
      <c r="BV7" s="185">
        <f>0.9*2.2</f>
        <v>1.9800000000000002</v>
      </c>
      <c r="BW7" s="185">
        <f>1.5*2.8</f>
        <v>4.1999999999999993</v>
      </c>
      <c r="BX7" s="292">
        <f>0.9*2.1</f>
        <v>1.8900000000000001</v>
      </c>
      <c r="BY7" s="185">
        <f>0.8*2.1</f>
        <v>1.6800000000000002</v>
      </c>
      <c r="BZ7" s="185">
        <f>0.7*2</f>
        <v>1.4</v>
      </c>
      <c r="CA7" s="357">
        <f>2.6*2.8</f>
        <v>7.2799999999999994</v>
      </c>
      <c r="CB7" s="185"/>
      <c r="CC7" s="353">
        <f>0.9*2.1</f>
        <v>1.8900000000000001</v>
      </c>
      <c r="CD7" s="353">
        <f>1.5*2.1</f>
        <v>3.1500000000000004</v>
      </c>
      <c r="CE7" s="353">
        <f>1.8*2.4</f>
        <v>4.32</v>
      </c>
      <c r="CF7" s="353"/>
      <c r="CG7" s="353">
        <f>0.9*2.2</f>
        <v>1.9800000000000002</v>
      </c>
      <c r="CH7" s="353"/>
      <c r="CI7" s="185"/>
      <c r="CJ7" s="92"/>
      <c r="CK7" s="81"/>
      <c r="CL7" s="292">
        <f>1.7*1.7</f>
        <v>2.8899999999999997</v>
      </c>
      <c r="CM7" s="292">
        <f>1.75*1.75</f>
        <v>3.0625</v>
      </c>
      <c r="CN7" s="292">
        <f>1.2*1.7</f>
        <v>2.04</v>
      </c>
      <c r="CO7" s="369"/>
      <c r="CP7" s="369"/>
      <c r="CQ7" s="292">
        <f>1.1*0.5</f>
        <v>0.55000000000000004</v>
      </c>
      <c r="CR7" s="292"/>
      <c r="CS7" s="92"/>
      <c r="CT7" s="81"/>
    </row>
    <row r="8" spans="1:98" s="269" customFormat="1" ht="24" customHeight="1" x14ac:dyDescent="0.25">
      <c r="A8" s="264" t="s">
        <v>0</v>
      </c>
      <c r="B8" s="265"/>
      <c r="C8" s="266"/>
      <c r="D8" s="266"/>
      <c r="E8" s="266"/>
      <c r="F8" s="266"/>
      <c r="G8" s="266"/>
      <c r="H8" s="267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7"/>
      <c r="Z8" s="267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</row>
    <row r="9" spans="1:98" s="269" customFormat="1" ht="45" hidden="1" customHeight="1" x14ac:dyDescent="0.25">
      <c r="A9" s="529" t="s">
        <v>172</v>
      </c>
      <c r="B9" s="529"/>
      <c r="C9" s="529"/>
      <c r="D9" s="529"/>
      <c r="E9" s="529"/>
      <c r="F9" s="529"/>
      <c r="G9" s="529"/>
      <c r="H9" s="529"/>
      <c r="I9" s="270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</row>
    <row r="10" spans="1:98" s="269" customFormat="1" hidden="1" x14ac:dyDescent="0.25">
      <c r="A10" s="110"/>
      <c r="B10" s="263"/>
      <c r="C10" s="75"/>
      <c r="D10" s="75"/>
      <c r="E10" s="75"/>
      <c r="F10" s="75"/>
      <c r="G10" s="75"/>
      <c r="H10" s="272"/>
      <c r="I10" s="61"/>
      <c r="J10" s="273"/>
      <c r="K10" s="273"/>
      <c r="L10" s="273"/>
      <c r="M10" s="75"/>
      <c r="N10" s="75"/>
      <c r="O10" s="75"/>
      <c r="P10" s="64"/>
      <c r="Q10" s="64"/>
      <c r="R10" s="64"/>
      <c r="S10" s="64"/>
      <c r="T10" s="64"/>
      <c r="U10" s="75"/>
      <c r="V10" s="75"/>
      <c r="W10" s="64"/>
      <c r="X10" s="75"/>
      <c r="Y10" s="64"/>
      <c r="Z10" s="61"/>
      <c r="AA10" s="64"/>
      <c r="AB10" s="64"/>
      <c r="AC10" s="64"/>
      <c r="AD10" s="64"/>
      <c r="AE10" s="64"/>
      <c r="AF10" s="64"/>
      <c r="AG10" s="75"/>
      <c r="AH10" s="64"/>
      <c r="AI10" s="64"/>
      <c r="AJ10" s="75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5"/>
      <c r="AW10" s="64"/>
      <c r="AX10" s="75"/>
      <c r="AY10" s="64"/>
      <c r="AZ10" s="64"/>
      <c r="BA10" s="64"/>
      <c r="BB10" s="64"/>
      <c r="BC10" s="75"/>
      <c r="BD10" s="75"/>
      <c r="BE10" s="61"/>
      <c r="BF10" s="109"/>
      <c r="BG10" s="109"/>
      <c r="BH10" s="38"/>
      <c r="BI10" s="38"/>
      <c r="BJ10" s="38"/>
      <c r="BK10" s="38"/>
      <c r="BL10" s="38"/>
      <c r="BM10" s="77"/>
      <c r="BN10" s="77"/>
      <c r="BO10" s="77"/>
      <c r="BP10" s="77"/>
      <c r="BQ10" s="64"/>
      <c r="BR10" s="64"/>
      <c r="BS10" s="64"/>
      <c r="BT10" s="64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190">
        <f t="shared" ref="CK10:CK19" si="0">SUM(BU10:CJ10)</f>
        <v>0</v>
      </c>
      <c r="CL10" s="37"/>
      <c r="CM10" s="37"/>
      <c r="CN10" s="37"/>
      <c r="CO10" s="37"/>
      <c r="CP10" s="37"/>
      <c r="CQ10" s="37"/>
      <c r="CR10" s="37"/>
      <c r="CS10" s="37"/>
      <c r="CT10" s="190">
        <f t="shared" ref="CT10:CT19" si="1">SUM(CL10:CS10)</f>
        <v>0</v>
      </c>
    </row>
    <row r="11" spans="1:98" s="269" customFormat="1" hidden="1" x14ac:dyDescent="0.25">
      <c r="A11" s="110"/>
      <c r="B11" s="263"/>
      <c r="C11" s="75"/>
      <c r="D11" s="75"/>
      <c r="E11" s="75"/>
      <c r="F11" s="75"/>
      <c r="G11" s="75"/>
      <c r="H11" s="272"/>
      <c r="I11" s="61"/>
      <c r="J11" s="273"/>
      <c r="K11" s="273"/>
      <c r="L11" s="273"/>
      <c r="M11" s="273"/>
      <c r="N11" s="273"/>
      <c r="O11" s="273"/>
      <c r="P11" s="64"/>
      <c r="Q11" s="64"/>
      <c r="R11" s="64"/>
      <c r="S11" s="64"/>
      <c r="T11" s="64"/>
      <c r="U11" s="75"/>
      <c r="V11" s="75"/>
      <c r="W11" s="64"/>
      <c r="X11" s="75"/>
      <c r="Y11" s="274"/>
      <c r="Z11" s="61"/>
      <c r="AA11" s="64"/>
      <c r="AB11" s="64"/>
      <c r="AC11" s="64"/>
      <c r="AD11" s="64"/>
      <c r="AE11" s="64"/>
      <c r="AF11" s="64"/>
      <c r="AG11" s="75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75"/>
      <c r="AW11" s="64"/>
      <c r="AX11" s="75"/>
      <c r="AY11" s="64"/>
      <c r="AZ11" s="64"/>
      <c r="BA11" s="64"/>
      <c r="BB11" s="64"/>
      <c r="BC11" s="75"/>
      <c r="BD11" s="75"/>
      <c r="BE11" s="61"/>
      <c r="BF11" s="109"/>
      <c r="BG11" s="109"/>
      <c r="BH11" s="38"/>
      <c r="BI11" s="38"/>
      <c r="BJ11" s="38"/>
      <c r="BK11" s="38"/>
      <c r="BL11" s="38"/>
      <c r="BM11" s="77"/>
      <c r="BN11" s="77"/>
      <c r="BO11" s="274"/>
      <c r="BP11" s="77"/>
      <c r="BQ11" s="39"/>
      <c r="BR11" s="39"/>
      <c r="BS11" s="39"/>
      <c r="BT11" s="39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190">
        <f t="shared" si="0"/>
        <v>0</v>
      </c>
      <c r="CL11" s="37"/>
      <c r="CM11" s="37"/>
      <c r="CN11" s="37"/>
      <c r="CO11" s="37"/>
      <c r="CP11" s="37"/>
      <c r="CQ11" s="37"/>
      <c r="CR11" s="37"/>
      <c r="CS11" s="37"/>
      <c r="CT11" s="190">
        <f t="shared" si="1"/>
        <v>0</v>
      </c>
    </row>
    <row r="12" spans="1:98" s="269" customFormat="1" hidden="1" x14ac:dyDescent="0.25">
      <c r="A12" s="110"/>
      <c r="B12" s="263"/>
      <c r="C12" s="75"/>
      <c r="D12" s="75"/>
      <c r="E12" s="75"/>
      <c r="F12" s="75"/>
      <c r="G12" s="75"/>
      <c r="H12" s="272"/>
      <c r="I12" s="61"/>
      <c r="J12" s="273"/>
      <c r="K12" s="273"/>
      <c r="L12" s="273"/>
      <c r="M12" s="273"/>
      <c r="N12" s="273"/>
      <c r="O12" s="273"/>
      <c r="P12" s="64"/>
      <c r="Q12" s="64"/>
      <c r="R12" s="64"/>
      <c r="S12" s="64"/>
      <c r="T12" s="64"/>
      <c r="U12" s="75"/>
      <c r="V12" s="75"/>
      <c r="W12" s="64"/>
      <c r="X12" s="75"/>
      <c r="Y12" s="274"/>
      <c r="Z12" s="61"/>
      <c r="AA12" s="64"/>
      <c r="AB12" s="64"/>
      <c r="AC12" s="64"/>
      <c r="AD12" s="64"/>
      <c r="AE12" s="64"/>
      <c r="AF12" s="64"/>
      <c r="AG12" s="75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5"/>
      <c r="AW12" s="64"/>
      <c r="AX12" s="75"/>
      <c r="AY12" s="64"/>
      <c r="AZ12" s="64"/>
      <c r="BA12" s="64"/>
      <c r="BB12" s="64"/>
      <c r="BC12" s="75"/>
      <c r="BD12" s="75"/>
      <c r="BE12" s="61"/>
      <c r="BF12" s="109"/>
      <c r="BG12" s="109"/>
      <c r="BH12" s="38"/>
      <c r="BI12" s="38"/>
      <c r="BJ12" s="38"/>
      <c r="BK12" s="38"/>
      <c r="BL12" s="38"/>
      <c r="BM12" s="77"/>
      <c r="BN12" s="77"/>
      <c r="BO12" s="274"/>
      <c r="BP12" s="77"/>
      <c r="BQ12" s="39"/>
      <c r="BR12" s="39"/>
      <c r="BS12" s="39"/>
      <c r="BT12" s="39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190">
        <f t="shared" si="0"/>
        <v>0</v>
      </c>
      <c r="CL12" s="37"/>
      <c r="CM12" s="37"/>
      <c r="CN12" s="37"/>
      <c r="CO12" s="37"/>
      <c r="CP12" s="37"/>
      <c r="CQ12" s="37"/>
      <c r="CR12" s="37"/>
      <c r="CS12" s="37"/>
      <c r="CT12" s="190">
        <f t="shared" si="1"/>
        <v>0</v>
      </c>
    </row>
    <row r="13" spans="1:98" s="269" customFormat="1" hidden="1" x14ac:dyDescent="0.25">
      <c r="A13" s="110"/>
      <c r="B13" s="263"/>
      <c r="C13" s="75"/>
      <c r="D13" s="75"/>
      <c r="E13" s="75"/>
      <c r="F13" s="75"/>
      <c r="G13" s="75"/>
      <c r="H13" s="75"/>
      <c r="I13" s="61"/>
      <c r="J13" s="273"/>
      <c r="K13" s="273"/>
      <c r="L13" s="273"/>
      <c r="M13" s="273"/>
      <c r="N13" s="273"/>
      <c r="O13" s="273"/>
      <c r="P13" s="64"/>
      <c r="Q13" s="64"/>
      <c r="R13" s="64"/>
      <c r="S13" s="64"/>
      <c r="T13" s="64"/>
      <c r="U13" s="75"/>
      <c r="V13" s="75"/>
      <c r="W13" s="75"/>
      <c r="X13" s="75"/>
      <c r="Y13" s="77"/>
      <c r="Z13" s="61"/>
      <c r="AA13" s="64"/>
      <c r="AB13" s="64"/>
      <c r="AC13" s="64"/>
      <c r="AD13" s="64"/>
      <c r="AE13" s="64"/>
      <c r="AF13" s="64"/>
      <c r="AG13" s="75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75"/>
      <c r="AW13" s="75"/>
      <c r="AX13" s="75"/>
      <c r="AY13" s="64"/>
      <c r="AZ13" s="64"/>
      <c r="BA13" s="64"/>
      <c r="BB13" s="64"/>
      <c r="BC13" s="75"/>
      <c r="BD13" s="64"/>
      <c r="BE13" s="61"/>
      <c r="BF13" s="109"/>
      <c r="BG13" s="109"/>
      <c r="BH13" s="38"/>
      <c r="BI13" s="38"/>
      <c r="BJ13" s="38"/>
      <c r="BK13" s="38"/>
      <c r="BL13" s="38"/>
      <c r="BM13" s="77"/>
      <c r="BN13" s="77"/>
      <c r="BO13" s="64"/>
      <c r="BP13" s="77"/>
      <c r="BQ13" s="64"/>
      <c r="BR13" s="64"/>
      <c r="BS13" s="39"/>
      <c r="BT13" s="64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190">
        <f t="shared" si="0"/>
        <v>0</v>
      </c>
      <c r="CL13" s="37"/>
      <c r="CM13" s="37"/>
      <c r="CN13" s="37"/>
      <c r="CO13" s="37"/>
      <c r="CP13" s="37"/>
      <c r="CQ13" s="37"/>
      <c r="CR13" s="37"/>
      <c r="CS13" s="37"/>
      <c r="CT13" s="190">
        <f t="shared" si="1"/>
        <v>0</v>
      </c>
    </row>
    <row r="14" spans="1:98" s="269" customFormat="1" hidden="1" x14ac:dyDescent="0.25">
      <c r="A14" s="110"/>
      <c r="B14" s="263"/>
      <c r="C14" s="75"/>
      <c r="D14" s="75"/>
      <c r="E14" s="75"/>
      <c r="F14" s="75"/>
      <c r="G14" s="75"/>
      <c r="H14" s="272"/>
      <c r="I14" s="61"/>
      <c r="J14" s="273"/>
      <c r="K14" s="273"/>
      <c r="L14" s="273"/>
      <c r="M14" s="273"/>
      <c r="N14" s="273"/>
      <c r="O14" s="273"/>
      <c r="P14" s="64"/>
      <c r="Q14" s="64"/>
      <c r="R14" s="64"/>
      <c r="S14" s="64"/>
      <c r="T14" s="64"/>
      <c r="U14" s="75"/>
      <c r="V14" s="75"/>
      <c r="W14" s="75"/>
      <c r="X14" s="75"/>
      <c r="Y14" s="77"/>
      <c r="Z14" s="61"/>
      <c r="AA14" s="64"/>
      <c r="AB14" s="64"/>
      <c r="AC14" s="64"/>
      <c r="AD14" s="64"/>
      <c r="AE14" s="64"/>
      <c r="AF14" s="64"/>
      <c r="AG14" s="75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5"/>
      <c r="AW14" s="75"/>
      <c r="AX14" s="64"/>
      <c r="AY14" s="64"/>
      <c r="AZ14" s="64"/>
      <c r="BA14" s="64"/>
      <c r="BB14" s="64"/>
      <c r="BC14" s="75"/>
      <c r="BD14" s="64"/>
      <c r="BE14" s="61"/>
      <c r="BF14" s="109"/>
      <c r="BG14" s="109"/>
      <c r="BH14" s="38"/>
      <c r="BI14" s="38"/>
      <c r="BJ14" s="38"/>
      <c r="BK14" s="38"/>
      <c r="BL14" s="38"/>
      <c r="BM14" s="77"/>
      <c r="BN14" s="77"/>
      <c r="BO14" s="64"/>
      <c r="BP14" s="77"/>
      <c r="BQ14" s="64"/>
      <c r="BR14" s="64"/>
      <c r="BS14" s="39"/>
      <c r="BT14" s="64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190">
        <f t="shared" si="0"/>
        <v>0</v>
      </c>
      <c r="CL14" s="37"/>
      <c r="CM14" s="37"/>
      <c r="CN14" s="37"/>
      <c r="CO14" s="37"/>
      <c r="CP14" s="37"/>
      <c r="CQ14" s="37"/>
      <c r="CR14" s="37"/>
      <c r="CS14" s="37"/>
      <c r="CT14" s="190">
        <f t="shared" si="1"/>
        <v>0</v>
      </c>
    </row>
    <row r="15" spans="1:98" s="269" customFormat="1" hidden="1" x14ac:dyDescent="0.25">
      <c r="A15" s="110"/>
      <c r="B15" s="263"/>
      <c r="C15" s="75"/>
      <c r="D15" s="75"/>
      <c r="E15" s="75"/>
      <c r="F15" s="75"/>
      <c r="G15" s="75"/>
      <c r="H15" s="272"/>
      <c r="I15" s="61"/>
      <c r="J15" s="273"/>
      <c r="K15" s="273"/>
      <c r="L15" s="273"/>
      <c r="M15" s="273"/>
      <c r="N15" s="273"/>
      <c r="O15" s="273"/>
      <c r="P15" s="64"/>
      <c r="Q15" s="64"/>
      <c r="R15" s="64"/>
      <c r="S15" s="64"/>
      <c r="T15" s="64"/>
      <c r="U15" s="75"/>
      <c r="V15" s="75"/>
      <c r="W15" s="75"/>
      <c r="X15" s="75"/>
      <c r="Y15" s="77"/>
      <c r="Z15" s="61"/>
      <c r="AA15" s="64"/>
      <c r="AB15" s="64"/>
      <c r="AC15" s="64"/>
      <c r="AD15" s="64"/>
      <c r="AE15" s="64"/>
      <c r="AF15" s="64"/>
      <c r="AG15" s="75"/>
      <c r="AH15" s="64"/>
      <c r="AI15" s="64"/>
      <c r="AJ15" s="64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64"/>
      <c r="AY15" s="64"/>
      <c r="AZ15" s="64"/>
      <c r="BA15" s="64"/>
      <c r="BB15" s="64"/>
      <c r="BC15" s="75"/>
      <c r="BD15" s="75"/>
      <c r="BE15" s="61"/>
      <c r="BF15" s="109"/>
      <c r="BG15" s="109"/>
      <c r="BH15" s="38"/>
      <c r="BI15" s="38"/>
      <c r="BJ15" s="38"/>
      <c r="BK15" s="38"/>
      <c r="BL15" s="38"/>
      <c r="BM15" s="77"/>
      <c r="BN15" s="77"/>
      <c r="BO15" s="64"/>
      <c r="BP15" s="77"/>
      <c r="BQ15" s="64"/>
      <c r="BR15" s="64"/>
      <c r="BS15" s="39"/>
      <c r="BT15" s="64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190">
        <f t="shared" si="0"/>
        <v>0</v>
      </c>
      <c r="CL15" s="37"/>
      <c r="CM15" s="37"/>
      <c r="CN15" s="37"/>
      <c r="CO15" s="37"/>
      <c r="CP15" s="37"/>
      <c r="CQ15" s="37"/>
      <c r="CR15" s="37"/>
      <c r="CS15" s="37"/>
      <c r="CT15" s="190">
        <f t="shared" si="1"/>
        <v>0</v>
      </c>
    </row>
    <row r="16" spans="1:98" s="269" customFormat="1" hidden="1" x14ac:dyDescent="0.25">
      <c r="A16" s="110"/>
      <c r="B16" s="263"/>
      <c r="C16" s="75"/>
      <c r="D16" s="75"/>
      <c r="E16" s="75"/>
      <c r="F16" s="75"/>
      <c r="G16" s="75"/>
      <c r="H16" s="272"/>
      <c r="I16" s="61"/>
      <c r="J16" s="273"/>
      <c r="K16" s="273"/>
      <c r="L16" s="273"/>
      <c r="M16" s="273"/>
      <c r="N16" s="273"/>
      <c r="O16" s="273"/>
      <c r="P16" s="64"/>
      <c r="Q16" s="64"/>
      <c r="R16" s="64"/>
      <c r="S16" s="64"/>
      <c r="T16" s="64"/>
      <c r="U16" s="75"/>
      <c r="V16" s="75"/>
      <c r="W16" s="75"/>
      <c r="X16" s="75"/>
      <c r="Y16" s="77"/>
      <c r="Z16" s="61"/>
      <c r="AA16" s="64"/>
      <c r="AB16" s="64"/>
      <c r="AC16" s="64"/>
      <c r="AD16" s="64"/>
      <c r="AE16" s="64"/>
      <c r="AF16" s="64"/>
      <c r="AG16" s="75"/>
      <c r="AH16" s="64"/>
      <c r="AI16" s="64"/>
      <c r="AJ16" s="64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64"/>
      <c r="AY16" s="64"/>
      <c r="AZ16" s="64"/>
      <c r="BA16" s="64"/>
      <c r="BB16" s="64"/>
      <c r="BC16" s="75"/>
      <c r="BD16" s="75"/>
      <c r="BE16" s="61"/>
      <c r="BF16" s="109"/>
      <c r="BG16" s="109"/>
      <c r="BH16" s="38"/>
      <c r="BI16" s="38"/>
      <c r="BJ16" s="38"/>
      <c r="BK16" s="38"/>
      <c r="BL16" s="38"/>
      <c r="BM16" s="77"/>
      <c r="BN16" s="77"/>
      <c r="BO16" s="64"/>
      <c r="BP16" s="77"/>
      <c r="BQ16" s="64"/>
      <c r="BR16" s="64"/>
      <c r="BS16" s="39"/>
      <c r="BT16" s="64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190">
        <f t="shared" si="0"/>
        <v>0</v>
      </c>
      <c r="CL16" s="37"/>
      <c r="CM16" s="37"/>
      <c r="CN16" s="37"/>
      <c r="CO16" s="37"/>
      <c r="CP16" s="37"/>
      <c r="CQ16" s="37"/>
      <c r="CR16" s="37"/>
      <c r="CS16" s="37"/>
      <c r="CT16" s="190">
        <f t="shared" si="1"/>
        <v>0</v>
      </c>
    </row>
    <row r="17" spans="1:98" s="269" customFormat="1" hidden="1" x14ac:dyDescent="0.25">
      <c r="A17" s="110"/>
      <c r="B17" s="263"/>
      <c r="C17" s="75"/>
      <c r="D17" s="75"/>
      <c r="E17" s="75"/>
      <c r="F17" s="75"/>
      <c r="G17" s="75"/>
      <c r="H17" s="272"/>
      <c r="I17" s="61"/>
      <c r="J17" s="273"/>
      <c r="K17" s="273"/>
      <c r="L17" s="273"/>
      <c r="M17" s="273"/>
      <c r="N17" s="273"/>
      <c r="O17" s="273"/>
      <c r="P17" s="64"/>
      <c r="Q17" s="64"/>
      <c r="R17" s="64"/>
      <c r="S17" s="64"/>
      <c r="T17" s="64"/>
      <c r="U17" s="75"/>
      <c r="V17" s="64"/>
      <c r="W17" s="75"/>
      <c r="X17" s="75"/>
      <c r="Y17" s="64"/>
      <c r="Z17" s="61"/>
      <c r="AA17" s="64"/>
      <c r="AB17" s="64"/>
      <c r="AC17" s="64"/>
      <c r="AD17" s="64"/>
      <c r="AE17" s="64"/>
      <c r="AF17" s="64"/>
      <c r="AG17" s="75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75"/>
      <c r="AW17" s="75"/>
      <c r="AX17" s="64"/>
      <c r="AY17" s="64"/>
      <c r="AZ17" s="64"/>
      <c r="BA17" s="64"/>
      <c r="BB17" s="64"/>
      <c r="BC17" s="75"/>
      <c r="BD17" s="75"/>
      <c r="BE17" s="61"/>
      <c r="BF17" s="109"/>
      <c r="BG17" s="109"/>
      <c r="BH17" s="38"/>
      <c r="BI17" s="38"/>
      <c r="BJ17" s="38"/>
      <c r="BK17" s="38"/>
      <c r="BL17" s="38"/>
      <c r="BM17" s="77"/>
      <c r="BN17" s="77"/>
      <c r="BO17" s="64"/>
      <c r="BP17" s="77"/>
      <c r="BQ17" s="64"/>
      <c r="BR17" s="64"/>
      <c r="BS17" s="39"/>
      <c r="BT17" s="64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190">
        <f t="shared" si="0"/>
        <v>0</v>
      </c>
      <c r="CL17" s="37"/>
      <c r="CM17" s="37"/>
      <c r="CN17" s="37"/>
      <c r="CO17" s="37"/>
      <c r="CP17" s="37"/>
      <c r="CQ17" s="37"/>
      <c r="CR17" s="37"/>
      <c r="CS17" s="37"/>
      <c r="CT17" s="190">
        <f t="shared" si="1"/>
        <v>0</v>
      </c>
    </row>
    <row r="18" spans="1:98" s="269" customFormat="1" hidden="1" x14ac:dyDescent="0.25">
      <c r="A18" s="110"/>
      <c r="B18" s="263"/>
      <c r="C18" s="75"/>
      <c r="D18" s="75"/>
      <c r="E18" s="75"/>
      <c r="F18" s="75"/>
      <c r="G18" s="75"/>
      <c r="H18" s="272"/>
      <c r="I18" s="61"/>
      <c r="J18" s="273"/>
      <c r="K18" s="273"/>
      <c r="L18" s="273"/>
      <c r="M18" s="273"/>
      <c r="N18" s="273"/>
      <c r="O18" s="273"/>
      <c r="P18" s="64"/>
      <c r="Q18" s="64"/>
      <c r="R18" s="64"/>
      <c r="S18" s="64"/>
      <c r="T18" s="64"/>
      <c r="U18" s="75"/>
      <c r="V18" s="64"/>
      <c r="W18" s="64"/>
      <c r="X18" s="75"/>
      <c r="Y18" s="64"/>
      <c r="Z18" s="61"/>
      <c r="AA18" s="64"/>
      <c r="AB18" s="64"/>
      <c r="AC18" s="64"/>
      <c r="AD18" s="64"/>
      <c r="AE18" s="64"/>
      <c r="AF18" s="64"/>
      <c r="AG18" s="75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5"/>
      <c r="AW18" s="64"/>
      <c r="AX18" s="75"/>
      <c r="AY18" s="64"/>
      <c r="AZ18" s="64"/>
      <c r="BA18" s="64"/>
      <c r="BB18" s="64"/>
      <c r="BC18" s="75"/>
      <c r="BD18" s="75"/>
      <c r="BE18" s="61"/>
      <c r="BF18" s="109"/>
      <c r="BG18" s="109"/>
      <c r="BH18" s="38"/>
      <c r="BI18" s="38"/>
      <c r="BJ18" s="38"/>
      <c r="BK18" s="38"/>
      <c r="BL18" s="38"/>
      <c r="BM18" s="77"/>
      <c r="BN18" s="77"/>
      <c r="BO18" s="64"/>
      <c r="BP18" s="77"/>
      <c r="BQ18" s="64"/>
      <c r="BR18" s="64"/>
      <c r="BS18" s="39"/>
      <c r="BT18" s="64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190">
        <f t="shared" si="0"/>
        <v>0</v>
      </c>
      <c r="CL18" s="37"/>
      <c r="CM18" s="37"/>
      <c r="CN18" s="37"/>
      <c r="CO18" s="37"/>
      <c r="CP18" s="37"/>
      <c r="CQ18" s="37"/>
      <c r="CR18" s="37"/>
      <c r="CS18" s="37"/>
      <c r="CT18" s="190">
        <f t="shared" si="1"/>
        <v>0</v>
      </c>
    </row>
    <row r="19" spans="1:98" s="269" customFormat="1" hidden="1" x14ac:dyDescent="0.25">
      <c r="A19" s="110"/>
      <c r="B19" s="275"/>
      <c r="C19" s="75"/>
      <c r="D19" s="75"/>
      <c r="E19" s="75"/>
      <c r="F19" s="75"/>
      <c r="G19" s="75"/>
      <c r="H19" s="272"/>
      <c r="I19" s="61"/>
      <c r="J19" s="273"/>
      <c r="K19" s="273"/>
      <c r="L19" s="273"/>
      <c r="M19" s="273"/>
      <c r="N19" s="273"/>
      <c r="O19" s="273"/>
      <c r="P19" s="64"/>
      <c r="Q19" s="64"/>
      <c r="R19" s="64"/>
      <c r="S19" s="64"/>
      <c r="T19" s="64"/>
      <c r="U19" s="75"/>
      <c r="V19" s="75"/>
      <c r="W19" s="75"/>
      <c r="X19" s="75"/>
      <c r="Y19" s="64"/>
      <c r="Z19" s="61"/>
      <c r="AA19" s="64"/>
      <c r="AB19" s="64"/>
      <c r="AC19" s="64"/>
      <c r="AD19" s="64"/>
      <c r="AE19" s="64"/>
      <c r="AF19" s="64"/>
      <c r="AG19" s="75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75"/>
      <c r="AW19" s="75"/>
      <c r="AX19" s="64"/>
      <c r="AY19" s="64"/>
      <c r="AZ19" s="64"/>
      <c r="BA19" s="64"/>
      <c r="BB19" s="64"/>
      <c r="BC19" s="75"/>
      <c r="BD19" s="64"/>
      <c r="BE19" s="61"/>
      <c r="BF19" s="109"/>
      <c r="BG19" s="109"/>
      <c r="BH19" s="38"/>
      <c r="BI19" s="38"/>
      <c r="BJ19" s="38"/>
      <c r="BK19" s="38"/>
      <c r="BL19" s="38"/>
      <c r="BM19" s="77"/>
      <c r="BN19" s="77"/>
      <c r="BO19" s="64"/>
      <c r="BP19" s="77"/>
      <c r="BQ19" s="64"/>
      <c r="BR19" s="64"/>
      <c r="BS19" s="39"/>
      <c r="BT19" s="64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190">
        <f t="shared" si="0"/>
        <v>0</v>
      </c>
      <c r="CL19" s="37"/>
      <c r="CM19" s="37"/>
      <c r="CN19" s="37"/>
      <c r="CO19" s="37"/>
      <c r="CP19" s="37"/>
      <c r="CQ19" s="37"/>
      <c r="CR19" s="37"/>
      <c r="CS19" s="37"/>
      <c r="CT19" s="190">
        <f t="shared" si="1"/>
        <v>0</v>
      </c>
    </row>
    <row r="20" spans="1:98" s="409" customFormat="1" ht="32.25" customHeight="1" x14ac:dyDescent="0.25">
      <c r="A20" s="530" t="s">
        <v>191</v>
      </c>
      <c r="B20" s="530"/>
      <c r="C20" s="530"/>
      <c r="D20" s="530"/>
      <c r="E20" s="530"/>
      <c r="F20" s="530"/>
      <c r="G20" s="530"/>
      <c r="H20" s="531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7"/>
      <c r="BT20" s="406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</row>
    <row r="21" spans="1:98" s="269" customFormat="1" x14ac:dyDescent="0.25">
      <c r="A21" s="110" t="s">
        <v>90</v>
      </c>
      <c r="B21" s="279" t="s">
        <v>196</v>
      </c>
      <c r="C21" s="279" t="s">
        <v>228</v>
      </c>
      <c r="D21" s="279">
        <f>3.2*6</f>
        <v>19.200000000000003</v>
      </c>
      <c r="E21" s="279">
        <f>(3.2+6)*2</f>
        <v>18.399999999999999</v>
      </c>
      <c r="F21" s="75"/>
      <c r="G21" s="75"/>
      <c r="H21" s="75"/>
      <c r="I21" s="372">
        <f>3.2*6</f>
        <v>19.200000000000003</v>
      </c>
      <c r="J21" s="279"/>
      <c r="K21" s="279"/>
      <c r="L21" s="279"/>
      <c r="M21" s="279"/>
      <c r="N21" s="279"/>
      <c r="O21" s="279">
        <f>3.2*6</f>
        <v>19.200000000000003</v>
      </c>
      <c r="P21" s="279"/>
      <c r="Q21" s="279"/>
      <c r="R21" s="279"/>
      <c r="S21" s="279">
        <f>3.2*6</f>
        <v>19.200000000000003</v>
      </c>
      <c r="T21" s="75"/>
      <c r="U21" s="75"/>
      <c r="V21" s="75"/>
      <c r="W21" s="64"/>
      <c r="X21" s="279">
        <f>(3.2+6)*2</f>
        <v>18.399999999999999</v>
      </c>
      <c r="Y21" s="64"/>
      <c r="Z21" s="372">
        <f t="shared" ref="Z21:AA24" si="2">3.2*6</f>
        <v>19.200000000000003</v>
      </c>
      <c r="AA21" s="279">
        <f t="shared" si="2"/>
        <v>19.200000000000003</v>
      </c>
      <c r="AB21" s="244"/>
      <c r="AC21" s="244"/>
      <c r="AD21" s="244"/>
      <c r="AE21" s="244"/>
      <c r="AF21" s="244"/>
      <c r="AG21" s="244"/>
      <c r="AH21" s="244"/>
      <c r="AI21" s="244"/>
      <c r="AJ21" s="279">
        <f>3.2*6</f>
        <v>19.200000000000003</v>
      </c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>
        <f>3.2*6</f>
        <v>19.200000000000003</v>
      </c>
      <c r="AV21" s="75"/>
      <c r="AW21" s="75"/>
      <c r="AX21" s="75"/>
      <c r="AY21" s="244"/>
      <c r="AZ21" s="244"/>
      <c r="BA21" s="64"/>
      <c r="BB21" s="64"/>
      <c r="BC21" s="279"/>
      <c r="BD21" s="279">
        <f>(3.2+6)*2</f>
        <v>18.399999999999999</v>
      </c>
      <c r="BE21" s="372">
        <f>(3.2+6)*2*2.8</f>
        <v>51.519999999999996</v>
      </c>
      <c r="BF21" s="109">
        <f t="shared" ref="BF21:BF38" si="3">BE21-CK21-CT21</f>
        <v>46.429999999999993</v>
      </c>
      <c r="BG21" s="109">
        <f t="shared" ref="BG21:BG34" si="4">BF21</f>
        <v>46.429999999999993</v>
      </c>
      <c r="BH21" s="38">
        <f>BF21</f>
        <v>46.429999999999993</v>
      </c>
      <c r="BI21" s="38"/>
      <c r="BJ21" s="38"/>
      <c r="BK21" s="38"/>
      <c r="BL21" s="38">
        <f>BF21-BR21</f>
        <v>46.429999999999993</v>
      </c>
      <c r="BM21" s="77"/>
      <c r="BN21" s="77"/>
      <c r="BO21" s="64"/>
      <c r="BP21" s="77"/>
      <c r="BQ21" s="64"/>
      <c r="BR21" s="75"/>
      <c r="BS21" s="39"/>
      <c r="BT21" s="64"/>
      <c r="BU21" s="37">
        <f>1*BU7</f>
        <v>2.2000000000000002</v>
      </c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190">
        <f t="shared" ref="CK21:CK38" si="5">SUM(BU21:CJ21)</f>
        <v>2.2000000000000002</v>
      </c>
      <c r="CL21" s="37">
        <f>1*CL7</f>
        <v>2.8899999999999997</v>
      </c>
      <c r="CM21" s="37"/>
      <c r="CN21" s="37"/>
      <c r="CO21" s="37"/>
      <c r="CP21" s="37"/>
      <c r="CQ21" s="37"/>
      <c r="CR21" s="37"/>
      <c r="CS21" s="37"/>
      <c r="CT21" s="190">
        <f t="shared" ref="CT21:CT38" si="6">SUM(CL21:CS21)</f>
        <v>2.8899999999999997</v>
      </c>
    </row>
    <row r="22" spans="1:98" s="269" customFormat="1" x14ac:dyDescent="0.25">
      <c r="A22" s="110" t="s">
        <v>90</v>
      </c>
      <c r="B22" s="279" t="s">
        <v>196</v>
      </c>
      <c r="C22" s="84" t="s">
        <v>228</v>
      </c>
      <c r="D22" s="279">
        <f>3.2*6</f>
        <v>19.200000000000003</v>
      </c>
      <c r="E22" s="279">
        <f>(3.2+6)*2</f>
        <v>18.399999999999999</v>
      </c>
      <c r="F22" s="75"/>
      <c r="G22" s="75"/>
      <c r="H22" s="75"/>
      <c r="I22" s="372">
        <f>3.2*6</f>
        <v>19.200000000000003</v>
      </c>
      <c r="J22" s="279"/>
      <c r="K22" s="279"/>
      <c r="L22" s="279"/>
      <c r="M22" s="279"/>
      <c r="N22" s="279"/>
      <c r="O22" s="279">
        <f>3.2*6</f>
        <v>19.200000000000003</v>
      </c>
      <c r="P22" s="279"/>
      <c r="Q22" s="279"/>
      <c r="R22" s="279"/>
      <c r="S22" s="279">
        <f>3.2*6</f>
        <v>19.200000000000003</v>
      </c>
      <c r="T22" s="75"/>
      <c r="U22" s="75"/>
      <c r="V22" s="75"/>
      <c r="W22" s="64"/>
      <c r="X22" s="279">
        <f>(3.2+6)*2</f>
        <v>18.399999999999999</v>
      </c>
      <c r="Y22" s="64"/>
      <c r="Z22" s="372">
        <f t="shared" si="2"/>
        <v>19.200000000000003</v>
      </c>
      <c r="AA22" s="279">
        <f t="shared" si="2"/>
        <v>19.200000000000003</v>
      </c>
      <c r="AB22" s="244"/>
      <c r="AC22" s="244"/>
      <c r="AD22" s="244"/>
      <c r="AE22" s="244"/>
      <c r="AF22" s="244"/>
      <c r="AG22" s="244"/>
      <c r="AH22" s="244"/>
      <c r="AI22" s="244"/>
      <c r="AJ22" s="279">
        <f>3.2*6</f>
        <v>19.200000000000003</v>
      </c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>
        <f>3.2*6</f>
        <v>19.200000000000003</v>
      </c>
      <c r="AV22" s="75"/>
      <c r="AW22" s="75"/>
      <c r="AX22" s="75"/>
      <c r="AY22" s="244"/>
      <c r="AZ22" s="244"/>
      <c r="BA22" s="64"/>
      <c r="BB22" s="64"/>
      <c r="BC22" s="279"/>
      <c r="BD22" s="279">
        <f>(3.2+6)*2</f>
        <v>18.399999999999999</v>
      </c>
      <c r="BE22" s="372">
        <f>(3.2+6)*2*2.8</f>
        <v>51.519999999999996</v>
      </c>
      <c r="BF22" s="109">
        <f t="shared" si="3"/>
        <v>46.429999999999993</v>
      </c>
      <c r="BG22" s="109">
        <f t="shared" si="4"/>
        <v>46.429999999999993</v>
      </c>
      <c r="BH22" s="38">
        <f t="shared" ref="BH22:BH34" si="7">BF22</f>
        <v>46.429999999999993</v>
      </c>
      <c r="BI22" s="38"/>
      <c r="BJ22" s="38"/>
      <c r="BK22" s="38"/>
      <c r="BL22" s="38">
        <f>BF22-BR22</f>
        <v>46.429999999999993</v>
      </c>
      <c r="BM22" s="77"/>
      <c r="BN22" s="77"/>
      <c r="BO22" s="64"/>
      <c r="BP22" s="77"/>
      <c r="BQ22" s="64"/>
      <c r="BR22" s="75"/>
      <c r="BS22" s="39"/>
      <c r="BT22" s="64"/>
      <c r="BU22" s="37">
        <f>1*BU7</f>
        <v>2.2000000000000002</v>
      </c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190">
        <f t="shared" si="5"/>
        <v>2.2000000000000002</v>
      </c>
      <c r="CL22" s="37">
        <f>1*CL7</f>
        <v>2.8899999999999997</v>
      </c>
      <c r="CM22" s="37"/>
      <c r="CN22" s="37"/>
      <c r="CO22" s="37"/>
      <c r="CP22" s="37"/>
      <c r="CQ22" s="37"/>
      <c r="CR22" s="37"/>
      <c r="CS22" s="37"/>
      <c r="CT22" s="190">
        <f t="shared" si="6"/>
        <v>2.8899999999999997</v>
      </c>
    </row>
    <row r="23" spans="1:98" s="269" customFormat="1" x14ac:dyDescent="0.25">
      <c r="A23" s="110" t="s">
        <v>90</v>
      </c>
      <c r="B23" s="279" t="s">
        <v>196</v>
      </c>
      <c r="C23" s="279" t="s">
        <v>228</v>
      </c>
      <c r="D23" s="279">
        <f>3.2*6</f>
        <v>19.200000000000003</v>
      </c>
      <c r="E23" s="279">
        <f>(3.2+6)*2</f>
        <v>18.399999999999999</v>
      </c>
      <c r="F23" s="75"/>
      <c r="G23" s="75"/>
      <c r="H23" s="75"/>
      <c r="I23" s="372">
        <f>3.2*6</f>
        <v>19.200000000000003</v>
      </c>
      <c r="J23" s="279"/>
      <c r="K23" s="279"/>
      <c r="L23" s="279"/>
      <c r="M23" s="279"/>
      <c r="N23" s="279"/>
      <c r="O23" s="279">
        <f>3.2*6</f>
        <v>19.200000000000003</v>
      </c>
      <c r="P23" s="279"/>
      <c r="Q23" s="279"/>
      <c r="R23" s="279"/>
      <c r="S23" s="279">
        <f>3.2*6</f>
        <v>19.200000000000003</v>
      </c>
      <c r="T23" s="75"/>
      <c r="U23" s="75"/>
      <c r="V23" s="75"/>
      <c r="W23" s="64"/>
      <c r="X23" s="279">
        <f>(3.2+6)*2</f>
        <v>18.399999999999999</v>
      </c>
      <c r="Y23" s="64"/>
      <c r="Z23" s="372">
        <f t="shared" si="2"/>
        <v>19.200000000000003</v>
      </c>
      <c r="AA23" s="279">
        <f t="shared" si="2"/>
        <v>19.200000000000003</v>
      </c>
      <c r="AB23" s="244"/>
      <c r="AC23" s="244"/>
      <c r="AD23" s="244"/>
      <c r="AE23" s="244"/>
      <c r="AF23" s="244"/>
      <c r="AG23" s="244"/>
      <c r="AH23" s="244"/>
      <c r="AI23" s="244"/>
      <c r="AJ23" s="279">
        <f>3.2*6</f>
        <v>19.200000000000003</v>
      </c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>
        <f>3.2*6</f>
        <v>19.200000000000003</v>
      </c>
      <c r="AV23" s="75"/>
      <c r="AW23" s="75"/>
      <c r="AX23" s="75"/>
      <c r="AY23" s="244"/>
      <c r="AZ23" s="244"/>
      <c r="BA23" s="64"/>
      <c r="BB23" s="64"/>
      <c r="BC23" s="279"/>
      <c r="BD23" s="279">
        <f>(3.2+6)*2</f>
        <v>18.399999999999999</v>
      </c>
      <c r="BE23" s="372">
        <f>(3.2+6)*2*2.8</f>
        <v>51.519999999999996</v>
      </c>
      <c r="BF23" s="109">
        <f t="shared" si="3"/>
        <v>46.429999999999993</v>
      </c>
      <c r="BG23" s="109">
        <f t="shared" si="4"/>
        <v>46.429999999999993</v>
      </c>
      <c r="BH23" s="38">
        <f t="shared" si="7"/>
        <v>46.429999999999993</v>
      </c>
      <c r="BI23" s="38"/>
      <c r="BJ23" s="38"/>
      <c r="BK23" s="38"/>
      <c r="BL23" s="38">
        <f>BF23-BR23</f>
        <v>46.429999999999993</v>
      </c>
      <c r="BM23" s="77"/>
      <c r="BN23" s="77"/>
      <c r="BO23" s="64"/>
      <c r="BP23" s="77"/>
      <c r="BQ23" s="64"/>
      <c r="BR23" s="75"/>
      <c r="BS23" s="39"/>
      <c r="BT23" s="64"/>
      <c r="BU23" s="37">
        <f>1*BU7</f>
        <v>2.2000000000000002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190">
        <f t="shared" si="5"/>
        <v>2.2000000000000002</v>
      </c>
      <c r="CL23" s="37">
        <f>1*CL7</f>
        <v>2.8899999999999997</v>
      </c>
      <c r="CM23" s="37"/>
      <c r="CN23" s="37"/>
      <c r="CO23" s="37"/>
      <c r="CP23" s="37"/>
      <c r="CQ23" s="37"/>
      <c r="CR23" s="37"/>
      <c r="CS23" s="37"/>
      <c r="CT23" s="190">
        <f t="shared" si="6"/>
        <v>2.8899999999999997</v>
      </c>
    </row>
    <row r="24" spans="1:98" s="269" customFormat="1" x14ac:dyDescent="0.25">
      <c r="A24" s="110" t="s">
        <v>90</v>
      </c>
      <c r="B24" s="279" t="s">
        <v>196</v>
      </c>
      <c r="C24" s="279" t="s">
        <v>228</v>
      </c>
      <c r="D24" s="279">
        <f>3.2*6</f>
        <v>19.200000000000003</v>
      </c>
      <c r="E24" s="279">
        <f>(3.2+6)*2</f>
        <v>18.399999999999999</v>
      </c>
      <c r="F24" s="75"/>
      <c r="G24" s="75"/>
      <c r="H24" s="75"/>
      <c r="I24" s="372">
        <f>3.2*6</f>
        <v>19.200000000000003</v>
      </c>
      <c r="J24" s="279"/>
      <c r="K24" s="279"/>
      <c r="L24" s="279"/>
      <c r="M24" s="279"/>
      <c r="N24" s="279"/>
      <c r="O24" s="279">
        <f>3.2*6</f>
        <v>19.200000000000003</v>
      </c>
      <c r="P24" s="279"/>
      <c r="Q24" s="279"/>
      <c r="R24" s="279"/>
      <c r="S24" s="279">
        <f>3.2*6</f>
        <v>19.200000000000003</v>
      </c>
      <c r="T24" s="75"/>
      <c r="U24" s="75"/>
      <c r="V24" s="75"/>
      <c r="W24" s="64"/>
      <c r="X24" s="279">
        <f>(3.2+6)*2</f>
        <v>18.399999999999999</v>
      </c>
      <c r="Y24" s="64"/>
      <c r="Z24" s="372">
        <f t="shared" si="2"/>
        <v>19.200000000000003</v>
      </c>
      <c r="AA24" s="279">
        <f t="shared" si="2"/>
        <v>19.200000000000003</v>
      </c>
      <c r="AB24" s="244"/>
      <c r="AC24" s="244"/>
      <c r="AD24" s="244"/>
      <c r="AE24" s="244"/>
      <c r="AF24" s="244"/>
      <c r="AG24" s="244"/>
      <c r="AH24" s="244"/>
      <c r="AI24" s="244"/>
      <c r="AJ24" s="279">
        <f>3.2*6</f>
        <v>19.200000000000003</v>
      </c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>
        <f>3.2*6</f>
        <v>19.200000000000003</v>
      </c>
      <c r="AV24" s="75"/>
      <c r="AW24" s="75"/>
      <c r="AX24" s="75"/>
      <c r="AY24" s="244"/>
      <c r="AZ24" s="244"/>
      <c r="BA24" s="64"/>
      <c r="BB24" s="64"/>
      <c r="BC24" s="279"/>
      <c r="BD24" s="279">
        <f>(3.2+6)*2</f>
        <v>18.399999999999999</v>
      </c>
      <c r="BE24" s="372">
        <f>(3.2+6)*2*2.8</f>
        <v>51.519999999999996</v>
      </c>
      <c r="BF24" s="109">
        <f t="shared" si="3"/>
        <v>46.429999999999993</v>
      </c>
      <c r="BG24" s="109">
        <f t="shared" si="4"/>
        <v>46.429999999999993</v>
      </c>
      <c r="BH24" s="38">
        <f t="shared" si="7"/>
        <v>46.429999999999993</v>
      </c>
      <c r="BI24" s="38"/>
      <c r="BJ24" s="38"/>
      <c r="BK24" s="38"/>
      <c r="BL24" s="38">
        <f>BF24-BR24</f>
        <v>46.429999999999993</v>
      </c>
      <c r="BM24" s="38"/>
      <c r="BN24" s="64"/>
      <c r="BO24" s="64"/>
      <c r="BP24" s="38"/>
      <c r="BQ24" s="64"/>
      <c r="BR24" s="75"/>
      <c r="BS24" s="39"/>
      <c r="BT24" s="64"/>
      <c r="BU24" s="37">
        <f>1*BU7</f>
        <v>2.2000000000000002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190">
        <f t="shared" si="5"/>
        <v>2.2000000000000002</v>
      </c>
      <c r="CL24" s="37">
        <f>1*CL7</f>
        <v>2.8899999999999997</v>
      </c>
      <c r="CM24" s="37"/>
      <c r="CN24" s="37"/>
      <c r="CO24" s="37"/>
      <c r="CP24" s="37"/>
      <c r="CQ24" s="37"/>
      <c r="CR24" s="37"/>
      <c r="CS24" s="37"/>
      <c r="CT24" s="190">
        <f t="shared" si="6"/>
        <v>2.8899999999999997</v>
      </c>
    </row>
    <row r="25" spans="1:98" s="269" customFormat="1" x14ac:dyDescent="0.25">
      <c r="A25" s="110" t="s">
        <v>90</v>
      </c>
      <c r="B25" s="279" t="s">
        <v>196</v>
      </c>
      <c r="C25" s="279" t="s">
        <v>228</v>
      </c>
      <c r="D25" s="279">
        <f>3.2*6</f>
        <v>19.200000000000003</v>
      </c>
      <c r="E25" s="279">
        <f>(3.2+6)*2</f>
        <v>18.399999999999999</v>
      </c>
      <c r="F25" s="75"/>
      <c r="G25" s="75"/>
      <c r="H25" s="75"/>
      <c r="I25" s="372">
        <f>3.2*6</f>
        <v>19.200000000000003</v>
      </c>
      <c r="J25" s="279"/>
      <c r="K25" s="279"/>
      <c r="L25" s="279"/>
      <c r="M25" s="279"/>
      <c r="N25" s="279"/>
      <c r="O25" s="279">
        <f>3.2*6</f>
        <v>19.200000000000003</v>
      </c>
      <c r="P25" s="279"/>
      <c r="Q25" s="279"/>
      <c r="R25" s="279"/>
      <c r="S25" s="279">
        <f>3.2*6</f>
        <v>19.200000000000003</v>
      </c>
      <c r="T25" s="75"/>
      <c r="U25" s="75"/>
      <c r="V25" s="75"/>
      <c r="W25" s="64"/>
      <c r="X25" s="279">
        <f>(3.2+6)*2</f>
        <v>18.399999999999999</v>
      </c>
      <c r="Y25" s="64"/>
      <c r="Z25" s="372">
        <f>3.2*6</f>
        <v>19.200000000000003</v>
      </c>
      <c r="AA25" s="279">
        <f>3.2*6</f>
        <v>19.200000000000003</v>
      </c>
      <c r="AB25" s="244"/>
      <c r="AC25" s="244"/>
      <c r="AD25" s="244"/>
      <c r="AE25" s="244"/>
      <c r="AF25" s="244"/>
      <c r="AG25" s="244"/>
      <c r="AH25" s="244"/>
      <c r="AI25" s="244"/>
      <c r="AJ25" s="279">
        <f>3.2*6</f>
        <v>19.200000000000003</v>
      </c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>
        <f>3.2*6</f>
        <v>19.200000000000003</v>
      </c>
      <c r="AV25" s="75"/>
      <c r="AW25" s="75"/>
      <c r="AX25" s="75"/>
      <c r="AY25" s="244"/>
      <c r="AZ25" s="244"/>
      <c r="BA25" s="64"/>
      <c r="BB25" s="64"/>
      <c r="BC25" s="279"/>
      <c r="BD25" s="279">
        <f>(3.2+6)*2</f>
        <v>18.399999999999999</v>
      </c>
      <c r="BE25" s="372">
        <f>(3.2+6)*2*2.8</f>
        <v>51.519999999999996</v>
      </c>
      <c r="BF25" s="109">
        <f t="shared" si="3"/>
        <v>46.429999999999993</v>
      </c>
      <c r="BG25" s="109">
        <f t="shared" si="4"/>
        <v>46.429999999999993</v>
      </c>
      <c r="BH25" s="38">
        <f t="shared" si="7"/>
        <v>46.429999999999993</v>
      </c>
      <c r="BI25" s="38"/>
      <c r="BJ25" s="38"/>
      <c r="BK25" s="38"/>
      <c r="BL25" s="38">
        <f t="shared" ref="BL25:BL34" si="8">BF25-BR25</f>
        <v>46.429999999999993</v>
      </c>
      <c r="BM25" s="38"/>
      <c r="BN25" s="64"/>
      <c r="BO25" s="64"/>
      <c r="BP25" s="38"/>
      <c r="BQ25" s="64"/>
      <c r="BR25" s="75"/>
      <c r="BS25" s="39"/>
      <c r="BT25" s="64"/>
      <c r="BU25" s="37">
        <f>1*BU7</f>
        <v>2.2000000000000002</v>
      </c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190">
        <f t="shared" si="5"/>
        <v>2.2000000000000002</v>
      </c>
      <c r="CL25" s="37">
        <f>1*CL7</f>
        <v>2.8899999999999997</v>
      </c>
      <c r="CM25" s="37"/>
      <c r="CN25" s="37"/>
      <c r="CO25" s="37"/>
      <c r="CP25" s="37"/>
      <c r="CQ25" s="37"/>
      <c r="CR25" s="37"/>
      <c r="CS25" s="37"/>
      <c r="CT25" s="190">
        <f t="shared" si="6"/>
        <v>2.8899999999999997</v>
      </c>
    </row>
    <row r="26" spans="1:98" s="269" customFormat="1" x14ac:dyDescent="0.25">
      <c r="A26" s="110" t="s">
        <v>91</v>
      </c>
      <c r="B26" s="279" t="s">
        <v>197</v>
      </c>
      <c r="C26" s="279" t="s">
        <v>229</v>
      </c>
      <c r="D26" s="279">
        <f>6.3*6</f>
        <v>37.799999999999997</v>
      </c>
      <c r="E26" s="279">
        <f>(6.3+6.2)*2</f>
        <v>25</v>
      </c>
      <c r="F26" s="75"/>
      <c r="G26" s="75"/>
      <c r="H26" s="75"/>
      <c r="I26" s="372">
        <f>6.3*6</f>
        <v>37.799999999999997</v>
      </c>
      <c r="J26" s="279"/>
      <c r="K26" s="279"/>
      <c r="L26" s="279"/>
      <c r="M26" s="279"/>
      <c r="N26" s="279"/>
      <c r="O26" s="279">
        <f>6.3*6</f>
        <v>37.799999999999997</v>
      </c>
      <c r="P26" s="279"/>
      <c r="Q26" s="279"/>
      <c r="R26" s="279"/>
      <c r="S26" s="279">
        <f>6.3*6</f>
        <v>37.799999999999997</v>
      </c>
      <c r="T26" s="75"/>
      <c r="U26" s="75"/>
      <c r="V26" s="75"/>
      <c r="W26" s="64"/>
      <c r="X26" s="279">
        <f>(6.3+6.2)*2</f>
        <v>25</v>
      </c>
      <c r="Y26" s="64"/>
      <c r="Z26" s="372">
        <f>6.3*6</f>
        <v>37.799999999999997</v>
      </c>
      <c r="AA26" s="279">
        <f>6.3*6</f>
        <v>37.799999999999997</v>
      </c>
      <c r="AB26" s="244"/>
      <c r="AC26" s="244"/>
      <c r="AD26" s="244"/>
      <c r="AE26" s="244"/>
      <c r="AF26" s="244"/>
      <c r="AG26" s="244"/>
      <c r="AH26" s="244"/>
      <c r="AI26" s="244"/>
      <c r="AJ26" s="279">
        <f>6.3*6</f>
        <v>37.799999999999997</v>
      </c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>
        <f>6.3*6</f>
        <v>37.799999999999997</v>
      </c>
      <c r="AV26" s="75"/>
      <c r="AW26" s="75"/>
      <c r="AX26" s="75"/>
      <c r="AY26" s="244"/>
      <c r="AZ26" s="244"/>
      <c r="BA26" s="64"/>
      <c r="BB26" s="64"/>
      <c r="BC26" s="279"/>
      <c r="BD26" s="279">
        <f>(6.3+6.2)*2</f>
        <v>25</v>
      </c>
      <c r="BE26" s="372">
        <f>(6.3+6.2)*2*2.8</f>
        <v>70</v>
      </c>
      <c r="BF26" s="109">
        <f t="shared" si="3"/>
        <v>60.039999999999992</v>
      </c>
      <c r="BG26" s="109">
        <f t="shared" si="4"/>
        <v>60.039999999999992</v>
      </c>
      <c r="BH26" s="38">
        <f t="shared" si="7"/>
        <v>60.039999999999992</v>
      </c>
      <c r="BI26" s="38"/>
      <c r="BJ26" s="38"/>
      <c r="BK26" s="38"/>
      <c r="BL26" s="38">
        <f t="shared" si="8"/>
        <v>60.039999999999992</v>
      </c>
      <c r="BM26" s="38"/>
      <c r="BN26" s="64"/>
      <c r="BO26" s="64"/>
      <c r="BP26" s="38"/>
      <c r="BQ26" s="64"/>
      <c r="BR26" s="75"/>
      <c r="BS26" s="39"/>
      <c r="BT26" s="64"/>
      <c r="BU26" s="37">
        <f>1*BU7</f>
        <v>2.2000000000000002</v>
      </c>
      <c r="BV26" s="37">
        <f>1*BV7</f>
        <v>1.9800000000000002</v>
      </c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190">
        <f t="shared" si="5"/>
        <v>4.1800000000000006</v>
      </c>
      <c r="CL26" s="37">
        <f>2*CL7</f>
        <v>5.7799999999999994</v>
      </c>
      <c r="CM26" s="37"/>
      <c r="CN26" s="37"/>
      <c r="CO26" s="37"/>
      <c r="CP26" s="37"/>
      <c r="CQ26" s="37"/>
      <c r="CR26" s="37"/>
      <c r="CS26" s="37"/>
      <c r="CT26" s="190">
        <f t="shared" si="6"/>
        <v>5.7799999999999994</v>
      </c>
    </row>
    <row r="27" spans="1:98" s="269" customFormat="1" x14ac:dyDescent="0.25">
      <c r="A27" s="110" t="s">
        <v>52</v>
      </c>
      <c r="B27" s="279" t="s">
        <v>198</v>
      </c>
      <c r="C27" s="279" t="s">
        <v>193</v>
      </c>
      <c r="D27" s="279">
        <f>4.3*2.45</f>
        <v>10.535</v>
      </c>
      <c r="E27" s="279">
        <f>(4.3+2.45)*2</f>
        <v>13.5</v>
      </c>
      <c r="F27" s="75"/>
      <c r="G27" s="75"/>
      <c r="H27" s="75"/>
      <c r="I27" s="372">
        <f>4.3*2.45</f>
        <v>10.535</v>
      </c>
      <c r="J27" s="279"/>
      <c r="K27" s="279"/>
      <c r="L27" s="279"/>
      <c r="M27" s="279"/>
      <c r="N27" s="279"/>
      <c r="O27" s="279">
        <f>4.3*2.45</f>
        <v>10.535</v>
      </c>
      <c r="P27" s="279"/>
      <c r="Q27" s="279"/>
      <c r="R27" s="279"/>
      <c r="S27" s="279">
        <f>4.3*2.45</f>
        <v>10.535</v>
      </c>
      <c r="T27" s="75"/>
      <c r="U27" s="75"/>
      <c r="V27" s="75"/>
      <c r="W27" s="64"/>
      <c r="X27" s="279">
        <f>(4.3+2.45)*2</f>
        <v>13.5</v>
      </c>
      <c r="Y27" s="64"/>
      <c r="Z27" s="372">
        <f>4.3*2.45</f>
        <v>10.535</v>
      </c>
      <c r="AA27" s="279">
        <f>4.3*2.45</f>
        <v>10.535</v>
      </c>
      <c r="AB27" s="244"/>
      <c r="AC27" s="244"/>
      <c r="AD27" s="244"/>
      <c r="AE27" s="244"/>
      <c r="AF27" s="244"/>
      <c r="AG27" s="244"/>
      <c r="AH27" s="244"/>
      <c r="AI27" s="244"/>
      <c r="AJ27" s="279">
        <f>4.3*2.45</f>
        <v>10.535</v>
      </c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>
        <f>4.3*2.45</f>
        <v>10.535</v>
      </c>
      <c r="AV27" s="75"/>
      <c r="AW27" s="75"/>
      <c r="AX27" s="75"/>
      <c r="AY27" s="75"/>
      <c r="AZ27" s="75"/>
      <c r="BA27" s="64"/>
      <c r="BB27" s="64"/>
      <c r="BC27" s="279"/>
      <c r="BD27" s="279">
        <f>(4.3+2.45)*2</f>
        <v>13.5</v>
      </c>
      <c r="BE27" s="372">
        <f>(4.3+2.45)*2*2.8</f>
        <v>37.799999999999997</v>
      </c>
      <c r="BF27" s="109">
        <f t="shared" si="3"/>
        <v>32.93</v>
      </c>
      <c r="BG27" s="109">
        <f t="shared" si="4"/>
        <v>32.93</v>
      </c>
      <c r="BH27" s="38">
        <f t="shared" si="7"/>
        <v>32.93</v>
      </c>
      <c r="BI27" s="38"/>
      <c r="BJ27" s="38"/>
      <c r="BK27" s="38"/>
      <c r="BL27" s="38">
        <f t="shared" si="8"/>
        <v>32.93</v>
      </c>
      <c r="BM27" s="38"/>
      <c r="BN27" s="64"/>
      <c r="BO27" s="64"/>
      <c r="BP27" s="38"/>
      <c r="BQ27" s="64"/>
      <c r="BR27" s="75"/>
      <c r="BS27" s="39"/>
      <c r="BT27" s="64"/>
      <c r="BU27" s="37"/>
      <c r="BV27" s="37">
        <f>1*BV7</f>
        <v>1.9800000000000002</v>
      </c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190">
        <f t="shared" si="5"/>
        <v>1.9800000000000002</v>
      </c>
      <c r="CL27" s="37">
        <f>1*CL7</f>
        <v>2.8899999999999997</v>
      </c>
      <c r="CM27" s="37"/>
      <c r="CN27" s="37"/>
      <c r="CO27" s="37"/>
      <c r="CP27" s="37"/>
      <c r="CQ27" s="37"/>
      <c r="CR27" s="37"/>
      <c r="CS27" s="37"/>
      <c r="CT27" s="190">
        <f t="shared" si="6"/>
        <v>2.8899999999999997</v>
      </c>
    </row>
    <row r="28" spans="1:98" s="269" customFormat="1" x14ac:dyDescent="0.25">
      <c r="A28" s="110" t="s">
        <v>92</v>
      </c>
      <c r="B28" s="279" t="s">
        <v>199</v>
      </c>
      <c r="C28" s="279" t="s">
        <v>194</v>
      </c>
      <c r="D28" s="279">
        <f>1.9*2.6</f>
        <v>4.9399999999999995</v>
      </c>
      <c r="E28" s="279">
        <f>(1.9+2.6)*2</f>
        <v>9</v>
      </c>
      <c r="F28" s="75"/>
      <c r="G28" s="75"/>
      <c r="H28" s="75"/>
      <c r="I28" s="372">
        <f>1.9*2.6</f>
        <v>4.9399999999999995</v>
      </c>
      <c r="J28" s="279"/>
      <c r="K28" s="279"/>
      <c r="L28" s="279"/>
      <c r="M28" s="279"/>
      <c r="N28" s="279"/>
      <c r="O28" s="279">
        <f>1.9*2.6</f>
        <v>4.9399999999999995</v>
      </c>
      <c r="P28" s="279"/>
      <c r="Q28" s="279"/>
      <c r="R28" s="279"/>
      <c r="S28" s="279">
        <f>1.9*2.6</f>
        <v>4.9399999999999995</v>
      </c>
      <c r="T28" s="75"/>
      <c r="U28" s="75"/>
      <c r="V28" s="75"/>
      <c r="W28" s="64"/>
      <c r="X28" s="279">
        <f>(1.9+2.6)*2</f>
        <v>9</v>
      </c>
      <c r="Y28" s="64"/>
      <c r="Z28" s="372">
        <f>1.9*2.6</f>
        <v>4.9399999999999995</v>
      </c>
      <c r="AA28" s="279">
        <f>1.9*2.6</f>
        <v>4.9399999999999995</v>
      </c>
      <c r="AB28" s="244"/>
      <c r="AC28" s="244"/>
      <c r="AD28" s="244"/>
      <c r="AE28" s="244"/>
      <c r="AF28" s="244"/>
      <c r="AG28" s="244"/>
      <c r="AH28" s="244"/>
      <c r="AI28" s="244"/>
      <c r="AJ28" s="279">
        <f>1.9*2.6</f>
        <v>4.9399999999999995</v>
      </c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>
        <f>1.9*2.6</f>
        <v>4.9399999999999995</v>
      </c>
      <c r="AY28" s="77"/>
      <c r="AZ28" s="77"/>
      <c r="BA28" s="64"/>
      <c r="BB28" s="64"/>
      <c r="BC28" s="279">
        <f>(1.9+2.6)*2</f>
        <v>9</v>
      </c>
      <c r="BD28" s="75"/>
      <c r="BE28" s="372">
        <f>(1.9+2.6)*2*2.8</f>
        <v>25.2</v>
      </c>
      <c r="BF28" s="109">
        <f t="shared" si="3"/>
        <v>23.22</v>
      </c>
      <c r="BG28" s="109">
        <f t="shared" si="4"/>
        <v>23.22</v>
      </c>
      <c r="BH28" s="38">
        <f t="shared" si="7"/>
        <v>23.22</v>
      </c>
      <c r="BI28" s="38"/>
      <c r="BJ28" s="38"/>
      <c r="BK28" s="38"/>
      <c r="BL28" s="38">
        <f t="shared" si="8"/>
        <v>23.22</v>
      </c>
      <c r="BM28" s="77"/>
      <c r="BN28" s="77"/>
      <c r="BO28" s="64"/>
      <c r="BP28" s="77"/>
      <c r="BQ28" s="64"/>
      <c r="BR28" s="75"/>
      <c r="BS28" s="39"/>
      <c r="BT28" s="64"/>
      <c r="BU28" s="37"/>
      <c r="BV28" s="37">
        <f>1*BV7</f>
        <v>1.9800000000000002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190">
        <f t="shared" si="5"/>
        <v>1.9800000000000002</v>
      </c>
      <c r="CL28" s="37"/>
      <c r="CM28" s="37"/>
      <c r="CN28" s="37"/>
      <c r="CO28" s="37"/>
      <c r="CP28" s="37"/>
      <c r="CQ28" s="37"/>
      <c r="CR28" s="37"/>
      <c r="CS28" s="37"/>
      <c r="CT28" s="190">
        <f t="shared" si="6"/>
        <v>0</v>
      </c>
    </row>
    <row r="29" spans="1:98" s="269" customFormat="1" x14ac:dyDescent="0.25">
      <c r="A29" s="110" t="s">
        <v>90</v>
      </c>
      <c r="B29" s="279" t="s">
        <v>196</v>
      </c>
      <c r="C29" s="279" t="s">
        <v>230</v>
      </c>
      <c r="D29" s="279">
        <f>3.25*6.1</f>
        <v>19.824999999999999</v>
      </c>
      <c r="E29" s="279">
        <f>(3.25+6.1)*2</f>
        <v>18.7</v>
      </c>
      <c r="F29" s="75"/>
      <c r="G29" s="75"/>
      <c r="H29" s="75"/>
      <c r="I29" s="372">
        <f>3.25*6.1</f>
        <v>19.824999999999999</v>
      </c>
      <c r="J29" s="279"/>
      <c r="K29" s="279"/>
      <c r="L29" s="279"/>
      <c r="M29" s="279"/>
      <c r="N29" s="279"/>
      <c r="O29" s="279">
        <f>3.25*6.1</f>
        <v>19.824999999999999</v>
      </c>
      <c r="P29" s="279"/>
      <c r="Q29" s="279"/>
      <c r="R29" s="279"/>
      <c r="S29" s="279">
        <f>3.25*6.1</f>
        <v>19.824999999999999</v>
      </c>
      <c r="T29" s="75"/>
      <c r="U29" s="75"/>
      <c r="V29" s="75"/>
      <c r="W29" s="64"/>
      <c r="X29" s="279">
        <f>(3.25+6.1)*2</f>
        <v>18.7</v>
      </c>
      <c r="Y29" s="64"/>
      <c r="Z29" s="372">
        <f>3.25*6.1</f>
        <v>19.824999999999999</v>
      </c>
      <c r="AA29" s="279">
        <f>3.25*6.1</f>
        <v>19.824999999999999</v>
      </c>
      <c r="AB29" s="244"/>
      <c r="AC29" s="244"/>
      <c r="AD29" s="244"/>
      <c r="AE29" s="244"/>
      <c r="AF29" s="244"/>
      <c r="AG29" s="244"/>
      <c r="AH29" s="244"/>
      <c r="AI29" s="244"/>
      <c r="AJ29" s="279">
        <f>3.25*6.1</f>
        <v>19.824999999999999</v>
      </c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>
        <f>3.25*6.1</f>
        <v>19.824999999999999</v>
      </c>
      <c r="AV29" s="75"/>
      <c r="AW29" s="75"/>
      <c r="AX29" s="75"/>
      <c r="AY29" s="75"/>
      <c r="AZ29" s="75"/>
      <c r="BA29" s="64"/>
      <c r="BB29" s="64"/>
      <c r="BC29" s="279"/>
      <c r="BD29" s="279">
        <f>(3.25+6.1)*2</f>
        <v>18.7</v>
      </c>
      <c r="BE29" s="372">
        <f>(3.25+6.1)*2*2.8</f>
        <v>52.359999999999992</v>
      </c>
      <c r="BF29" s="109">
        <f t="shared" si="3"/>
        <v>47.269999999999989</v>
      </c>
      <c r="BG29" s="109">
        <f t="shared" si="4"/>
        <v>47.269999999999989</v>
      </c>
      <c r="BH29" s="38">
        <f t="shared" si="7"/>
        <v>47.269999999999989</v>
      </c>
      <c r="BI29" s="38"/>
      <c r="BJ29" s="38"/>
      <c r="BK29" s="38"/>
      <c r="BL29" s="38">
        <f t="shared" si="8"/>
        <v>47.269999999999989</v>
      </c>
      <c r="BM29" s="77"/>
      <c r="BN29" s="77"/>
      <c r="BO29" s="64"/>
      <c r="BP29" s="77"/>
      <c r="BQ29" s="64"/>
      <c r="BR29" s="75"/>
      <c r="BS29" s="39"/>
      <c r="BT29" s="64"/>
      <c r="BU29" s="37">
        <f>1*BU7</f>
        <v>2.2000000000000002</v>
      </c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190">
        <f t="shared" si="5"/>
        <v>2.2000000000000002</v>
      </c>
      <c r="CL29" s="37">
        <f>1*CL7</f>
        <v>2.8899999999999997</v>
      </c>
      <c r="CM29" s="37"/>
      <c r="CN29" s="37"/>
      <c r="CO29" s="37"/>
      <c r="CP29" s="37"/>
      <c r="CQ29" s="37"/>
      <c r="CR29" s="37"/>
      <c r="CS29" s="37"/>
      <c r="CT29" s="190">
        <f t="shared" si="6"/>
        <v>2.8899999999999997</v>
      </c>
    </row>
    <row r="30" spans="1:98" s="269" customFormat="1" x14ac:dyDescent="0.25">
      <c r="A30" s="110" t="s">
        <v>90</v>
      </c>
      <c r="B30" s="279" t="s">
        <v>196</v>
      </c>
      <c r="C30" s="279" t="s">
        <v>231</v>
      </c>
      <c r="D30" s="279">
        <f>3*6.1</f>
        <v>18.299999999999997</v>
      </c>
      <c r="E30" s="279">
        <f>(3+6.1)*2</f>
        <v>18.2</v>
      </c>
      <c r="F30" s="75"/>
      <c r="G30" s="75"/>
      <c r="H30" s="75"/>
      <c r="I30" s="372">
        <f>3*6.1</f>
        <v>18.299999999999997</v>
      </c>
      <c r="J30" s="279"/>
      <c r="K30" s="279"/>
      <c r="L30" s="279"/>
      <c r="M30" s="279"/>
      <c r="N30" s="279"/>
      <c r="O30" s="279">
        <f>3*6.1</f>
        <v>18.299999999999997</v>
      </c>
      <c r="P30" s="279"/>
      <c r="Q30" s="279"/>
      <c r="R30" s="279"/>
      <c r="S30" s="279">
        <f>3*6.1</f>
        <v>18.299999999999997</v>
      </c>
      <c r="T30" s="75"/>
      <c r="U30" s="75"/>
      <c r="V30" s="75"/>
      <c r="W30" s="64"/>
      <c r="X30" s="279">
        <f>(3+6.1)*2</f>
        <v>18.2</v>
      </c>
      <c r="Y30" s="64"/>
      <c r="Z30" s="372">
        <f>3*6.1</f>
        <v>18.299999999999997</v>
      </c>
      <c r="AA30" s="279">
        <f>3*6.1</f>
        <v>18.299999999999997</v>
      </c>
      <c r="AB30" s="244"/>
      <c r="AC30" s="244"/>
      <c r="AD30" s="244"/>
      <c r="AE30" s="244"/>
      <c r="AF30" s="244"/>
      <c r="AG30" s="244"/>
      <c r="AH30" s="244"/>
      <c r="AI30" s="244"/>
      <c r="AJ30" s="279">
        <f>3*6.1</f>
        <v>18.299999999999997</v>
      </c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>
        <f>3*6.1</f>
        <v>18.299999999999997</v>
      </c>
      <c r="AV30" s="75"/>
      <c r="AW30" s="75"/>
      <c r="AX30" s="75"/>
      <c r="AY30" s="75"/>
      <c r="AZ30" s="75"/>
      <c r="BA30" s="64"/>
      <c r="BB30" s="64"/>
      <c r="BC30" s="279"/>
      <c r="BD30" s="279">
        <f>(3+6.1)*2</f>
        <v>18.2</v>
      </c>
      <c r="BE30" s="372">
        <f>(3+6.1)*2*2.8</f>
        <v>50.959999999999994</v>
      </c>
      <c r="BF30" s="109">
        <f t="shared" si="3"/>
        <v>45.86999999999999</v>
      </c>
      <c r="BG30" s="109">
        <f t="shared" si="4"/>
        <v>45.86999999999999</v>
      </c>
      <c r="BH30" s="38">
        <f t="shared" si="7"/>
        <v>45.86999999999999</v>
      </c>
      <c r="BI30" s="38"/>
      <c r="BJ30" s="38"/>
      <c r="BK30" s="38"/>
      <c r="BL30" s="38">
        <f t="shared" si="8"/>
        <v>45.86999999999999</v>
      </c>
      <c r="BM30" s="77"/>
      <c r="BN30" s="77"/>
      <c r="BO30" s="64"/>
      <c r="BP30" s="77"/>
      <c r="BQ30" s="64"/>
      <c r="BR30" s="75"/>
      <c r="BS30" s="39"/>
      <c r="BT30" s="64"/>
      <c r="BU30" s="37">
        <f>1*BU7</f>
        <v>2.2000000000000002</v>
      </c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190">
        <f t="shared" si="5"/>
        <v>2.2000000000000002</v>
      </c>
      <c r="CL30" s="37">
        <f>1*CL7</f>
        <v>2.8899999999999997</v>
      </c>
      <c r="CM30" s="37"/>
      <c r="CN30" s="37"/>
      <c r="CO30" s="37"/>
      <c r="CP30" s="37"/>
      <c r="CQ30" s="37"/>
      <c r="CR30" s="37"/>
      <c r="CS30" s="37"/>
      <c r="CT30" s="190">
        <f t="shared" si="6"/>
        <v>2.8899999999999997</v>
      </c>
    </row>
    <row r="31" spans="1:98" s="269" customFormat="1" x14ac:dyDescent="0.25">
      <c r="A31" s="110" t="s">
        <v>90</v>
      </c>
      <c r="B31" s="279" t="s">
        <v>196</v>
      </c>
      <c r="C31" s="279" t="s">
        <v>230</v>
      </c>
      <c r="D31" s="279">
        <f>3.25*6.1</f>
        <v>19.824999999999999</v>
      </c>
      <c r="E31" s="279">
        <f>(3.25+6.1)*2</f>
        <v>18.7</v>
      </c>
      <c r="F31" s="75"/>
      <c r="G31" s="75"/>
      <c r="H31" s="75"/>
      <c r="I31" s="372">
        <f>3.25*6.1</f>
        <v>19.824999999999999</v>
      </c>
      <c r="J31" s="279"/>
      <c r="K31" s="279"/>
      <c r="L31" s="279"/>
      <c r="M31" s="279"/>
      <c r="N31" s="279"/>
      <c r="O31" s="279">
        <f>3.25*6.1</f>
        <v>19.824999999999999</v>
      </c>
      <c r="P31" s="279"/>
      <c r="Q31" s="279"/>
      <c r="R31" s="279"/>
      <c r="S31" s="279">
        <f>3.25*6.1</f>
        <v>19.824999999999999</v>
      </c>
      <c r="T31" s="75"/>
      <c r="U31" s="75"/>
      <c r="V31" s="75"/>
      <c r="W31" s="64"/>
      <c r="X31" s="279">
        <f>(3.25+6.1)*2</f>
        <v>18.7</v>
      </c>
      <c r="Y31" s="64"/>
      <c r="Z31" s="372">
        <f>3.25*6.1</f>
        <v>19.824999999999999</v>
      </c>
      <c r="AA31" s="279">
        <f>3.25*6.1</f>
        <v>19.824999999999999</v>
      </c>
      <c r="AB31" s="244"/>
      <c r="AC31" s="244"/>
      <c r="AD31" s="244"/>
      <c r="AE31" s="244"/>
      <c r="AF31" s="244"/>
      <c r="AG31" s="244"/>
      <c r="AH31" s="244"/>
      <c r="AI31" s="244"/>
      <c r="AJ31" s="279">
        <f>3.25*6.1</f>
        <v>19.824999999999999</v>
      </c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>
        <f>3.25*6.1</f>
        <v>19.824999999999999</v>
      </c>
      <c r="AV31" s="75"/>
      <c r="AW31" s="75"/>
      <c r="AX31" s="75"/>
      <c r="AY31" s="75"/>
      <c r="AZ31" s="75"/>
      <c r="BA31" s="64"/>
      <c r="BB31" s="64"/>
      <c r="BC31" s="279"/>
      <c r="BD31" s="279">
        <f>(3.25+6.1)*2</f>
        <v>18.7</v>
      </c>
      <c r="BE31" s="372">
        <f>(3.25+6.1)*2*2.8</f>
        <v>52.359999999999992</v>
      </c>
      <c r="BF31" s="109">
        <f t="shared" si="3"/>
        <v>47.269999999999989</v>
      </c>
      <c r="BG31" s="109">
        <f t="shared" si="4"/>
        <v>47.269999999999989</v>
      </c>
      <c r="BH31" s="38">
        <f t="shared" si="7"/>
        <v>47.269999999999989</v>
      </c>
      <c r="BI31" s="38"/>
      <c r="BJ31" s="38"/>
      <c r="BK31" s="38"/>
      <c r="BL31" s="38">
        <f t="shared" si="8"/>
        <v>47.269999999999989</v>
      </c>
      <c r="BM31" s="77"/>
      <c r="BN31" s="77"/>
      <c r="BO31" s="64"/>
      <c r="BP31" s="77"/>
      <c r="BQ31" s="64"/>
      <c r="BR31" s="75"/>
      <c r="BS31" s="39"/>
      <c r="BT31" s="64"/>
      <c r="BU31" s="37">
        <f>1*BU7</f>
        <v>2.2000000000000002</v>
      </c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190">
        <f t="shared" si="5"/>
        <v>2.2000000000000002</v>
      </c>
      <c r="CL31" s="37">
        <f>1*CL7</f>
        <v>2.8899999999999997</v>
      </c>
      <c r="CM31" s="37"/>
      <c r="CN31" s="37"/>
      <c r="CO31" s="37"/>
      <c r="CP31" s="37"/>
      <c r="CQ31" s="37"/>
      <c r="CR31" s="37"/>
      <c r="CS31" s="37"/>
      <c r="CT31" s="190">
        <f t="shared" si="6"/>
        <v>2.8899999999999997</v>
      </c>
    </row>
    <row r="32" spans="1:98" s="269" customFormat="1" x14ac:dyDescent="0.25">
      <c r="A32" s="110" t="s">
        <v>90</v>
      </c>
      <c r="B32" s="279" t="s">
        <v>196</v>
      </c>
      <c r="C32" s="279" t="s">
        <v>232</v>
      </c>
      <c r="D32" s="279">
        <f>3.35*6.1</f>
        <v>20.434999999999999</v>
      </c>
      <c r="E32" s="279">
        <f>(3.35+6.1)*2</f>
        <v>18.899999999999999</v>
      </c>
      <c r="F32" s="75"/>
      <c r="G32" s="75"/>
      <c r="H32" s="75"/>
      <c r="I32" s="372">
        <f>3.35*6.1</f>
        <v>20.434999999999999</v>
      </c>
      <c r="J32" s="279"/>
      <c r="K32" s="279"/>
      <c r="L32" s="279"/>
      <c r="M32" s="279"/>
      <c r="N32" s="279"/>
      <c r="O32" s="279">
        <f>3.35*6.1</f>
        <v>20.434999999999999</v>
      </c>
      <c r="P32" s="279"/>
      <c r="Q32" s="279"/>
      <c r="R32" s="279"/>
      <c r="S32" s="279">
        <f>3.35*6.1</f>
        <v>20.434999999999999</v>
      </c>
      <c r="T32" s="75"/>
      <c r="U32" s="75"/>
      <c r="V32" s="64"/>
      <c r="W32" s="75"/>
      <c r="X32" s="279">
        <f>(3.35+6.1)*2</f>
        <v>18.899999999999999</v>
      </c>
      <c r="Y32" s="64"/>
      <c r="Z32" s="372">
        <f>3.35*6.1</f>
        <v>20.434999999999999</v>
      </c>
      <c r="AA32" s="279">
        <f>3.35*6.1</f>
        <v>20.434999999999999</v>
      </c>
      <c r="AB32" s="244"/>
      <c r="AC32" s="244"/>
      <c r="AD32" s="244"/>
      <c r="AE32" s="244"/>
      <c r="AF32" s="244"/>
      <c r="AG32" s="244"/>
      <c r="AH32" s="244"/>
      <c r="AI32" s="244"/>
      <c r="AJ32" s="279">
        <f>3.35*6.1</f>
        <v>20.434999999999999</v>
      </c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>
        <f>3.35*6.1</f>
        <v>20.434999999999999</v>
      </c>
      <c r="AV32" s="75"/>
      <c r="AW32" s="75"/>
      <c r="AX32" s="75"/>
      <c r="AY32" s="75"/>
      <c r="AZ32" s="75"/>
      <c r="BA32" s="64"/>
      <c r="BB32" s="64"/>
      <c r="BC32" s="279"/>
      <c r="BD32" s="279">
        <f>(3.35+6.1)*2</f>
        <v>18.899999999999999</v>
      </c>
      <c r="BE32" s="372">
        <f>(3.35+6.1)*2*2.8</f>
        <v>52.919999999999995</v>
      </c>
      <c r="BF32" s="109">
        <f t="shared" si="3"/>
        <v>47.829999999999991</v>
      </c>
      <c r="BG32" s="109">
        <f t="shared" si="4"/>
        <v>47.829999999999991</v>
      </c>
      <c r="BH32" s="38">
        <f t="shared" si="7"/>
        <v>47.829999999999991</v>
      </c>
      <c r="BI32" s="38"/>
      <c r="BJ32" s="38"/>
      <c r="BK32" s="38"/>
      <c r="BL32" s="38">
        <f t="shared" si="8"/>
        <v>47.829999999999991</v>
      </c>
      <c r="BM32" s="77"/>
      <c r="BN32" s="77"/>
      <c r="BO32" s="64"/>
      <c r="BP32" s="77"/>
      <c r="BQ32" s="64"/>
      <c r="BR32" s="75"/>
      <c r="BS32" s="39"/>
      <c r="BT32" s="64"/>
      <c r="BU32" s="37">
        <f>1*BU7</f>
        <v>2.2000000000000002</v>
      </c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190">
        <f t="shared" si="5"/>
        <v>2.2000000000000002</v>
      </c>
      <c r="CL32" s="37">
        <f>1*CL7</f>
        <v>2.8899999999999997</v>
      </c>
      <c r="CM32" s="37"/>
      <c r="CN32" s="37"/>
      <c r="CO32" s="37"/>
      <c r="CP32" s="37"/>
      <c r="CQ32" s="37"/>
      <c r="CR32" s="37"/>
      <c r="CS32" s="37"/>
      <c r="CT32" s="190">
        <f t="shared" si="6"/>
        <v>2.8899999999999997</v>
      </c>
    </row>
    <row r="33" spans="1:98" s="269" customFormat="1" x14ac:dyDescent="0.25">
      <c r="A33" s="110" t="s">
        <v>90</v>
      </c>
      <c r="B33" s="279" t="s">
        <v>196</v>
      </c>
      <c r="C33" s="279" t="s">
        <v>233</v>
      </c>
      <c r="D33" s="279">
        <f>3.2*6.1</f>
        <v>19.52</v>
      </c>
      <c r="E33" s="279">
        <f>(3.2+6.1)*2</f>
        <v>18.600000000000001</v>
      </c>
      <c r="F33" s="75"/>
      <c r="G33" s="75"/>
      <c r="H33" s="75"/>
      <c r="I33" s="372">
        <f>3.2*6.1</f>
        <v>19.52</v>
      </c>
      <c r="J33" s="279"/>
      <c r="K33" s="279"/>
      <c r="L33" s="279"/>
      <c r="M33" s="279"/>
      <c r="N33" s="279"/>
      <c r="O33" s="279">
        <f>3.2*6.1</f>
        <v>19.52</v>
      </c>
      <c r="P33" s="279"/>
      <c r="Q33" s="279"/>
      <c r="R33" s="279"/>
      <c r="S33" s="279">
        <f>3.2*6.1</f>
        <v>19.52</v>
      </c>
      <c r="T33" s="75"/>
      <c r="U33" s="75"/>
      <c r="V33" s="64"/>
      <c r="W33" s="75"/>
      <c r="X33" s="279">
        <f>(3.2+6.1)*2</f>
        <v>18.600000000000001</v>
      </c>
      <c r="Y33" s="64"/>
      <c r="Z33" s="372">
        <f>3.2*6.1</f>
        <v>19.52</v>
      </c>
      <c r="AA33" s="279">
        <f>3.2*6.1</f>
        <v>19.52</v>
      </c>
      <c r="AB33" s="244"/>
      <c r="AC33" s="244"/>
      <c r="AD33" s="244"/>
      <c r="AE33" s="244"/>
      <c r="AF33" s="244"/>
      <c r="AG33" s="244"/>
      <c r="AH33" s="244"/>
      <c r="AI33" s="244"/>
      <c r="AJ33" s="279">
        <f>3.2*6.1</f>
        <v>19.52</v>
      </c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>
        <f>3.2*6.1</f>
        <v>19.52</v>
      </c>
      <c r="AV33" s="75"/>
      <c r="AW33" s="75"/>
      <c r="AX33" s="75"/>
      <c r="AY33" s="75"/>
      <c r="AZ33" s="75"/>
      <c r="BA33" s="64"/>
      <c r="BB33" s="64"/>
      <c r="BC33" s="279"/>
      <c r="BD33" s="279">
        <f>(3.2+6.1)*2</f>
        <v>18.600000000000001</v>
      </c>
      <c r="BE33" s="372">
        <f>(3.2+6.1)*2*2.8</f>
        <v>52.08</v>
      </c>
      <c r="BF33" s="109">
        <f t="shared" si="3"/>
        <v>46.989999999999995</v>
      </c>
      <c r="BG33" s="109">
        <f t="shared" si="4"/>
        <v>46.989999999999995</v>
      </c>
      <c r="BH33" s="38">
        <f t="shared" si="7"/>
        <v>46.989999999999995</v>
      </c>
      <c r="BI33" s="38"/>
      <c r="BJ33" s="38"/>
      <c r="BK33" s="38"/>
      <c r="BL33" s="38">
        <f t="shared" si="8"/>
        <v>46.989999999999995</v>
      </c>
      <c r="BM33" s="77"/>
      <c r="BN33" s="77"/>
      <c r="BO33" s="64"/>
      <c r="BP33" s="77"/>
      <c r="BQ33" s="64"/>
      <c r="BR33" s="75"/>
      <c r="BS33" s="39"/>
      <c r="BT33" s="64"/>
      <c r="BU33" s="37">
        <f>1*BU7</f>
        <v>2.2000000000000002</v>
      </c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190">
        <f t="shared" si="5"/>
        <v>2.2000000000000002</v>
      </c>
      <c r="CL33" s="37">
        <f>1*CL7</f>
        <v>2.8899999999999997</v>
      </c>
      <c r="CM33" s="37"/>
      <c r="CN33" s="37"/>
      <c r="CO33" s="37"/>
      <c r="CP33" s="37"/>
      <c r="CQ33" s="37"/>
      <c r="CR33" s="37"/>
      <c r="CS33" s="37"/>
      <c r="CT33" s="190">
        <f t="shared" si="6"/>
        <v>2.8899999999999997</v>
      </c>
    </row>
    <row r="34" spans="1:98" s="269" customFormat="1" x14ac:dyDescent="0.25">
      <c r="A34" s="110" t="s">
        <v>90</v>
      </c>
      <c r="B34" s="279" t="s">
        <v>196</v>
      </c>
      <c r="C34" s="279" t="s">
        <v>234</v>
      </c>
      <c r="D34" s="279">
        <f>3.15*6.1</f>
        <v>19.215</v>
      </c>
      <c r="E34" s="279">
        <f>(3.15+6.1)*2</f>
        <v>18.5</v>
      </c>
      <c r="F34" s="75"/>
      <c r="G34" s="75"/>
      <c r="H34" s="75"/>
      <c r="I34" s="372">
        <f>3.15*6.1</f>
        <v>19.215</v>
      </c>
      <c r="J34" s="279"/>
      <c r="K34" s="279"/>
      <c r="L34" s="279"/>
      <c r="M34" s="279"/>
      <c r="N34" s="279"/>
      <c r="O34" s="279">
        <f>3.15*6.1</f>
        <v>19.215</v>
      </c>
      <c r="P34" s="279"/>
      <c r="Q34" s="279"/>
      <c r="R34" s="279"/>
      <c r="S34" s="279">
        <f>3.15*6.1</f>
        <v>19.215</v>
      </c>
      <c r="T34" s="75"/>
      <c r="U34" s="263"/>
      <c r="V34" s="64"/>
      <c r="W34" s="75"/>
      <c r="X34" s="279">
        <f>(3.15+6.1)*2</f>
        <v>18.5</v>
      </c>
      <c r="Y34" s="64"/>
      <c r="Z34" s="372">
        <f>3.15*6.1</f>
        <v>19.215</v>
      </c>
      <c r="AA34" s="279">
        <f>3.15*6.1</f>
        <v>19.215</v>
      </c>
      <c r="AB34" s="244"/>
      <c r="AC34" s="244"/>
      <c r="AD34" s="244"/>
      <c r="AE34" s="244"/>
      <c r="AF34" s="244"/>
      <c r="AG34" s="244"/>
      <c r="AH34" s="244"/>
      <c r="AI34" s="244"/>
      <c r="AJ34" s="279">
        <f>3.15*6.1</f>
        <v>19.215</v>
      </c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>
        <f>3.15*6.1</f>
        <v>19.215</v>
      </c>
      <c r="AV34" s="263"/>
      <c r="AW34" s="263"/>
      <c r="AX34" s="263"/>
      <c r="AY34" s="263"/>
      <c r="AZ34" s="263"/>
      <c r="BA34" s="64"/>
      <c r="BB34" s="64"/>
      <c r="BC34" s="279"/>
      <c r="BD34" s="279">
        <f>(3.15+6.1)*2</f>
        <v>18.5</v>
      </c>
      <c r="BE34" s="372">
        <f>(3.15+6.1)*2*2.8</f>
        <v>51.8</v>
      </c>
      <c r="BF34" s="109">
        <f t="shared" si="3"/>
        <v>46.709999999999994</v>
      </c>
      <c r="BG34" s="109">
        <f t="shared" si="4"/>
        <v>46.709999999999994</v>
      </c>
      <c r="BH34" s="38">
        <f t="shared" si="7"/>
        <v>46.709999999999994</v>
      </c>
      <c r="BI34" s="38"/>
      <c r="BJ34" s="38"/>
      <c r="BK34" s="38"/>
      <c r="BL34" s="38">
        <f t="shared" si="8"/>
        <v>46.709999999999994</v>
      </c>
      <c r="BM34" s="77"/>
      <c r="BN34" s="77"/>
      <c r="BO34" s="64"/>
      <c r="BP34" s="77"/>
      <c r="BQ34" s="64"/>
      <c r="BR34" s="75"/>
      <c r="BS34" s="39"/>
      <c r="BT34" s="64"/>
      <c r="BU34" s="37">
        <f>1*BU7</f>
        <v>2.2000000000000002</v>
      </c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190">
        <f t="shared" si="5"/>
        <v>2.2000000000000002</v>
      </c>
      <c r="CL34" s="37">
        <f>1*CL7</f>
        <v>2.8899999999999997</v>
      </c>
      <c r="CM34" s="37"/>
      <c r="CN34" s="37"/>
      <c r="CO34" s="37"/>
      <c r="CP34" s="37"/>
      <c r="CQ34" s="37"/>
      <c r="CR34" s="37"/>
      <c r="CS34" s="37"/>
      <c r="CT34" s="190">
        <f t="shared" si="6"/>
        <v>2.8899999999999997</v>
      </c>
    </row>
    <row r="35" spans="1:98" s="269" customFormat="1" x14ac:dyDescent="0.25">
      <c r="A35" s="110" t="s">
        <v>90</v>
      </c>
      <c r="B35" s="279" t="s">
        <v>196</v>
      </c>
      <c r="C35" s="279" t="s">
        <v>234</v>
      </c>
      <c r="D35" s="279">
        <f>3.15*6.1</f>
        <v>19.215</v>
      </c>
      <c r="E35" s="279">
        <f>(3.15+6.1)*2</f>
        <v>18.5</v>
      </c>
      <c r="F35" s="75"/>
      <c r="G35" s="75"/>
      <c r="H35" s="75"/>
      <c r="I35" s="372">
        <f>3.15*6.1</f>
        <v>19.215</v>
      </c>
      <c r="J35" s="279"/>
      <c r="K35" s="279"/>
      <c r="L35" s="279"/>
      <c r="M35" s="279"/>
      <c r="N35" s="279"/>
      <c r="O35" s="279">
        <f>3.15*6.1</f>
        <v>19.215</v>
      </c>
      <c r="P35" s="279"/>
      <c r="Q35" s="279"/>
      <c r="R35" s="279"/>
      <c r="S35" s="279">
        <f>3.15*6.1</f>
        <v>19.215</v>
      </c>
      <c r="T35" s="75"/>
      <c r="U35" s="263"/>
      <c r="V35" s="75"/>
      <c r="W35" s="75"/>
      <c r="X35" s="279">
        <f>(3.15+6.1)*2</f>
        <v>18.5</v>
      </c>
      <c r="Y35" s="64"/>
      <c r="Z35" s="372">
        <f>3.15*6.1</f>
        <v>19.215</v>
      </c>
      <c r="AA35" s="279">
        <f>3.15*6.1</f>
        <v>19.215</v>
      </c>
      <c r="AB35" s="244"/>
      <c r="AC35" s="244"/>
      <c r="AD35" s="244"/>
      <c r="AE35" s="244"/>
      <c r="AF35" s="244"/>
      <c r="AG35" s="244"/>
      <c r="AH35" s="244"/>
      <c r="AI35" s="244"/>
      <c r="AJ35" s="279">
        <f>3.15*6.1</f>
        <v>19.215</v>
      </c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>
        <f>3.15*6.1</f>
        <v>19.215</v>
      </c>
      <c r="AV35" s="75"/>
      <c r="AW35" s="75"/>
      <c r="AX35" s="75"/>
      <c r="AY35" s="64"/>
      <c r="AZ35" s="64"/>
      <c r="BA35" s="64"/>
      <c r="BB35" s="64"/>
      <c r="BC35" s="279"/>
      <c r="BD35" s="279">
        <f>(3.15+6.1)*2</f>
        <v>18.5</v>
      </c>
      <c r="BE35" s="372">
        <f>(3.15+6.1)*2*2.8</f>
        <v>51.8</v>
      </c>
      <c r="BF35" s="109">
        <f t="shared" si="3"/>
        <v>46.709999999999994</v>
      </c>
      <c r="BG35" s="109">
        <f t="shared" ref="BG35:BG42" si="9">BF35</f>
        <v>46.709999999999994</v>
      </c>
      <c r="BH35" s="38">
        <f t="shared" ref="BH35:BH42" si="10">BF35</f>
        <v>46.709999999999994</v>
      </c>
      <c r="BI35" s="38"/>
      <c r="BJ35" s="38"/>
      <c r="BK35" s="38"/>
      <c r="BL35" s="38">
        <f t="shared" ref="BL35:BL42" si="11">BF35-BR35</f>
        <v>46.709999999999994</v>
      </c>
      <c r="BM35" s="77"/>
      <c r="BN35" s="77"/>
      <c r="BO35" s="64"/>
      <c r="BP35" s="77"/>
      <c r="BQ35" s="64"/>
      <c r="BR35" s="75"/>
      <c r="BS35" s="39"/>
      <c r="BT35" s="64"/>
      <c r="BU35" s="37">
        <f>1*BU7</f>
        <v>2.2000000000000002</v>
      </c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190">
        <f t="shared" si="5"/>
        <v>2.2000000000000002</v>
      </c>
      <c r="CL35" s="37">
        <f>1*CL7</f>
        <v>2.8899999999999997</v>
      </c>
      <c r="CM35" s="37"/>
      <c r="CN35" s="37"/>
      <c r="CO35" s="37"/>
      <c r="CP35" s="37"/>
      <c r="CQ35" s="37"/>
      <c r="CR35" s="37"/>
      <c r="CS35" s="37"/>
      <c r="CT35" s="190">
        <f t="shared" si="6"/>
        <v>2.8899999999999997</v>
      </c>
    </row>
    <row r="36" spans="1:98" s="269" customFormat="1" ht="31.5" x14ac:dyDescent="0.25">
      <c r="A36" s="346"/>
      <c r="B36" s="279" t="s">
        <v>212</v>
      </c>
      <c r="C36" s="279" t="s">
        <v>244</v>
      </c>
      <c r="D36" s="279">
        <f>38.5+74</f>
        <v>112.5</v>
      </c>
      <c r="E36" s="279">
        <f>(39.55+5.5)*2  + 0.3*2</f>
        <v>90.699999999999989</v>
      </c>
      <c r="F36" s="75"/>
      <c r="G36" s="75"/>
      <c r="H36" s="75"/>
      <c r="I36" s="372">
        <f>71</f>
        <v>71</v>
      </c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>
        <f>71</f>
        <v>71</v>
      </c>
      <c r="V36" s="75"/>
      <c r="W36" s="75"/>
      <c r="X36" s="279">
        <f>(39.55+5.5)*2  + 0.3*2</f>
        <v>90.699999999999989</v>
      </c>
      <c r="Y36" s="64"/>
      <c r="Z36" s="372">
        <f>38.5+74</f>
        <v>112.5</v>
      </c>
      <c r="AA36" s="279">
        <f>38.5+74</f>
        <v>112.5</v>
      </c>
      <c r="AB36" s="244"/>
      <c r="AC36" s="244"/>
      <c r="AD36" s="244"/>
      <c r="AE36" s="244"/>
      <c r="AF36" s="244"/>
      <c r="AG36" s="244"/>
      <c r="AH36" s="244"/>
      <c r="AI36" s="244"/>
      <c r="AJ36" s="279">
        <f>38.5+74</f>
        <v>112.5</v>
      </c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75"/>
      <c r="AW36" s="75"/>
      <c r="AX36" s="75"/>
      <c r="AY36" s="64"/>
      <c r="AZ36" s="278">
        <f>38.5+74</f>
        <v>112.5</v>
      </c>
      <c r="BA36" s="64"/>
      <c r="BB36" s="64"/>
      <c r="BC36" s="279">
        <f>(39.55+5.5)*2  + 0.3*2</f>
        <v>90.699999999999989</v>
      </c>
      <c r="BD36" s="75"/>
      <c r="BE36" s="372">
        <f>(39.55+5.5)*2*2.8  + 0.3*2*2.8</f>
        <v>253.95999999999998</v>
      </c>
      <c r="BF36" s="109">
        <f>BE36-CK36-CT36</f>
        <v>231.53999999999996</v>
      </c>
      <c r="BG36" s="109">
        <f t="shared" si="9"/>
        <v>231.53999999999996</v>
      </c>
      <c r="BH36" s="38">
        <f>BF36</f>
        <v>231.53999999999996</v>
      </c>
      <c r="BI36" s="38"/>
      <c r="BJ36" s="38"/>
      <c r="BK36" s="38"/>
      <c r="BL36" s="38">
        <f t="shared" si="11"/>
        <v>231.53999999999996</v>
      </c>
      <c r="BM36" s="77"/>
      <c r="BN36" s="77"/>
      <c r="BO36" s="64"/>
      <c r="BP36" s="77"/>
      <c r="BQ36" s="64"/>
      <c r="BR36" s="75"/>
      <c r="BS36" s="39"/>
      <c r="BT36" s="64"/>
      <c r="BU36" s="37">
        <f>1*BU7</f>
        <v>2.2000000000000002</v>
      </c>
      <c r="BV36" s="37">
        <f>3*BV7</f>
        <v>5.94</v>
      </c>
      <c r="BW36" s="37">
        <f>1*BW7</f>
        <v>4.1999999999999993</v>
      </c>
      <c r="BX36" s="37"/>
      <c r="BY36" s="37"/>
      <c r="BZ36" s="37">
        <f>2*BZ7</f>
        <v>2.8</v>
      </c>
      <c r="CA36" s="37">
        <f>1*CA7</f>
        <v>7.2799999999999994</v>
      </c>
      <c r="CB36" s="37"/>
      <c r="CC36" s="37"/>
      <c r="CD36" s="37"/>
      <c r="CE36" s="37"/>
      <c r="CF36" s="37"/>
      <c r="CG36" s="37"/>
      <c r="CH36" s="37"/>
      <c r="CI36" s="37"/>
      <c r="CJ36" s="37"/>
      <c r="CK36" s="190">
        <f t="shared" si="5"/>
        <v>22.42</v>
      </c>
      <c r="CL36" s="37"/>
      <c r="CM36" s="37"/>
      <c r="CN36" s="37"/>
      <c r="CO36" s="37"/>
      <c r="CP36" s="37"/>
      <c r="CQ36" s="37"/>
      <c r="CR36" s="37"/>
      <c r="CS36" s="37"/>
      <c r="CT36" s="190">
        <f t="shared" si="6"/>
        <v>0</v>
      </c>
    </row>
    <row r="37" spans="1:98" s="269" customFormat="1" ht="22.5" customHeight="1" x14ac:dyDescent="0.25">
      <c r="A37" s="355" t="s">
        <v>200</v>
      </c>
      <c r="B37" s="336" t="s">
        <v>211</v>
      </c>
      <c r="C37" s="279" t="s">
        <v>195</v>
      </c>
      <c r="D37" s="279">
        <f>6.5*6.2</f>
        <v>40.300000000000004</v>
      </c>
      <c r="E37" s="337">
        <f>(6.5+6.2)*2+(2.2+2)*2+(1.65+1.1)*2*6+6.2*2+0.65*2</f>
        <v>80.5</v>
      </c>
      <c r="F37" s="75"/>
      <c r="G37" s="75"/>
      <c r="H37" s="75"/>
      <c r="I37" s="372">
        <f>6.5*6.2</f>
        <v>40.300000000000004</v>
      </c>
      <c r="J37" s="279"/>
      <c r="K37" s="279"/>
      <c r="L37" s="279"/>
      <c r="M37" s="279"/>
      <c r="N37" s="279"/>
      <c r="O37" s="279">
        <f>6.5*6.2</f>
        <v>40.300000000000004</v>
      </c>
      <c r="P37" s="279"/>
      <c r="Q37" s="279"/>
      <c r="R37" s="279">
        <f>6.5*6.2</f>
        <v>40.300000000000004</v>
      </c>
      <c r="S37" s="75"/>
      <c r="T37" s="75"/>
      <c r="U37" s="263"/>
      <c r="V37" s="75"/>
      <c r="W37" s="75"/>
      <c r="X37" s="337"/>
      <c r="Y37" s="64"/>
      <c r="Z37" s="372">
        <f>6.5*6.2</f>
        <v>40.300000000000004</v>
      </c>
      <c r="AA37" s="279">
        <f>6.5*6.2</f>
        <v>40.300000000000004</v>
      </c>
      <c r="AB37" s="244"/>
      <c r="AC37" s="244"/>
      <c r="AD37" s="244"/>
      <c r="AE37" s="244"/>
      <c r="AF37" s="244"/>
      <c r="AG37" s="244"/>
      <c r="AH37" s="244"/>
      <c r="AI37" s="244"/>
      <c r="AJ37" s="279">
        <f>6.5*6.2</f>
        <v>40.300000000000004</v>
      </c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>
        <f>6.5*6.2</f>
        <v>40.300000000000004</v>
      </c>
      <c r="AY37" s="244"/>
      <c r="AZ37" s="244"/>
      <c r="BA37" s="64"/>
      <c r="BB37" s="64"/>
      <c r="BC37" s="337">
        <f>(6.5+6.2)*2+(2.2+2)*2+(1.65+1.1)*2*6+6.2*2+0.65*2</f>
        <v>80.5</v>
      </c>
      <c r="BD37" s="75"/>
      <c r="BE37" s="374">
        <f>(6.5+6.2)*2*2.8+(2.2+2)*2*2.8+(1.65+1.1)*2*6*2.8+6.2*2*2.8+0.65*2*2.8</f>
        <v>225.39999999999995</v>
      </c>
      <c r="BF37" s="109">
        <f t="shared" si="3"/>
        <v>194.99999999999994</v>
      </c>
      <c r="BG37" s="109">
        <f t="shared" si="9"/>
        <v>194.99999999999994</v>
      </c>
      <c r="BH37" s="38">
        <f t="shared" si="10"/>
        <v>194.99999999999994</v>
      </c>
      <c r="BI37" s="38"/>
      <c r="BJ37" s="38"/>
      <c r="BK37" s="38"/>
      <c r="BL37" s="38">
        <f t="shared" si="11"/>
        <v>0</v>
      </c>
      <c r="BM37" s="77"/>
      <c r="BN37" s="77"/>
      <c r="BO37" s="64"/>
      <c r="BP37" s="77"/>
      <c r="BQ37" s="64"/>
      <c r="BR37" s="75">
        <f>BF37+0</f>
        <v>194.99999999999994</v>
      </c>
      <c r="BS37" s="39"/>
      <c r="BT37" s="64"/>
      <c r="BU37" s="37">
        <f>1*BU7</f>
        <v>2.2000000000000002</v>
      </c>
      <c r="BV37" s="37">
        <f>2*BV7</f>
        <v>3.9600000000000004</v>
      </c>
      <c r="BW37" s="37"/>
      <c r="BX37" s="37"/>
      <c r="BY37" s="37">
        <f>6*2*BY7</f>
        <v>20.160000000000004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190">
        <f t="shared" si="5"/>
        <v>26.320000000000004</v>
      </c>
      <c r="CL37" s="37"/>
      <c r="CM37" s="37"/>
      <c r="CN37" s="37">
        <f>2*CN7</f>
        <v>4.08</v>
      </c>
      <c r="CO37" s="37"/>
      <c r="CP37" s="37"/>
      <c r="CQ37" s="37"/>
      <c r="CR37" s="37"/>
      <c r="CS37" s="37"/>
      <c r="CT37" s="190">
        <f t="shared" si="6"/>
        <v>4.08</v>
      </c>
    </row>
    <row r="38" spans="1:98" s="269" customFormat="1" ht="29.25" customHeight="1" x14ac:dyDescent="0.25">
      <c r="A38" s="110" t="s">
        <v>92</v>
      </c>
      <c r="B38" s="356" t="s">
        <v>242</v>
      </c>
      <c r="C38" s="278" t="s">
        <v>243</v>
      </c>
      <c r="D38" s="279">
        <f>1.3*1.1*2</f>
        <v>2.8600000000000003</v>
      </c>
      <c r="E38" s="278">
        <f>(1.3+1.1)*2*2</f>
        <v>9.6000000000000014</v>
      </c>
      <c r="F38" s="75"/>
      <c r="G38" s="75"/>
      <c r="H38" s="75"/>
      <c r="I38" s="372">
        <f>1.3*1.1*2</f>
        <v>2.8600000000000003</v>
      </c>
      <c r="J38" s="279"/>
      <c r="K38" s="279"/>
      <c r="L38" s="279"/>
      <c r="M38" s="279">
        <f>1.3*1.1*2</f>
        <v>2.8600000000000003</v>
      </c>
      <c r="N38" s="279">
        <f>1.3*1.1*2</f>
        <v>2.8600000000000003</v>
      </c>
      <c r="O38" s="64"/>
      <c r="P38" s="64"/>
      <c r="Q38" s="64"/>
      <c r="R38" s="263"/>
      <c r="S38" s="263">
        <v>0</v>
      </c>
      <c r="T38" s="263"/>
      <c r="U38" s="263"/>
      <c r="V38" s="64"/>
      <c r="W38" s="75"/>
      <c r="X38" s="278"/>
      <c r="Y38" s="64"/>
      <c r="Z38" s="372">
        <f>1.3*1.1*2</f>
        <v>2.8600000000000003</v>
      </c>
      <c r="AA38" s="279">
        <f>1.3*1.1*2</f>
        <v>2.8600000000000003</v>
      </c>
      <c r="AB38" s="244"/>
      <c r="AC38" s="244"/>
      <c r="AD38" s="244"/>
      <c r="AE38" s="244"/>
      <c r="AF38" s="244"/>
      <c r="AG38" s="244"/>
      <c r="AH38" s="244"/>
      <c r="AI38" s="244"/>
      <c r="AJ38" s="279">
        <f>1.3*1.1*2</f>
        <v>2.8600000000000003</v>
      </c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>
        <f>1.3*1.1*2</f>
        <v>2.8600000000000003</v>
      </c>
      <c r="AY38" s="263"/>
      <c r="AZ38" s="263"/>
      <c r="BA38" s="64"/>
      <c r="BB38" s="64"/>
      <c r="BC38" s="278">
        <f>(1.3+1.1)*2*2</f>
        <v>9.6000000000000014</v>
      </c>
      <c r="BD38" s="75"/>
      <c r="BE38" s="373">
        <f>(1.3+1.1)*2*2*2.8</f>
        <v>26.880000000000003</v>
      </c>
      <c r="BF38" s="109">
        <f t="shared" si="3"/>
        <v>24.080000000000002</v>
      </c>
      <c r="BG38" s="109">
        <f t="shared" si="9"/>
        <v>24.080000000000002</v>
      </c>
      <c r="BH38" s="38">
        <f t="shared" si="10"/>
        <v>24.080000000000002</v>
      </c>
      <c r="BI38" s="38"/>
      <c r="BJ38" s="38"/>
      <c r="BK38" s="38"/>
      <c r="BL38" s="38">
        <f t="shared" si="11"/>
        <v>24.080000000000002</v>
      </c>
      <c r="BM38" s="77"/>
      <c r="BN38" s="77"/>
      <c r="BO38" s="64"/>
      <c r="BP38" s="77"/>
      <c r="BQ38" s="64"/>
      <c r="BR38" s="75"/>
      <c r="BS38" s="39"/>
      <c r="BT38" s="64"/>
      <c r="BU38" s="37"/>
      <c r="BV38" s="37"/>
      <c r="BW38" s="37"/>
      <c r="BX38" s="37"/>
      <c r="BY38" s="37"/>
      <c r="BZ38" s="37">
        <f>2*BZ7</f>
        <v>2.8</v>
      </c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190">
        <f t="shared" si="5"/>
        <v>2.8</v>
      </c>
      <c r="CL38" s="37"/>
      <c r="CM38" s="37"/>
      <c r="CN38" s="37"/>
      <c r="CO38" s="37"/>
      <c r="CP38" s="37"/>
      <c r="CQ38" s="37"/>
      <c r="CR38" s="37"/>
      <c r="CS38" s="37"/>
      <c r="CT38" s="190">
        <f t="shared" si="6"/>
        <v>0</v>
      </c>
    </row>
    <row r="39" spans="1:98" s="269" customFormat="1" ht="66" x14ac:dyDescent="0.25">
      <c r="A39" s="110" t="s">
        <v>33</v>
      </c>
      <c r="B39" s="356" t="s">
        <v>245</v>
      </c>
      <c r="C39" s="278" t="s">
        <v>246</v>
      </c>
      <c r="D39" s="371">
        <f>6.6*3</f>
        <v>19.799999999999997</v>
      </c>
      <c r="E39" s="278">
        <f>(6.6+3)*2+0.3*2</f>
        <v>19.8</v>
      </c>
      <c r="F39" s="75" t="s">
        <v>279</v>
      </c>
      <c r="G39" s="75"/>
      <c r="H39" s="75"/>
      <c r="I39" s="373">
        <v>0</v>
      </c>
      <c r="J39" s="64"/>
      <c r="K39" s="64"/>
      <c r="L39" s="64"/>
      <c r="M39" s="278">
        <f>6.6*3</f>
        <v>19.799999999999997</v>
      </c>
      <c r="N39" s="278">
        <f>6.6*3</f>
        <v>19.799999999999997</v>
      </c>
      <c r="O39" s="64"/>
      <c r="P39" s="64"/>
      <c r="Q39" s="64"/>
      <c r="R39" s="75"/>
      <c r="S39" s="263">
        <v>0</v>
      </c>
      <c r="T39" s="64"/>
      <c r="U39" s="75"/>
      <c r="V39" s="64"/>
      <c r="W39" s="75"/>
      <c r="X39" s="278"/>
      <c r="Y39" s="64"/>
      <c r="Z39" s="373">
        <v>0</v>
      </c>
      <c r="AA39" s="371"/>
      <c r="AB39" s="244"/>
      <c r="AC39" s="244"/>
      <c r="AD39" s="244"/>
      <c r="AE39" s="244"/>
      <c r="AF39" s="244"/>
      <c r="AG39" s="244"/>
      <c r="AH39" s="244"/>
      <c r="AI39" s="244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244"/>
      <c r="AW39" s="244"/>
      <c r="AX39" s="244"/>
      <c r="AY39" s="77"/>
      <c r="AZ39" s="64"/>
      <c r="BA39" s="64"/>
      <c r="BB39" s="64"/>
      <c r="BC39" s="278"/>
      <c r="BD39" s="75"/>
      <c r="BE39" s="373">
        <f>(6.6+3)*2*(2.8+0.2)+0.3*2*(2.8+0.2)</f>
        <v>59.399999999999991</v>
      </c>
      <c r="BF39" s="109">
        <f>BE39-CK39-CT39</f>
        <v>48.597499999999989</v>
      </c>
      <c r="BG39" s="109">
        <f t="shared" si="9"/>
        <v>48.597499999999989</v>
      </c>
      <c r="BH39" s="38">
        <f t="shared" si="10"/>
        <v>48.597499999999989</v>
      </c>
      <c r="BI39" s="38"/>
      <c r="BJ39" s="38"/>
      <c r="BK39" s="38"/>
      <c r="BL39" s="38">
        <f t="shared" si="11"/>
        <v>48.597499999999989</v>
      </c>
      <c r="BM39" s="77"/>
      <c r="BN39" s="77"/>
      <c r="BO39" s="64"/>
      <c r="BP39" s="77"/>
      <c r="BQ39" s="64"/>
      <c r="BR39" s="64"/>
      <c r="BS39" s="39"/>
      <c r="BT39" s="64"/>
      <c r="BU39" s="37"/>
      <c r="BV39" s="37">
        <f>2*BV7</f>
        <v>3.9600000000000004</v>
      </c>
      <c r="BW39" s="37"/>
      <c r="BX39" s="37">
        <f>1*2*BX7</f>
        <v>3.7800000000000002</v>
      </c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190">
        <f>SUM(BU39:CJ39)</f>
        <v>7.74</v>
      </c>
      <c r="CL39" s="37"/>
      <c r="CM39" s="37">
        <f>1*CM7</f>
        <v>3.0625</v>
      </c>
      <c r="CN39" s="37"/>
      <c r="CO39" s="37"/>
      <c r="CP39" s="37"/>
      <c r="CQ39" s="37"/>
      <c r="CR39" s="37"/>
      <c r="CS39" s="37"/>
      <c r="CT39" s="190">
        <f>SUM(CL39:CS39)</f>
        <v>3.0625</v>
      </c>
    </row>
    <row r="40" spans="1:98" s="269" customFormat="1" x14ac:dyDescent="0.25">
      <c r="A40" s="110" t="s">
        <v>88</v>
      </c>
      <c r="B40" s="279" t="s">
        <v>173</v>
      </c>
      <c r="C40" s="278" t="s">
        <v>247</v>
      </c>
      <c r="D40" s="278">
        <f>2.2*1.5</f>
        <v>3.3000000000000003</v>
      </c>
      <c r="E40" s="278">
        <v>0</v>
      </c>
      <c r="F40" s="75"/>
      <c r="G40" s="75"/>
      <c r="H40" s="75"/>
      <c r="I40" s="373">
        <f>2.2*1.5</f>
        <v>3.3000000000000003</v>
      </c>
      <c r="J40" s="278"/>
      <c r="K40" s="278"/>
      <c r="L40" s="278"/>
      <c r="M40" s="278">
        <f>2.2*1.5</f>
        <v>3.3000000000000003</v>
      </c>
      <c r="N40" s="278">
        <f>2.2*1.5</f>
        <v>3.3000000000000003</v>
      </c>
      <c r="O40" s="64"/>
      <c r="P40" s="64"/>
      <c r="Q40" s="64"/>
      <c r="R40" s="75"/>
      <c r="S40" s="263">
        <v>0</v>
      </c>
      <c r="T40" s="64"/>
      <c r="U40" s="75"/>
      <c r="V40" s="64"/>
      <c r="W40" s="75"/>
      <c r="X40" s="278"/>
      <c r="Y40" s="64"/>
      <c r="Z40" s="373">
        <f>2.2*1.5</f>
        <v>3.3000000000000003</v>
      </c>
      <c r="AA40" s="278">
        <f>2.2*1.5</f>
        <v>3.3000000000000003</v>
      </c>
      <c r="AB40" s="244"/>
      <c r="AC40" s="244"/>
      <c r="AD40" s="244"/>
      <c r="AE40" s="244"/>
      <c r="AF40" s="244"/>
      <c r="AG40" s="244"/>
      <c r="AH40" s="244"/>
      <c r="AI40" s="244"/>
      <c r="AJ40" s="278">
        <f>2.2*1.5</f>
        <v>3.3000000000000003</v>
      </c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>
        <f>2.2*1.5</f>
        <v>3.3000000000000003</v>
      </c>
      <c r="BB40" s="64"/>
      <c r="BC40" s="278"/>
      <c r="BD40" s="75"/>
      <c r="BE40" s="373">
        <v>0</v>
      </c>
      <c r="BF40" s="109">
        <f>BE40-CK40-CT40</f>
        <v>0</v>
      </c>
      <c r="BG40" s="109">
        <f t="shared" si="9"/>
        <v>0</v>
      </c>
      <c r="BH40" s="38">
        <f t="shared" si="10"/>
        <v>0</v>
      </c>
      <c r="BI40" s="38"/>
      <c r="BJ40" s="38"/>
      <c r="BK40" s="38"/>
      <c r="BL40" s="38">
        <f t="shared" si="11"/>
        <v>0</v>
      </c>
      <c r="BM40" s="77"/>
      <c r="BN40" s="77"/>
      <c r="BO40" s="64"/>
      <c r="BP40" s="77"/>
      <c r="BQ40" s="64"/>
      <c r="BR40" s="64"/>
      <c r="BS40" s="39"/>
      <c r="BT40" s="64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190">
        <f>SUM(BU40:CJ40)</f>
        <v>0</v>
      </c>
      <c r="CL40" s="37"/>
      <c r="CM40" s="37"/>
      <c r="CN40" s="37"/>
      <c r="CO40" s="37"/>
      <c r="CP40" s="37"/>
      <c r="CQ40" s="37"/>
      <c r="CR40" s="37"/>
      <c r="CS40" s="37"/>
      <c r="CT40" s="190">
        <f>SUM(CL40:CS40)</f>
        <v>0</v>
      </c>
    </row>
    <row r="41" spans="1:98" s="269" customFormat="1" x14ac:dyDescent="0.25">
      <c r="A41" s="276"/>
      <c r="B41" s="279"/>
      <c r="C41" s="75"/>
      <c r="D41" s="75"/>
      <c r="E41" s="75"/>
      <c r="F41" s="75"/>
      <c r="G41" s="75"/>
      <c r="H41" s="75"/>
      <c r="I41" s="330"/>
      <c r="J41" s="64"/>
      <c r="K41" s="64"/>
      <c r="L41" s="64"/>
      <c r="M41" s="64"/>
      <c r="N41" s="64"/>
      <c r="O41" s="64"/>
      <c r="P41" s="64"/>
      <c r="Q41" s="64"/>
      <c r="R41" s="75"/>
      <c r="S41" s="64"/>
      <c r="T41" s="64"/>
      <c r="U41" s="75"/>
      <c r="V41" s="64"/>
      <c r="W41" s="75"/>
      <c r="X41" s="75"/>
      <c r="Y41" s="64"/>
      <c r="Z41" s="330"/>
      <c r="AA41" s="244"/>
      <c r="AB41" s="244"/>
      <c r="AC41" s="244"/>
      <c r="AD41" s="244"/>
      <c r="AE41" s="244"/>
      <c r="AF41" s="244"/>
      <c r="AG41" s="244"/>
      <c r="AH41" s="244"/>
      <c r="AI41" s="244"/>
      <c r="AJ41" s="75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77"/>
      <c r="AZ41" s="77"/>
      <c r="BA41" s="64"/>
      <c r="BB41" s="64"/>
      <c r="BC41" s="75"/>
      <c r="BD41" s="75"/>
      <c r="BE41" s="61"/>
      <c r="BF41" s="109">
        <f>BE41-CK41-CT41</f>
        <v>0</v>
      </c>
      <c r="BG41" s="109">
        <f t="shared" si="9"/>
        <v>0</v>
      </c>
      <c r="BH41" s="38">
        <f t="shared" si="10"/>
        <v>0</v>
      </c>
      <c r="BI41" s="38"/>
      <c r="BJ41" s="38"/>
      <c r="BK41" s="38"/>
      <c r="BL41" s="38">
        <f t="shared" si="11"/>
        <v>0</v>
      </c>
      <c r="BM41" s="77"/>
      <c r="BN41" s="77"/>
      <c r="BO41" s="64"/>
      <c r="BP41" s="77"/>
      <c r="BQ41" s="64"/>
      <c r="BR41" s="64"/>
      <c r="BS41" s="39"/>
      <c r="BT41" s="64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190">
        <f>SUM(BU41:CJ41)</f>
        <v>0</v>
      </c>
      <c r="CL41" s="37"/>
      <c r="CM41" s="37"/>
      <c r="CN41" s="37"/>
      <c r="CO41" s="37"/>
      <c r="CP41" s="37"/>
      <c r="CQ41" s="37"/>
      <c r="CR41" s="37"/>
      <c r="CS41" s="37"/>
      <c r="CT41" s="190">
        <f>SUM(CL41:CS41)</f>
        <v>0</v>
      </c>
    </row>
    <row r="42" spans="1:98" s="269" customFormat="1" x14ac:dyDescent="0.25">
      <c r="A42" s="276"/>
      <c r="B42" s="279"/>
      <c r="C42" s="75"/>
      <c r="D42" s="75"/>
      <c r="E42" s="75"/>
      <c r="F42" s="75"/>
      <c r="G42" s="75"/>
      <c r="H42" s="75"/>
      <c r="I42" s="61"/>
      <c r="J42" s="64"/>
      <c r="K42" s="64"/>
      <c r="L42" s="64"/>
      <c r="M42" s="64"/>
      <c r="N42" s="64"/>
      <c r="O42" s="64"/>
      <c r="P42" s="64"/>
      <c r="Q42" s="64"/>
      <c r="R42" s="75"/>
      <c r="S42" s="64"/>
      <c r="T42" s="64"/>
      <c r="U42" s="75"/>
      <c r="V42" s="64"/>
      <c r="W42" s="75"/>
      <c r="X42" s="75"/>
      <c r="Y42" s="64"/>
      <c r="Z42" s="61"/>
      <c r="AA42" s="244"/>
      <c r="AB42" s="244"/>
      <c r="AC42" s="244"/>
      <c r="AD42" s="244"/>
      <c r="AE42" s="244"/>
      <c r="AF42" s="244"/>
      <c r="AG42" s="244"/>
      <c r="AH42" s="244"/>
      <c r="AI42" s="244"/>
      <c r="AJ42" s="75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64"/>
      <c r="BB42" s="64"/>
      <c r="BC42" s="75"/>
      <c r="BD42" s="75"/>
      <c r="BE42" s="61"/>
      <c r="BF42" s="109">
        <f>BE42-CK42-CT42</f>
        <v>0</v>
      </c>
      <c r="BG42" s="109">
        <f t="shared" si="9"/>
        <v>0</v>
      </c>
      <c r="BH42" s="38">
        <f t="shared" si="10"/>
        <v>0</v>
      </c>
      <c r="BI42" s="38"/>
      <c r="BJ42" s="38"/>
      <c r="BK42" s="38"/>
      <c r="BL42" s="38">
        <f t="shared" si="11"/>
        <v>0</v>
      </c>
      <c r="BM42" s="77"/>
      <c r="BN42" s="77"/>
      <c r="BO42" s="64"/>
      <c r="BP42" s="77"/>
      <c r="BQ42" s="64"/>
      <c r="BR42" s="64"/>
      <c r="BS42" s="39"/>
      <c r="BT42" s="64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190">
        <f>SUM(BU42:CJ42)</f>
        <v>0</v>
      </c>
      <c r="CL42" s="37"/>
      <c r="CM42" s="37"/>
      <c r="CN42" s="37"/>
      <c r="CO42" s="37"/>
      <c r="CP42" s="37"/>
      <c r="CQ42" s="37"/>
      <c r="CR42" s="37"/>
      <c r="CS42" s="37"/>
      <c r="CT42" s="190">
        <f>SUM(CL42:CS42)</f>
        <v>0</v>
      </c>
    </row>
    <row r="43" spans="1:98" s="269" customFormat="1" x14ac:dyDescent="0.25">
      <c r="A43" s="110"/>
      <c r="B43" s="279"/>
      <c r="C43" s="75"/>
      <c r="D43" s="75"/>
      <c r="E43" s="75"/>
      <c r="F43" s="75"/>
      <c r="G43" s="75"/>
      <c r="H43" s="75"/>
      <c r="I43" s="61"/>
      <c r="J43" s="64"/>
      <c r="K43" s="64"/>
      <c r="L43" s="64"/>
      <c r="M43" s="64"/>
      <c r="N43" s="64"/>
      <c r="O43" s="64"/>
      <c r="P43" s="64"/>
      <c r="Q43" s="64"/>
      <c r="R43" s="75"/>
      <c r="S43" s="75"/>
      <c r="T43" s="75"/>
      <c r="U43" s="75"/>
      <c r="V43" s="75"/>
      <c r="W43" s="75"/>
      <c r="X43" s="75"/>
      <c r="Y43" s="64"/>
      <c r="Z43" s="61"/>
      <c r="AA43" s="244"/>
      <c r="AB43" s="244"/>
      <c r="AC43" s="244"/>
      <c r="AD43" s="244"/>
      <c r="AE43" s="244"/>
      <c r="AF43" s="244"/>
      <c r="AG43" s="244"/>
      <c r="AH43" s="244"/>
      <c r="AI43" s="244"/>
      <c r="AJ43" s="75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77"/>
      <c r="AZ43" s="77"/>
      <c r="BA43" s="64"/>
      <c r="BB43" s="64"/>
      <c r="BC43" s="75"/>
      <c r="BD43" s="75"/>
      <c r="BE43" s="61"/>
      <c r="BF43" s="109"/>
      <c r="BG43" s="109"/>
      <c r="BH43" s="38"/>
      <c r="BI43" s="38"/>
      <c r="BJ43" s="38"/>
      <c r="BK43" s="38"/>
      <c r="BL43" s="38"/>
      <c r="BM43" s="77"/>
      <c r="BN43" s="77"/>
      <c r="BO43" s="64"/>
      <c r="BP43" s="77"/>
      <c r="BQ43" s="64"/>
      <c r="BR43" s="64"/>
      <c r="BS43" s="39"/>
      <c r="BT43" s="64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190"/>
      <c r="CL43" s="37"/>
      <c r="CM43" s="37"/>
      <c r="CN43" s="37"/>
      <c r="CO43" s="37"/>
      <c r="CP43" s="37"/>
      <c r="CQ43" s="37"/>
      <c r="CR43" s="37"/>
      <c r="CS43" s="37"/>
      <c r="CT43" s="190"/>
    </row>
    <row r="44" spans="1:98" s="269" customFormat="1" ht="21" x14ac:dyDescent="0.25">
      <c r="A44" s="264"/>
      <c r="B44" s="377"/>
      <c r="C44" s="278"/>
      <c r="D44" s="278"/>
      <c r="E44" s="278"/>
      <c r="F44" s="64"/>
      <c r="G44" s="64"/>
      <c r="H44" s="64"/>
      <c r="I44" s="61"/>
      <c r="J44" s="244"/>
      <c r="K44" s="244"/>
      <c r="L44" s="244"/>
      <c r="M44" s="244"/>
      <c r="N44" s="244"/>
      <c r="O44" s="278"/>
      <c r="P44" s="375"/>
      <c r="Q44" s="375"/>
      <c r="R44" s="375"/>
      <c r="S44" s="278"/>
      <c r="T44" s="376"/>
      <c r="U44" s="376"/>
      <c r="V44" s="376"/>
      <c r="W44" s="376"/>
      <c r="X44" s="278"/>
      <c r="Y44" s="64"/>
      <c r="Z44" s="61"/>
      <c r="AA44" s="75"/>
      <c r="AB44" s="64"/>
      <c r="AC44" s="64"/>
      <c r="AD44" s="64"/>
      <c r="AE44" s="64"/>
      <c r="AF44" s="64"/>
      <c r="AG44" s="64"/>
      <c r="AH44" s="64"/>
      <c r="AI44" s="6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64"/>
      <c r="BB44" s="64"/>
      <c r="BC44" s="75"/>
      <c r="BD44" s="75"/>
      <c r="BE44" s="61"/>
      <c r="BF44" s="109"/>
      <c r="BG44" s="109"/>
      <c r="BH44" s="38"/>
      <c r="BI44" s="38"/>
      <c r="BJ44" s="38"/>
      <c r="BK44" s="38"/>
      <c r="BL44" s="38"/>
      <c r="BM44" s="64"/>
      <c r="BN44" s="64"/>
      <c r="BO44" s="64"/>
      <c r="BP44" s="64"/>
      <c r="BQ44" s="64"/>
      <c r="BR44" s="64"/>
      <c r="BS44" s="64"/>
      <c r="BT44" s="64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190"/>
      <c r="CL44" s="37"/>
      <c r="CM44" s="37"/>
      <c r="CN44" s="37"/>
      <c r="CO44" s="37"/>
      <c r="CP44" s="37"/>
      <c r="CQ44" s="37"/>
      <c r="CR44" s="37"/>
      <c r="CS44" s="37"/>
      <c r="CT44" s="190"/>
    </row>
    <row r="45" spans="1:98" s="269" customFormat="1" ht="18.75" x14ac:dyDescent="0.25">
      <c r="A45" s="264"/>
      <c r="B45" s="277"/>
      <c r="C45" s="64"/>
      <c r="D45" s="75"/>
      <c r="E45" s="75"/>
      <c r="F45" s="64"/>
      <c r="G45" s="64"/>
      <c r="H45" s="64"/>
      <c r="I45" s="61"/>
      <c r="J45" s="244"/>
      <c r="K45" s="244"/>
      <c r="L45" s="244"/>
      <c r="M45" s="244"/>
      <c r="N45" s="244"/>
      <c r="O45" s="244"/>
      <c r="P45" s="244"/>
      <c r="Q45" s="244"/>
      <c r="R45" s="244"/>
      <c r="S45" s="64"/>
      <c r="T45" s="64"/>
      <c r="U45" s="64"/>
      <c r="V45" s="64"/>
      <c r="W45" s="64"/>
      <c r="X45" s="64"/>
      <c r="Y45" s="64"/>
      <c r="Z45" s="61"/>
      <c r="AA45" s="64"/>
      <c r="AB45" s="64"/>
      <c r="AC45" s="64"/>
      <c r="AD45" s="64"/>
      <c r="AE45" s="64"/>
      <c r="AF45" s="64"/>
      <c r="AG45" s="64"/>
      <c r="AH45" s="64"/>
      <c r="AI45" s="64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64"/>
      <c r="BB45" s="64"/>
      <c r="BC45" s="75"/>
      <c r="BD45" s="64"/>
      <c r="BE45" s="61"/>
      <c r="BF45" s="109">
        <f>BE45-CK45-CT45</f>
        <v>0</v>
      </c>
      <c r="BG45" s="109">
        <f>BF45</f>
        <v>0</v>
      </c>
      <c r="BH45" s="38">
        <f>BF45</f>
        <v>0</v>
      </c>
      <c r="BI45" s="38"/>
      <c r="BJ45" s="38"/>
      <c r="BK45" s="38"/>
      <c r="BL45" s="38">
        <f>BF45-BR45</f>
        <v>0</v>
      </c>
      <c r="BM45" s="64"/>
      <c r="BN45" s="64"/>
      <c r="BO45" s="64"/>
      <c r="BP45" s="64"/>
      <c r="BQ45" s="64"/>
      <c r="BR45" s="64"/>
      <c r="BS45" s="64"/>
      <c r="BT45" s="64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190">
        <f>SUM(BU45:CJ45)</f>
        <v>0</v>
      </c>
      <c r="CL45" s="37"/>
      <c r="CM45" s="37"/>
      <c r="CN45" s="37"/>
      <c r="CO45" s="37"/>
      <c r="CP45" s="37"/>
      <c r="CQ45" s="37"/>
      <c r="CR45" s="37"/>
      <c r="CS45" s="37"/>
      <c r="CT45" s="190">
        <f>SUM(CL45:CS45)</f>
        <v>0</v>
      </c>
    </row>
    <row r="46" spans="1:98" s="269" customFormat="1" ht="18.75" x14ac:dyDescent="0.25">
      <c r="A46" s="264"/>
      <c r="B46" s="277"/>
      <c r="C46" s="64"/>
      <c r="D46" s="75"/>
      <c r="E46" s="75"/>
      <c r="F46" s="64"/>
      <c r="G46" s="64"/>
      <c r="H46" s="64"/>
      <c r="I46" s="61"/>
      <c r="J46" s="244"/>
      <c r="K46" s="244"/>
      <c r="L46" s="244"/>
      <c r="M46" s="244"/>
      <c r="N46" s="244"/>
      <c r="O46" s="244"/>
      <c r="P46" s="244"/>
      <c r="Q46" s="244"/>
      <c r="R46" s="244"/>
      <c r="S46" s="64"/>
      <c r="T46" s="64"/>
      <c r="U46" s="64"/>
      <c r="V46" s="64"/>
      <c r="W46" s="64"/>
      <c r="X46" s="64"/>
      <c r="Y46" s="64"/>
      <c r="Z46" s="61"/>
      <c r="AA46" s="64"/>
      <c r="AB46" s="64"/>
      <c r="AC46" s="64"/>
      <c r="AD46" s="64"/>
      <c r="AE46" s="64"/>
      <c r="AF46" s="64"/>
      <c r="AG46" s="64"/>
      <c r="AH46" s="64"/>
      <c r="AI46" s="64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64"/>
      <c r="BB46" s="64"/>
      <c r="BC46" s="75"/>
      <c r="BD46" s="64"/>
      <c r="BE46" s="61"/>
      <c r="BF46" s="109">
        <f>BE46-CK46-CT46</f>
        <v>0</v>
      </c>
      <c r="BG46" s="109">
        <f>BF46</f>
        <v>0</v>
      </c>
      <c r="BH46" s="38">
        <f>BF46</f>
        <v>0</v>
      </c>
      <c r="BI46" s="38"/>
      <c r="BJ46" s="38"/>
      <c r="BK46" s="38"/>
      <c r="BL46" s="38">
        <f>BF46-BR46</f>
        <v>0</v>
      </c>
      <c r="BM46" s="64"/>
      <c r="BN46" s="64"/>
      <c r="BO46" s="64"/>
      <c r="BP46" s="64"/>
      <c r="BQ46" s="64"/>
      <c r="BR46" s="64"/>
      <c r="BS46" s="64"/>
      <c r="BT46" s="64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190">
        <f>SUM(BU46:CJ46)</f>
        <v>0</v>
      </c>
      <c r="CL46" s="37"/>
      <c r="CM46" s="37"/>
      <c r="CN46" s="37"/>
      <c r="CO46" s="37"/>
      <c r="CP46" s="37"/>
      <c r="CQ46" s="37"/>
      <c r="CR46" s="37"/>
      <c r="CS46" s="37"/>
      <c r="CT46" s="190">
        <f>SUM(CL46:CS46)</f>
        <v>0</v>
      </c>
    </row>
    <row r="47" spans="1:98" s="269" customFormat="1" x14ac:dyDescent="0.25">
      <c r="A47" s="264"/>
      <c r="B47" s="20"/>
      <c r="C47" s="64"/>
      <c r="D47" s="64"/>
      <c r="E47" s="64"/>
      <c r="F47" s="64"/>
      <c r="G47" s="64"/>
      <c r="H47" s="64"/>
      <c r="I47" s="61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1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1"/>
      <c r="BF47" s="109">
        <f>BE47-CK47-CT47</f>
        <v>0</v>
      </c>
      <c r="BG47" s="109">
        <f>BF47</f>
        <v>0</v>
      </c>
      <c r="BH47" s="38">
        <f>BF47</f>
        <v>0</v>
      </c>
      <c r="BI47" s="38"/>
      <c r="BJ47" s="38"/>
      <c r="BK47" s="38"/>
      <c r="BL47" s="38">
        <f>BF47-BR47</f>
        <v>0</v>
      </c>
      <c r="BM47" s="64"/>
      <c r="BN47" s="64"/>
      <c r="BO47" s="64"/>
      <c r="BP47" s="64"/>
      <c r="BQ47" s="64"/>
      <c r="BR47" s="64"/>
      <c r="BS47" s="64"/>
      <c r="BT47" s="64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190">
        <f>SUM(BU47:CJ47)</f>
        <v>0</v>
      </c>
      <c r="CL47" s="37"/>
      <c r="CM47" s="37"/>
      <c r="CN47" s="37"/>
      <c r="CO47" s="37"/>
      <c r="CP47" s="37"/>
      <c r="CQ47" s="37"/>
      <c r="CR47" s="37"/>
      <c r="CS47" s="37"/>
      <c r="CT47" s="190">
        <f>SUM(CL47:CS47)</f>
        <v>0</v>
      </c>
    </row>
    <row r="48" spans="1:98" s="18" customFormat="1" ht="45" customHeight="1" thickBot="1" x14ac:dyDescent="0.3">
      <c r="A48" s="527" t="s">
        <v>130</v>
      </c>
      <c r="B48" s="527"/>
      <c r="C48" s="527"/>
      <c r="D48" s="527"/>
      <c r="E48" s="527"/>
      <c r="F48" s="527"/>
      <c r="G48" s="527"/>
      <c r="H48" s="528"/>
      <c r="I48" s="61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61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6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</row>
    <row r="49" spans="1:98" s="18" customFormat="1" x14ac:dyDescent="0.25">
      <c r="A49" s="512" t="s">
        <v>36</v>
      </c>
      <c r="B49" s="111" t="s">
        <v>131</v>
      </c>
      <c r="C49" s="327" t="s">
        <v>283</v>
      </c>
      <c r="D49" s="327"/>
      <c r="E49" s="111"/>
      <c r="F49" s="111" t="s">
        <v>5</v>
      </c>
      <c r="G49" s="328"/>
      <c r="H49" s="329"/>
      <c r="I49" s="28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61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6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</row>
    <row r="50" spans="1:98" s="18" customFormat="1" x14ac:dyDescent="0.25">
      <c r="A50" s="513"/>
      <c r="B50" s="85" t="s">
        <v>132</v>
      </c>
      <c r="C50" s="38" t="s">
        <v>284</v>
      </c>
      <c r="D50" s="38"/>
      <c r="E50" s="85"/>
      <c r="F50" s="85" t="s">
        <v>5</v>
      </c>
      <c r="G50" s="64"/>
      <c r="H50" s="78"/>
      <c r="I50" s="28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61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6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</row>
    <row r="51" spans="1:98" s="18" customFormat="1" x14ac:dyDescent="0.25">
      <c r="A51" s="513"/>
      <c r="B51" s="85" t="s">
        <v>86</v>
      </c>
      <c r="C51" s="85" t="s">
        <v>93</v>
      </c>
      <c r="D51" s="85"/>
      <c r="E51" s="85"/>
      <c r="F51" s="85" t="s">
        <v>1</v>
      </c>
      <c r="G51" s="64"/>
      <c r="H51" s="78"/>
      <c r="I51" s="284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61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6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</row>
    <row r="52" spans="1:98" s="18" customFormat="1" x14ac:dyDescent="0.25">
      <c r="A52" s="513" t="s">
        <v>186</v>
      </c>
      <c r="B52" s="85" t="s">
        <v>131</v>
      </c>
      <c r="C52" s="108"/>
      <c r="D52" s="108"/>
      <c r="E52" s="107"/>
      <c r="F52" s="107"/>
      <c r="G52" s="17"/>
      <c r="H52" s="41"/>
      <c r="I52" s="284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61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6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</row>
    <row r="53" spans="1:98" s="18" customFormat="1" x14ac:dyDescent="0.25">
      <c r="A53" s="513"/>
      <c r="B53" s="85" t="s">
        <v>132</v>
      </c>
      <c r="C53" s="108"/>
      <c r="D53" s="108"/>
      <c r="E53" s="107"/>
      <c r="F53" s="107"/>
      <c r="G53" s="17"/>
      <c r="H53" s="41"/>
      <c r="I53" s="284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61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6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</row>
    <row r="54" spans="1:98" s="18" customFormat="1" x14ac:dyDescent="0.25">
      <c r="A54" s="513"/>
      <c r="B54" s="85" t="s">
        <v>86</v>
      </c>
      <c r="C54" s="107"/>
      <c r="D54" s="107"/>
      <c r="E54" s="107"/>
      <c r="F54" s="107"/>
      <c r="G54" s="17"/>
      <c r="H54" s="41"/>
      <c r="I54" s="284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61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6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</row>
    <row r="55" spans="1:98" s="18" customFormat="1" x14ac:dyDescent="0.25">
      <c r="A55" s="518"/>
      <c r="B55" s="85"/>
      <c r="C55" s="85"/>
      <c r="D55" s="85"/>
      <c r="E55" s="85"/>
      <c r="F55" s="109"/>
      <c r="G55" s="17"/>
      <c r="H55" s="41"/>
      <c r="I55" s="284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61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6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</row>
    <row r="56" spans="1:98" s="18" customFormat="1" x14ac:dyDescent="0.25">
      <c r="A56" s="519"/>
      <c r="B56" s="85"/>
      <c r="C56" s="85"/>
      <c r="D56" s="85"/>
      <c r="E56" s="85"/>
      <c r="F56" s="109"/>
      <c r="G56" s="17"/>
      <c r="H56" s="41"/>
      <c r="I56" s="284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61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6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</row>
    <row r="57" spans="1:98" s="18" customFormat="1" x14ac:dyDescent="0.25">
      <c r="A57" s="520"/>
      <c r="B57" s="85"/>
      <c r="C57" s="85"/>
      <c r="D57" s="85"/>
      <c r="E57" s="85"/>
      <c r="F57" s="109"/>
      <c r="G57" s="17"/>
      <c r="H57" s="41"/>
      <c r="I57" s="28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61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6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</row>
    <row r="58" spans="1:98" s="18" customFormat="1" x14ac:dyDescent="0.25">
      <c r="A58" s="518"/>
      <c r="B58" s="85"/>
      <c r="C58" s="85"/>
      <c r="D58" s="85"/>
      <c r="E58" s="85"/>
      <c r="F58" s="109"/>
      <c r="G58" s="17"/>
      <c r="H58" s="41"/>
      <c r="I58" s="28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61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6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</row>
    <row r="59" spans="1:98" s="18" customFormat="1" x14ac:dyDescent="0.25">
      <c r="A59" s="519"/>
      <c r="B59" s="85"/>
      <c r="C59" s="85"/>
      <c r="D59" s="85"/>
      <c r="E59" s="85"/>
      <c r="F59" s="109"/>
      <c r="G59" s="17"/>
      <c r="H59" s="41"/>
      <c r="I59" s="284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61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6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</row>
    <row r="60" spans="1:98" s="18" customFormat="1" x14ac:dyDescent="0.25">
      <c r="A60" s="520"/>
      <c r="B60" s="85"/>
      <c r="C60" s="85"/>
      <c r="D60" s="85"/>
      <c r="E60" s="85"/>
      <c r="F60" s="109"/>
      <c r="G60" s="17"/>
      <c r="H60" s="41"/>
      <c r="I60" s="284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61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6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</row>
    <row r="61" spans="1:98" s="18" customFormat="1" x14ac:dyDescent="0.25">
      <c r="A61" s="518"/>
      <c r="B61" s="85"/>
      <c r="C61" s="85"/>
      <c r="D61" s="85"/>
      <c r="E61" s="85"/>
      <c r="F61" s="109"/>
      <c r="G61" s="17"/>
      <c r="H61" s="41"/>
      <c r="I61" s="284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61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6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</row>
    <row r="62" spans="1:98" s="18" customFormat="1" x14ac:dyDescent="0.25">
      <c r="A62" s="519"/>
      <c r="B62" s="85"/>
      <c r="C62" s="85"/>
      <c r="D62" s="85"/>
      <c r="E62" s="85"/>
      <c r="F62" s="109"/>
      <c r="G62" s="17"/>
      <c r="H62" s="41"/>
      <c r="I62" s="284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61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6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</row>
    <row r="63" spans="1:98" s="18" customFormat="1" x14ac:dyDescent="0.25">
      <c r="A63" s="520"/>
      <c r="B63" s="85"/>
      <c r="C63" s="85"/>
      <c r="D63" s="85"/>
      <c r="E63" s="85"/>
      <c r="F63" s="109"/>
      <c r="G63" s="17"/>
      <c r="H63" s="41"/>
      <c r="I63" s="284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61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6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</row>
    <row r="64" spans="1:98" s="18" customFormat="1" x14ac:dyDescent="0.25">
      <c r="A64" s="293"/>
      <c r="B64" s="85"/>
      <c r="C64" s="85"/>
      <c r="D64" s="85"/>
      <c r="E64" s="85"/>
      <c r="F64" s="109"/>
      <c r="G64" s="17"/>
      <c r="H64" s="41"/>
      <c r="I64" s="284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61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6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</row>
    <row r="65" spans="1:98" s="18" customFormat="1" x14ac:dyDescent="0.25">
      <c r="A65" s="521" t="s">
        <v>18</v>
      </c>
      <c r="B65" s="71" t="s">
        <v>131</v>
      </c>
      <c r="C65" s="71"/>
      <c r="D65" s="71">
        <f>D49+D52+D55+D58+D61</f>
        <v>0</v>
      </c>
      <c r="E65" s="85"/>
      <c r="F65" s="85" t="s">
        <v>5</v>
      </c>
      <c r="G65" s="17"/>
      <c r="H65" s="41"/>
      <c r="I65" s="284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61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38"/>
      <c r="BA65" s="17"/>
      <c r="BB65" s="17"/>
      <c r="BC65" s="17"/>
      <c r="BD65" s="17"/>
      <c r="BE65" s="6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</row>
    <row r="66" spans="1:98" s="18" customFormat="1" x14ac:dyDescent="0.25">
      <c r="A66" s="521"/>
      <c r="B66" s="71" t="s">
        <v>132</v>
      </c>
      <c r="C66" s="71"/>
      <c r="D66" s="71">
        <f>D50+D53+D56+D59+D62</f>
        <v>0</v>
      </c>
      <c r="E66" s="85"/>
      <c r="F66" s="85" t="s">
        <v>5</v>
      </c>
      <c r="G66" s="17"/>
      <c r="H66" s="41"/>
      <c r="I66" s="284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61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38"/>
      <c r="BA66" s="17"/>
      <c r="BB66" s="17"/>
      <c r="BC66" s="17"/>
      <c r="BD66" s="17"/>
      <c r="BE66" s="6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</row>
    <row r="67" spans="1:98" s="18" customFormat="1" ht="17.25" thickBot="1" x14ac:dyDescent="0.3">
      <c r="A67" s="522"/>
      <c r="B67" s="119" t="s">
        <v>86</v>
      </c>
      <c r="C67" s="119"/>
      <c r="D67" s="119">
        <f>D51+D54+D57+D60+D63</f>
        <v>0</v>
      </c>
      <c r="E67" s="113"/>
      <c r="F67" s="113" t="s">
        <v>1</v>
      </c>
      <c r="G67" s="125"/>
      <c r="H67" s="126"/>
      <c r="I67" s="284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61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6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</row>
    <row r="68" spans="1:98" s="18" customFormat="1" x14ac:dyDescent="0.25">
      <c r="A68" s="117"/>
      <c r="B68" s="118"/>
      <c r="C68" s="52"/>
      <c r="D68" s="52"/>
      <c r="E68" s="52"/>
      <c r="F68" s="52"/>
      <c r="G68" s="52"/>
      <c r="H68" s="52"/>
      <c r="I68" s="61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61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6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</row>
    <row r="69" spans="1:98" s="18" customFormat="1" x14ac:dyDescent="0.25">
      <c r="A69" s="63"/>
      <c r="B69" s="65"/>
      <c r="C69" s="17"/>
      <c r="D69" s="17"/>
      <c r="E69" s="17"/>
      <c r="F69" s="17"/>
      <c r="G69" s="17"/>
      <c r="H69" s="17"/>
      <c r="I69" s="61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61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6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</row>
    <row r="70" spans="1:98" s="18" customFormat="1" ht="17.25" thickBot="1" x14ac:dyDescent="0.3">
      <c r="A70" s="139"/>
      <c r="B70" s="140"/>
      <c r="C70" s="127"/>
      <c r="D70" s="127"/>
      <c r="E70" s="127"/>
      <c r="F70" s="127"/>
      <c r="G70" s="127"/>
      <c r="H70" s="127"/>
      <c r="I70" s="61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61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6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</row>
    <row r="71" spans="1:98" s="18" customFormat="1" ht="52.5" customHeight="1" thickBot="1" x14ac:dyDescent="0.3">
      <c r="A71" s="534" t="s">
        <v>133</v>
      </c>
      <c r="B71" s="535"/>
      <c r="C71" s="535"/>
      <c r="D71" s="535"/>
      <c r="E71" s="535"/>
      <c r="F71" s="535"/>
      <c r="G71" s="535"/>
      <c r="H71" s="536"/>
      <c r="I71" s="284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61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6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</row>
    <row r="72" spans="1:98" s="18" customFormat="1" ht="33" x14ac:dyDescent="0.25">
      <c r="A72" s="523" t="s">
        <v>290</v>
      </c>
      <c r="B72" s="121" t="s">
        <v>291</v>
      </c>
      <c r="C72" s="111" t="s">
        <v>305</v>
      </c>
      <c r="D72" s="111"/>
      <c r="E72" s="111"/>
      <c r="F72" s="111" t="s">
        <v>5</v>
      </c>
      <c r="G72" s="121"/>
      <c r="H72" s="44"/>
      <c r="I72" s="284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61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6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</row>
    <row r="73" spans="1:98" s="18" customFormat="1" ht="33" x14ac:dyDescent="0.25">
      <c r="A73" s="524"/>
      <c r="B73" s="120" t="s">
        <v>292</v>
      </c>
      <c r="C73" s="85"/>
      <c r="D73" s="85"/>
      <c r="E73" s="85"/>
      <c r="F73" s="85" t="s">
        <v>5</v>
      </c>
      <c r="G73" s="120"/>
      <c r="H73" s="41"/>
      <c r="I73" s="284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61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6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</row>
    <row r="74" spans="1:98" s="18" customFormat="1" ht="49.5" x14ac:dyDescent="0.25">
      <c r="A74" s="524"/>
      <c r="B74" s="120" t="s">
        <v>293</v>
      </c>
      <c r="C74" s="85"/>
      <c r="D74" s="85"/>
      <c r="E74" s="85"/>
      <c r="F74" s="85" t="s">
        <v>5</v>
      </c>
      <c r="G74" s="120"/>
      <c r="H74" s="41"/>
      <c r="I74" s="284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61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6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</row>
    <row r="75" spans="1:98" s="18" customFormat="1" ht="33" x14ac:dyDescent="0.25">
      <c r="A75" s="524"/>
      <c r="B75" s="120" t="s">
        <v>169</v>
      </c>
      <c r="C75" s="85" t="s">
        <v>93</v>
      </c>
      <c r="D75" s="85"/>
      <c r="E75" s="85"/>
      <c r="F75" s="85" t="s">
        <v>1</v>
      </c>
      <c r="G75" s="120"/>
      <c r="H75" s="41"/>
      <c r="I75" s="284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61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6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</row>
    <row r="76" spans="1:98" s="18" customFormat="1" x14ac:dyDescent="0.25">
      <c r="A76" s="524"/>
      <c r="B76" s="120"/>
      <c r="C76" s="85"/>
      <c r="D76" s="85"/>
      <c r="E76" s="85"/>
      <c r="F76" s="85"/>
      <c r="G76" s="120"/>
      <c r="H76" s="41"/>
      <c r="I76" s="284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61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6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</row>
    <row r="77" spans="1:98" s="18" customFormat="1" x14ac:dyDescent="0.25">
      <c r="A77" s="524"/>
      <c r="B77" s="120"/>
      <c r="C77" s="85"/>
      <c r="D77" s="85"/>
      <c r="E77" s="85"/>
      <c r="F77" s="85"/>
      <c r="G77" s="120"/>
      <c r="H77" s="41"/>
      <c r="I77" s="284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61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6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</row>
    <row r="78" spans="1:98" s="18" customFormat="1" ht="17.25" thickBot="1" x14ac:dyDescent="0.3">
      <c r="A78" s="525"/>
      <c r="B78" s="322"/>
      <c r="C78" s="113"/>
      <c r="D78" s="113"/>
      <c r="E78" s="113"/>
      <c r="F78" s="113"/>
      <c r="G78" s="322"/>
      <c r="H78" s="126"/>
      <c r="I78" s="28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61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6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</row>
    <row r="79" spans="1:98" s="18" customFormat="1" ht="33" x14ac:dyDescent="0.25">
      <c r="A79" s="515" t="s">
        <v>224</v>
      </c>
      <c r="B79" s="323" t="s">
        <v>178</v>
      </c>
      <c r="C79" s="111" t="s">
        <v>288</v>
      </c>
      <c r="D79" s="111"/>
      <c r="E79" s="111"/>
      <c r="F79" s="111" t="s">
        <v>5</v>
      </c>
      <c r="G79" s="121"/>
      <c r="H79" s="44"/>
      <c r="I79" s="28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61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6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</row>
    <row r="80" spans="1:98" s="18" customFormat="1" ht="33" x14ac:dyDescent="0.25">
      <c r="A80" s="516"/>
      <c r="B80" s="324" t="s">
        <v>189</v>
      </c>
      <c r="C80" s="85"/>
      <c r="D80" s="85"/>
      <c r="E80" s="85"/>
      <c r="F80" s="85" t="s">
        <v>5</v>
      </c>
      <c r="G80" s="120"/>
      <c r="H80" s="41"/>
      <c r="I80" s="284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61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6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</row>
    <row r="81" spans="1:98" s="18" customFormat="1" ht="49.5" x14ac:dyDescent="0.25">
      <c r="A81" s="516"/>
      <c r="B81" s="324" t="s">
        <v>180</v>
      </c>
      <c r="C81" s="85"/>
      <c r="D81" s="85"/>
      <c r="E81" s="85"/>
      <c r="F81" s="85" t="s">
        <v>5</v>
      </c>
      <c r="G81" s="120"/>
      <c r="H81" s="41"/>
      <c r="I81" s="28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61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6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</row>
    <row r="82" spans="1:98" s="18" customFormat="1" ht="33" x14ac:dyDescent="0.25">
      <c r="A82" s="516"/>
      <c r="B82" s="324" t="s">
        <v>169</v>
      </c>
      <c r="C82" s="85"/>
      <c r="D82" s="85"/>
      <c r="E82" s="85"/>
      <c r="F82" s="85" t="s">
        <v>1</v>
      </c>
      <c r="G82" s="120"/>
      <c r="H82" s="41"/>
      <c r="I82" s="284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61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6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</row>
    <row r="83" spans="1:98" s="18" customFormat="1" x14ac:dyDescent="0.25">
      <c r="A83" s="516"/>
      <c r="B83" s="324"/>
      <c r="C83" s="85"/>
      <c r="D83" s="85"/>
      <c r="E83" s="85"/>
      <c r="F83" s="85"/>
      <c r="G83" s="120"/>
      <c r="H83" s="41"/>
      <c r="I83" s="284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61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6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</row>
    <row r="84" spans="1:98" s="18" customFormat="1" x14ac:dyDescent="0.25">
      <c r="A84" s="516"/>
      <c r="B84" s="324"/>
      <c r="C84" s="85"/>
      <c r="D84" s="85"/>
      <c r="E84" s="85"/>
      <c r="F84" s="85"/>
      <c r="G84" s="120"/>
      <c r="H84" s="41"/>
      <c r="I84" s="284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61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6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</row>
    <row r="85" spans="1:98" s="18" customFormat="1" ht="17.25" thickBot="1" x14ac:dyDescent="0.3">
      <c r="A85" s="517"/>
      <c r="B85" s="325"/>
      <c r="C85" s="113"/>
      <c r="D85" s="113"/>
      <c r="E85" s="113"/>
      <c r="F85" s="113"/>
      <c r="G85" s="322"/>
      <c r="H85" s="126"/>
      <c r="I85" s="284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61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6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</row>
    <row r="86" spans="1:98" s="18" customFormat="1" ht="33" x14ac:dyDescent="0.25">
      <c r="A86" s="512" t="s">
        <v>174</v>
      </c>
      <c r="B86" s="121" t="s">
        <v>178</v>
      </c>
      <c r="C86" s="111" t="s">
        <v>289</v>
      </c>
      <c r="D86" s="111"/>
      <c r="E86" s="111"/>
      <c r="F86" s="111" t="s">
        <v>5</v>
      </c>
      <c r="G86" s="121"/>
      <c r="H86" s="44"/>
      <c r="I86" s="284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61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6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</row>
    <row r="87" spans="1:98" s="18" customFormat="1" ht="33" x14ac:dyDescent="0.25">
      <c r="A87" s="513"/>
      <c r="B87" s="120" t="s">
        <v>179</v>
      </c>
      <c r="C87" s="85"/>
      <c r="D87" s="85"/>
      <c r="E87" s="85"/>
      <c r="F87" s="85" t="s">
        <v>5</v>
      </c>
      <c r="G87" s="120"/>
      <c r="H87" s="41"/>
      <c r="I87" s="284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61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6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</row>
    <row r="88" spans="1:98" s="18" customFormat="1" ht="49.5" x14ac:dyDescent="0.25">
      <c r="A88" s="513"/>
      <c r="B88" s="120" t="s">
        <v>180</v>
      </c>
      <c r="C88" s="85"/>
      <c r="D88" s="85"/>
      <c r="E88" s="85"/>
      <c r="F88" s="85" t="s">
        <v>5</v>
      </c>
      <c r="G88" s="120"/>
      <c r="H88" s="41"/>
      <c r="I88" s="284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61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6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</row>
    <row r="89" spans="1:98" s="18" customFormat="1" ht="33" x14ac:dyDescent="0.25">
      <c r="A89" s="513"/>
      <c r="B89" s="120" t="s">
        <v>169</v>
      </c>
      <c r="C89" s="85"/>
      <c r="D89" s="85"/>
      <c r="E89" s="85"/>
      <c r="F89" s="85" t="s">
        <v>1</v>
      </c>
      <c r="G89" s="120"/>
      <c r="H89" s="41"/>
      <c r="I89" s="284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61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6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</row>
    <row r="90" spans="1:98" s="18" customFormat="1" x14ac:dyDescent="0.25">
      <c r="A90" s="513"/>
      <c r="B90" s="120"/>
      <c r="C90" s="85"/>
      <c r="D90" s="85"/>
      <c r="E90" s="85"/>
      <c r="F90" s="85"/>
      <c r="G90" s="120"/>
      <c r="H90" s="41"/>
      <c r="I90" s="28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61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6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</row>
    <row r="91" spans="1:98" s="18" customFormat="1" x14ac:dyDescent="0.25">
      <c r="A91" s="513"/>
      <c r="B91" s="120"/>
      <c r="C91" s="85"/>
      <c r="D91" s="85"/>
      <c r="E91" s="85"/>
      <c r="F91" s="85"/>
      <c r="G91" s="120"/>
      <c r="H91" s="41"/>
      <c r="I91" s="28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61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6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</row>
    <row r="92" spans="1:98" s="18" customFormat="1" ht="17.25" thickBot="1" x14ac:dyDescent="0.3">
      <c r="A92" s="514"/>
      <c r="B92" s="322"/>
      <c r="C92" s="113"/>
      <c r="D92" s="113"/>
      <c r="E92" s="113"/>
      <c r="F92" s="113"/>
      <c r="G92" s="322"/>
      <c r="H92" s="126"/>
      <c r="I92" s="28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61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6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</row>
    <row r="93" spans="1:98" s="18" customFormat="1" ht="33" x14ac:dyDescent="0.25">
      <c r="A93" s="512" t="s">
        <v>173</v>
      </c>
      <c r="B93" s="121" t="s">
        <v>178</v>
      </c>
      <c r="C93" s="121"/>
      <c r="D93" s="111"/>
      <c r="E93" s="111"/>
      <c r="F93" s="111" t="s">
        <v>5</v>
      </c>
      <c r="G93" s="43"/>
      <c r="H93" s="44"/>
      <c r="I93" s="28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61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6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</row>
    <row r="94" spans="1:98" s="18" customFormat="1" ht="33" x14ac:dyDescent="0.25">
      <c r="A94" s="513"/>
      <c r="B94" s="120" t="s">
        <v>181</v>
      </c>
      <c r="C94" s="120"/>
      <c r="D94" s="85"/>
      <c r="E94" s="85"/>
      <c r="F94" s="85" t="s">
        <v>5</v>
      </c>
      <c r="G94" s="17"/>
      <c r="H94" s="41"/>
      <c r="I94" s="28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61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6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</row>
    <row r="95" spans="1:98" s="18" customFormat="1" ht="49.5" x14ac:dyDescent="0.25">
      <c r="A95" s="513"/>
      <c r="B95" s="120" t="s">
        <v>182</v>
      </c>
      <c r="C95" s="120"/>
      <c r="D95" s="85"/>
      <c r="E95" s="85"/>
      <c r="F95" s="85" t="s">
        <v>5</v>
      </c>
      <c r="G95" s="17"/>
      <c r="H95" s="41"/>
      <c r="I95" s="28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61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6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</row>
    <row r="96" spans="1:98" s="18" customFormat="1" ht="33" x14ac:dyDescent="0.25">
      <c r="A96" s="513"/>
      <c r="B96" s="120" t="s">
        <v>169</v>
      </c>
      <c r="C96" s="120"/>
      <c r="D96" s="85"/>
      <c r="E96" s="85"/>
      <c r="F96" s="85" t="s">
        <v>1</v>
      </c>
      <c r="G96" s="17"/>
      <c r="H96" s="41"/>
      <c r="I96" s="28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61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6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</row>
    <row r="97" spans="1:99" s="18" customFormat="1" x14ac:dyDescent="0.25">
      <c r="A97" s="513"/>
      <c r="B97" s="112"/>
      <c r="C97" s="85"/>
      <c r="D97" s="85"/>
      <c r="E97" s="85"/>
      <c r="F97" s="17"/>
      <c r="G97" s="17"/>
      <c r="H97" s="41"/>
      <c r="I97" s="28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61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6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</row>
    <row r="98" spans="1:99" s="18" customFormat="1" x14ac:dyDescent="0.25">
      <c r="A98" s="513"/>
      <c r="B98" s="112"/>
      <c r="C98" s="85"/>
      <c r="D98" s="85"/>
      <c r="E98" s="85"/>
      <c r="F98" s="17"/>
      <c r="G98" s="17"/>
      <c r="H98" s="41"/>
      <c r="I98" s="28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61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6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</row>
    <row r="99" spans="1:99" s="18" customFormat="1" ht="17.25" thickBot="1" x14ac:dyDescent="0.3">
      <c r="A99" s="514"/>
      <c r="B99" s="326"/>
      <c r="C99" s="113"/>
      <c r="D99" s="113"/>
      <c r="E99" s="113"/>
      <c r="F99" s="125"/>
      <c r="G99" s="125"/>
      <c r="H99" s="126"/>
      <c r="I99" s="28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61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6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</row>
    <row r="100" spans="1:99" s="18" customFormat="1" ht="33" x14ac:dyDescent="0.25">
      <c r="A100" s="526" t="s">
        <v>134</v>
      </c>
      <c r="B100" s="124" t="s">
        <v>175</v>
      </c>
      <c r="C100" s="124"/>
      <c r="D100" s="389">
        <f>D72+D79+D86+D93</f>
        <v>0</v>
      </c>
      <c r="E100" s="114"/>
      <c r="F100" s="114" t="s">
        <v>5</v>
      </c>
      <c r="G100" s="114"/>
      <c r="H100" s="44"/>
      <c r="I100" s="28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61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6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</row>
    <row r="101" spans="1:99" s="18" customFormat="1" ht="33" x14ac:dyDescent="0.25">
      <c r="A101" s="521"/>
      <c r="B101" s="123" t="s">
        <v>176</v>
      </c>
      <c r="C101" s="123"/>
      <c r="D101" s="381">
        <f>D73+D80+D87+D94</f>
        <v>0</v>
      </c>
      <c r="E101" s="115"/>
      <c r="F101" s="115" t="s">
        <v>5</v>
      </c>
      <c r="G101" s="115"/>
      <c r="H101" s="41"/>
      <c r="I101" s="284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61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6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</row>
    <row r="102" spans="1:99" s="18" customFormat="1" ht="49.5" x14ac:dyDescent="0.25">
      <c r="A102" s="521"/>
      <c r="B102" s="123" t="s">
        <v>177</v>
      </c>
      <c r="C102" s="123"/>
      <c r="D102" s="381">
        <f>D74+D81+D88+D95</f>
        <v>0</v>
      </c>
      <c r="E102" s="115"/>
      <c r="F102" s="115" t="s">
        <v>5</v>
      </c>
      <c r="G102" s="115"/>
      <c r="H102" s="41"/>
      <c r="I102" s="284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61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6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</row>
    <row r="103" spans="1:99" s="18" customFormat="1" ht="33" x14ac:dyDescent="0.25">
      <c r="A103" s="521"/>
      <c r="B103" s="123" t="s">
        <v>169</v>
      </c>
      <c r="C103" s="123"/>
      <c r="D103" s="381">
        <f>D75+D82+D89+D96</f>
        <v>0</v>
      </c>
      <c r="E103" s="115"/>
      <c r="F103" s="115" t="s">
        <v>1</v>
      </c>
      <c r="G103" s="115"/>
      <c r="H103" s="41"/>
      <c r="I103" s="284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61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6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</row>
    <row r="104" spans="1:99" s="18" customFormat="1" ht="17.25" thickBot="1" x14ac:dyDescent="0.3">
      <c r="A104" s="522"/>
      <c r="B104" s="259"/>
      <c r="C104" s="259"/>
      <c r="D104" s="258"/>
      <c r="E104" s="258"/>
      <c r="F104" s="258"/>
      <c r="G104" s="258"/>
      <c r="H104" s="126"/>
      <c r="I104" s="284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61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6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</row>
    <row r="105" spans="1:99" s="18" customFormat="1" x14ac:dyDescent="0.25">
      <c r="A105" s="261"/>
      <c r="B105" s="261"/>
      <c r="C105" s="261"/>
      <c r="D105" s="261"/>
      <c r="E105" s="261"/>
      <c r="F105" s="261"/>
      <c r="G105" s="261"/>
      <c r="H105" s="261"/>
      <c r="I105" s="61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61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6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</row>
    <row r="106" spans="1:99" s="18" customFormat="1" x14ac:dyDescent="0.25">
      <c r="A106" s="261"/>
      <c r="B106" s="261"/>
      <c r="C106" s="261"/>
      <c r="D106" s="261"/>
      <c r="E106" s="261"/>
      <c r="F106" s="261"/>
      <c r="G106" s="261"/>
      <c r="H106" s="261"/>
      <c r="I106" s="61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61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6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</row>
    <row r="107" spans="1:99" s="18" customFormat="1" x14ac:dyDescent="0.25">
      <c r="A107" s="261"/>
      <c r="B107" s="261"/>
      <c r="C107" s="261"/>
      <c r="D107" s="261"/>
      <c r="E107" s="261"/>
      <c r="F107" s="261"/>
      <c r="G107" s="261"/>
      <c r="H107" s="261"/>
      <c r="I107" s="61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61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6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</row>
    <row r="108" spans="1:99" s="18" customFormat="1" x14ac:dyDescent="0.25">
      <c r="A108" s="261"/>
      <c r="B108" s="261"/>
      <c r="C108" s="261"/>
      <c r="D108" s="261"/>
      <c r="E108" s="261"/>
      <c r="F108" s="261"/>
      <c r="G108" s="261"/>
      <c r="H108" s="261"/>
      <c r="I108" s="61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61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6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</row>
    <row r="109" spans="1:99" s="18" customFormat="1" x14ac:dyDescent="0.25">
      <c r="A109" s="36"/>
      <c r="B109" s="36"/>
      <c r="C109" s="36"/>
      <c r="D109" s="36"/>
      <c r="E109" s="36"/>
      <c r="F109" s="36"/>
      <c r="G109" s="36"/>
      <c r="H109" s="36"/>
      <c r="I109" s="61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61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6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</row>
    <row r="110" spans="1:99" x14ac:dyDescent="0.25">
      <c r="A110" s="50"/>
      <c r="B110" s="46"/>
      <c r="C110" s="17"/>
      <c r="D110" s="17"/>
      <c r="E110" s="17"/>
      <c r="F110" s="17"/>
      <c r="G110" s="17"/>
      <c r="H110" s="17"/>
      <c r="I110" s="61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61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6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72"/>
      <c r="BV110" s="72"/>
      <c r="BW110" s="72"/>
      <c r="BX110" s="72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72"/>
      <c r="CL110" s="72"/>
      <c r="CM110" s="72"/>
      <c r="CN110" s="72"/>
      <c r="CO110" s="91"/>
      <c r="CP110" s="91"/>
      <c r="CQ110" s="72"/>
      <c r="CR110" s="72"/>
      <c r="CS110" s="72"/>
      <c r="CT110" s="72"/>
    </row>
    <row r="111" spans="1:99" s="10" customFormat="1" ht="52.5" customHeight="1" x14ac:dyDescent="0.25">
      <c r="A111" s="54"/>
      <c r="B111" s="48"/>
      <c r="C111" s="13"/>
      <c r="D111" s="13"/>
      <c r="E111" s="13"/>
      <c r="F111" s="13"/>
      <c r="G111" s="13"/>
      <c r="H111" s="13"/>
      <c r="I111" s="245">
        <f t="shared" ref="I111:AN111" si="12">SUM(I10:I110)</f>
        <v>403.07</v>
      </c>
      <c r="J111" s="12">
        <f t="shared" si="12"/>
        <v>0</v>
      </c>
      <c r="K111" s="12">
        <f t="shared" si="12"/>
        <v>0</v>
      </c>
      <c r="L111" s="12">
        <f t="shared" si="12"/>
        <v>0</v>
      </c>
      <c r="M111" s="12">
        <f t="shared" si="12"/>
        <v>25.959999999999997</v>
      </c>
      <c r="N111" s="12">
        <f t="shared" si="12"/>
        <v>25.959999999999997</v>
      </c>
      <c r="O111" s="12">
        <f t="shared" si="12"/>
        <v>325.90999999999997</v>
      </c>
      <c r="P111" s="12">
        <f t="shared" si="12"/>
        <v>0</v>
      </c>
      <c r="Q111" s="12">
        <f t="shared" si="12"/>
        <v>0</v>
      </c>
      <c r="R111" s="12">
        <f t="shared" si="12"/>
        <v>40.300000000000004</v>
      </c>
      <c r="S111" s="12">
        <f t="shared" si="12"/>
        <v>285.60999999999996</v>
      </c>
      <c r="T111" s="12">
        <f t="shared" si="12"/>
        <v>0</v>
      </c>
      <c r="U111" s="12">
        <f t="shared" si="12"/>
        <v>71</v>
      </c>
      <c r="V111" s="12">
        <f t="shared" si="12"/>
        <v>0</v>
      </c>
      <c r="W111" s="12">
        <f t="shared" si="12"/>
        <v>0</v>
      </c>
      <c r="X111" s="12">
        <f t="shared" si="12"/>
        <v>360.29999999999995</v>
      </c>
      <c r="Y111" s="12">
        <f t="shared" si="12"/>
        <v>0</v>
      </c>
      <c r="Z111" s="245">
        <f t="shared" si="12"/>
        <v>444.57</v>
      </c>
      <c r="AA111" s="12">
        <f t="shared" si="12"/>
        <v>444.57</v>
      </c>
      <c r="AB111" s="12">
        <f t="shared" si="12"/>
        <v>0</v>
      </c>
      <c r="AC111" s="12">
        <f t="shared" si="12"/>
        <v>0</v>
      </c>
      <c r="AD111" s="12">
        <f t="shared" si="12"/>
        <v>0</v>
      </c>
      <c r="AE111" s="12">
        <f t="shared" si="12"/>
        <v>0</v>
      </c>
      <c r="AF111" s="12">
        <f t="shared" si="12"/>
        <v>0</v>
      </c>
      <c r="AG111" s="12">
        <f t="shared" si="12"/>
        <v>0</v>
      </c>
      <c r="AH111" s="12">
        <f t="shared" si="12"/>
        <v>0</v>
      </c>
      <c r="AI111" s="12">
        <f t="shared" si="12"/>
        <v>0</v>
      </c>
      <c r="AJ111" s="12">
        <f t="shared" si="12"/>
        <v>444.57</v>
      </c>
      <c r="AK111" s="12">
        <f t="shared" si="12"/>
        <v>0</v>
      </c>
      <c r="AL111" s="12">
        <f t="shared" si="12"/>
        <v>0</v>
      </c>
      <c r="AM111" s="12">
        <f t="shared" si="12"/>
        <v>0</v>
      </c>
      <c r="AN111" s="12">
        <f t="shared" si="12"/>
        <v>0</v>
      </c>
      <c r="AO111" s="12">
        <f t="shared" ref="AO111:BT111" si="13">SUM(AO10:AO110)</f>
        <v>0</v>
      </c>
      <c r="AP111" s="12">
        <f t="shared" si="13"/>
        <v>0</v>
      </c>
      <c r="AQ111" s="12">
        <f t="shared" si="13"/>
        <v>0</v>
      </c>
      <c r="AR111" s="12">
        <f t="shared" si="13"/>
        <v>0</v>
      </c>
      <c r="AS111" s="12">
        <f t="shared" si="13"/>
        <v>0</v>
      </c>
      <c r="AT111" s="12">
        <f t="shared" si="13"/>
        <v>0</v>
      </c>
      <c r="AU111" s="12">
        <f t="shared" si="13"/>
        <v>280.66999999999996</v>
      </c>
      <c r="AV111" s="12">
        <f t="shared" si="13"/>
        <v>0</v>
      </c>
      <c r="AW111" s="12">
        <f t="shared" si="13"/>
        <v>0</v>
      </c>
      <c r="AX111" s="12">
        <f t="shared" si="13"/>
        <v>48.1</v>
      </c>
      <c r="AY111" s="12">
        <f t="shared" si="13"/>
        <v>0</v>
      </c>
      <c r="AZ111" s="12">
        <f t="shared" si="13"/>
        <v>112.5</v>
      </c>
      <c r="BA111" s="12">
        <f t="shared" si="13"/>
        <v>3.3000000000000003</v>
      </c>
      <c r="BB111" s="12">
        <f t="shared" si="13"/>
        <v>0</v>
      </c>
      <c r="BC111" s="12">
        <f t="shared" si="13"/>
        <v>189.79999999999998</v>
      </c>
      <c r="BD111" s="12">
        <f t="shared" si="13"/>
        <v>260.59999999999997</v>
      </c>
      <c r="BE111" s="245">
        <f t="shared" si="13"/>
        <v>1320.52</v>
      </c>
      <c r="BF111" s="245">
        <f t="shared" si="13"/>
        <v>1176.2075</v>
      </c>
      <c r="BG111" s="12">
        <f t="shared" si="13"/>
        <v>1176.2075</v>
      </c>
      <c r="BH111" s="12">
        <f t="shared" si="13"/>
        <v>1176.2075</v>
      </c>
      <c r="BI111" s="12">
        <f t="shared" si="13"/>
        <v>0</v>
      </c>
      <c r="BJ111" s="12">
        <f t="shared" si="13"/>
        <v>0</v>
      </c>
      <c r="BK111" s="12">
        <f t="shared" si="13"/>
        <v>0</v>
      </c>
      <c r="BL111" s="12">
        <f t="shared" si="13"/>
        <v>981.20749999999998</v>
      </c>
      <c r="BM111" s="12">
        <f t="shared" si="13"/>
        <v>0</v>
      </c>
      <c r="BN111" s="12">
        <f t="shared" si="13"/>
        <v>0</v>
      </c>
      <c r="BO111" s="12">
        <f t="shared" si="13"/>
        <v>0</v>
      </c>
      <c r="BP111" s="12">
        <f t="shared" si="13"/>
        <v>0</v>
      </c>
      <c r="BQ111" s="12">
        <f t="shared" si="13"/>
        <v>0</v>
      </c>
      <c r="BR111" s="12">
        <f t="shared" si="13"/>
        <v>194.99999999999994</v>
      </c>
      <c r="BS111" s="12">
        <f t="shared" si="13"/>
        <v>0</v>
      </c>
      <c r="BT111" s="12">
        <f t="shared" si="13"/>
        <v>0</v>
      </c>
      <c r="BU111" s="388">
        <f t="shared" ref="BU111:CE111" si="14">SUM(BU10:BU110)</f>
        <v>32.999999999999993</v>
      </c>
      <c r="BV111" s="388">
        <f t="shared" si="14"/>
        <v>19.8</v>
      </c>
      <c r="BW111" s="388">
        <f t="shared" si="14"/>
        <v>4.1999999999999993</v>
      </c>
      <c r="BX111" s="388">
        <f t="shared" si="14"/>
        <v>3.7800000000000002</v>
      </c>
      <c r="BY111" s="388">
        <f t="shared" si="14"/>
        <v>20.160000000000004</v>
      </c>
      <c r="BZ111" s="388">
        <f t="shared" si="14"/>
        <v>5.6</v>
      </c>
      <c r="CA111" s="388">
        <f t="shared" si="14"/>
        <v>7.2799999999999994</v>
      </c>
      <c r="CB111" s="388">
        <f t="shared" si="14"/>
        <v>0</v>
      </c>
      <c r="CC111" s="388">
        <f t="shared" si="14"/>
        <v>0</v>
      </c>
      <c r="CD111" s="388">
        <f t="shared" si="14"/>
        <v>0</v>
      </c>
      <c r="CE111" s="388">
        <f t="shared" si="14"/>
        <v>0</v>
      </c>
      <c r="CF111" s="388"/>
      <c r="CG111" s="388"/>
      <c r="CH111" s="388">
        <f>SUM(CH10:CH110)</f>
        <v>0</v>
      </c>
      <c r="CI111" s="388">
        <f>SUM(CI10:CI110)</f>
        <v>0</v>
      </c>
      <c r="CJ111" s="388">
        <f>SUM(CJ10:CJ110)</f>
        <v>0</v>
      </c>
      <c r="CK111" s="245"/>
      <c r="CL111" s="388">
        <f>SUM(CL10:CL110)</f>
        <v>43.35</v>
      </c>
      <c r="CM111" s="388">
        <f>SUM(CM10:CM110)</f>
        <v>3.0625</v>
      </c>
      <c r="CN111" s="388">
        <f>SUM(CN10:CN110)</f>
        <v>4.08</v>
      </c>
      <c r="CO111" s="388"/>
      <c r="CP111" s="388"/>
      <c r="CQ111" s="388">
        <f>SUM(CQ10:CQ110)</f>
        <v>0</v>
      </c>
      <c r="CR111" s="388">
        <f>SUM(CR10:CR110)</f>
        <v>0</v>
      </c>
      <c r="CS111" s="12">
        <f>SUM(CS10:CS110)</f>
        <v>0</v>
      </c>
      <c r="CT111" s="245"/>
    </row>
    <row r="112" spans="1:99" s="2" customFormat="1" x14ac:dyDescent="0.25">
      <c r="A112" s="55"/>
      <c r="B112" s="4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397"/>
      <c r="N112" s="397"/>
      <c r="O112" s="397"/>
      <c r="P112" s="17"/>
      <c r="Q112" s="17"/>
      <c r="R112" s="397"/>
      <c r="S112" s="397"/>
      <c r="T112" s="17"/>
      <c r="U112" s="397"/>
      <c r="V112" s="17"/>
      <c r="W112" s="17"/>
      <c r="X112" s="397"/>
      <c r="Y112" s="17"/>
      <c r="Z112" s="17"/>
      <c r="AA112" s="397"/>
      <c r="AB112" s="17"/>
      <c r="AC112" s="17"/>
      <c r="AD112" s="17"/>
      <c r="AE112" s="17"/>
      <c r="AF112" s="17"/>
      <c r="AG112" s="17"/>
      <c r="AH112" s="17"/>
      <c r="AI112" s="416"/>
      <c r="AJ112" s="397"/>
      <c r="AK112" s="17"/>
      <c r="AL112" s="416"/>
      <c r="AM112" s="17"/>
      <c r="AN112" s="17"/>
      <c r="AO112" s="17"/>
      <c r="AP112" s="17"/>
      <c r="AQ112" s="17"/>
      <c r="AR112" s="17"/>
      <c r="AS112" s="17"/>
      <c r="AT112" s="17"/>
      <c r="AU112" s="397"/>
      <c r="AV112" s="17"/>
      <c r="AW112" s="17"/>
      <c r="AX112" s="397"/>
      <c r="AY112" s="17"/>
      <c r="AZ112" s="397"/>
      <c r="BA112" s="397"/>
      <c r="BB112" s="17"/>
      <c r="BC112" s="397"/>
      <c r="BD112" s="397"/>
      <c r="BE112" s="17"/>
      <c r="BF112" s="17"/>
      <c r="BG112" s="397"/>
      <c r="BH112" s="397"/>
      <c r="BI112" s="17"/>
      <c r="BJ112" s="17"/>
      <c r="BK112" s="17"/>
      <c r="BL112" s="397"/>
      <c r="BM112" s="17"/>
      <c r="BN112" s="17"/>
      <c r="BO112" s="17"/>
      <c r="BP112" s="17"/>
      <c r="BQ112" s="17"/>
      <c r="BR112" s="39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8"/>
    </row>
    <row r="113" spans="1:98" s="344" customFormat="1" x14ac:dyDescent="0.25">
      <c r="A113" s="351"/>
      <c r="B113" s="352" t="s">
        <v>269</v>
      </c>
      <c r="C113" s="256"/>
      <c r="D113" s="245" t="s">
        <v>5</v>
      </c>
      <c r="E113" s="245" t="s">
        <v>4</v>
      </c>
      <c r="F113" s="66"/>
      <c r="G113" s="66"/>
      <c r="H113" s="66"/>
      <c r="I113" s="338"/>
      <c r="J113" s="66"/>
      <c r="K113" s="396">
        <v>188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338"/>
      <c r="AA113" s="339"/>
      <c r="AB113" s="396">
        <v>11</v>
      </c>
      <c r="AC113" s="396">
        <v>190</v>
      </c>
      <c r="AD113" s="339"/>
      <c r="AE113" s="339"/>
      <c r="AF113" s="396">
        <v>196</v>
      </c>
      <c r="AG113" s="339"/>
      <c r="AH113" s="339"/>
      <c r="AI113" s="339"/>
      <c r="AJ113" s="66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66"/>
      <c r="BB113" s="66"/>
      <c r="BC113" s="66"/>
      <c r="BD113" s="66"/>
      <c r="BE113" s="338"/>
      <c r="BF113" s="340"/>
      <c r="BG113" s="340"/>
      <c r="BH113" s="108"/>
      <c r="BI113" s="108"/>
      <c r="BJ113" s="108"/>
      <c r="BK113" s="108"/>
      <c r="BL113" s="108"/>
      <c r="BM113" s="339"/>
      <c r="BN113" s="339"/>
      <c r="BO113" s="66"/>
      <c r="BP113" s="339"/>
      <c r="BQ113" s="396">
        <f>(1+1)*1.2</f>
        <v>2.4</v>
      </c>
      <c r="BR113" s="66"/>
      <c r="BS113" s="342"/>
      <c r="BT113" s="66"/>
      <c r="BU113" s="343"/>
      <c r="BV113" s="343"/>
      <c r="BW113" s="343"/>
      <c r="BX113" s="343"/>
      <c r="BY113" s="343"/>
      <c r="BZ113" s="343"/>
      <c r="CA113" s="343"/>
      <c r="CB113" s="343"/>
      <c r="CC113" s="343"/>
      <c r="CD113" s="343"/>
      <c r="CE113" s="343"/>
      <c r="CF113" s="343"/>
      <c r="CG113" s="343"/>
      <c r="CH113" s="343"/>
      <c r="CI113" s="399">
        <f>0.9*2.2*11</f>
        <v>21.78</v>
      </c>
      <c r="CJ113" s="343"/>
      <c r="CK113" s="341"/>
      <c r="CL113" s="343"/>
      <c r="CM113" s="343"/>
      <c r="CN113" s="343"/>
      <c r="CO113" s="343"/>
      <c r="CP113" s="343"/>
      <c r="CQ113" s="343"/>
      <c r="CR113" s="399">
        <f>0.9*1.35*3+0.85*1.35*5+0.9*1.45*9+1.8*1.8*1</f>
        <v>24.3675</v>
      </c>
      <c r="CS113" s="343"/>
      <c r="CT113" s="341"/>
    </row>
    <row r="114" spans="1:98" s="394" customFormat="1" x14ac:dyDescent="0.25">
      <c r="A114" s="390"/>
      <c r="B114" s="391"/>
      <c r="C114" s="244"/>
      <c r="D114" s="392"/>
      <c r="E114" s="392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40"/>
      <c r="BG114" s="340"/>
      <c r="BH114" s="108"/>
      <c r="BI114" s="108"/>
      <c r="BJ114" s="108"/>
      <c r="BK114" s="108"/>
      <c r="BL114" s="108"/>
      <c r="BM114" s="339"/>
      <c r="BN114" s="339"/>
      <c r="BO114" s="339"/>
      <c r="BP114" s="339"/>
      <c r="BQ114" s="339"/>
      <c r="BR114" s="339"/>
      <c r="BS114" s="393"/>
      <c r="BT114" s="339"/>
      <c r="BU114" s="340"/>
      <c r="BV114" s="340"/>
      <c r="BW114" s="340"/>
      <c r="BX114" s="340"/>
      <c r="BY114" s="340"/>
      <c r="BZ114" s="340"/>
      <c r="CA114" s="340"/>
      <c r="CB114" s="340"/>
      <c r="CC114" s="340"/>
      <c r="CD114" s="340"/>
      <c r="CE114" s="340"/>
      <c r="CF114" s="340"/>
      <c r="CG114" s="340"/>
      <c r="CH114" s="340"/>
      <c r="CI114" s="340"/>
      <c r="CJ114" s="340"/>
      <c r="CK114" s="340"/>
      <c r="CL114" s="340"/>
      <c r="CM114" s="340"/>
      <c r="CN114" s="340"/>
      <c r="CO114" s="340"/>
      <c r="CP114" s="340"/>
      <c r="CQ114" s="340"/>
      <c r="CR114" s="340"/>
      <c r="CS114" s="340"/>
      <c r="CT114" s="340"/>
    </row>
    <row r="115" spans="1:98" ht="49.5" x14ac:dyDescent="0.25">
      <c r="A115" s="63"/>
      <c r="B115" s="279" t="s">
        <v>219</v>
      </c>
      <c r="C115" s="75" t="s">
        <v>227</v>
      </c>
      <c r="D115" s="75">
        <f>(12.8+0.15+3.3+0.15+3.1+0.15)* 2.8+ 3.4*2.8 + 6.25*2.8</f>
        <v>82.039999999999992</v>
      </c>
      <c r="E115" s="396">
        <f>(12.8+0.15+3.3+0.15+3.1+0.15)* 2.8*0.3+ 3.4*2.8*0.2 + 6.25*2.8*0.15</f>
        <v>21.034999999999997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</row>
    <row r="116" spans="1:98" ht="31.5" x14ac:dyDescent="0.25">
      <c r="A116" s="63"/>
      <c r="B116" s="279" t="s">
        <v>225</v>
      </c>
      <c r="C116" s="75" t="s">
        <v>226</v>
      </c>
      <c r="D116" s="75">
        <f>(1.7*1.7-0.85*1.4)*  (3+5+9+1)</f>
        <v>30.599999999999994</v>
      </c>
      <c r="E116" s="396">
        <f>(1.7*1.7-0.85*1.4)*  (3+5+9+1)*0.3</f>
        <v>9.1799999999999979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</row>
    <row r="117" spans="1:98" ht="31.5" x14ac:dyDescent="0.25">
      <c r="A117" s="63"/>
      <c r="B117" s="279" t="s">
        <v>221</v>
      </c>
      <c r="C117" s="75"/>
      <c r="D117" s="75"/>
      <c r="E117" s="396">
        <v>4</v>
      </c>
      <c r="F117" s="45" t="s">
        <v>2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</row>
    <row r="118" spans="1:98" ht="31.5" x14ac:dyDescent="0.25">
      <c r="A118" s="63"/>
      <c r="B118" s="279" t="s">
        <v>220</v>
      </c>
      <c r="C118" s="75"/>
      <c r="D118" s="75" t="s">
        <v>241</v>
      </c>
      <c r="E118" s="396">
        <f>8*1+1*2</f>
        <v>10</v>
      </c>
      <c r="F118" s="45" t="s">
        <v>1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</row>
    <row r="119" spans="1:98" s="394" customFormat="1" x14ac:dyDescent="0.25">
      <c r="A119" s="390"/>
      <c r="B119" s="391"/>
      <c r="C119" s="244"/>
      <c r="D119" s="392"/>
      <c r="E119" s="392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40"/>
      <c r="BG119" s="340"/>
      <c r="BH119" s="108"/>
      <c r="BI119" s="108"/>
      <c r="BJ119" s="108"/>
      <c r="BK119" s="108"/>
      <c r="BL119" s="108"/>
      <c r="BM119" s="339"/>
      <c r="BN119" s="339"/>
      <c r="BO119" s="339"/>
      <c r="BP119" s="339"/>
      <c r="BQ119" s="339"/>
      <c r="BR119" s="339"/>
      <c r="BS119" s="393"/>
      <c r="BT119" s="339"/>
      <c r="BU119" s="340"/>
      <c r="BV119" s="340"/>
      <c r="BW119" s="340"/>
      <c r="BX119" s="340"/>
      <c r="BY119" s="340"/>
      <c r="BZ119" s="340"/>
      <c r="CA119" s="340"/>
      <c r="CB119" s="340"/>
      <c r="CC119" s="340"/>
      <c r="CD119" s="340"/>
      <c r="CE119" s="340"/>
      <c r="CF119" s="340"/>
      <c r="CG119" s="340"/>
      <c r="CH119" s="340"/>
      <c r="CI119" s="340"/>
      <c r="CJ119" s="340"/>
      <c r="CK119" s="340"/>
      <c r="CL119" s="340"/>
      <c r="CM119" s="340"/>
      <c r="CN119" s="340"/>
      <c r="CO119" s="340"/>
      <c r="CP119" s="340"/>
      <c r="CQ119" s="340"/>
      <c r="CR119" s="340"/>
      <c r="CS119" s="340"/>
      <c r="CT119" s="340"/>
    </row>
    <row r="120" spans="1:98" s="394" customFormat="1" x14ac:dyDescent="0.25">
      <c r="A120" s="390"/>
      <c r="B120" s="391"/>
      <c r="C120" s="244"/>
      <c r="D120" s="392"/>
      <c r="E120" s="392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40"/>
      <c r="BG120" s="340"/>
      <c r="BH120" s="108"/>
      <c r="BI120" s="108"/>
      <c r="BJ120" s="108"/>
      <c r="BK120" s="108"/>
      <c r="BL120" s="108"/>
      <c r="BM120" s="339"/>
      <c r="BN120" s="339"/>
      <c r="BO120" s="339"/>
      <c r="BP120" s="339"/>
      <c r="BQ120" s="339"/>
      <c r="BR120" s="339"/>
      <c r="BS120" s="393"/>
      <c r="BT120" s="339"/>
      <c r="BU120" s="340"/>
      <c r="BV120" s="340"/>
      <c r="BW120" s="340"/>
      <c r="BX120" s="340"/>
      <c r="BY120" s="340"/>
      <c r="BZ120" s="340"/>
      <c r="CA120" s="340"/>
      <c r="CB120" s="340"/>
      <c r="CC120" s="340"/>
      <c r="CD120" s="340"/>
      <c r="CE120" s="340"/>
      <c r="CF120" s="340"/>
      <c r="CG120" s="340"/>
      <c r="CH120" s="340"/>
      <c r="CI120" s="340"/>
      <c r="CJ120" s="340"/>
      <c r="CK120" s="340"/>
      <c r="CL120" s="340"/>
      <c r="CM120" s="340"/>
      <c r="CN120" s="340"/>
      <c r="CO120" s="340"/>
      <c r="CP120" s="340"/>
      <c r="CQ120" s="340"/>
      <c r="CR120" s="340"/>
      <c r="CS120" s="340"/>
      <c r="CT120" s="340"/>
    </row>
    <row r="121" spans="1:98" s="394" customFormat="1" x14ac:dyDescent="0.25">
      <c r="A121" s="390"/>
      <c r="B121" s="391"/>
      <c r="C121" s="244"/>
      <c r="D121" s="392"/>
      <c r="E121" s="392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40"/>
      <c r="BG121" s="340"/>
      <c r="BH121" s="108"/>
      <c r="BI121" s="108"/>
      <c r="BJ121" s="108"/>
      <c r="BK121" s="108"/>
      <c r="BL121" s="108"/>
      <c r="BM121" s="339"/>
      <c r="BN121" s="339"/>
      <c r="BO121" s="339"/>
      <c r="BP121" s="339"/>
      <c r="BQ121" s="339"/>
      <c r="BR121" s="339"/>
      <c r="BS121" s="393"/>
      <c r="BT121" s="339"/>
      <c r="BU121" s="340"/>
      <c r="BV121" s="340"/>
      <c r="BW121" s="340"/>
      <c r="BX121" s="340"/>
      <c r="BY121" s="340"/>
      <c r="BZ121" s="340"/>
      <c r="CA121" s="340"/>
      <c r="CB121" s="340"/>
      <c r="CC121" s="340"/>
      <c r="CD121" s="340"/>
      <c r="CE121" s="340"/>
      <c r="CF121" s="340"/>
      <c r="CG121" s="340"/>
      <c r="CH121" s="340"/>
      <c r="CI121" s="340"/>
      <c r="CJ121" s="340"/>
      <c r="CK121" s="340"/>
      <c r="CL121" s="340"/>
      <c r="CM121" s="340"/>
      <c r="CN121" s="340"/>
      <c r="CO121" s="340"/>
      <c r="CP121" s="340"/>
      <c r="CQ121" s="340"/>
      <c r="CR121" s="340"/>
      <c r="CS121" s="340"/>
      <c r="CT121" s="340"/>
    </row>
    <row r="122" spans="1:98" s="394" customFormat="1" x14ac:dyDescent="0.25">
      <c r="A122" s="390"/>
      <c r="B122" s="391"/>
      <c r="C122" s="244"/>
      <c r="D122" s="392"/>
      <c r="E122" s="392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40"/>
      <c r="BG122" s="340"/>
      <c r="BH122" s="108"/>
      <c r="BI122" s="108"/>
      <c r="BJ122" s="108"/>
      <c r="BK122" s="108"/>
      <c r="BL122" s="108"/>
      <c r="BM122" s="339"/>
      <c r="BN122" s="339"/>
      <c r="BO122" s="339"/>
      <c r="BP122" s="339"/>
      <c r="BQ122" s="339"/>
      <c r="BR122" s="339"/>
      <c r="BS122" s="393"/>
      <c r="BT122" s="339"/>
      <c r="BU122" s="340"/>
      <c r="BV122" s="340"/>
      <c r="BW122" s="340"/>
      <c r="BX122" s="340"/>
      <c r="BY122" s="340"/>
      <c r="BZ122" s="340"/>
      <c r="CA122" s="340"/>
      <c r="CB122" s="340"/>
      <c r="CC122" s="340"/>
      <c r="CD122" s="340"/>
      <c r="CE122" s="340"/>
      <c r="CF122" s="340"/>
      <c r="CG122" s="340"/>
      <c r="CH122" s="340"/>
      <c r="CI122" s="340"/>
      <c r="CJ122" s="340"/>
      <c r="CK122" s="340"/>
      <c r="CL122" s="340"/>
      <c r="CM122" s="340"/>
      <c r="CN122" s="340"/>
      <c r="CO122" s="340"/>
      <c r="CP122" s="340"/>
      <c r="CQ122" s="340"/>
      <c r="CR122" s="340"/>
      <c r="CS122" s="340"/>
      <c r="CT122" s="340"/>
    </row>
    <row r="123" spans="1:98" s="394" customFormat="1" x14ac:dyDescent="0.25">
      <c r="A123" s="390"/>
      <c r="B123" s="391"/>
      <c r="C123" s="244"/>
      <c r="D123" s="392"/>
      <c r="E123" s="392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40"/>
      <c r="BG123" s="340"/>
      <c r="BH123" s="108"/>
      <c r="BI123" s="108"/>
      <c r="BJ123" s="108"/>
      <c r="BK123" s="108"/>
      <c r="BL123" s="108"/>
      <c r="BM123" s="339"/>
      <c r="BN123" s="339"/>
      <c r="BO123" s="339"/>
      <c r="BP123" s="339"/>
      <c r="BQ123" s="339"/>
      <c r="BR123" s="339"/>
      <c r="BS123" s="393"/>
      <c r="BT123" s="339"/>
      <c r="BU123" s="340"/>
      <c r="BV123" s="340"/>
      <c r="BW123" s="340"/>
      <c r="BX123" s="340"/>
      <c r="BY123" s="340"/>
      <c r="BZ123" s="340"/>
      <c r="CA123" s="340"/>
      <c r="CB123" s="340"/>
      <c r="CC123" s="340"/>
      <c r="CD123" s="340"/>
      <c r="CE123" s="340"/>
      <c r="CF123" s="340"/>
      <c r="CG123" s="340"/>
      <c r="CH123" s="340"/>
      <c r="CI123" s="340"/>
      <c r="CJ123" s="340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</row>
    <row r="124" spans="1:98" s="394" customFormat="1" x14ac:dyDescent="0.25">
      <c r="A124" s="390"/>
      <c r="B124" s="391"/>
      <c r="C124" s="244"/>
      <c r="D124" s="392"/>
      <c r="E124" s="392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40"/>
      <c r="BG124" s="340"/>
      <c r="BH124" s="108"/>
      <c r="BI124" s="108"/>
      <c r="BJ124" s="108"/>
      <c r="BK124" s="108"/>
      <c r="BL124" s="108"/>
      <c r="BM124" s="339"/>
      <c r="BN124" s="339"/>
      <c r="BO124" s="339"/>
      <c r="BP124" s="339"/>
      <c r="BQ124" s="339"/>
      <c r="BR124" s="339"/>
      <c r="BS124" s="393"/>
      <c r="BT124" s="339"/>
      <c r="BU124" s="340"/>
      <c r="BV124" s="340"/>
      <c r="BW124" s="340"/>
      <c r="BX124" s="340"/>
      <c r="BY124" s="340"/>
      <c r="BZ124" s="340"/>
      <c r="CA124" s="340"/>
      <c r="CB124" s="340"/>
      <c r="CC124" s="340"/>
      <c r="CD124" s="340"/>
      <c r="CE124" s="340"/>
      <c r="CF124" s="340"/>
      <c r="CG124" s="340"/>
      <c r="CH124" s="340"/>
      <c r="CI124" s="340"/>
      <c r="CJ124" s="340"/>
      <c r="CK124" s="340"/>
      <c r="CL124" s="340"/>
      <c r="CM124" s="340"/>
      <c r="CN124" s="340"/>
      <c r="CO124" s="340"/>
      <c r="CP124" s="340"/>
      <c r="CQ124" s="340"/>
      <c r="CR124" s="340"/>
      <c r="CS124" s="340"/>
      <c r="CT124" s="340"/>
    </row>
    <row r="125" spans="1:98" s="405" customFormat="1" ht="39" customHeight="1" x14ac:dyDescent="0.25">
      <c r="A125" s="530" t="s">
        <v>264</v>
      </c>
      <c r="B125" s="530"/>
      <c r="C125" s="530"/>
      <c r="D125" s="530"/>
      <c r="E125" s="530"/>
      <c r="F125" s="530"/>
      <c r="G125" s="530"/>
      <c r="H125" s="531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1"/>
      <c r="BG125" s="401"/>
      <c r="BH125" s="401"/>
      <c r="BI125" s="401"/>
      <c r="BJ125" s="401"/>
      <c r="BK125" s="401"/>
      <c r="BL125" s="401"/>
      <c r="BM125" s="401"/>
      <c r="BN125" s="401"/>
      <c r="BO125" s="401"/>
      <c r="BP125" s="401"/>
      <c r="BQ125" s="401"/>
      <c r="BR125" s="401"/>
      <c r="BS125" s="402"/>
      <c r="BT125" s="401"/>
      <c r="BU125" s="403"/>
      <c r="BV125" s="403"/>
      <c r="BW125" s="403"/>
      <c r="BX125" s="403"/>
      <c r="BY125" s="403"/>
      <c r="BZ125" s="403"/>
      <c r="CA125" s="403"/>
      <c r="CB125" s="403"/>
      <c r="CC125" s="403"/>
      <c r="CD125" s="403"/>
      <c r="CE125" s="403"/>
      <c r="CF125" s="403"/>
      <c r="CG125" s="403"/>
      <c r="CH125" s="403"/>
      <c r="CI125" s="403"/>
      <c r="CJ125" s="403"/>
      <c r="CK125" s="404"/>
      <c r="CL125" s="403"/>
      <c r="CM125" s="403"/>
      <c r="CN125" s="403"/>
      <c r="CO125" s="403"/>
      <c r="CP125" s="403"/>
      <c r="CQ125" s="403"/>
      <c r="CR125" s="403"/>
      <c r="CS125" s="403"/>
      <c r="CT125" s="404"/>
    </row>
    <row r="126" spans="1:98" s="269" customFormat="1" ht="21" x14ac:dyDescent="0.25">
      <c r="A126" s="264"/>
      <c r="B126" s="377" t="s">
        <v>277</v>
      </c>
      <c r="C126" s="278" t="s">
        <v>278</v>
      </c>
      <c r="D126" s="278">
        <f>4.2*4.8</f>
        <v>20.16</v>
      </c>
      <c r="E126" s="278">
        <f>(4.2+4.8)*2</f>
        <v>18</v>
      </c>
      <c r="F126" s="64"/>
      <c r="G126" s="64"/>
      <c r="H126" s="64"/>
      <c r="I126" s="61">
        <f>4.2*4.8</f>
        <v>20.16</v>
      </c>
      <c r="J126" s="244"/>
      <c r="K126" s="244"/>
      <c r="L126" s="244"/>
      <c r="M126" s="244"/>
      <c r="N126" s="244"/>
      <c r="O126" s="278">
        <f>4.2*4.8</f>
        <v>20.16</v>
      </c>
      <c r="P126" s="375"/>
      <c r="Q126" s="375"/>
      <c r="R126" s="375"/>
      <c r="S126" s="278">
        <f>4.2*4.8</f>
        <v>20.16</v>
      </c>
      <c r="T126" s="376"/>
      <c r="U126" s="376"/>
      <c r="V126" s="376"/>
      <c r="W126" s="376"/>
      <c r="X126" s="278">
        <f>(4.2+4.8)*2</f>
        <v>18</v>
      </c>
      <c r="Y126" s="64"/>
      <c r="Z126" s="61">
        <f>4.2*4.8</f>
        <v>20.16</v>
      </c>
      <c r="AA126" s="75">
        <f>4.2*4.8</f>
        <v>20.16</v>
      </c>
      <c r="AB126" s="64"/>
      <c r="AC126" s="64"/>
      <c r="AD126" s="64"/>
      <c r="AE126" s="64"/>
      <c r="AF126" s="64"/>
      <c r="AG126" s="64"/>
      <c r="AH126" s="64"/>
      <c r="AI126" s="64"/>
      <c r="AJ126" s="75">
        <f>4.2*4.8</f>
        <v>20.16</v>
      </c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>
        <f>4.2*4.8</f>
        <v>20.16</v>
      </c>
      <c r="AV126" s="75"/>
      <c r="AW126" s="75"/>
      <c r="AX126" s="75"/>
      <c r="AY126" s="75"/>
      <c r="AZ126" s="75"/>
      <c r="BA126" s="64"/>
      <c r="BB126" s="64"/>
      <c r="BC126" s="75"/>
      <c r="BD126" s="75">
        <f>(4.2+4.8)*2</f>
        <v>18</v>
      </c>
      <c r="BE126" s="61">
        <f>(4.2+4.8)*2*2.8</f>
        <v>50.4</v>
      </c>
      <c r="BF126" s="109">
        <f>BE126-CK126-CT126</f>
        <v>50.4</v>
      </c>
      <c r="BG126" s="109">
        <f>BF126</f>
        <v>50.4</v>
      </c>
      <c r="BH126" s="38">
        <f>BF126</f>
        <v>50.4</v>
      </c>
      <c r="BI126" s="38"/>
      <c r="BJ126" s="38"/>
      <c r="BK126" s="38"/>
      <c r="BL126" s="38">
        <f>BF126-BR126</f>
        <v>50.4</v>
      </c>
      <c r="BM126" s="64"/>
      <c r="BN126" s="64"/>
      <c r="BO126" s="64"/>
      <c r="BP126" s="64"/>
      <c r="BQ126" s="64"/>
      <c r="BR126" s="64"/>
      <c r="BS126" s="64"/>
      <c r="BT126" s="64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>
        <f>1*CG80</f>
        <v>0</v>
      </c>
      <c r="CH126" s="37"/>
      <c r="CI126" s="37"/>
      <c r="CJ126" s="37"/>
      <c r="CK126" s="190">
        <f>SUM(BU126:CJ126)</f>
        <v>0</v>
      </c>
      <c r="CL126" s="37"/>
      <c r="CM126" s="37"/>
      <c r="CN126" s="37"/>
      <c r="CO126" s="37"/>
      <c r="CP126" s="37"/>
      <c r="CQ126" s="37">
        <f>1*CQ80</f>
        <v>0</v>
      </c>
      <c r="CR126" s="37"/>
      <c r="CS126" s="37"/>
      <c r="CT126" s="190">
        <f>SUM(CL126:CS126)</f>
        <v>0</v>
      </c>
    </row>
    <row r="127" spans="1:98" s="269" customFormat="1" ht="18.75" x14ac:dyDescent="0.25">
      <c r="A127" s="264"/>
      <c r="B127" s="277"/>
      <c r="C127" s="64"/>
      <c r="D127" s="75"/>
      <c r="E127" s="75"/>
      <c r="F127" s="64"/>
      <c r="G127" s="64"/>
      <c r="H127" s="64"/>
      <c r="I127" s="61"/>
      <c r="J127" s="244"/>
      <c r="K127" s="244"/>
      <c r="L127" s="244"/>
      <c r="M127" s="244"/>
      <c r="N127" s="244"/>
      <c r="O127" s="244"/>
      <c r="P127" s="244"/>
      <c r="Q127" s="244"/>
      <c r="R127" s="244"/>
      <c r="S127" s="64"/>
      <c r="T127" s="64"/>
      <c r="U127" s="64"/>
      <c r="V127" s="64"/>
      <c r="W127" s="64"/>
      <c r="X127" s="64"/>
      <c r="Y127" s="64"/>
      <c r="Z127" s="61"/>
      <c r="AA127" s="64"/>
      <c r="AB127" s="64"/>
      <c r="AC127" s="64"/>
      <c r="AD127" s="64"/>
      <c r="AE127" s="64"/>
      <c r="AF127" s="64"/>
      <c r="AG127" s="64"/>
      <c r="AH127" s="64"/>
      <c r="AI127" s="64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64"/>
      <c r="BB127" s="64"/>
      <c r="BC127" s="75"/>
      <c r="BD127" s="64"/>
      <c r="BE127" s="61"/>
      <c r="BF127" s="109">
        <f>BE127-CK127-CT127</f>
        <v>0</v>
      </c>
      <c r="BG127" s="109">
        <f>BF127</f>
        <v>0</v>
      </c>
      <c r="BH127" s="38">
        <f>BF127</f>
        <v>0</v>
      </c>
      <c r="BI127" s="38"/>
      <c r="BJ127" s="38"/>
      <c r="BK127" s="38"/>
      <c r="BL127" s="38">
        <f>BF127-BR127</f>
        <v>0</v>
      </c>
      <c r="BM127" s="64"/>
      <c r="BN127" s="64"/>
      <c r="BO127" s="64"/>
      <c r="BP127" s="64"/>
      <c r="BQ127" s="64"/>
      <c r="BR127" s="64"/>
      <c r="BS127" s="64"/>
      <c r="BT127" s="64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190">
        <f>SUM(BU127:CJ127)</f>
        <v>0</v>
      </c>
      <c r="CL127" s="37"/>
      <c r="CM127" s="37"/>
      <c r="CN127" s="37"/>
      <c r="CO127" s="37"/>
      <c r="CP127" s="37"/>
      <c r="CQ127" s="37"/>
      <c r="CR127" s="37"/>
      <c r="CS127" s="37"/>
      <c r="CT127" s="190">
        <f>SUM(CL127:CS127)</f>
        <v>0</v>
      </c>
    </row>
    <row r="128" spans="1:98" s="269" customFormat="1" ht="18.75" x14ac:dyDescent="0.25">
      <c r="A128" s="264"/>
      <c r="B128" s="277"/>
      <c r="C128" s="64"/>
      <c r="D128" s="75"/>
      <c r="E128" s="75"/>
      <c r="F128" s="64"/>
      <c r="G128" s="64"/>
      <c r="H128" s="64"/>
      <c r="I128" s="61"/>
      <c r="J128" s="244"/>
      <c r="K128" s="244"/>
      <c r="L128" s="244"/>
      <c r="M128" s="244"/>
      <c r="N128" s="244"/>
      <c r="O128" s="244"/>
      <c r="P128" s="244"/>
      <c r="Q128" s="244"/>
      <c r="R128" s="244"/>
      <c r="S128" s="64"/>
      <c r="T128" s="64"/>
      <c r="U128" s="64"/>
      <c r="V128" s="64"/>
      <c r="W128" s="64"/>
      <c r="X128" s="64"/>
      <c r="Y128" s="64"/>
      <c r="Z128" s="61"/>
      <c r="AA128" s="64"/>
      <c r="AB128" s="64"/>
      <c r="AC128" s="64"/>
      <c r="AD128" s="64"/>
      <c r="AE128" s="64"/>
      <c r="AF128" s="64"/>
      <c r="AG128" s="64"/>
      <c r="AH128" s="64"/>
      <c r="AI128" s="64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64"/>
      <c r="BB128" s="64"/>
      <c r="BC128" s="75"/>
      <c r="BD128" s="64"/>
      <c r="BE128" s="61"/>
      <c r="BF128" s="109">
        <f>BE128-CK128-CT128</f>
        <v>0</v>
      </c>
      <c r="BG128" s="109">
        <f>BF128</f>
        <v>0</v>
      </c>
      <c r="BH128" s="38">
        <f>BF128</f>
        <v>0</v>
      </c>
      <c r="BI128" s="38"/>
      <c r="BJ128" s="38"/>
      <c r="BK128" s="38"/>
      <c r="BL128" s="38">
        <f>BF128-BR128</f>
        <v>0</v>
      </c>
      <c r="BM128" s="64"/>
      <c r="BN128" s="64"/>
      <c r="BO128" s="64"/>
      <c r="BP128" s="64"/>
      <c r="BQ128" s="64"/>
      <c r="BR128" s="64"/>
      <c r="BS128" s="64"/>
      <c r="BT128" s="64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190">
        <f>SUM(BU128:CJ128)</f>
        <v>0</v>
      </c>
      <c r="CL128" s="37"/>
      <c r="CM128" s="37"/>
      <c r="CN128" s="37"/>
      <c r="CO128" s="37"/>
      <c r="CP128" s="37"/>
      <c r="CQ128" s="37"/>
      <c r="CR128" s="37"/>
      <c r="CS128" s="37"/>
      <c r="CT128" s="190">
        <f>SUM(CL128:CS128)</f>
        <v>0</v>
      </c>
    </row>
    <row r="129" spans="1:98" s="394" customFormat="1" x14ac:dyDescent="0.25">
      <c r="A129" s="390"/>
      <c r="B129" s="391"/>
      <c r="C129" s="244"/>
      <c r="D129" s="392"/>
      <c r="E129" s="392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39"/>
      <c r="BE129" s="339"/>
      <c r="BF129" s="340"/>
      <c r="BG129" s="340"/>
      <c r="BH129" s="108"/>
      <c r="BI129" s="108"/>
      <c r="BJ129" s="108"/>
      <c r="BK129" s="108"/>
      <c r="BL129" s="108"/>
      <c r="BM129" s="339"/>
      <c r="BN129" s="339"/>
      <c r="BO129" s="339"/>
      <c r="BP129" s="339"/>
      <c r="BQ129" s="339"/>
      <c r="BR129" s="339"/>
      <c r="BS129" s="393"/>
      <c r="BT129" s="339"/>
      <c r="BU129" s="340"/>
      <c r="BV129" s="340"/>
      <c r="BW129" s="340"/>
      <c r="BX129" s="340"/>
      <c r="BY129" s="340"/>
      <c r="BZ129" s="340"/>
      <c r="CA129" s="340"/>
      <c r="CB129" s="340"/>
      <c r="CC129" s="340"/>
      <c r="CD129" s="340"/>
      <c r="CE129" s="340"/>
      <c r="CF129" s="340"/>
      <c r="CG129" s="340"/>
      <c r="CH129" s="340"/>
      <c r="CI129" s="340"/>
      <c r="CJ129" s="340"/>
      <c r="CK129" s="340"/>
      <c r="CL129" s="340"/>
      <c r="CM129" s="340"/>
      <c r="CN129" s="340"/>
      <c r="CO129" s="340"/>
      <c r="CP129" s="340"/>
      <c r="CQ129" s="340"/>
      <c r="CR129" s="340"/>
      <c r="CS129" s="340"/>
      <c r="CT129" s="340"/>
    </row>
    <row r="130" spans="1:98" s="18" customFormat="1" ht="52.5" customHeight="1" x14ac:dyDescent="0.25">
      <c r="A130" s="54"/>
      <c r="B130" s="48"/>
      <c r="C130" s="13"/>
      <c r="D130" s="13"/>
      <c r="E130" s="13"/>
      <c r="F130" s="13"/>
      <c r="G130" s="13"/>
      <c r="H130" s="13"/>
      <c r="I130" s="245">
        <f t="shared" ref="I130:AN130" si="15">SUM(I126:I129)</f>
        <v>20.16</v>
      </c>
      <c r="J130" s="12">
        <f t="shared" si="15"/>
        <v>0</v>
      </c>
      <c r="K130" s="12">
        <f t="shared" si="15"/>
        <v>0</v>
      </c>
      <c r="L130" s="12">
        <f t="shared" si="15"/>
        <v>0</v>
      </c>
      <c r="M130" s="12">
        <f t="shared" si="15"/>
        <v>0</v>
      </c>
      <c r="N130" s="12">
        <f t="shared" si="15"/>
        <v>0</v>
      </c>
      <c r="O130" s="12">
        <f t="shared" si="15"/>
        <v>20.16</v>
      </c>
      <c r="P130" s="12">
        <f t="shared" si="15"/>
        <v>0</v>
      </c>
      <c r="Q130" s="12">
        <f t="shared" si="15"/>
        <v>0</v>
      </c>
      <c r="R130" s="12">
        <f t="shared" si="15"/>
        <v>0</v>
      </c>
      <c r="S130" s="12">
        <f t="shared" si="15"/>
        <v>20.16</v>
      </c>
      <c r="T130" s="12">
        <f t="shared" si="15"/>
        <v>0</v>
      </c>
      <c r="U130" s="12">
        <f t="shared" si="15"/>
        <v>0</v>
      </c>
      <c r="V130" s="12">
        <f t="shared" si="15"/>
        <v>0</v>
      </c>
      <c r="W130" s="12">
        <f t="shared" si="15"/>
        <v>0</v>
      </c>
      <c r="X130" s="12">
        <f t="shared" si="15"/>
        <v>18</v>
      </c>
      <c r="Y130" s="12">
        <f t="shared" si="15"/>
        <v>0</v>
      </c>
      <c r="Z130" s="245">
        <f t="shared" si="15"/>
        <v>20.16</v>
      </c>
      <c r="AA130" s="12">
        <f t="shared" si="15"/>
        <v>20.16</v>
      </c>
      <c r="AB130" s="12">
        <f t="shared" si="15"/>
        <v>0</v>
      </c>
      <c r="AC130" s="12">
        <f t="shared" si="15"/>
        <v>0</v>
      </c>
      <c r="AD130" s="12">
        <f t="shared" si="15"/>
        <v>0</v>
      </c>
      <c r="AE130" s="12">
        <f t="shared" si="15"/>
        <v>0</v>
      </c>
      <c r="AF130" s="12">
        <f t="shared" si="15"/>
        <v>0</v>
      </c>
      <c r="AG130" s="12">
        <f t="shared" si="15"/>
        <v>0</v>
      </c>
      <c r="AH130" s="12">
        <f t="shared" si="15"/>
        <v>0</v>
      </c>
      <c r="AI130" s="12">
        <f t="shared" si="15"/>
        <v>0</v>
      </c>
      <c r="AJ130" s="12">
        <f t="shared" si="15"/>
        <v>20.16</v>
      </c>
      <c r="AK130" s="12">
        <f t="shared" si="15"/>
        <v>0</v>
      </c>
      <c r="AL130" s="12">
        <f t="shared" si="15"/>
        <v>0</v>
      </c>
      <c r="AM130" s="12">
        <f t="shared" si="15"/>
        <v>0</v>
      </c>
      <c r="AN130" s="12">
        <f t="shared" si="15"/>
        <v>0</v>
      </c>
      <c r="AO130" s="12">
        <f t="shared" ref="AO130:BT130" si="16">SUM(AO126:AO129)</f>
        <v>0</v>
      </c>
      <c r="AP130" s="12">
        <f t="shared" si="16"/>
        <v>0</v>
      </c>
      <c r="AQ130" s="12">
        <f t="shared" si="16"/>
        <v>0</v>
      </c>
      <c r="AR130" s="12">
        <f t="shared" si="16"/>
        <v>0</v>
      </c>
      <c r="AS130" s="12">
        <f t="shared" si="16"/>
        <v>0</v>
      </c>
      <c r="AT130" s="12">
        <f t="shared" si="16"/>
        <v>0</v>
      </c>
      <c r="AU130" s="12">
        <f t="shared" si="16"/>
        <v>20.16</v>
      </c>
      <c r="AV130" s="12">
        <f t="shared" si="16"/>
        <v>0</v>
      </c>
      <c r="AW130" s="12">
        <f t="shared" si="16"/>
        <v>0</v>
      </c>
      <c r="AX130" s="12">
        <f t="shared" si="16"/>
        <v>0</v>
      </c>
      <c r="AY130" s="12">
        <f t="shared" si="16"/>
        <v>0</v>
      </c>
      <c r="AZ130" s="12">
        <f t="shared" si="16"/>
        <v>0</v>
      </c>
      <c r="BA130" s="12">
        <f t="shared" si="16"/>
        <v>0</v>
      </c>
      <c r="BB130" s="12">
        <f t="shared" si="16"/>
        <v>0</v>
      </c>
      <c r="BC130" s="12">
        <f t="shared" si="16"/>
        <v>0</v>
      </c>
      <c r="BD130" s="12">
        <f t="shared" si="16"/>
        <v>18</v>
      </c>
      <c r="BE130" s="245">
        <f t="shared" si="16"/>
        <v>50.4</v>
      </c>
      <c r="BF130" s="245">
        <f t="shared" si="16"/>
        <v>50.4</v>
      </c>
      <c r="BG130" s="12">
        <f t="shared" si="16"/>
        <v>50.4</v>
      </c>
      <c r="BH130" s="12">
        <f t="shared" si="16"/>
        <v>50.4</v>
      </c>
      <c r="BI130" s="12">
        <f t="shared" si="16"/>
        <v>0</v>
      </c>
      <c r="BJ130" s="12">
        <f t="shared" si="16"/>
        <v>0</v>
      </c>
      <c r="BK130" s="12">
        <f t="shared" si="16"/>
        <v>0</v>
      </c>
      <c r="BL130" s="12">
        <f t="shared" si="16"/>
        <v>50.4</v>
      </c>
      <c r="BM130" s="12">
        <f t="shared" si="16"/>
        <v>0</v>
      </c>
      <c r="BN130" s="12">
        <f t="shared" si="16"/>
        <v>0</v>
      </c>
      <c r="BO130" s="12">
        <f t="shared" si="16"/>
        <v>0</v>
      </c>
      <c r="BP130" s="12">
        <f t="shared" si="16"/>
        <v>0</v>
      </c>
      <c r="BQ130" s="12">
        <f t="shared" si="16"/>
        <v>0</v>
      </c>
      <c r="BR130" s="12">
        <f t="shared" si="16"/>
        <v>0</v>
      </c>
      <c r="BS130" s="12">
        <f t="shared" si="16"/>
        <v>0</v>
      </c>
      <c r="BT130" s="12">
        <f t="shared" si="16"/>
        <v>0</v>
      </c>
      <c r="BU130" s="388">
        <f t="shared" ref="BU130:CJ130" si="17">SUM(BU126:BU129)</f>
        <v>0</v>
      </c>
      <c r="BV130" s="388">
        <f t="shared" si="17"/>
        <v>0</v>
      </c>
      <c r="BW130" s="388">
        <f t="shared" si="17"/>
        <v>0</v>
      </c>
      <c r="BX130" s="388">
        <f t="shared" si="17"/>
        <v>0</v>
      </c>
      <c r="BY130" s="388">
        <f t="shared" si="17"/>
        <v>0</v>
      </c>
      <c r="BZ130" s="388">
        <f t="shared" si="17"/>
        <v>0</v>
      </c>
      <c r="CA130" s="388">
        <f t="shared" si="17"/>
        <v>0</v>
      </c>
      <c r="CB130" s="388">
        <f t="shared" si="17"/>
        <v>0</v>
      </c>
      <c r="CC130" s="388">
        <f t="shared" si="17"/>
        <v>0</v>
      </c>
      <c r="CD130" s="388">
        <f t="shared" si="17"/>
        <v>0</v>
      </c>
      <c r="CE130" s="388">
        <f t="shared" si="17"/>
        <v>0</v>
      </c>
      <c r="CF130" s="388">
        <f t="shared" si="17"/>
        <v>0</v>
      </c>
      <c r="CG130" s="388">
        <f t="shared" si="17"/>
        <v>0</v>
      </c>
      <c r="CH130" s="388">
        <f t="shared" si="17"/>
        <v>0</v>
      </c>
      <c r="CI130" s="388">
        <f t="shared" si="17"/>
        <v>0</v>
      </c>
      <c r="CJ130" s="388">
        <f t="shared" si="17"/>
        <v>0</v>
      </c>
      <c r="CK130" s="245"/>
      <c r="CL130" s="388">
        <f t="shared" ref="CL130:CS130" si="18">SUM(CL126:CL129)</f>
        <v>0</v>
      </c>
      <c r="CM130" s="388">
        <f t="shared" si="18"/>
        <v>0</v>
      </c>
      <c r="CN130" s="388">
        <f t="shared" si="18"/>
        <v>0</v>
      </c>
      <c r="CO130" s="388">
        <f t="shared" si="18"/>
        <v>0</v>
      </c>
      <c r="CP130" s="388">
        <f t="shared" si="18"/>
        <v>0</v>
      </c>
      <c r="CQ130" s="388">
        <f t="shared" si="18"/>
        <v>0</v>
      </c>
      <c r="CR130" s="388">
        <f t="shared" si="18"/>
        <v>0</v>
      </c>
      <c r="CS130" s="12">
        <f t="shared" si="18"/>
        <v>0</v>
      </c>
      <c r="CT130" s="245"/>
    </row>
    <row r="131" spans="1:98" s="394" customFormat="1" x14ac:dyDescent="0.25">
      <c r="A131" s="390"/>
      <c r="B131" s="391"/>
      <c r="C131" s="244"/>
      <c r="D131" s="392"/>
      <c r="E131" s="392"/>
      <c r="F131" s="339"/>
      <c r="G131" s="339"/>
      <c r="H131" s="339"/>
      <c r="I131" s="339"/>
      <c r="J131" s="339"/>
      <c r="K131" s="395"/>
      <c r="L131" s="339"/>
      <c r="M131" s="339"/>
      <c r="N131" s="395"/>
      <c r="O131" s="395"/>
      <c r="P131" s="339"/>
      <c r="Q131" s="339"/>
      <c r="R131" s="395"/>
      <c r="S131" s="395"/>
      <c r="T131" s="339"/>
      <c r="U131" s="395"/>
      <c r="V131" s="339"/>
      <c r="W131" s="339"/>
      <c r="X131" s="395"/>
      <c r="Y131" s="339"/>
      <c r="Z131" s="339"/>
      <c r="AA131" s="395"/>
      <c r="AB131" s="395"/>
      <c r="AC131" s="395"/>
      <c r="AD131" s="339"/>
      <c r="AE131" s="339"/>
      <c r="AF131" s="395"/>
      <c r="AG131" s="339"/>
      <c r="AH131" s="339"/>
      <c r="AI131" s="339"/>
      <c r="AJ131" s="395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95"/>
      <c r="AV131" s="339"/>
      <c r="AW131" s="339"/>
      <c r="AX131" s="395"/>
      <c r="AY131" s="339"/>
      <c r="AZ131" s="395"/>
      <c r="BA131" s="395"/>
      <c r="BB131" s="339"/>
      <c r="BC131" s="395"/>
      <c r="BD131" s="395"/>
      <c r="BE131" s="339"/>
      <c r="BF131" s="340"/>
      <c r="BG131" s="398"/>
      <c r="BH131" s="398"/>
      <c r="BI131" s="108"/>
      <c r="BJ131" s="108"/>
      <c r="BK131" s="108"/>
      <c r="BL131" s="417"/>
      <c r="BM131" s="339"/>
      <c r="BN131" s="339"/>
      <c r="BO131" s="339"/>
      <c r="BP131" s="339"/>
      <c r="BQ131" s="395"/>
      <c r="BR131" s="395"/>
      <c r="BS131" s="393"/>
      <c r="BT131" s="339"/>
      <c r="BU131" s="340"/>
      <c r="BV131" s="340"/>
      <c r="BW131" s="340"/>
      <c r="BX131" s="340"/>
      <c r="BY131" s="340"/>
      <c r="BZ131" s="340"/>
      <c r="CA131" s="340"/>
      <c r="CB131" s="340"/>
      <c r="CC131" s="340"/>
      <c r="CD131" s="340"/>
      <c r="CE131" s="340"/>
      <c r="CF131" s="340"/>
      <c r="CG131" s="340"/>
      <c r="CH131" s="340"/>
      <c r="CI131" s="340"/>
      <c r="CJ131" s="340"/>
      <c r="CK131" s="340"/>
      <c r="CL131" s="340"/>
      <c r="CM131" s="340"/>
      <c r="CN131" s="340"/>
      <c r="CO131" s="340"/>
      <c r="CP131" s="340"/>
      <c r="CQ131" s="340"/>
      <c r="CR131" s="340"/>
      <c r="CS131" s="340"/>
      <c r="CT131" s="340"/>
    </row>
    <row r="132" spans="1:98" s="18" customFormat="1" x14ac:dyDescent="0.25">
      <c r="A132" s="63"/>
      <c r="B132" s="352" t="s">
        <v>271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399">
        <f>0.9*2.2*1</f>
        <v>1.9800000000000002</v>
      </c>
      <c r="CJ132" s="91"/>
      <c r="CK132" s="91"/>
      <c r="CL132" s="91"/>
      <c r="CM132" s="91"/>
      <c r="CN132" s="91"/>
      <c r="CO132" s="91"/>
      <c r="CP132" s="91"/>
      <c r="CQ132" s="91"/>
      <c r="CR132" s="399">
        <f>1.1*0.5</f>
        <v>0.55000000000000004</v>
      </c>
      <c r="CS132" s="91"/>
      <c r="CT132" s="91"/>
    </row>
    <row r="133" spans="1:98" s="394" customFormat="1" x14ac:dyDescent="0.25">
      <c r="A133" s="390"/>
      <c r="B133" s="391"/>
      <c r="C133" s="244"/>
      <c r="D133" s="392"/>
      <c r="E133" s="392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40"/>
      <c r="BG133" s="340"/>
      <c r="BH133" s="108"/>
      <c r="BI133" s="108"/>
      <c r="BJ133" s="108"/>
      <c r="BK133" s="108"/>
      <c r="BL133" s="108"/>
      <c r="BM133" s="339"/>
      <c r="BN133" s="339"/>
      <c r="BO133" s="339"/>
      <c r="BP133" s="339"/>
      <c r="BQ133" s="339"/>
      <c r="BR133" s="339"/>
      <c r="BS133" s="393"/>
      <c r="BT133" s="339"/>
      <c r="BU133" s="340"/>
      <c r="BV133" s="340"/>
      <c r="BW133" s="340"/>
      <c r="BX133" s="340"/>
      <c r="BY133" s="340"/>
      <c r="BZ133" s="340"/>
      <c r="CA133" s="340"/>
      <c r="CB133" s="340"/>
      <c r="CC133" s="340"/>
      <c r="CD133" s="340"/>
      <c r="CE133" s="340"/>
      <c r="CF133" s="340"/>
      <c r="CG133" s="340"/>
      <c r="CH133" s="340"/>
      <c r="CI133" s="340"/>
      <c r="CJ133" s="340"/>
      <c r="CK133" s="340"/>
      <c r="CL133" s="340"/>
      <c r="CM133" s="340"/>
      <c r="CN133" s="340"/>
      <c r="CO133" s="340"/>
      <c r="CP133" s="340"/>
      <c r="CQ133" s="340"/>
      <c r="CR133" s="340"/>
      <c r="CS133" s="340"/>
      <c r="CT133" s="340"/>
    </row>
    <row r="134" spans="1:98" s="394" customFormat="1" x14ac:dyDescent="0.25">
      <c r="A134" s="390"/>
      <c r="B134" s="391"/>
      <c r="C134" s="244"/>
      <c r="D134" s="392"/>
      <c r="E134" s="392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  <c r="AD134" s="339"/>
      <c r="AE134" s="339"/>
      <c r="AF134" s="339"/>
      <c r="AG134" s="339"/>
      <c r="AH134" s="339"/>
      <c r="AI134" s="339"/>
      <c r="AJ134" s="339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40"/>
      <c r="BG134" s="340"/>
      <c r="BH134" s="108"/>
      <c r="BI134" s="108"/>
      <c r="BJ134" s="108"/>
      <c r="BK134" s="108"/>
      <c r="BL134" s="108"/>
      <c r="BM134" s="339"/>
      <c r="BN134" s="339"/>
      <c r="BO134" s="339"/>
      <c r="BP134" s="339"/>
      <c r="BQ134" s="339"/>
      <c r="BR134" s="339"/>
      <c r="BS134" s="393"/>
      <c r="BT134" s="339"/>
      <c r="BU134" s="340"/>
      <c r="BV134" s="340"/>
      <c r="BW134" s="340"/>
      <c r="BX134" s="340"/>
      <c r="BY134" s="340"/>
      <c r="BZ134" s="340"/>
      <c r="CA134" s="340"/>
      <c r="CB134" s="340"/>
      <c r="CC134" s="340"/>
      <c r="CD134" s="340"/>
      <c r="CE134" s="340"/>
      <c r="CF134" s="340"/>
      <c r="CG134" s="340"/>
      <c r="CH134" s="340"/>
      <c r="CI134" s="340"/>
      <c r="CJ134" s="340"/>
      <c r="CK134" s="340"/>
      <c r="CL134" s="340"/>
      <c r="CM134" s="340"/>
      <c r="CN134" s="340"/>
      <c r="CO134" s="340"/>
      <c r="CP134" s="340"/>
      <c r="CQ134" s="340"/>
      <c r="CR134" s="340"/>
      <c r="CS134" s="340"/>
      <c r="CT134" s="340"/>
    </row>
    <row r="135" spans="1:98" s="18" customFormat="1" x14ac:dyDescent="0.25">
      <c r="A135" s="139"/>
      <c r="B135" s="140"/>
      <c r="C135" s="127"/>
      <c r="D135" s="127"/>
      <c r="E135" s="127"/>
      <c r="F135" s="127"/>
      <c r="G135" s="127"/>
      <c r="H135" s="1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</row>
    <row r="136" spans="1:98" s="405" customFormat="1" ht="39" customHeight="1" x14ac:dyDescent="0.25">
      <c r="A136" s="530" t="s">
        <v>192</v>
      </c>
      <c r="B136" s="530"/>
      <c r="C136" s="530"/>
      <c r="D136" s="530"/>
      <c r="E136" s="530"/>
      <c r="F136" s="530"/>
      <c r="G136" s="530"/>
      <c r="H136" s="531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1"/>
      <c r="BG136" s="401"/>
      <c r="BH136" s="401"/>
      <c r="BI136" s="401"/>
      <c r="BJ136" s="401"/>
      <c r="BK136" s="401"/>
      <c r="BL136" s="401"/>
      <c r="BM136" s="401"/>
      <c r="BN136" s="401"/>
      <c r="BO136" s="401"/>
      <c r="BP136" s="401"/>
      <c r="BQ136" s="401"/>
      <c r="BR136" s="401"/>
      <c r="BS136" s="402"/>
      <c r="BT136" s="401"/>
      <c r="BU136" s="403"/>
      <c r="BV136" s="403"/>
      <c r="BW136" s="403"/>
      <c r="BX136" s="403"/>
      <c r="BY136" s="403"/>
      <c r="BZ136" s="403"/>
      <c r="CA136" s="403"/>
      <c r="CB136" s="403"/>
      <c r="CC136" s="403"/>
      <c r="CD136" s="403"/>
      <c r="CE136" s="403"/>
      <c r="CF136" s="403"/>
      <c r="CG136" s="403"/>
      <c r="CH136" s="403"/>
      <c r="CI136" s="403"/>
      <c r="CJ136" s="403"/>
      <c r="CK136" s="404"/>
      <c r="CL136" s="403"/>
      <c r="CM136" s="403"/>
      <c r="CN136" s="403"/>
      <c r="CO136" s="403"/>
      <c r="CP136" s="403"/>
      <c r="CQ136" s="403"/>
      <c r="CR136" s="403"/>
      <c r="CS136" s="403"/>
      <c r="CT136" s="404"/>
    </row>
    <row r="137" spans="1:98" s="269" customFormat="1" x14ac:dyDescent="0.25">
      <c r="A137" s="110" t="s">
        <v>91</v>
      </c>
      <c r="B137" s="279" t="s">
        <v>249</v>
      </c>
      <c r="C137" s="278" t="s">
        <v>250</v>
      </c>
      <c r="D137" s="278">
        <f>6.7*6.1</f>
        <v>40.869999999999997</v>
      </c>
      <c r="E137" s="278">
        <f>(6.7+6.1)*2</f>
        <v>25.6</v>
      </c>
      <c r="F137" s="75"/>
      <c r="G137" s="75"/>
      <c r="H137" s="75"/>
      <c r="I137" s="61">
        <f>6.7*6.1</f>
        <v>40.869999999999997</v>
      </c>
      <c r="J137" s="244"/>
      <c r="K137" s="244"/>
      <c r="L137" s="244"/>
      <c r="M137" s="75">
        <f>6.7*6.1</f>
        <v>40.869999999999997</v>
      </c>
      <c r="N137" s="75">
        <f>6.7*6.1</f>
        <v>40.869999999999997</v>
      </c>
      <c r="O137" s="75"/>
      <c r="P137" s="244"/>
      <c r="Q137" s="244"/>
      <c r="R137" s="244"/>
      <c r="S137" s="64"/>
      <c r="T137" s="64"/>
      <c r="U137" s="75"/>
      <c r="V137" s="75"/>
      <c r="W137" s="75"/>
      <c r="X137" s="75"/>
      <c r="Y137" s="64"/>
      <c r="Z137" s="61">
        <f>6.7*6.1</f>
        <v>40.869999999999997</v>
      </c>
      <c r="AA137" s="64"/>
      <c r="AB137" s="64"/>
      <c r="AC137" s="64"/>
      <c r="AD137" s="64"/>
      <c r="AE137" s="64"/>
      <c r="AF137" s="64"/>
      <c r="AG137" s="75"/>
      <c r="AH137" s="64"/>
      <c r="AI137" s="75">
        <f>6.7*6.1</f>
        <v>40.869999999999997</v>
      </c>
      <c r="AJ137" s="75"/>
      <c r="AK137" s="75"/>
      <c r="AL137" s="75">
        <f>6.7*6.1</f>
        <v>40.869999999999997</v>
      </c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64"/>
      <c r="BB137" s="64"/>
      <c r="BC137" s="75"/>
      <c r="BD137" s="64"/>
      <c r="BE137" s="61">
        <f>(6.7+6.1)*2*4.3</f>
        <v>110.08</v>
      </c>
      <c r="BF137" s="109">
        <f t="shared" ref="BF137:BF144" si="19">BE137-CK137-CT137</f>
        <v>107.98</v>
      </c>
      <c r="BG137" s="109">
        <f>BF137</f>
        <v>107.98</v>
      </c>
      <c r="BH137" s="38">
        <f>BF137</f>
        <v>107.98</v>
      </c>
      <c r="BI137" s="38"/>
      <c r="BJ137" s="38"/>
      <c r="BK137" s="38"/>
      <c r="BL137" s="38">
        <f>BF137-BR137</f>
        <v>107.98</v>
      </c>
      <c r="BM137" s="77"/>
      <c r="BN137" s="77"/>
      <c r="BO137" s="64"/>
      <c r="BP137" s="77"/>
      <c r="BQ137" s="64"/>
      <c r="BR137" s="75"/>
      <c r="BS137" s="39"/>
      <c r="BT137" s="64"/>
      <c r="BU137" s="37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>
        <f>1*2.1*1</f>
        <v>2.1</v>
      </c>
      <c r="CG137" s="64"/>
      <c r="CH137" s="64"/>
      <c r="CI137" s="37"/>
      <c r="CJ137" s="37"/>
      <c r="CK137" s="190">
        <f t="shared" ref="CK137:CK144" si="20">SUM(BU137:CJ137)</f>
        <v>2.1</v>
      </c>
      <c r="CL137" s="64"/>
      <c r="CM137" s="64"/>
      <c r="CN137" s="64"/>
      <c r="CO137" s="64"/>
      <c r="CP137" s="64"/>
      <c r="CQ137" s="64"/>
      <c r="CR137" s="37"/>
      <c r="CS137" s="37"/>
      <c r="CT137" s="190">
        <f t="shared" ref="CT137:CT144" si="21">SUM(CL137:CS137)</f>
        <v>0</v>
      </c>
    </row>
    <row r="138" spans="1:98" s="269" customFormat="1" x14ac:dyDescent="0.25">
      <c r="A138" s="110" t="s">
        <v>91</v>
      </c>
      <c r="B138" s="279" t="s">
        <v>249</v>
      </c>
      <c r="C138" s="278" t="s">
        <v>251</v>
      </c>
      <c r="D138" s="278">
        <f>19.75*6.1</f>
        <v>120.47499999999999</v>
      </c>
      <c r="E138" s="278">
        <f>(19.75+6.1)*2</f>
        <v>51.7</v>
      </c>
      <c r="F138" s="75"/>
      <c r="G138" s="75"/>
      <c r="H138" s="75"/>
      <c r="I138" s="61">
        <f>19.75*6.1</f>
        <v>120.47499999999999</v>
      </c>
      <c r="J138" s="244"/>
      <c r="K138" s="244"/>
      <c r="L138" s="244"/>
      <c r="M138" s="75">
        <f>19.75*6.1</f>
        <v>120.47499999999999</v>
      </c>
      <c r="N138" s="75">
        <f>19.75*6.1</f>
        <v>120.47499999999999</v>
      </c>
      <c r="O138" s="75"/>
      <c r="P138" s="244"/>
      <c r="Q138" s="244"/>
      <c r="R138" s="244"/>
      <c r="S138" s="64"/>
      <c r="T138" s="64"/>
      <c r="U138" s="75"/>
      <c r="V138" s="75"/>
      <c r="W138" s="75"/>
      <c r="X138" s="75"/>
      <c r="Y138" s="64"/>
      <c r="Z138" s="61">
        <f>19.75*6.1</f>
        <v>120.47499999999999</v>
      </c>
      <c r="AA138" s="64"/>
      <c r="AB138" s="64"/>
      <c r="AC138" s="64"/>
      <c r="AD138" s="64"/>
      <c r="AE138" s="64"/>
      <c r="AF138" s="64"/>
      <c r="AG138" s="75"/>
      <c r="AH138" s="64"/>
      <c r="AI138" s="75">
        <f>19.75*6.1</f>
        <v>120.47499999999999</v>
      </c>
      <c r="AJ138" s="75"/>
      <c r="AK138" s="75"/>
      <c r="AL138" s="75">
        <f>19.75*6.1</f>
        <v>120.47499999999999</v>
      </c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64"/>
      <c r="BB138" s="64"/>
      <c r="BC138" s="75"/>
      <c r="BD138" s="64"/>
      <c r="BE138" s="61">
        <f>(19.75+6.1)*2*4.3</f>
        <v>222.31</v>
      </c>
      <c r="BF138" s="109">
        <f t="shared" si="19"/>
        <v>222.31</v>
      </c>
      <c r="BG138" s="109">
        <f>BF138</f>
        <v>222.31</v>
      </c>
      <c r="BH138" s="38">
        <f>BF138</f>
        <v>222.31</v>
      </c>
      <c r="BI138" s="38"/>
      <c r="BJ138" s="38"/>
      <c r="BK138" s="38"/>
      <c r="BL138" s="38">
        <f>BF138-BR138</f>
        <v>222.31</v>
      </c>
      <c r="BM138" s="77"/>
      <c r="BN138" s="77"/>
      <c r="BO138" s="64"/>
      <c r="BP138" s="77"/>
      <c r="BQ138" s="64"/>
      <c r="BR138" s="75"/>
      <c r="BS138" s="39"/>
      <c r="BT138" s="64"/>
      <c r="BU138" s="37"/>
      <c r="BV138" s="37"/>
      <c r="BW138" s="37"/>
      <c r="BX138" s="64"/>
      <c r="BY138" s="64"/>
      <c r="BZ138" s="64"/>
      <c r="CA138" s="64"/>
      <c r="CB138" s="37"/>
      <c r="CC138" s="37">
        <f>1*CC80</f>
        <v>0</v>
      </c>
      <c r="CD138" s="37">
        <f>1*CD80</f>
        <v>0</v>
      </c>
      <c r="CE138" s="37"/>
      <c r="CF138" s="37"/>
      <c r="CG138" s="37"/>
      <c r="CH138" s="37"/>
      <c r="CI138" s="37"/>
      <c r="CJ138" s="37"/>
      <c r="CK138" s="190">
        <f t="shared" si="20"/>
        <v>0</v>
      </c>
      <c r="CL138" s="64"/>
      <c r="CM138" s="64"/>
      <c r="CN138" s="64"/>
      <c r="CO138" s="64"/>
      <c r="CP138" s="64"/>
      <c r="CQ138" s="37"/>
      <c r="CR138" s="37"/>
      <c r="CS138" s="37"/>
      <c r="CT138" s="190">
        <f t="shared" si="21"/>
        <v>0</v>
      </c>
    </row>
    <row r="139" spans="1:98" s="269" customFormat="1" x14ac:dyDescent="0.25">
      <c r="A139" s="427" t="s">
        <v>91</v>
      </c>
      <c r="B139" s="428" t="s">
        <v>249</v>
      </c>
      <c r="C139" s="429" t="s">
        <v>252</v>
      </c>
      <c r="D139" s="429">
        <f>6.3*5.8</f>
        <v>36.54</v>
      </c>
      <c r="E139" s="429">
        <f>(6.3+5.8)*2</f>
        <v>24.2</v>
      </c>
      <c r="F139" s="75"/>
      <c r="G139" s="75"/>
      <c r="H139" s="75"/>
      <c r="I139" s="426"/>
      <c r="J139" s="244"/>
      <c r="K139" s="244"/>
      <c r="L139" s="244"/>
      <c r="M139" s="426"/>
      <c r="N139" s="426"/>
      <c r="O139" s="75"/>
      <c r="P139" s="244"/>
      <c r="Q139" s="244"/>
      <c r="R139" s="244"/>
      <c r="S139" s="64"/>
      <c r="T139" s="64"/>
      <c r="U139" s="75"/>
      <c r="V139" s="75"/>
      <c r="W139" s="75"/>
      <c r="X139" s="75"/>
      <c r="Y139" s="64"/>
      <c r="Z139" s="426"/>
      <c r="AA139" s="64"/>
      <c r="AB139" s="64"/>
      <c r="AC139" s="64"/>
      <c r="AD139" s="64"/>
      <c r="AE139" s="64"/>
      <c r="AF139" s="64"/>
      <c r="AG139" s="75"/>
      <c r="AH139" s="64"/>
      <c r="AI139" s="426"/>
      <c r="AJ139" s="75"/>
      <c r="AK139" s="75"/>
      <c r="AL139" s="426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64"/>
      <c r="BB139" s="64"/>
      <c r="BC139" s="75"/>
      <c r="BD139" s="75"/>
      <c r="BE139" s="426"/>
      <c r="BF139" s="430"/>
      <c r="BG139" s="430"/>
      <c r="BH139" s="381"/>
      <c r="BI139" s="38"/>
      <c r="BJ139" s="38"/>
      <c r="BK139" s="38"/>
      <c r="BL139" s="381"/>
      <c r="BM139" s="77"/>
      <c r="BN139" s="77"/>
      <c r="BO139" s="64"/>
      <c r="BP139" s="77"/>
      <c r="BQ139" s="64"/>
      <c r="BR139" s="75"/>
      <c r="BS139" s="39"/>
      <c r="BT139" s="64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431"/>
      <c r="CG139" s="37"/>
      <c r="CH139" s="37"/>
      <c r="CI139" s="37"/>
      <c r="CJ139" s="37"/>
      <c r="CK139" s="430"/>
      <c r="CL139" s="64"/>
      <c r="CM139" s="64"/>
      <c r="CN139" s="64"/>
      <c r="CO139" s="64"/>
      <c r="CP139" s="64"/>
      <c r="CQ139" s="37"/>
      <c r="CR139" s="37"/>
      <c r="CS139" s="37"/>
      <c r="CT139" s="430"/>
    </row>
    <row r="140" spans="1:98" s="269" customFormat="1" x14ac:dyDescent="0.25">
      <c r="A140" s="110" t="s">
        <v>90</v>
      </c>
      <c r="B140" s="279" t="s">
        <v>212</v>
      </c>
      <c r="C140" s="278" t="s">
        <v>253</v>
      </c>
      <c r="D140" s="278">
        <f>26.6*3.2</f>
        <v>85.12</v>
      </c>
      <c r="E140" s="278">
        <f>(26.6+3.2)*2+3.2*2</f>
        <v>66</v>
      </c>
      <c r="F140" s="75"/>
      <c r="G140" s="75"/>
      <c r="H140" s="75"/>
      <c r="I140" s="61">
        <f>26.6*3.2</f>
        <v>85.12</v>
      </c>
      <c r="J140" s="244"/>
      <c r="K140" s="244"/>
      <c r="L140" s="244"/>
      <c r="M140" s="75">
        <f>26.6*3.2</f>
        <v>85.12</v>
      </c>
      <c r="N140" s="75">
        <f>26.6*3.2</f>
        <v>85.12</v>
      </c>
      <c r="O140" s="75"/>
      <c r="P140" s="244"/>
      <c r="Q140" s="244"/>
      <c r="R140" s="244"/>
      <c r="S140" s="64"/>
      <c r="T140" s="64"/>
      <c r="U140" s="75"/>
      <c r="V140" s="75"/>
      <c r="W140" s="75"/>
      <c r="X140" s="75"/>
      <c r="Y140" s="64"/>
      <c r="Z140" s="61">
        <f>26.6*3.2</f>
        <v>85.12</v>
      </c>
      <c r="AA140" s="64"/>
      <c r="AB140" s="64"/>
      <c r="AC140" s="64"/>
      <c r="AD140" s="64"/>
      <c r="AE140" s="64"/>
      <c r="AF140" s="64"/>
      <c r="AG140" s="75"/>
      <c r="AH140" s="64"/>
      <c r="AI140" s="75">
        <f>26.6*3.2</f>
        <v>85.12</v>
      </c>
      <c r="AJ140" s="75"/>
      <c r="AK140" s="75"/>
      <c r="AL140" s="75">
        <f>26.6*3.2</f>
        <v>85.12</v>
      </c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64"/>
      <c r="BB140" s="64"/>
      <c r="BC140" s="75"/>
      <c r="BD140" s="75"/>
      <c r="BE140" s="61">
        <f>(26.6+3.2)*2*4.3+3.2*2*4.3</f>
        <v>283.79999999999995</v>
      </c>
      <c r="BF140" s="109">
        <f t="shared" si="19"/>
        <v>277.49999999999994</v>
      </c>
      <c r="BG140" s="109">
        <f>BF140</f>
        <v>277.49999999999994</v>
      </c>
      <c r="BH140" s="38">
        <f>BF140</f>
        <v>277.49999999999994</v>
      </c>
      <c r="BI140" s="38"/>
      <c r="BJ140" s="38"/>
      <c r="BK140" s="38"/>
      <c r="BL140" s="38">
        <f>BF140-BR140</f>
        <v>277.49999999999994</v>
      </c>
      <c r="BM140" s="77"/>
      <c r="BN140" s="77"/>
      <c r="BO140" s="64"/>
      <c r="BP140" s="77"/>
      <c r="BQ140" s="64"/>
      <c r="BR140" s="75"/>
      <c r="BS140" s="39"/>
      <c r="BT140" s="64"/>
      <c r="BU140" s="37"/>
      <c r="BV140" s="37"/>
      <c r="BW140" s="37"/>
      <c r="BX140" s="37"/>
      <c r="BY140" s="37"/>
      <c r="BZ140" s="37"/>
      <c r="CA140" s="37"/>
      <c r="CB140" s="37"/>
      <c r="CC140" s="37">
        <f>1*CC80</f>
        <v>0</v>
      </c>
      <c r="CD140" s="37">
        <f>1*CD80</f>
        <v>0</v>
      </c>
      <c r="CE140" s="37">
        <f>1*CE80*2</f>
        <v>0</v>
      </c>
      <c r="CF140" s="37">
        <f>1*2.1*3</f>
        <v>6.3000000000000007</v>
      </c>
      <c r="CG140" s="37"/>
      <c r="CH140" s="37"/>
      <c r="CI140" s="37"/>
      <c r="CJ140" s="37"/>
      <c r="CK140" s="190">
        <f t="shared" si="20"/>
        <v>6.3000000000000007</v>
      </c>
      <c r="CL140" s="37"/>
      <c r="CM140" s="37"/>
      <c r="CN140" s="37"/>
      <c r="CO140" s="37"/>
      <c r="CP140" s="37"/>
      <c r="CQ140" s="37"/>
      <c r="CR140" s="37"/>
      <c r="CS140" s="37"/>
      <c r="CT140" s="190">
        <f t="shared" si="21"/>
        <v>0</v>
      </c>
    </row>
    <row r="141" spans="1:98" s="269" customFormat="1" x14ac:dyDescent="0.25">
      <c r="A141" s="110" t="s">
        <v>52</v>
      </c>
      <c r="B141" s="279" t="s">
        <v>245</v>
      </c>
      <c r="C141" s="278" t="s">
        <v>254</v>
      </c>
      <c r="D141" s="278">
        <f>3.85*5.8</f>
        <v>22.33</v>
      </c>
      <c r="E141" s="278">
        <f>(3.85+5.8)*2</f>
        <v>19.3</v>
      </c>
      <c r="F141" s="75"/>
      <c r="G141" s="75"/>
      <c r="H141" s="75"/>
      <c r="I141" s="61">
        <f>3.85*5.8</f>
        <v>22.33</v>
      </c>
      <c r="J141" s="244"/>
      <c r="K141" s="244"/>
      <c r="L141" s="244"/>
      <c r="M141" s="75">
        <f>3.85*5.8</f>
        <v>22.33</v>
      </c>
      <c r="N141" s="75">
        <f>3.85*5.8</f>
        <v>22.33</v>
      </c>
      <c r="O141" s="75"/>
      <c r="P141" s="244"/>
      <c r="Q141" s="244"/>
      <c r="R141" s="244"/>
      <c r="S141" s="64"/>
      <c r="T141" s="64"/>
      <c r="U141" s="75"/>
      <c r="V141" s="75"/>
      <c r="W141" s="75"/>
      <c r="X141" s="75"/>
      <c r="Y141" s="64"/>
      <c r="Z141" s="61">
        <f>3.85*5.8</f>
        <v>22.33</v>
      </c>
      <c r="AA141" s="64"/>
      <c r="AB141" s="64"/>
      <c r="AC141" s="64"/>
      <c r="AD141" s="64"/>
      <c r="AE141" s="64"/>
      <c r="AF141" s="64"/>
      <c r="AG141" s="75"/>
      <c r="AH141" s="64"/>
      <c r="AI141" s="75">
        <f>3.85*5.8</f>
        <v>22.33</v>
      </c>
      <c r="AJ141" s="75"/>
      <c r="AK141" s="75"/>
      <c r="AL141" s="75">
        <f>3.85*5.8</f>
        <v>22.33</v>
      </c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64"/>
      <c r="BB141" s="64"/>
      <c r="BC141" s="75"/>
      <c r="BD141" s="64"/>
      <c r="BE141" s="61">
        <f>(3.85+5.8)*2*3.3</f>
        <v>63.69</v>
      </c>
      <c r="BF141" s="109">
        <f t="shared" si="19"/>
        <v>58.44</v>
      </c>
      <c r="BG141" s="109">
        <f>BF141</f>
        <v>58.44</v>
      </c>
      <c r="BH141" s="38">
        <f>BF141</f>
        <v>58.44</v>
      </c>
      <c r="BI141" s="38"/>
      <c r="BJ141" s="38"/>
      <c r="BK141" s="38"/>
      <c r="BL141" s="38">
        <f>BF141-BR141</f>
        <v>58.44</v>
      </c>
      <c r="BM141" s="77"/>
      <c r="BN141" s="77"/>
      <c r="BO141" s="64"/>
      <c r="BP141" s="77"/>
      <c r="BQ141" s="64"/>
      <c r="BR141" s="75"/>
      <c r="BS141" s="39"/>
      <c r="BT141" s="64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>
        <f>1.5*2.1*1+1*2.1*1</f>
        <v>5.25</v>
      </c>
      <c r="CG141" s="260"/>
      <c r="CH141" s="260"/>
      <c r="CI141" s="260"/>
      <c r="CJ141" s="260"/>
      <c r="CK141" s="190">
        <f t="shared" si="20"/>
        <v>5.25</v>
      </c>
      <c r="CL141" s="260"/>
      <c r="CM141" s="260"/>
      <c r="CN141" s="260"/>
      <c r="CO141" s="260"/>
      <c r="CP141" s="260"/>
      <c r="CQ141" s="260"/>
      <c r="CR141" s="260"/>
      <c r="CS141" s="260"/>
      <c r="CT141" s="190">
        <f t="shared" si="21"/>
        <v>0</v>
      </c>
    </row>
    <row r="142" spans="1:98" s="269" customFormat="1" x14ac:dyDescent="0.25">
      <c r="A142" s="427" t="s">
        <v>66</v>
      </c>
      <c r="B142" s="428" t="s">
        <v>275</v>
      </c>
      <c r="C142" s="429" t="s">
        <v>276</v>
      </c>
      <c r="D142" s="429">
        <f>4.3*1.05+7.4*1.2</f>
        <v>13.395</v>
      </c>
      <c r="E142" s="429">
        <f>(7.4+5.5)*2</f>
        <v>25.8</v>
      </c>
      <c r="F142" s="75"/>
      <c r="G142" s="75"/>
      <c r="H142" s="75"/>
      <c r="I142" s="426"/>
      <c r="J142" s="244"/>
      <c r="K142" s="244"/>
      <c r="L142" s="244"/>
      <c r="M142" s="426"/>
      <c r="N142" s="426"/>
      <c r="O142" s="75"/>
      <c r="P142" s="244"/>
      <c r="Q142" s="244"/>
      <c r="R142" s="244"/>
      <c r="S142" s="64"/>
      <c r="T142" s="64"/>
      <c r="U142" s="75"/>
      <c r="V142" s="75"/>
      <c r="W142" s="75"/>
      <c r="X142" s="75"/>
      <c r="Y142" s="64"/>
      <c r="Z142" s="426"/>
      <c r="AA142" s="64"/>
      <c r="AB142" s="64"/>
      <c r="AC142" s="64"/>
      <c r="AD142" s="64"/>
      <c r="AE142" s="64"/>
      <c r="AF142" s="64"/>
      <c r="AG142" s="75"/>
      <c r="AH142" s="64"/>
      <c r="AI142" s="426"/>
      <c r="AJ142" s="75"/>
      <c r="AK142" s="75"/>
      <c r="AL142" s="426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64"/>
      <c r="BB142" s="64"/>
      <c r="BC142" s="75"/>
      <c r="BD142" s="64"/>
      <c r="BE142" s="426"/>
      <c r="BF142" s="430"/>
      <c r="BG142" s="430"/>
      <c r="BH142" s="381"/>
      <c r="BI142" s="38"/>
      <c r="BJ142" s="38"/>
      <c r="BK142" s="38"/>
      <c r="BL142" s="381"/>
      <c r="BM142" s="77"/>
      <c r="BN142" s="77"/>
      <c r="BO142" s="64"/>
      <c r="BP142" s="77"/>
      <c r="BQ142" s="64"/>
      <c r="BR142" s="75"/>
      <c r="BS142" s="39"/>
      <c r="BT142" s="64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431"/>
      <c r="CG142" s="260"/>
      <c r="CH142" s="260"/>
      <c r="CI142" s="260"/>
      <c r="CJ142" s="260"/>
      <c r="CK142" s="430"/>
      <c r="CL142" s="260"/>
      <c r="CM142" s="260"/>
      <c r="CN142" s="260"/>
      <c r="CO142" s="260"/>
      <c r="CP142" s="260"/>
      <c r="CQ142" s="260"/>
      <c r="CR142" s="260"/>
      <c r="CS142" s="260"/>
      <c r="CT142" s="430"/>
    </row>
    <row r="143" spans="1:98" s="269" customFormat="1" x14ac:dyDescent="0.25">
      <c r="A143" s="110"/>
      <c r="B143" s="279"/>
      <c r="C143" s="75"/>
      <c r="D143" s="75"/>
      <c r="E143" s="75"/>
      <c r="F143" s="75"/>
      <c r="G143" s="75"/>
      <c r="H143" s="75"/>
      <c r="I143" s="61"/>
      <c r="J143" s="244"/>
      <c r="K143" s="244"/>
      <c r="L143" s="244"/>
      <c r="M143" s="64">
        <f>(1.5+0.9+1.8+1.2*5+1+1.5)*0.3</f>
        <v>3.8099999999999996</v>
      </c>
      <c r="N143" s="64">
        <f>(1.5+0.9+1.8+1.2*5+1+1.5)*0.3</f>
        <v>3.8099999999999996</v>
      </c>
      <c r="O143" s="64"/>
      <c r="P143" s="244"/>
      <c r="Q143" s="244"/>
      <c r="R143" s="244"/>
      <c r="S143" s="64"/>
      <c r="T143" s="64"/>
      <c r="U143" s="75"/>
      <c r="V143" s="75"/>
      <c r="W143" s="75"/>
      <c r="X143" s="75"/>
      <c r="Y143" s="64"/>
      <c r="Z143" s="61"/>
      <c r="AA143" s="64"/>
      <c r="AB143" s="64"/>
      <c r="AC143" s="64"/>
      <c r="AD143" s="64"/>
      <c r="AE143" s="64"/>
      <c r="AF143" s="64"/>
      <c r="AG143" s="75"/>
      <c r="AH143" s="64"/>
      <c r="AI143" s="64">
        <f>(1.5+0.9+1.8+1.2*5+1+1.5)*0.3</f>
        <v>3.8099999999999996</v>
      </c>
      <c r="AJ143" s="75"/>
      <c r="AK143" s="75"/>
      <c r="AL143" s="64">
        <f>(1.5+0.9+1.8+1.2*5+1+1.5)*0.3</f>
        <v>3.8099999999999996</v>
      </c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64"/>
      <c r="BB143" s="64"/>
      <c r="BC143" s="75"/>
      <c r="BD143" s="64"/>
      <c r="BE143" s="61"/>
      <c r="BF143" s="109">
        <f t="shared" si="19"/>
        <v>0</v>
      </c>
      <c r="BG143" s="109">
        <f>BF143</f>
        <v>0</v>
      </c>
      <c r="BH143" s="38">
        <f>BF143</f>
        <v>0</v>
      </c>
      <c r="BI143" s="38"/>
      <c r="BJ143" s="38"/>
      <c r="BK143" s="38"/>
      <c r="BL143" s="38">
        <f>BF143-BR143</f>
        <v>0</v>
      </c>
      <c r="BM143" s="77"/>
      <c r="BN143" s="77"/>
      <c r="BO143" s="64"/>
      <c r="BP143" s="77"/>
      <c r="BQ143" s="64"/>
      <c r="BR143" s="75"/>
      <c r="BS143" s="39"/>
      <c r="BT143" s="64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190">
        <f t="shared" si="20"/>
        <v>0</v>
      </c>
      <c r="CL143" s="37"/>
      <c r="CM143" s="37"/>
      <c r="CN143" s="37"/>
      <c r="CO143" s="37"/>
      <c r="CP143" s="37"/>
      <c r="CQ143" s="37"/>
      <c r="CR143" s="37"/>
      <c r="CS143" s="37"/>
      <c r="CT143" s="190">
        <f t="shared" si="21"/>
        <v>0</v>
      </c>
    </row>
    <row r="144" spans="1:98" s="269" customFormat="1" x14ac:dyDescent="0.25">
      <c r="A144" s="110"/>
      <c r="B144" s="279"/>
      <c r="C144" s="75"/>
      <c r="D144" s="75"/>
      <c r="E144" s="75"/>
      <c r="F144" s="75"/>
      <c r="G144" s="75"/>
      <c r="H144" s="75"/>
      <c r="I144" s="61"/>
      <c r="J144" s="244"/>
      <c r="K144" s="244"/>
      <c r="L144" s="244"/>
      <c r="M144" s="244"/>
      <c r="N144" s="244"/>
      <c r="O144" s="244"/>
      <c r="P144" s="244"/>
      <c r="Q144" s="244"/>
      <c r="R144" s="244"/>
      <c r="S144" s="64"/>
      <c r="T144" s="64"/>
      <c r="U144" s="75"/>
      <c r="V144" s="75"/>
      <c r="W144" s="75"/>
      <c r="X144" s="75"/>
      <c r="Y144" s="64"/>
      <c r="Z144" s="61"/>
      <c r="AA144" s="64"/>
      <c r="AB144" s="64"/>
      <c r="AC144" s="64"/>
      <c r="AD144" s="64"/>
      <c r="AE144" s="64"/>
      <c r="AF144" s="64"/>
      <c r="AG144" s="75"/>
      <c r="AH144" s="64"/>
      <c r="AI144" s="64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64"/>
      <c r="BB144" s="64"/>
      <c r="BC144" s="75"/>
      <c r="BD144" s="75"/>
      <c r="BE144" s="61"/>
      <c r="BF144" s="109">
        <f t="shared" si="19"/>
        <v>0</v>
      </c>
      <c r="BG144" s="109">
        <f>BF144</f>
        <v>0</v>
      </c>
      <c r="BH144" s="38">
        <f>BF144</f>
        <v>0</v>
      </c>
      <c r="BI144" s="38"/>
      <c r="BJ144" s="38"/>
      <c r="BK144" s="38"/>
      <c r="BL144" s="38">
        <f>BF144-BR144</f>
        <v>0</v>
      </c>
      <c r="BM144" s="77"/>
      <c r="BN144" s="77"/>
      <c r="BO144" s="64"/>
      <c r="BP144" s="77"/>
      <c r="BQ144" s="64"/>
      <c r="BR144" s="75"/>
      <c r="BS144" s="39"/>
      <c r="BT144" s="64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190">
        <f t="shared" si="20"/>
        <v>0</v>
      </c>
      <c r="CL144" s="37"/>
      <c r="CM144" s="37"/>
      <c r="CN144" s="37"/>
      <c r="CO144" s="37"/>
      <c r="CP144" s="37"/>
      <c r="CQ144" s="37"/>
      <c r="CR144" s="37"/>
      <c r="CS144" s="37"/>
      <c r="CT144" s="190">
        <f t="shared" si="21"/>
        <v>0</v>
      </c>
    </row>
    <row r="145" spans="1:98" s="269" customFormat="1" ht="17.25" thickBot="1" x14ac:dyDescent="0.3">
      <c r="A145" s="110"/>
      <c r="B145" s="279"/>
      <c r="C145" s="75"/>
      <c r="D145" s="75"/>
      <c r="E145" s="75"/>
      <c r="F145" s="75"/>
      <c r="G145" s="75"/>
      <c r="H145" s="75"/>
      <c r="I145" s="61"/>
      <c r="J145" s="244"/>
      <c r="K145" s="244"/>
      <c r="L145" s="244"/>
      <c r="M145" s="244"/>
      <c r="N145" s="244"/>
      <c r="O145" s="244"/>
      <c r="P145" s="244"/>
      <c r="Q145" s="244"/>
      <c r="R145" s="244"/>
      <c r="S145" s="64"/>
      <c r="T145" s="64"/>
      <c r="U145" s="75"/>
      <c r="V145" s="75"/>
      <c r="W145" s="75"/>
      <c r="X145" s="75"/>
      <c r="Y145" s="64"/>
      <c r="Z145" s="61"/>
      <c r="AA145" s="64"/>
      <c r="AB145" s="64"/>
      <c r="AC145" s="64"/>
      <c r="AD145" s="64"/>
      <c r="AE145" s="64"/>
      <c r="AF145" s="64"/>
      <c r="AG145" s="75"/>
      <c r="AH145" s="64"/>
      <c r="AI145" s="64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64"/>
      <c r="BB145" s="64"/>
      <c r="BC145" s="75"/>
      <c r="BD145" s="75"/>
      <c r="BE145" s="61"/>
      <c r="BF145" s="109"/>
      <c r="BG145" s="109"/>
      <c r="BH145" s="38"/>
      <c r="BI145" s="38"/>
      <c r="BJ145" s="38"/>
      <c r="BK145" s="38"/>
      <c r="BL145" s="38"/>
      <c r="BM145" s="77"/>
      <c r="BN145" s="77"/>
      <c r="BO145" s="64"/>
      <c r="BP145" s="77"/>
      <c r="BQ145" s="64"/>
      <c r="BR145" s="75"/>
      <c r="BS145" s="39"/>
      <c r="BT145" s="64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190"/>
      <c r="CL145" s="37"/>
      <c r="CM145" s="37"/>
      <c r="CN145" s="37"/>
      <c r="CO145" s="37"/>
      <c r="CP145" s="37"/>
      <c r="CQ145" s="37"/>
      <c r="CR145" s="37"/>
      <c r="CS145" s="37"/>
      <c r="CT145" s="190"/>
    </row>
    <row r="146" spans="1:98" s="18" customFormat="1" ht="17.25" thickBot="1" x14ac:dyDescent="0.3">
      <c r="A146" s="534" t="s">
        <v>304</v>
      </c>
      <c r="B146" s="535"/>
      <c r="C146" s="535"/>
      <c r="D146" s="535"/>
      <c r="E146" s="535"/>
      <c r="F146" s="535"/>
      <c r="G146" s="535"/>
      <c r="H146" s="536"/>
      <c r="I146" s="284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61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61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</row>
    <row r="147" spans="1:98" s="18" customFormat="1" ht="33" x14ac:dyDescent="0.25">
      <c r="A147" s="523" t="s">
        <v>290</v>
      </c>
      <c r="B147" s="121" t="s">
        <v>291</v>
      </c>
      <c r="C147" s="111" t="s">
        <v>295</v>
      </c>
      <c r="D147" s="111">
        <f>(0.16+0.3)*1.2*6</f>
        <v>3.3119999999999994</v>
      </c>
      <c r="E147" s="111"/>
      <c r="F147" s="111" t="s">
        <v>5</v>
      </c>
      <c r="G147" s="121"/>
      <c r="H147" s="44"/>
      <c r="I147" s="284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61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61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</row>
    <row r="148" spans="1:98" s="18" customFormat="1" ht="33" x14ac:dyDescent="0.25">
      <c r="A148" s="524"/>
      <c r="B148" s="120" t="s">
        <v>292</v>
      </c>
      <c r="C148" s="85"/>
      <c r="D148" s="85">
        <v>2</v>
      </c>
      <c r="E148" s="85"/>
      <c r="F148" s="85" t="s">
        <v>5</v>
      </c>
      <c r="G148" s="120"/>
      <c r="H148" s="41"/>
      <c r="I148" s="284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61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61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</row>
    <row r="149" spans="1:98" s="18" customFormat="1" ht="49.5" x14ac:dyDescent="0.25">
      <c r="A149" s="524"/>
      <c r="B149" s="120" t="s">
        <v>293</v>
      </c>
      <c r="C149" s="85" t="s">
        <v>294</v>
      </c>
      <c r="D149" s="85">
        <f>1.8*0.95/2*2+0.3*0.16*2*6</f>
        <v>2.286</v>
      </c>
      <c r="E149" s="85"/>
      <c r="F149" s="85" t="s">
        <v>5</v>
      </c>
      <c r="G149" s="120"/>
      <c r="H149" s="41"/>
      <c r="I149" s="284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61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61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</row>
    <row r="150" spans="1:98" s="18" customFormat="1" ht="33" x14ac:dyDescent="0.25">
      <c r="A150" s="524"/>
      <c r="B150" s="120" t="s">
        <v>169</v>
      </c>
      <c r="C150" s="85" t="s">
        <v>93</v>
      </c>
      <c r="D150" s="85">
        <f>1.5+4+2</f>
        <v>7.5</v>
      </c>
      <c r="E150" s="85"/>
      <c r="F150" s="85" t="s">
        <v>1</v>
      </c>
      <c r="G150" s="120"/>
      <c r="H150" s="41"/>
      <c r="I150" s="284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61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61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</row>
    <row r="151" spans="1:98" s="18" customFormat="1" x14ac:dyDescent="0.25">
      <c r="A151" s="524"/>
      <c r="B151" s="120"/>
      <c r="C151" s="85"/>
      <c r="D151" s="85"/>
      <c r="E151" s="85"/>
      <c r="F151" s="85"/>
      <c r="G151" s="120"/>
      <c r="H151" s="41"/>
      <c r="I151" s="284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61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61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</row>
    <row r="152" spans="1:98" s="18" customFormat="1" x14ac:dyDescent="0.25">
      <c r="A152" s="524"/>
      <c r="B152" s="120"/>
      <c r="C152" s="85"/>
      <c r="D152" s="85"/>
      <c r="E152" s="85"/>
      <c r="F152" s="85"/>
      <c r="G152" s="120"/>
      <c r="H152" s="41"/>
      <c r="I152" s="284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61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61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</row>
    <row r="153" spans="1:98" s="18" customFormat="1" ht="17.25" thickBot="1" x14ac:dyDescent="0.3">
      <c r="A153" s="525"/>
      <c r="B153" s="322"/>
      <c r="C153" s="113"/>
      <c r="D153" s="113"/>
      <c r="E153" s="113"/>
      <c r="F153" s="113"/>
      <c r="G153" s="322"/>
      <c r="H153" s="126"/>
      <c r="I153" s="284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61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61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</row>
    <row r="154" spans="1:98" s="18" customFormat="1" ht="33" x14ac:dyDescent="0.25">
      <c r="A154" s="515" t="s">
        <v>224</v>
      </c>
      <c r="B154" s="323" t="s">
        <v>178</v>
      </c>
      <c r="C154" s="111" t="s">
        <v>288</v>
      </c>
      <c r="D154" s="111"/>
      <c r="E154" s="111"/>
      <c r="F154" s="111" t="s">
        <v>5</v>
      </c>
      <c r="G154" s="121"/>
      <c r="H154" s="44"/>
      <c r="I154" s="284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61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61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</row>
    <row r="155" spans="1:98" s="18" customFormat="1" ht="33" x14ac:dyDescent="0.25">
      <c r="A155" s="516"/>
      <c r="B155" s="324" t="s">
        <v>189</v>
      </c>
      <c r="C155" s="85"/>
      <c r="D155" s="85"/>
      <c r="E155" s="85"/>
      <c r="F155" s="85" t="s">
        <v>5</v>
      </c>
      <c r="G155" s="120"/>
      <c r="H155" s="41"/>
      <c r="I155" s="284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61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61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</row>
    <row r="156" spans="1:98" s="18" customFormat="1" ht="49.5" x14ac:dyDescent="0.25">
      <c r="A156" s="516"/>
      <c r="B156" s="324" t="s">
        <v>180</v>
      </c>
      <c r="C156" s="85"/>
      <c r="D156" s="85"/>
      <c r="E156" s="85"/>
      <c r="F156" s="85" t="s">
        <v>5</v>
      </c>
      <c r="G156" s="120"/>
      <c r="H156" s="41"/>
      <c r="I156" s="284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61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61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</row>
    <row r="157" spans="1:98" s="18" customFormat="1" ht="33" x14ac:dyDescent="0.25">
      <c r="A157" s="516"/>
      <c r="B157" s="324" t="s">
        <v>169</v>
      </c>
      <c r="C157" s="85"/>
      <c r="D157" s="85"/>
      <c r="E157" s="85"/>
      <c r="F157" s="85" t="s">
        <v>1</v>
      </c>
      <c r="G157" s="120"/>
      <c r="H157" s="41"/>
      <c r="I157" s="284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61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61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</row>
    <row r="158" spans="1:98" s="18" customFormat="1" x14ac:dyDescent="0.25">
      <c r="A158" s="516"/>
      <c r="B158" s="324"/>
      <c r="C158" s="85"/>
      <c r="D158" s="85"/>
      <c r="E158" s="85"/>
      <c r="F158" s="85"/>
      <c r="G158" s="120"/>
      <c r="H158" s="41"/>
      <c r="I158" s="284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61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61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</row>
    <row r="159" spans="1:98" s="18" customFormat="1" x14ac:dyDescent="0.25">
      <c r="A159" s="516"/>
      <c r="B159" s="324"/>
      <c r="C159" s="85"/>
      <c r="D159" s="85"/>
      <c r="E159" s="85"/>
      <c r="F159" s="85"/>
      <c r="G159" s="120"/>
      <c r="H159" s="41"/>
      <c r="I159" s="284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61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61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</row>
    <row r="160" spans="1:98" s="18" customFormat="1" ht="17.25" thickBot="1" x14ac:dyDescent="0.3">
      <c r="A160" s="517"/>
      <c r="B160" s="325"/>
      <c r="C160" s="113"/>
      <c r="D160" s="113"/>
      <c r="E160" s="113"/>
      <c r="F160" s="113"/>
      <c r="G160" s="322"/>
      <c r="H160" s="126"/>
      <c r="I160" s="284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61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61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</row>
    <row r="161" spans="1:98" s="269" customFormat="1" ht="17.25" thickBot="1" x14ac:dyDescent="0.3">
      <c r="A161" s="110"/>
      <c r="B161" s="279"/>
      <c r="C161" s="75"/>
      <c r="D161" s="75"/>
      <c r="E161" s="75"/>
      <c r="F161" s="75"/>
      <c r="G161" s="75"/>
      <c r="H161" s="75"/>
      <c r="I161" s="61"/>
      <c r="J161" s="244"/>
      <c r="K161" s="244"/>
      <c r="L161" s="244"/>
      <c r="M161" s="244"/>
      <c r="N161" s="244"/>
      <c r="O161" s="244"/>
      <c r="P161" s="244"/>
      <c r="Q161" s="244"/>
      <c r="R161" s="244"/>
      <c r="S161" s="64"/>
      <c r="T161" s="64"/>
      <c r="U161" s="75"/>
      <c r="V161" s="75"/>
      <c r="W161" s="75"/>
      <c r="X161" s="75"/>
      <c r="Y161" s="64"/>
      <c r="Z161" s="61"/>
      <c r="AA161" s="64"/>
      <c r="AB161" s="64"/>
      <c r="AC161" s="64"/>
      <c r="AD161" s="64"/>
      <c r="AE161" s="64"/>
      <c r="AF161" s="64"/>
      <c r="AG161" s="75"/>
      <c r="AH161" s="64"/>
      <c r="AI161" s="64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64"/>
      <c r="BB161" s="64"/>
      <c r="BC161" s="75"/>
      <c r="BD161" s="75"/>
      <c r="BE161" s="61"/>
      <c r="BF161" s="109"/>
      <c r="BG161" s="109"/>
      <c r="BH161" s="38"/>
      <c r="BI161" s="38"/>
      <c r="BJ161" s="38"/>
      <c r="BK161" s="38"/>
      <c r="BL161" s="38"/>
      <c r="BM161" s="77"/>
      <c r="BN161" s="77"/>
      <c r="BO161" s="64"/>
      <c r="BP161" s="77"/>
      <c r="BQ161" s="64"/>
      <c r="BR161" s="75"/>
      <c r="BS161" s="39"/>
      <c r="BT161" s="64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190"/>
      <c r="CL161" s="37"/>
      <c r="CM161" s="37"/>
      <c r="CN161" s="37"/>
      <c r="CO161" s="37"/>
      <c r="CP161" s="37"/>
      <c r="CQ161" s="37"/>
      <c r="CR161" s="37"/>
      <c r="CS161" s="37"/>
      <c r="CT161" s="190"/>
    </row>
    <row r="162" spans="1:98" s="18" customFormat="1" ht="33" x14ac:dyDescent="0.25">
      <c r="A162" s="526" t="s">
        <v>134</v>
      </c>
      <c r="B162" s="124" t="s">
        <v>175</v>
      </c>
      <c r="C162" s="124"/>
      <c r="D162" s="424">
        <f>D147+D154</f>
        <v>3.3119999999999994</v>
      </c>
      <c r="E162" s="114"/>
      <c r="F162" s="114" t="s">
        <v>5</v>
      </c>
      <c r="G162" s="114"/>
      <c r="H162" s="44"/>
      <c r="I162" s="284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61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61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</row>
    <row r="163" spans="1:98" s="18" customFormat="1" ht="33" x14ac:dyDescent="0.25">
      <c r="A163" s="521"/>
      <c r="B163" s="123" t="s">
        <v>176</v>
      </c>
      <c r="C163" s="123"/>
      <c r="D163" s="411">
        <f>+D148+D155</f>
        <v>2</v>
      </c>
      <c r="E163" s="115"/>
      <c r="F163" s="115" t="s">
        <v>5</v>
      </c>
      <c r="G163" s="115"/>
      <c r="H163" s="41"/>
      <c r="I163" s="284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61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61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</row>
    <row r="164" spans="1:98" s="18" customFormat="1" ht="49.5" x14ac:dyDescent="0.25">
      <c r="A164" s="521"/>
      <c r="B164" s="123" t="s">
        <v>177</v>
      </c>
      <c r="C164" s="123"/>
      <c r="D164" s="411">
        <f>+D149+D156</f>
        <v>2.286</v>
      </c>
      <c r="E164" s="115"/>
      <c r="F164" s="115" t="s">
        <v>5</v>
      </c>
      <c r="G164" s="115"/>
      <c r="H164" s="41"/>
      <c r="I164" s="284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61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61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</row>
    <row r="165" spans="1:98" s="18" customFormat="1" ht="33" x14ac:dyDescent="0.25">
      <c r="A165" s="521"/>
      <c r="B165" s="123" t="s">
        <v>169</v>
      </c>
      <c r="C165" s="123"/>
      <c r="D165" s="411">
        <f>+D150+D157</f>
        <v>7.5</v>
      </c>
      <c r="E165" s="115"/>
      <c r="F165" s="115" t="s">
        <v>1</v>
      </c>
      <c r="G165" s="115"/>
      <c r="H165" s="41"/>
      <c r="I165" s="284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61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61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</row>
    <row r="166" spans="1:98" s="18" customFormat="1" ht="17.25" thickBot="1" x14ac:dyDescent="0.3">
      <c r="A166" s="522"/>
      <c r="B166" s="259"/>
      <c r="C166" s="259"/>
      <c r="D166" s="258"/>
      <c r="E166" s="258"/>
      <c r="F166" s="258"/>
      <c r="G166" s="258"/>
      <c r="H166" s="126"/>
      <c r="I166" s="284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61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61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1:98" s="269" customFormat="1" x14ac:dyDescent="0.25">
      <c r="A167" s="110"/>
      <c r="B167" s="279"/>
      <c r="C167" s="75"/>
      <c r="D167" s="75"/>
      <c r="E167" s="75"/>
      <c r="F167" s="75"/>
      <c r="G167" s="75"/>
      <c r="H167" s="75"/>
      <c r="I167" s="61"/>
      <c r="J167" s="244"/>
      <c r="K167" s="244"/>
      <c r="L167" s="244"/>
      <c r="M167" s="244"/>
      <c r="N167" s="244"/>
      <c r="O167" s="244"/>
      <c r="P167" s="244"/>
      <c r="Q167" s="244"/>
      <c r="R167" s="244"/>
      <c r="S167" s="64"/>
      <c r="T167" s="64"/>
      <c r="U167" s="75"/>
      <c r="V167" s="75"/>
      <c r="W167" s="75"/>
      <c r="X167" s="75"/>
      <c r="Y167" s="64"/>
      <c r="Z167" s="61"/>
      <c r="AA167" s="64"/>
      <c r="AB167" s="64"/>
      <c r="AC167" s="64"/>
      <c r="AD167" s="64"/>
      <c r="AE167" s="64"/>
      <c r="AF167" s="64"/>
      <c r="AG167" s="75"/>
      <c r="AH167" s="64"/>
      <c r="AI167" s="64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64"/>
      <c r="BB167" s="64"/>
      <c r="BC167" s="75"/>
      <c r="BD167" s="75"/>
      <c r="BE167" s="61"/>
      <c r="BF167" s="109"/>
      <c r="BG167" s="109"/>
      <c r="BH167" s="38"/>
      <c r="BI167" s="38"/>
      <c r="BJ167" s="38"/>
      <c r="BK167" s="38"/>
      <c r="BL167" s="38"/>
      <c r="BM167" s="77"/>
      <c r="BN167" s="77"/>
      <c r="BO167" s="64"/>
      <c r="BP167" s="77"/>
      <c r="BQ167" s="64"/>
      <c r="BR167" s="75"/>
      <c r="BS167" s="39"/>
      <c r="BT167" s="64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190"/>
      <c r="CL167" s="37"/>
      <c r="CM167" s="37"/>
      <c r="CN167" s="37"/>
      <c r="CO167" s="37"/>
      <c r="CP167" s="37"/>
      <c r="CQ167" s="37"/>
      <c r="CR167" s="37"/>
      <c r="CS167" s="37"/>
      <c r="CT167" s="190"/>
    </row>
    <row r="168" spans="1:98" s="269" customFormat="1" x14ac:dyDescent="0.25">
      <c r="A168" s="110"/>
      <c r="B168" s="279"/>
      <c r="C168" s="75"/>
      <c r="D168" s="75"/>
      <c r="E168" s="75"/>
      <c r="F168" s="75"/>
      <c r="G168" s="75"/>
      <c r="H168" s="75"/>
      <c r="I168" s="61"/>
      <c r="J168" s="244"/>
      <c r="K168" s="244"/>
      <c r="L168" s="244"/>
      <c r="M168" s="244"/>
      <c r="N168" s="244"/>
      <c r="O168" s="244"/>
      <c r="P168" s="244"/>
      <c r="Q168" s="244"/>
      <c r="R168" s="244"/>
      <c r="S168" s="64"/>
      <c r="T168" s="64"/>
      <c r="U168" s="75"/>
      <c r="V168" s="75"/>
      <c r="W168" s="75"/>
      <c r="X168" s="75"/>
      <c r="Y168" s="64"/>
      <c r="Z168" s="61"/>
      <c r="AA168" s="64"/>
      <c r="AB168" s="64"/>
      <c r="AC168" s="64"/>
      <c r="AD168" s="64"/>
      <c r="AE168" s="64"/>
      <c r="AF168" s="64"/>
      <c r="AG168" s="75"/>
      <c r="AH168" s="64"/>
      <c r="AI168" s="64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64"/>
      <c r="BB168" s="64"/>
      <c r="BC168" s="75"/>
      <c r="BD168" s="75"/>
      <c r="BE168" s="61"/>
      <c r="BF168" s="109"/>
      <c r="BG168" s="109"/>
      <c r="BH168" s="38"/>
      <c r="BI168" s="38"/>
      <c r="BJ168" s="38"/>
      <c r="BK168" s="38"/>
      <c r="BL168" s="38"/>
      <c r="BM168" s="77"/>
      <c r="BN168" s="77"/>
      <c r="BO168" s="64"/>
      <c r="BP168" s="77"/>
      <c r="BQ168" s="64"/>
      <c r="BR168" s="75"/>
      <c r="BS168" s="39"/>
      <c r="BT168" s="64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190"/>
      <c r="CL168" s="37"/>
      <c r="CM168" s="37"/>
      <c r="CN168" s="37"/>
      <c r="CO168" s="37"/>
      <c r="CP168" s="37"/>
      <c r="CQ168" s="37"/>
      <c r="CR168" s="37"/>
      <c r="CS168" s="37"/>
      <c r="CT168" s="190"/>
    </row>
    <row r="169" spans="1:98" s="269" customFormat="1" x14ac:dyDescent="0.25">
      <c r="A169" s="110"/>
      <c r="B169" s="279"/>
      <c r="C169" s="75"/>
      <c r="D169" s="75"/>
      <c r="E169" s="75"/>
      <c r="F169" s="75"/>
      <c r="G169" s="75"/>
      <c r="H169" s="75"/>
      <c r="I169" s="61"/>
      <c r="J169" s="244"/>
      <c r="K169" s="244"/>
      <c r="L169" s="244"/>
      <c r="M169" s="244"/>
      <c r="N169" s="244"/>
      <c r="O169" s="244"/>
      <c r="P169" s="244"/>
      <c r="Q169" s="244"/>
      <c r="R169" s="244"/>
      <c r="S169" s="64"/>
      <c r="T169" s="64"/>
      <c r="U169" s="75"/>
      <c r="V169" s="75"/>
      <c r="W169" s="75"/>
      <c r="X169" s="75"/>
      <c r="Y169" s="64"/>
      <c r="Z169" s="61"/>
      <c r="AA169" s="64"/>
      <c r="AB169" s="64"/>
      <c r="AC169" s="64"/>
      <c r="AD169" s="64"/>
      <c r="AE169" s="64"/>
      <c r="AF169" s="64"/>
      <c r="AG169" s="75"/>
      <c r="AH169" s="64"/>
      <c r="AI169" s="64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64"/>
      <c r="BB169" s="64"/>
      <c r="BC169" s="75"/>
      <c r="BD169" s="75"/>
      <c r="BE169" s="61"/>
      <c r="BF169" s="109"/>
      <c r="BG169" s="109"/>
      <c r="BH169" s="38"/>
      <c r="BI169" s="38"/>
      <c r="BJ169" s="38"/>
      <c r="BK169" s="38"/>
      <c r="BL169" s="38"/>
      <c r="BM169" s="77"/>
      <c r="BN169" s="77"/>
      <c r="BO169" s="64"/>
      <c r="BP169" s="77"/>
      <c r="BQ169" s="64"/>
      <c r="BR169" s="75"/>
      <c r="BS169" s="39"/>
      <c r="BT169" s="64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190"/>
      <c r="CL169" s="37"/>
      <c r="CM169" s="37"/>
      <c r="CN169" s="37"/>
      <c r="CO169" s="37"/>
      <c r="CP169" s="37"/>
      <c r="CQ169" s="37"/>
      <c r="CR169" s="37"/>
      <c r="CS169" s="37"/>
      <c r="CT169" s="190"/>
    </row>
    <row r="170" spans="1:98" s="18" customFormat="1" x14ac:dyDescent="0.25">
      <c r="A170" s="54"/>
      <c r="B170" s="48"/>
      <c r="C170" s="13"/>
      <c r="D170" s="13"/>
      <c r="E170" s="13"/>
      <c r="F170" s="13"/>
      <c r="G170" s="13"/>
      <c r="H170" s="13"/>
      <c r="I170" s="245">
        <f t="shared" ref="I170:AN170" si="22">SUM(I137:I169)</f>
        <v>268.79500000000002</v>
      </c>
      <c r="J170" s="12">
        <f t="shared" si="22"/>
        <v>0</v>
      </c>
      <c r="K170" s="12">
        <f t="shared" si="22"/>
        <v>0</v>
      </c>
      <c r="L170" s="12">
        <f t="shared" si="22"/>
        <v>0</v>
      </c>
      <c r="M170" s="12">
        <f t="shared" si="22"/>
        <v>272.60500000000002</v>
      </c>
      <c r="N170" s="12">
        <f t="shared" si="22"/>
        <v>272.60500000000002</v>
      </c>
      <c r="O170" s="12">
        <f t="shared" si="22"/>
        <v>0</v>
      </c>
      <c r="P170" s="12">
        <f t="shared" si="22"/>
        <v>0</v>
      </c>
      <c r="Q170" s="12">
        <f t="shared" si="22"/>
        <v>0</v>
      </c>
      <c r="R170" s="12">
        <f t="shared" si="22"/>
        <v>0</v>
      </c>
      <c r="S170" s="12">
        <f t="shared" si="22"/>
        <v>0</v>
      </c>
      <c r="T170" s="12">
        <f t="shared" si="22"/>
        <v>0</v>
      </c>
      <c r="U170" s="12">
        <f t="shared" si="22"/>
        <v>0</v>
      </c>
      <c r="V170" s="12">
        <f t="shared" si="22"/>
        <v>0</v>
      </c>
      <c r="W170" s="12">
        <f t="shared" si="22"/>
        <v>0</v>
      </c>
      <c r="X170" s="12">
        <f t="shared" si="22"/>
        <v>0</v>
      </c>
      <c r="Y170" s="12">
        <f t="shared" si="22"/>
        <v>0</v>
      </c>
      <c r="Z170" s="245">
        <f t="shared" si="22"/>
        <v>268.79500000000002</v>
      </c>
      <c r="AA170" s="12">
        <f t="shared" si="22"/>
        <v>0</v>
      </c>
      <c r="AB170" s="12">
        <f t="shared" si="22"/>
        <v>0</v>
      </c>
      <c r="AC170" s="12">
        <f t="shared" si="22"/>
        <v>0</v>
      </c>
      <c r="AD170" s="12">
        <f t="shared" si="22"/>
        <v>0</v>
      </c>
      <c r="AE170" s="12">
        <f t="shared" si="22"/>
        <v>0</v>
      </c>
      <c r="AF170" s="12">
        <f t="shared" si="22"/>
        <v>0</v>
      </c>
      <c r="AG170" s="12">
        <f t="shared" si="22"/>
        <v>0</v>
      </c>
      <c r="AH170" s="12">
        <f t="shared" si="22"/>
        <v>0</v>
      </c>
      <c r="AI170" s="12">
        <f t="shared" si="22"/>
        <v>272.60500000000002</v>
      </c>
      <c r="AJ170" s="12">
        <f t="shared" si="22"/>
        <v>0</v>
      </c>
      <c r="AK170" s="12">
        <f t="shared" si="22"/>
        <v>0</v>
      </c>
      <c r="AL170" s="12">
        <f t="shared" si="22"/>
        <v>272.60500000000002</v>
      </c>
      <c r="AM170" s="12">
        <f t="shared" si="22"/>
        <v>0</v>
      </c>
      <c r="AN170" s="12">
        <f t="shared" si="22"/>
        <v>0</v>
      </c>
      <c r="AO170" s="12">
        <f t="shared" ref="AO170:BT170" si="23">SUM(AO137:AO169)</f>
        <v>0</v>
      </c>
      <c r="AP170" s="12">
        <f t="shared" si="23"/>
        <v>0</v>
      </c>
      <c r="AQ170" s="12">
        <f t="shared" si="23"/>
        <v>0</v>
      </c>
      <c r="AR170" s="12">
        <f t="shared" si="23"/>
        <v>0</v>
      </c>
      <c r="AS170" s="12">
        <f t="shared" si="23"/>
        <v>0</v>
      </c>
      <c r="AT170" s="12">
        <f t="shared" si="23"/>
        <v>0</v>
      </c>
      <c r="AU170" s="12">
        <f t="shared" si="23"/>
        <v>0</v>
      </c>
      <c r="AV170" s="12">
        <f t="shared" si="23"/>
        <v>0</v>
      </c>
      <c r="AW170" s="12">
        <f t="shared" si="23"/>
        <v>0</v>
      </c>
      <c r="AX170" s="12">
        <f t="shared" si="23"/>
        <v>0</v>
      </c>
      <c r="AY170" s="12">
        <f t="shared" si="23"/>
        <v>0</v>
      </c>
      <c r="AZ170" s="12">
        <f t="shared" si="23"/>
        <v>0</v>
      </c>
      <c r="BA170" s="12">
        <f t="shared" si="23"/>
        <v>0</v>
      </c>
      <c r="BB170" s="12">
        <f t="shared" si="23"/>
        <v>0</v>
      </c>
      <c r="BC170" s="12">
        <f t="shared" si="23"/>
        <v>0</v>
      </c>
      <c r="BD170" s="12">
        <f t="shared" si="23"/>
        <v>0</v>
      </c>
      <c r="BE170" s="245">
        <f t="shared" si="23"/>
        <v>679.87999999999988</v>
      </c>
      <c r="BF170" s="245">
        <f t="shared" si="23"/>
        <v>666.23</v>
      </c>
      <c r="BG170" s="12">
        <f t="shared" si="23"/>
        <v>666.23</v>
      </c>
      <c r="BH170" s="12">
        <f t="shared" si="23"/>
        <v>666.23</v>
      </c>
      <c r="BI170" s="12">
        <f t="shared" si="23"/>
        <v>0</v>
      </c>
      <c r="BJ170" s="12">
        <f t="shared" si="23"/>
        <v>0</v>
      </c>
      <c r="BK170" s="12">
        <f t="shared" si="23"/>
        <v>0</v>
      </c>
      <c r="BL170" s="12">
        <f t="shared" si="23"/>
        <v>666.23</v>
      </c>
      <c r="BM170" s="12">
        <f t="shared" si="23"/>
        <v>0</v>
      </c>
      <c r="BN170" s="12">
        <f t="shared" si="23"/>
        <v>0</v>
      </c>
      <c r="BO170" s="12">
        <f t="shared" si="23"/>
        <v>0</v>
      </c>
      <c r="BP170" s="12">
        <f t="shared" si="23"/>
        <v>0</v>
      </c>
      <c r="BQ170" s="12">
        <f t="shared" si="23"/>
        <v>0</v>
      </c>
      <c r="BR170" s="12">
        <f t="shared" si="23"/>
        <v>0</v>
      </c>
      <c r="BS170" s="12">
        <f t="shared" si="23"/>
        <v>0</v>
      </c>
      <c r="BT170" s="12">
        <f t="shared" si="23"/>
        <v>0</v>
      </c>
      <c r="BU170" s="388">
        <f t="shared" ref="BU170:CJ170" si="24">SUM(BU137:BU169)</f>
        <v>0</v>
      </c>
      <c r="BV170" s="388">
        <f t="shared" si="24"/>
        <v>0</v>
      </c>
      <c r="BW170" s="388">
        <f t="shared" si="24"/>
        <v>0</v>
      </c>
      <c r="BX170" s="388">
        <f t="shared" si="24"/>
        <v>0</v>
      </c>
      <c r="BY170" s="388">
        <f t="shared" si="24"/>
        <v>0</v>
      </c>
      <c r="BZ170" s="388">
        <f t="shared" si="24"/>
        <v>0</v>
      </c>
      <c r="CA170" s="388">
        <f t="shared" si="24"/>
        <v>0</v>
      </c>
      <c r="CB170" s="388">
        <f t="shared" si="24"/>
        <v>0</v>
      </c>
      <c r="CC170" s="388">
        <f t="shared" si="24"/>
        <v>0</v>
      </c>
      <c r="CD170" s="388">
        <f t="shared" si="24"/>
        <v>0</v>
      </c>
      <c r="CE170" s="388">
        <f t="shared" si="24"/>
        <v>0</v>
      </c>
      <c r="CF170" s="388">
        <f t="shared" si="24"/>
        <v>13.65</v>
      </c>
      <c r="CG170" s="388">
        <f t="shared" si="24"/>
        <v>0</v>
      </c>
      <c r="CH170" s="388">
        <f t="shared" si="24"/>
        <v>0</v>
      </c>
      <c r="CI170" s="388">
        <f t="shared" si="24"/>
        <v>0</v>
      </c>
      <c r="CJ170" s="388">
        <f t="shared" si="24"/>
        <v>0</v>
      </c>
      <c r="CK170" s="245"/>
      <c r="CL170" s="388">
        <f t="shared" ref="CL170:CS170" si="25">SUM(CL137:CL169)</f>
        <v>0</v>
      </c>
      <c r="CM170" s="388">
        <f t="shared" si="25"/>
        <v>0</v>
      </c>
      <c r="CN170" s="388">
        <f t="shared" si="25"/>
        <v>0</v>
      </c>
      <c r="CO170" s="388">
        <f t="shared" si="25"/>
        <v>0</v>
      </c>
      <c r="CP170" s="388">
        <f t="shared" si="25"/>
        <v>0</v>
      </c>
      <c r="CQ170" s="388">
        <f t="shared" si="25"/>
        <v>0</v>
      </c>
      <c r="CR170" s="388">
        <f t="shared" si="25"/>
        <v>0</v>
      </c>
      <c r="CS170" s="12">
        <f t="shared" si="25"/>
        <v>0</v>
      </c>
      <c r="CT170" s="245"/>
    </row>
    <row r="171" spans="1:98" s="269" customFormat="1" x14ac:dyDescent="0.25">
      <c r="A171" s="110"/>
      <c r="B171" s="279"/>
      <c r="C171" s="75"/>
      <c r="D171" s="263"/>
      <c r="E171" s="75"/>
      <c r="F171" s="75"/>
      <c r="G171" s="75"/>
      <c r="H171" s="75"/>
      <c r="I171" s="330"/>
      <c r="J171" s="244"/>
      <c r="K171" s="396"/>
      <c r="L171" s="244"/>
      <c r="M171" s="396"/>
      <c r="N171" s="396"/>
      <c r="O171" s="396"/>
      <c r="P171" s="244"/>
      <c r="Q171" s="244"/>
      <c r="R171" s="396"/>
      <c r="S171" s="396"/>
      <c r="T171" s="75"/>
      <c r="U171" s="422"/>
      <c r="V171" s="75"/>
      <c r="W171" s="75"/>
      <c r="X171" s="396"/>
      <c r="Y171" s="64"/>
      <c r="Z171" s="330"/>
      <c r="AA171" s="413"/>
      <c r="AB171" s="413"/>
      <c r="AC171" s="413"/>
      <c r="AD171" s="64"/>
      <c r="AE171" s="64"/>
      <c r="AF171" s="413"/>
      <c r="AG171" s="75"/>
      <c r="AH171" s="64"/>
      <c r="AI171" s="413"/>
      <c r="AJ171" s="422"/>
      <c r="AK171" s="263"/>
      <c r="AL171" s="422"/>
      <c r="AM171" s="263"/>
      <c r="AN171" s="263"/>
      <c r="AO171" s="263"/>
      <c r="AP171" s="263"/>
      <c r="AQ171" s="263"/>
      <c r="AR171" s="263"/>
      <c r="AS171" s="263"/>
      <c r="AT171" s="263"/>
      <c r="AU171" s="422"/>
      <c r="AV171" s="75"/>
      <c r="AW171" s="75"/>
      <c r="AX171" s="396"/>
      <c r="AY171" s="75"/>
      <c r="AZ171" s="396"/>
      <c r="BA171" s="396"/>
      <c r="BB171" s="64"/>
      <c r="BC171" s="396"/>
      <c r="BD171" s="396"/>
      <c r="BE171" s="61"/>
      <c r="BF171" s="109"/>
      <c r="BG171" s="399"/>
      <c r="BH171" s="411"/>
      <c r="BI171" s="38"/>
      <c r="BJ171" s="38"/>
      <c r="BK171" s="38"/>
      <c r="BL171" s="411"/>
      <c r="BM171" s="77"/>
      <c r="BN171" s="77"/>
      <c r="BO171" s="64"/>
      <c r="BP171" s="77"/>
      <c r="BQ171" s="413"/>
      <c r="BR171" s="413"/>
      <c r="BS171" s="39"/>
      <c r="BT171" s="64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190"/>
      <c r="CL171" s="37"/>
      <c r="CM171" s="37"/>
      <c r="CN171" s="37"/>
      <c r="CO171" s="37"/>
      <c r="CP171" s="37"/>
      <c r="CQ171" s="37"/>
      <c r="CR171" s="37"/>
      <c r="CS171" s="37"/>
      <c r="CT171" s="190"/>
    </row>
    <row r="172" spans="1:98" x14ac:dyDescent="0.25">
      <c r="A172" s="63"/>
      <c r="B172" s="352" t="s">
        <v>270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399">
        <f>0.9*2.1*1</f>
        <v>1.8900000000000001</v>
      </c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</row>
    <row r="173" spans="1:98" s="269" customFormat="1" x14ac:dyDescent="0.25">
      <c r="A173" s="110"/>
      <c r="B173" s="279"/>
      <c r="C173" s="75"/>
      <c r="D173" s="263"/>
      <c r="E173" s="75"/>
      <c r="F173" s="75"/>
      <c r="G173" s="75"/>
      <c r="H173" s="75"/>
      <c r="I173" s="330"/>
      <c r="J173" s="244"/>
      <c r="K173" s="244"/>
      <c r="L173" s="244"/>
      <c r="M173" s="244"/>
      <c r="N173" s="244"/>
      <c r="O173" s="244"/>
      <c r="P173" s="244"/>
      <c r="Q173" s="244"/>
      <c r="R173" s="75"/>
      <c r="S173" s="75"/>
      <c r="T173" s="75"/>
      <c r="U173" s="263"/>
      <c r="V173" s="75"/>
      <c r="W173" s="75"/>
      <c r="X173" s="75"/>
      <c r="Y173" s="64"/>
      <c r="Z173" s="330"/>
      <c r="AA173" s="64"/>
      <c r="AB173" s="64"/>
      <c r="AC173" s="64"/>
      <c r="AD173" s="64"/>
      <c r="AE173" s="64"/>
      <c r="AF173" s="64"/>
      <c r="AG173" s="75"/>
      <c r="AH173" s="64"/>
      <c r="AI173" s="64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75"/>
      <c r="AW173" s="75"/>
      <c r="AX173" s="75"/>
      <c r="AY173" s="75"/>
      <c r="AZ173" s="75"/>
      <c r="BA173" s="64"/>
      <c r="BB173" s="64"/>
      <c r="BC173" s="75"/>
      <c r="BD173" s="75"/>
      <c r="BE173" s="61"/>
      <c r="BF173" s="109"/>
      <c r="BG173" s="109"/>
      <c r="BH173" s="38"/>
      <c r="BI173" s="38"/>
      <c r="BJ173" s="38"/>
      <c r="BK173" s="38"/>
      <c r="BL173" s="38"/>
      <c r="BM173" s="77"/>
      <c r="BN173" s="77"/>
      <c r="BO173" s="64"/>
      <c r="BP173" s="77"/>
      <c r="BQ173" s="64"/>
      <c r="BR173" s="75"/>
      <c r="BS173" s="39"/>
      <c r="BT173" s="64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190"/>
      <c r="CL173" s="37"/>
      <c r="CM173" s="37"/>
      <c r="CN173" s="37"/>
      <c r="CO173" s="37"/>
      <c r="CP173" s="37"/>
      <c r="CQ173" s="37"/>
      <c r="CR173" s="37"/>
      <c r="CS173" s="37"/>
      <c r="CT173" s="190"/>
    </row>
    <row r="174" spans="1:98" ht="47.25" x14ac:dyDescent="0.25">
      <c r="A174" s="63"/>
      <c r="B174" s="368" t="s">
        <v>297</v>
      </c>
      <c r="C174" s="45" t="s">
        <v>298</v>
      </c>
      <c r="D174" s="45"/>
      <c r="E174" s="410">
        <f>5.4*4.3*0.25</f>
        <v>5.8049999999999997</v>
      </c>
      <c r="F174" s="45" t="s">
        <v>4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</row>
    <row r="175" spans="1:98" ht="63" x14ac:dyDescent="0.25">
      <c r="A175" s="63"/>
      <c r="B175" s="368" t="s">
        <v>307</v>
      </c>
      <c r="C175" s="45" t="s">
        <v>309</v>
      </c>
      <c r="D175" s="17"/>
      <c r="E175" s="410">
        <f>2*0.15+3.3*2*0.2</f>
        <v>1.62</v>
      </c>
      <c r="F175" s="45" t="s">
        <v>4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</row>
    <row r="176" spans="1:98" s="269" customFormat="1" ht="78.75" x14ac:dyDescent="0.25">
      <c r="A176" s="110"/>
      <c r="B176" s="279" t="s">
        <v>308</v>
      </c>
      <c r="C176" s="75" t="s">
        <v>310</v>
      </c>
      <c r="D176" s="263"/>
      <c r="E176" s="396">
        <v>2</v>
      </c>
      <c r="F176" s="75" t="s">
        <v>2</v>
      </c>
      <c r="G176" s="75"/>
      <c r="H176" s="75"/>
      <c r="I176" s="330"/>
      <c r="J176" s="244"/>
      <c r="K176" s="244"/>
      <c r="L176" s="244"/>
      <c r="M176" s="244"/>
      <c r="N176" s="244"/>
      <c r="O176" s="244"/>
      <c r="P176" s="244"/>
      <c r="Q176" s="244"/>
      <c r="R176" s="75"/>
      <c r="S176" s="75"/>
      <c r="T176" s="75"/>
      <c r="U176" s="263"/>
      <c r="V176" s="75"/>
      <c r="W176" s="75"/>
      <c r="X176" s="75"/>
      <c r="Y176" s="64"/>
      <c r="Z176" s="330"/>
      <c r="AA176" s="64"/>
      <c r="AB176" s="64"/>
      <c r="AC176" s="64"/>
      <c r="AD176" s="64"/>
      <c r="AE176" s="64"/>
      <c r="AF176" s="64"/>
      <c r="AG176" s="75"/>
      <c r="AH176" s="64"/>
      <c r="AI176" s="64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75"/>
      <c r="AW176" s="75"/>
      <c r="AX176" s="75"/>
      <c r="AY176" s="75"/>
      <c r="AZ176" s="75"/>
      <c r="BA176" s="64"/>
      <c r="BB176" s="64"/>
      <c r="BC176" s="75"/>
      <c r="BD176" s="75"/>
      <c r="BE176" s="61"/>
      <c r="BF176" s="109"/>
      <c r="BG176" s="109"/>
      <c r="BH176" s="38"/>
      <c r="BI176" s="38"/>
      <c r="BJ176" s="38"/>
      <c r="BK176" s="38"/>
      <c r="BL176" s="38"/>
      <c r="BM176" s="77"/>
      <c r="BN176" s="77"/>
      <c r="BO176" s="64"/>
      <c r="BP176" s="77"/>
      <c r="BQ176" s="64"/>
      <c r="BR176" s="75"/>
      <c r="BS176" s="39"/>
      <c r="BT176" s="64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190"/>
      <c r="CL176" s="37"/>
      <c r="CM176" s="37"/>
      <c r="CN176" s="37"/>
      <c r="CO176" s="37"/>
      <c r="CP176" s="37"/>
      <c r="CQ176" s="37"/>
      <c r="CR176" s="37"/>
      <c r="CS176" s="37"/>
      <c r="CT176" s="190"/>
    </row>
    <row r="177" spans="1:98" s="269" customFormat="1" x14ac:dyDescent="0.25">
      <c r="A177" s="110"/>
      <c r="B177" s="279"/>
      <c r="C177" s="75"/>
      <c r="D177" s="263"/>
      <c r="E177" s="75"/>
      <c r="F177" s="75"/>
      <c r="G177" s="75"/>
      <c r="H177" s="75"/>
      <c r="I177" s="330"/>
      <c r="J177" s="244"/>
      <c r="K177" s="244"/>
      <c r="L177" s="244"/>
      <c r="M177" s="244"/>
      <c r="N177" s="244"/>
      <c r="O177" s="244"/>
      <c r="P177" s="244"/>
      <c r="Q177" s="244"/>
      <c r="R177" s="75"/>
      <c r="S177" s="75"/>
      <c r="T177" s="75"/>
      <c r="U177" s="263"/>
      <c r="V177" s="75"/>
      <c r="W177" s="75"/>
      <c r="X177" s="75"/>
      <c r="Y177" s="64"/>
      <c r="Z177" s="330"/>
      <c r="AA177" s="64"/>
      <c r="AB177" s="64"/>
      <c r="AC177" s="64"/>
      <c r="AD177" s="64"/>
      <c r="AE177" s="64"/>
      <c r="AF177" s="64"/>
      <c r="AG177" s="75"/>
      <c r="AH177" s="64"/>
      <c r="AI177" s="64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75"/>
      <c r="AW177" s="75"/>
      <c r="AX177" s="75"/>
      <c r="AY177" s="75"/>
      <c r="AZ177" s="75"/>
      <c r="BA177" s="64"/>
      <c r="BB177" s="64"/>
      <c r="BC177" s="75"/>
      <c r="BD177" s="75"/>
      <c r="BE177" s="61"/>
      <c r="BF177" s="109"/>
      <c r="BG177" s="109"/>
      <c r="BH177" s="38"/>
      <c r="BI177" s="38"/>
      <c r="BJ177" s="38"/>
      <c r="BK177" s="38"/>
      <c r="BL177" s="38"/>
      <c r="BM177" s="77"/>
      <c r="BN177" s="77"/>
      <c r="BO177" s="64"/>
      <c r="BP177" s="77"/>
      <c r="BQ177" s="64"/>
      <c r="BR177" s="75"/>
      <c r="BS177" s="39"/>
      <c r="BT177" s="64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190"/>
      <c r="CL177" s="37"/>
      <c r="CM177" s="37"/>
      <c r="CN177" s="37"/>
      <c r="CO177" s="37"/>
      <c r="CP177" s="37"/>
      <c r="CQ177" s="37"/>
      <c r="CR177" s="37"/>
      <c r="CS177" s="37"/>
      <c r="CT177" s="190"/>
    </row>
    <row r="178" spans="1:98" s="269" customFormat="1" x14ac:dyDescent="0.25">
      <c r="A178" s="110"/>
      <c r="B178" s="352" t="s">
        <v>311</v>
      </c>
      <c r="C178" s="75"/>
      <c r="D178" s="263"/>
      <c r="E178" s="75"/>
      <c r="F178" s="75"/>
      <c r="G178" s="75"/>
      <c r="H178" s="75"/>
      <c r="I178" s="330"/>
      <c r="J178" s="244"/>
      <c r="K178" s="244"/>
      <c r="L178" s="244"/>
      <c r="M178" s="244"/>
      <c r="N178" s="244"/>
      <c r="O178" s="244"/>
      <c r="P178" s="244"/>
      <c r="Q178" s="244"/>
      <c r="R178" s="75"/>
      <c r="S178" s="75"/>
      <c r="T178" s="75"/>
      <c r="U178" s="263"/>
      <c r="V178" s="75"/>
      <c r="W178" s="75"/>
      <c r="X178" s="75"/>
      <c r="Y178" s="64"/>
      <c r="Z178" s="330"/>
      <c r="AA178" s="64"/>
      <c r="AB178" s="64"/>
      <c r="AC178" s="64"/>
      <c r="AD178" s="64"/>
      <c r="AE178" s="64"/>
      <c r="AF178" s="64"/>
      <c r="AG178" s="75"/>
      <c r="AH178" s="64"/>
      <c r="AI178" s="64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75"/>
      <c r="AW178" s="75"/>
      <c r="AX178" s="75"/>
      <c r="AY178" s="75"/>
      <c r="AZ178" s="75"/>
      <c r="BA178" s="64"/>
      <c r="BB178" s="64"/>
      <c r="BC178" s="75"/>
      <c r="BD178" s="75"/>
      <c r="BE178" s="61"/>
      <c r="BF178" s="109"/>
      <c r="BG178" s="109"/>
      <c r="BH178" s="38"/>
      <c r="BI178" s="38"/>
      <c r="BJ178" s="38"/>
      <c r="BK178" s="38"/>
      <c r="BL178" s="38"/>
      <c r="BM178" s="77"/>
      <c r="BN178" s="77"/>
      <c r="BO178" s="64"/>
      <c r="BP178" s="77"/>
      <c r="BQ178" s="64"/>
      <c r="BR178" s="75"/>
      <c r="BS178" s="39"/>
      <c r="BT178" s="64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190"/>
      <c r="CL178" s="37"/>
      <c r="CM178" s="37"/>
      <c r="CN178" s="37"/>
      <c r="CO178" s="37"/>
      <c r="CP178" s="37"/>
      <c r="CQ178" s="37"/>
      <c r="CR178" s="37"/>
      <c r="CS178" s="37"/>
      <c r="CT178" s="190"/>
    </row>
    <row r="179" spans="1:98" s="87" customFormat="1" x14ac:dyDescent="0.25">
      <c r="A179" s="432"/>
      <c r="B179" s="434" t="s">
        <v>312</v>
      </c>
      <c r="C179" s="244"/>
      <c r="D179" s="433"/>
      <c r="E179" s="244"/>
      <c r="F179" s="244"/>
      <c r="G179" s="244"/>
      <c r="H179" s="244"/>
      <c r="I179" s="433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433"/>
      <c r="V179" s="244"/>
      <c r="W179" s="244"/>
      <c r="X179" s="244"/>
      <c r="Y179" s="77"/>
      <c r="Z179" s="433"/>
      <c r="AA179" s="77"/>
      <c r="AB179" s="77"/>
      <c r="AC179" s="77"/>
      <c r="AD179" s="77"/>
      <c r="AE179" s="77"/>
      <c r="AF179" s="77"/>
      <c r="AG179" s="244"/>
      <c r="AH179" s="77"/>
      <c r="AI179" s="77"/>
      <c r="AJ179" s="433"/>
      <c r="AK179" s="433"/>
      <c r="AL179" s="433"/>
      <c r="AM179" s="433"/>
      <c r="AN179" s="433"/>
      <c r="AO179" s="433"/>
      <c r="AP179" s="433"/>
      <c r="AQ179" s="433"/>
      <c r="AR179" s="433"/>
      <c r="AS179" s="433"/>
      <c r="AT179" s="433"/>
      <c r="AU179" s="433"/>
      <c r="AV179" s="244"/>
      <c r="AW179" s="244"/>
      <c r="AX179" s="244"/>
      <c r="AY179" s="244"/>
      <c r="AZ179" s="244"/>
      <c r="BA179" s="77"/>
      <c r="BB179" s="77"/>
      <c r="BC179" s="244"/>
      <c r="BD179" s="244"/>
      <c r="BE179" s="244"/>
      <c r="BF179" s="109"/>
      <c r="BG179" s="109"/>
      <c r="BH179" s="38"/>
      <c r="BI179" s="38"/>
      <c r="BJ179" s="38"/>
      <c r="BK179" s="38"/>
      <c r="BL179" s="38"/>
      <c r="BM179" s="77"/>
      <c r="BN179" s="77"/>
      <c r="BO179" s="77"/>
      <c r="BP179" s="77"/>
      <c r="BQ179" s="77"/>
      <c r="BR179" s="244"/>
      <c r="BS179" s="274"/>
      <c r="BT179" s="77"/>
      <c r="BU179" s="260"/>
      <c r="BV179" s="260"/>
      <c r="BW179" s="260"/>
      <c r="BX179" s="260"/>
      <c r="BY179" s="260"/>
      <c r="BZ179" s="260"/>
      <c r="CA179" s="260"/>
      <c r="CB179" s="260"/>
      <c r="CC179" s="260"/>
      <c r="CD179" s="260"/>
      <c r="CE179" s="260"/>
      <c r="CF179" s="260"/>
      <c r="CG179" s="260"/>
      <c r="CH179" s="260"/>
      <c r="CI179" s="260"/>
      <c r="CJ179" s="260"/>
      <c r="CK179" s="109"/>
      <c r="CL179" s="260"/>
      <c r="CM179" s="260"/>
      <c r="CN179" s="260"/>
      <c r="CO179" s="260"/>
      <c r="CP179" s="260"/>
      <c r="CQ179" s="260"/>
      <c r="CR179" s="260"/>
      <c r="CS179" s="260"/>
      <c r="CT179" s="109"/>
    </row>
    <row r="180" spans="1:98" s="87" customFormat="1" ht="66.75" customHeight="1" x14ac:dyDescent="0.25">
      <c r="A180" s="432" t="s">
        <v>90</v>
      </c>
      <c r="B180" s="391">
        <v>6.1</v>
      </c>
      <c r="C180" s="244" t="s">
        <v>314</v>
      </c>
      <c r="D180" s="433">
        <f>7*2*3.7+    6.1*2*8+   0.5*7*8</f>
        <v>177.4</v>
      </c>
      <c r="E180" s="244">
        <f>1.1*D180</f>
        <v>195.14000000000001</v>
      </c>
      <c r="F180" s="244"/>
      <c r="G180" s="244"/>
      <c r="H180" s="244"/>
      <c r="I180" s="433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433"/>
      <c r="V180" s="244"/>
      <c r="W180" s="244"/>
      <c r="X180" s="244"/>
      <c r="Y180" s="77"/>
      <c r="Z180" s="433"/>
      <c r="AA180" s="77"/>
      <c r="AB180" s="77"/>
      <c r="AC180" s="77"/>
      <c r="AD180" s="77"/>
      <c r="AE180" s="77"/>
      <c r="AF180" s="77"/>
      <c r="AG180" s="244"/>
      <c r="AH180" s="77"/>
      <c r="AI180" s="77"/>
      <c r="AJ180" s="433"/>
      <c r="AK180" s="433"/>
      <c r="AL180" s="433"/>
      <c r="AM180" s="433"/>
      <c r="AN180" s="433"/>
      <c r="AO180" s="433"/>
      <c r="AP180" s="433"/>
      <c r="AQ180" s="433"/>
      <c r="AR180" s="433"/>
      <c r="AS180" s="433"/>
      <c r="AT180" s="433"/>
      <c r="AU180" s="433"/>
      <c r="AV180" s="244"/>
      <c r="AW180" s="244"/>
      <c r="AX180" s="244"/>
      <c r="AY180" s="244"/>
      <c r="AZ180" s="244"/>
      <c r="BA180" s="77"/>
      <c r="BB180" s="77"/>
      <c r="BC180" s="244"/>
      <c r="BD180" s="244"/>
      <c r="BE180" s="244"/>
      <c r="BF180" s="109"/>
      <c r="BG180" s="109"/>
      <c r="BH180" s="38"/>
      <c r="BI180" s="38"/>
      <c r="BJ180" s="38"/>
      <c r="BK180" s="38"/>
      <c r="BL180" s="38"/>
      <c r="BM180" s="77"/>
      <c r="BN180" s="77"/>
      <c r="BO180" s="77"/>
      <c r="BP180" s="77"/>
      <c r="BQ180" s="77"/>
      <c r="BR180" s="244"/>
      <c r="BS180" s="274"/>
      <c r="BT180" s="77"/>
      <c r="BU180" s="260"/>
      <c r="BV180" s="260"/>
      <c r="BW180" s="260"/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60"/>
      <c r="CJ180" s="260"/>
      <c r="CK180" s="109"/>
      <c r="CL180" s="260"/>
      <c r="CM180" s="260"/>
      <c r="CN180" s="260"/>
      <c r="CO180" s="260"/>
      <c r="CP180" s="260"/>
      <c r="CQ180" s="260"/>
      <c r="CR180" s="260"/>
      <c r="CS180" s="260"/>
      <c r="CT180" s="109"/>
    </row>
    <row r="181" spans="1:98" s="87" customFormat="1" ht="66.75" customHeight="1" x14ac:dyDescent="0.25">
      <c r="A181" s="432"/>
      <c r="B181" s="391" t="s">
        <v>317</v>
      </c>
      <c r="C181" s="244" t="s">
        <v>315</v>
      </c>
      <c r="D181" s="433">
        <f>7*2*3.7+    6.2*2*8+   0.5*7*8</f>
        <v>179</v>
      </c>
      <c r="E181" s="244">
        <f t="shared" ref="E181:E189" si="26">1.1*D181</f>
        <v>196.9</v>
      </c>
      <c r="F181" s="244"/>
      <c r="G181" s="244"/>
      <c r="H181" s="244"/>
      <c r="I181" s="433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433"/>
      <c r="V181" s="244"/>
      <c r="W181" s="244"/>
      <c r="X181" s="244"/>
      <c r="Y181" s="77"/>
      <c r="Z181" s="433"/>
      <c r="AA181" s="77"/>
      <c r="AB181" s="77"/>
      <c r="AC181" s="77"/>
      <c r="AD181" s="77"/>
      <c r="AE181" s="77"/>
      <c r="AF181" s="77"/>
      <c r="AG181" s="244"/>
      <c r="AH181" s="77"/>
      <c r="AI181" s="77"/>
      <c r="AJ181" s="433"/>
      <c r="AK181" s="433"/>
      <c r="AL181" s="433"/>
      <c r="AM181" s="433"/>
      <c r="AN181" s="433"/>
      <c r="AO181" s="433"/>
      <c r="AP181" s="433"/>
      <c r="AQ181" s="433"/>
      <c r="AR181" s="433"/>
      <c r="AS181" s="433"/>
      <c r="AT181" s="433"/>
      <c r="AU181" s="433"/>
      <c r="AV181" s="244"/>
      <c r="AW181" s="244"/>
      <c r="AX181" s="244"/>
      <c r="AY181" s="244"/>
      <c r="AZ181" s="244"/>
      <c r="BA181" s="77"/>
      <c r="BB181" s="77"/>
      <c r="BC181" s="244"/>
      <c r="BD181" s="244"/>
      <c r="BE181" s="244"/>
      <c r="BF181" s="109"/>
      <c r="BG181" s="109"/>
      <c r="BH181" s="38"/>
      <c r="BI181" s="38"/>
      <c r="BJ181" s="38"/>
      <c r="BK181" s="38"/>
      <c r="BL181" s="38"/>
      <c r="BM181" s="77"/>
      <c r="BN181" s="77"/>
      <c r="BO181" s="77"/>
      <c r="BP181" s="77"/>
      <c r="BQ181" s="77"/>
      <c r="BR181" s="244"/>
      <c r="BS181" s="274"/>
      <c r="BT181" s="77"/>
      <c r="BU181" s="260"/>
      <c r="BV181" s="260"/>
      <c r="BW181" s="260"/>
      <c r="BX181" s="260"/>
      <c r="BY181" s="260"/>
      <c r="BZ181" s="260"/>
      <c r="CA181" s="260"/>
      <c r="CB181" s="260"/>
      <c r="CC181" s="260"/>
      <c r="CD181" s="260"/>
      <c r="CE181" s="260"/>
      <c r="CF181" s="260"/>
      <c r="CG181" s="260"/>
      <c r="CH181" s="260"/>
      <c r="CI181" s="260"/>
      <c r="CJ181" s="260"/>
      <c r="CK181" s="109"/>
      <c r="CL181" s="260"/>
      <c r="CM181" s="260"/>
      <c r="CN181" s="260"/>
      <c r="CO181" s="260"/>
      <c r="CP181" s="260"/>
      <c r="CQ181" s="260"/>
      <c r="CR181" s="260"/>
      <c r="CS181" s="260"/>
      <c r="CT181" s="109"/>
    </row>
    <row r="182" spans="1:98" s="87" customFormat="1" ht="66.75" customHeight="1" x14ac:dyDescent="0.25">
      <c r="A182" s="432"/>
      <c r="B182" s="391" t="s">
        <v>317</v>
      </c>
      <c r="C182" s="244" t="s">
        <v>315</v>
      </c>
      <c r="D182" s="433">
        <f>7*2*3.7+    6.2*2*8+   0.5*7*8</f>
        <v>179</v>
      </c>
      <c r="E182" s="244">
        <f t="shared" si="26"/>
        <v>196.9</v>
      </c>
      <c r="F182" s="244"/>
      <c r="G182" s="244"/>
      <c r="H182" s="244"/>
      <c r="I182" s="433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433"/>
      <c r="V182" s="244"/>
      <c r="W182" s="244"/>
      <c r="X182" s="244"/>
      <c r="Y182" s="77"/>
      <c r="Z182" s="433"/>
      <c r="AA182" s="77"/>
      <c r="AB182" s="77"/>
      <c r="AC182" s="77"/>
      <c r="AD182" s="77"/>
      <c r="AE182" s="77"/>
      <c r="AF182" s="77"/>
      <c r="AG182" s="244"/>
      <c r="AH182" s="77"/>
      <c r="AI182" s="77"/>
      <c r="AJ182" s="433"/>
      <c r="AK182" s="433"/>
      <c r="AL182" s="433"/>
      <c r="AM182" s="433"/>
      <c r="AN182" s="433"/>
      <c r="AO182" s="433"/>
      <c r="AP182" s="433"/>
      <c r="AQ182" s="433"/>
      <c r="AR182" s="433"/>
      <c r="AS182" s="433"/>
      <c r="AT182" s="433"/>
      <c r="AU182" s="433"/>
      <c r="AV182" s="244"/>
      <c r="AW182" s="244"/>
      <c r="AX182" s="244"/>
      <c r="AY182" s="244"/>
      <c r="AZ182" s="244"/>
      <c r="BA182" s="77"/>
      <c r="BB182" s="77"/>
      <c r="BC182" s="244"/>
      <c r="BD182" s="244"/>
      <c r="BE182" s="244"/>
      <c r="BF182" s="109"/>
      <c r="BG182" s="109"/>
      <c r="BH182" s="38"/>
      <c r="BI182" s="38"/>
      <c r="BJ182" s="38"/>
      <c r="BK182" s="38"/>
      <c r="BL182" s="38"/>
      <c r="BM182" s="77"/>
      <c r="BN182" s="77"/>
      <c r="BO182" s="77"/>
      <c r="BP182" s="77"/>
      <c r="BQ182" s="77"/>
      <c r="BR182" s="244"/>
      <c r="BS182" s="274"/>
      <c r="BT182" s="77"/>
      <c r="BU182" s="260"/>
      <c r="BV182" s="260"/>
      <c r="BW182" s="260"/>
      <c r="BX182" s="260"/>
      <c r="BY182" s="260"/>
      <c r="BZ182" s="260"/>
      <c r="CA182" s="260"/>
      <c r="CB182" s="260"/>
      <c r="CC182" s="260"/>
      <c r="CD182" s="260"/>
      <c r="CE182" s="260"/>
      <c r="CF182" s="260"/>
      <c r="CG182" s="260"/>
      <c r="CH182" s="260"/>
      <c r="CI182" s="260"/>
      <c r="CJ182" s="260"/>
      <c r="CK182" s="109"/>
      <c r="CL182" s="260"/>
      <c r="CM182" s="260"/>
      <c r="CN182" s="260"/>
      <c r="CO182" s="260"/>
      <c r="CP182" s="260"/>
      <c r="CQ182" s="260"/>
      <c r="CR182" s="260"/>
      <c r="CS182" s="260"/>
      <c r="CT182" s="109"/>
    </row>
    <row r="183" spans="1:98" s="87" customFormat="1" ht="66.75" customHeight="1" x14ac:dyDescent="0.25">
      <c r="A183" s="432"/>
      <c r="B183" s="391" t="s">
        <v>318</v>
      </c>
      <c r="C183" s="244" t="s">
        <v>316</v>
      </c>
      <c r="D183" s="433">
        <f>8*2*3.7+    6.5*2*8+   0.5*8*8</f>
        <v>195.2</v>
      </c>
      <c r="E183" s="244">
        <f t="shared" si="26"/>
        <v>214.72</v>
      </c>
      <c r="F183" s="244"/>
      <c r="G183" s="244"/>
      <c r="H183" s="244"/>
      <c r="I183" s="433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433"/>
      <c r="V183" s="244"/>
      <c r="W183" s="244"/>
      <c r="X183" s="244"/>
      <c r="Y183" s="77"/>
      <c r="Z183" s="433"/>
      <c r="AA183" s="77"/>
      <c r="AB183" s="77"/>
      <c r="AC183" s="77"/>
      <c r="AD183" s="77"/>
      <c r="AE183" s="77"/>
      <c r="AF183" s="77"/>
      <c r="AG183" s="244"/>
      <c r="AH183" s="77"/>
      <c r="AI183" s="77"/>
      <c r="AJ183" s="433"/>
      <c r="AK183" s="433"/>
      <c r="AL183" s="433"/>
      <c r="AM183" s="433"/>
      <c r="AN183" s="433"/>
      <c r="AO183" s="433"/>
      <c r="AP183" s="433"/>
      <c r="AQ183" s="433"/>
      <c r="AR183" s="433"/>
      <c r="AS183" s="433"/>
      <c r="AT183" s="433"/>
      <c r="AU183" s="433"/>
      <c r="AV183" s="244"/>
      <c r="AW183" s="244"/>
      <c r="AX183" s="244"/>
      <c r="AY183" s="244"/>
      <c r="AZ183" s="244"/>
      <c r="BA183" s="77"/>
      <c r="BB183" s="77"/>
      <c r="BC183" s="244"/>
      <c r="BD183" s="244"/>
      <c r="BE183" s="244"/>
      <c r="BF183" s="109"/>
      <c r="BG183" s="109"/>
      <c r="BH183" s="38"/>
      <c r="BI183" s="38"/>
      <c r="BJ183" s="38"/>
      <c r="BK183" s="38"/>
      <c r="BL183" s="38"/>
      <c r="BM183" s="77"/>
      <c r="BN183" s="77"/>
      <c r="BO183" s="77"/>
      <c r="BP183" s="77"/>
      <c r="BQ183" s="77"/>
      <c r="BR183" s="244"/>
      <c r="BS183" s="274"/>
      <c r="BT183" s="77"/>
      <c r="BU183" s="260"/>
      <c r="BV183" s="260"/>
      <c r="BW183" s="260"/>
      <c r="BX183" s="260"/>
      <c r="BY183" s="260"/>
      <c r="BZ183" s="260"/>
      <c r="CA183" s="260"/>
      <c r="CB183" s="260"/>
      <c r="CC183" s="260"/>
      <c r="CD183" s="260"/>
      <c r="CE183" s="260"/>
      <c r="CF183" s="260"/>
      <c r="CG183" s="260"/>
      <c r="CH183" s="260"/>
      <c r="CI183" s="260"/>
      <c r="CJ183" s="260"/>
      <c r="CK183" s="109"/>
      <c r="CL183" s="260"/>
      <c r="CM183" s="260"/>
      <c r="CN183" s="260"/>
      <c r="CO183" s="260"/>
      <c r="CP183" s="260"/>
      <c r="CQ183" s="260"/>
      <c r="CR183" s="260"/>
      <c r="CS183" s="260"/>
      <c r="CT183" s="109"/>
    </row>
    <row r="184" spans="1:98" s="87" customFormat="1" ht="66.75" customHeight="1" x14ac:dyDescent="0.25">
      <c r="A184" s="432"/>
      <c r="B184" s="391" t="s">
        <v>319</v>
      </c>
      <c r="C184" s="244" t="s">
        <v>329</v>
      </c>
      <c r="D184" s="433">
        <f>5*(5*2*3.7+ 3.8*2*8+   0.5*5*8)</f>
        <v>589</v>
      </c>
      <c r="E184" s="244">
        <f t="shared" si="26"/>
        <v>647.90000000000009</v>
      </c>
      <c r="F184" s="244"/>
      <c r="G184" s="244"/>
      <c r="H184" s="244"/>
      <c r="I184" s="433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433"/>
      <c r="V184" s="244"/>
      <c r="W184" s="244"/>
      <c r="X184" s="244"/>
      <c r="Y184" s="77"/>
      <c r="Z184" s="433"/>
      <c r="AA184" s="77"/>
      <c r="AB184" s="77"/>
      <c r="AC184" s="77"/>
      <c r="AD184" s="77"/>
      <c r="AE184" s="77"/>
      <c r="AF184" s="77"/>
      <c r="AG184" s="244"/>
      <c r="AH184" s="77"/>
      <c r="AI184" s="77"/>
      <c r="AJ184" s="433"/>
      <c r="AK184" s="433"/>
      <c r="AL184" s="433"/>
      <c r="AM184" s="433"/>
      <c r="AN184" s="433"/>
      <c r="AO184" s="433"/>
      <c r="AP184" s="433"/>
      <c r="AQ184" s="433"/>
      <c r="AR184" s="433"/>
      <c r="AS184" s="433"/>
      <c r="AT184" s="433"/>
      <c r="AU184" s="433"/>
      <c r="AV184" s="244"/>
      <c r="AW184" s="244"/>
      <c r="AX184" s="244"/>
      <c r="AY184" s="244"/>
      <c r="AZ184" s="244"/>
      <c r="BA184" s="77"/>
      <c r="BB184" s="77"/>
      <c r="BC184" s="244"/>
      <c r="BD184" s="244"/>
      <c r="BE184" s="244"/>
      <c r="BF184" s="109"/>
      <c r="BG184" s="109"/>
      <c r="BH184" s="38"/>
      <c r="BI184" s="38"/>
      <c r="BJ184" s="38"/>
      <c r="BK184" s="38"/>
      <c r="BL184" s="38"/>
      <c r="BM184" s="77"/>
      <c r="BN184" s="77"/>
      <c r="BO184" s="77"/>
      <c r="BP184" s="77"/>
      <c r="BQ184" s="77"/>
      <c r="BR184" s="244"/>
      <c r="BS184" s="274"/>
      <c r="BT184" s="77"/>
      <c r="BU184" s="260"/>
      <c r="BV184" s="260"/>
      <c r="BW184" s="260"/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60"/>
      <c r="CJ184" s="260"/>
      <c r="CK184" s="109"/>
      <c r="CL184" s="260"/>
      <c r="CM184" s="260"/>
      <c r="CN184" s="260"/>
      <c r="CO184" s="260"/>
      <c r="CP184" s="260"/>
      <c r="CQ184" s="260"/>
      <c r="CR184" s="260"/>
      <c r="CS184" s="260"/>
      <c r="CT184" s="109"/>
    </row>
    <row r="185" spans="1:98" s="87" customFormat="1" ht="66.75" customHeight="1" x14ac:dyDescent="0.25">
      <c r="A185" s="432"/>
      <c r="B185" s="391" t="s">
        <v>320</v>
      </c>
      <c r="C185" s="244" t="s">
        <v>323</v>
      </c>
      <c r="D185" s="433">
        <f>6*2*3.7+    4.7*2*8+   0.5*6*8</f>
        <v>143.60000000000002</v>
      </c>
      <c r="E185" s="244">
        <f t="shared" si="26"/>
        <v>157.96000000000004</v>
      </c>
      <c r="F185" s="244"/>
      <c r="G185" s="244"/>
      <c r="H185" s="244"/>
      <c r="I185" s="433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433"/>
      <c r="V185" s="244"/>
      <c r="W185" s="244"/>
      <c r="X185" s="244"/>
      <c r="Y185" s="77"/>
      <c r="Z185" s="433"/>
      <c r="AA185" s="77"/>
      <c r="AB185" s="77"/>
      <c r="AC185" s="77"/>
      <c r="AD185" s="77"/>
      <c r="AE185" s="77"/>
      <c r="AF185" s="77"/>
      <c r="AG185" s="244"/>
      <c r="AH185" s="77"/>
      <c r="AI185" s="77"/>
      <c r="AJ185" s="433"/>
      <c r="AK185" s="433"/>
      <c r="AL185" s="433"/>
      <c r="AM185" s="433"/>
      <c r="AN185" s="433"/>
      <c r="AO185" s="433"/>
      <c r="AP185" s="433"/>
      <c r="AQ185" s="433"/>
      <c r="AR185" s="433"/>
      <c r="AS185" s="433"/>
      <c r="AT185" s="433"/>
      <c r="AU185" s="433"/>
      <c r="AV185" s="244"/>
      <c r="AW185" s="244"/>
      <c r="AX185" s="244"/>
      <c r="AY185" s="244"/>
      <c r="AZ185" s="244"/>
      <c r="BA185" s="77"/>
      <c r="BB185" s="77"/>
      <c r="BC185" s="244"/>
      <c r="BD185" s="244"/>
      <c r="BE185" s="244"/>
      <c r="BF185" s="109"/>
      <c r="BG185" s="109"/>
      <c r="BH185" s="38"/>
      <c r="BI185" s="38"/>
      <c r="BJ185" s="38"/>
      <c r="BK185" s="38"/>
      <c r="BL185" s="38"/>
      <c r="BM185" s="77"/>
      <c r="BN185" s="77"/>
      <c r="BO185" s="77"/>
      <c r="BP185" s="77"/>
      <c r="BQ185" s="77"/>
      <c r="BR185" s="244"/>
      <c r="BS185" s="274"/>
      <c r="BT185" s="77"/>
      <c r="BU185" s="260"/>
      <c r="BV185" s="260"/>
      <c r="BW185" s="260"/>
      <c r="BX185" s="260"/>
      <c r="BY185" s="260"/>
      <c r="BZ185" s="260"/>
      <c r="CA185" s="260"/>
      <c r="CB185" s="260"/>
      <c r="CC185" s="260"/>
      <c r="CD185" s="260"/>
      <c r="CE185" s="260"/>
      <c r="CF185" s="260"/>
      <c r="CG185" s="260"/>
      <c r="CH185" s="260"/>
      <c r="CI185" s="260"/>
      <c r="CJ185" s="260"/>
      <c r="CK185" s="109"/>
      <c r="CL185" s="260"/>
      <c r="CM185" s="260"/>
      <c r="CN185" s="260"/>
      <c r="CO185" s="260"/>
      <c r="CP185" s="260"/>
      <c r="CQ185" s="260"/>
      <c r="CR185" s="260"/>
      <c r="CS185" s="260"/>
      <c r="CT185" s="109"/>
    </row>
    <row r="186" spans="1:98" s="87" customFormat="1" ht="66.75" customHeight="1" x14ac:dyDescent="0.25">
      <c r="A186" s="432"/>
      <c r="B186" s="391" t="s">
        <v>321</v>
      </c>
      <c r="C186" s="244" t="s">
        <v>324</v>
      </c>
      <c r="D186" s="433">
        <f>10*(5*2*3.7+ 3.5*2*8+   0.5*5*8)</f>
        <v>1130</v>
      </c>
      <c r="E186" s="244">
        <f t="shared" si="26"/>
        <v>1243</v>
      </c>
      <c r="F186" s="244"/>
      <c r="G186" s="244"/>
      <c r="H186" s="244"/>
      <c r="I186" s="433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433"/>
      <c r="V186" s="244"/>
      <c r="W186" s="244"/>
      <c r="X186" s="244"/>
      <c r="Y186" s="77"/>
      <c r="Z186" s="433"/>
      <c r="AA186" s="77"/>
      <c r="AB186" s="77"/>
      <c r="AC186" s="77"/>
      <c r="AD186" s="77"/>
      <c r="AE186" s="77"/>
      <c r="AF186" s="77"/>
      <c r="AG186" s="244"/>
      <c r="AH186" s="77"/>
      <c r="AI186" s="77"/>
      <c r="AJ186" s="433"/>
      <c r="AK186" s="433"/>
      <c r="AL186" s="433"/>
      <c r="AM186" s="433"/>
      <c r="AN186" s="433"/>
      <c r="AO186" s="433"/>
      <c r="AP186" s="433"/>
      <c r="AQ186" s="433"/>
      <c r="AR186" s="433"/>
      <c r="AS186" s="433"/>
      <c r="AT186" s="433"/>
      <c r="AU186" s="433"/>
      <c r="AV186" s="244"/>
      <c r="AW186" s="244"/>
      <c r="AX186" s="244"/>
      <c r="AY186" s="244"/>
      <c r="AZ186" s="244"/>
      <c r="BA186" s="77"/>
      <c r="BB186" s="77"/>
      <c r="BC186" s="244"/>
      <c r="BD186" s="244"/>
      <c r="BE186" s="244"/>
      <c r="BF186" s="109"/>
      <c r="BG186" s="109"/>
      <c r="BH186" s="38"/>
      <c r="BI186" s="38"/>
      <c r="BJ186" s="38"/>
      <c r="BK186" s="38"/>
      <c r="BL186" s="38"/>
      <c r="BM186" s="77"/>
      <c r="BN186" s="77"/>
      <c r="BO186" s="77"/>
      <c r="BP186" s="77"/>
      <c r="BQ186" s="77"/>
      <c r="BR186" s="244"/>
      <c r="BS186" s="274"/>
      <c r="BT186" s="77"/>
      <c r="BU186" s="260"/>
      <c r="BV186" s="260"/>
      <c r="BW186" s="260"/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60"/>
      <c r="CJ186" s="260"/>
      <c r="CK186" s="109"/>
      <c r="CL186" s="260"/>
      <c r="CM186" s="260"/>
      <c r="CN186" s="260"/>
      <c r="CO186" s="260"/>
      <c r="CP186" s="260"/>
      <c r="CQ186" s="260"/>
      <c r="CR186" s="260"/>
      <c r="CS186" s="260"/>
      <c r="CT186" s="109"/>
    </row>
    <row r="187" spans="1:98" s="87" customFormat="1" ht="66.75" customHeight="1" x14ac:dyDescent="0.25">
      <c r="A187" s="432"/>
      <c r="B187" s="391" t="s">
        <v>313</v>
      </c>
      <c r="C187" s="244" t="s">
        <v>325</v>
      </c>
      <c r="D187" s="433">
        <f>6*2*3.7+    5.2*2*8+   0.5*6*8</f>
        <v>151.60000000000002</v>
      </c>
      <c r="E187" s="244">
        <f t="shared" si="26"/>
        <v>166.76000000000005</v>
      </c>
      <c r="F187" s="244"/>
      <c r="G187" s="244"/>
      <c r="H187" s="244"/>
      <c r="I187" s="433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433"/>
      <c r="V187" s="244"/>
      <c r="W187" s="244"/>
      <c r="X187" s="244"/>
      <c r="Y187" s="77"/>
      <c r="Z187" s="433"/>
      <c r="AA187" s="77"/>
      <c r="AB187" s="77"/>
      <c r="AC187" s="77"/>
      <c r="AD187" s="77"/>
      <c r="AE187" s="77"/>
      <c r="AF187" s="77"/>
      <c r="AG187" s="244"/>
      <c r="AH187" s="77"/>
      <c r="AI187" s="77"/>
      <c r="AJ187" s="433"/>
      <c r="AK187" s="433"/>
      <c r="AL187" s="433"/>
      <c r="AM187" s="433"/>
      <c r="AN187" s="433"/>
      <c r="AO187" s="433"/>
      <c r="AP187" s="433"/>
      <c r="AQ187" s="433"/>
      <c r="AR187" s="433"/>
      <c r="AS187" s="433"/>
      <c r="AT187" s="433"/>
      <c r="AU187" s="433"/>
      <c r="AV187" s="244"/>
      <c r="AW187" s="244"/>
      <c r="AX187" s="244"/>
      <c r="AY187" s="244"/>
      <c r="AZ187" s="244"/>
      <c r="BA187" s="77"/>
      <c r="BB187" s="77"/>
      <c r="BC187" s="244"/>
      <c r="BD187" s="244"/>
      <c r="BE187" s="244"/>
      <c r="BF187" s="109"/>
      <c r="BG187" s="109"/>
      <c r="BH187" s="38"/>
      <c r="BI187" s="38"/>
      <c r="BJ187" s="38"/>
      <c r="BK187" s="38"/>
      <c r="BL187" s="38"/>
      <c r="BM187" s="77"/>
      <c r="BN187" s="77"/>
      <c r="BO187" s="77"/>
      <c r="BP187" s="77"/>
      <c r="BQ187" s="77"/>
      <c r="BR187" s="244"/>
      <c r="BS187" s="274"/>
      <c r="BT187" s="77"/>
      <c r="BU187" s="260"/>
      <c r="BV187" s="260"/>
      <c r="BW187" s="260"/>
      <c r="BX187" s="260"/>
      <c r="BY187" s="260"/>
      <c r="BZ187" s="260"/>
      <c r="CA187" s="260"/>
      <c r="CB187" s="260"/>
      <c r="CC187" s="260"/>
      <c r="CD187" s="260"/>
      <c r="CE187" s="260"/>
      <c r="CF187" s="260"/>
      <c r="CG187" s="260"/>
      <c r="CH187" s="260"/>
      <c r="CI187" s="260"/>
      <c r="CJ187" s="260"/>
      <c r="CK187" s="109"/>
      <c r="CL187" s="260"/>
      <c r="CM187" s="260"/>
      <c r="CN187" s="260"/>
      <c r="CO187" s="260"/>
      <c r="CP187" s="260"/>
      <c r="CQ187" s="260"/>
      <c r="CR187" s="260"/>
      <c r="CS187" s="260"/>
      <c r="CT187" s="109"/>
    </row>
    <row r="188" spans="1:98" s="87" customFormat="1" ht="66.75" customHeight="1" x14ac:dyDescent="0.25">
      <c r="A188" s="432"/>
      <c r="B188" s="391" t="s">
        <v>322</v>
      </c>
      <c r="C188" s="244" t="s">
        <v>326</v>
      </c>
      <c r="D188" s="433">
        <f>8*2*3.7+    6.75*2*8+   0.5*8*8</f>
        <v>199.2</v>
      </c>
      <c r="E188" s="244">
        <f t="shared" si="26"/>
        <v>219.12</v>
      </c>
      <c r="F188" s="244"/>
      <c r="G188" s="244"/>
      <c r="H188" s="244"/>
      <c r="I188" s="433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433"/>
      <c r="V188" s="244"/>
      <c r="W188" s="244"/>
      <c r="X188" s="244"/>
      <c r="Y188" s="77"/>
      <c r="Z188" s="433"/>
      <c r="AA188" s="77"/>
      <c r="AB188" s="77"/>
      <c r="AC188" s="77"/>
      <c r="AD188" s="77"/>
      <c r="AE188" s="77"/>
      <c r="AF188" s="77"/>
      <c r="AG188" s="244"/>
      <c r="AH188" s="77"/>
      <c r="AI188" s="77"/>
      <c r="AJ188" s="433"/>
      <c r="AK188" s="433"/>
      <c r="AL188" s="433"/>
      <c r="AM188" s="433"/>
      <c r="AN188" s="433"/>
      <c r="AO188" s="433"/>
      <c r="AP188" s="433"/>
      <c r="AQ188" s="433"/>
      <c r="AR188" s="433"/>
      <c r="AS188" s="433"/>
      <c r="AT188" s="433"/>
      <c r="AU188" s="433"/>
      <c r="AV188" s="244"/>
      <c r="AW188" s="244"/>
      <c r="AX188" s="244"/>
      <c r="AY188" s="244"/>
      <c r="AZ188" s="244"/>
      <c r="BA188" s="77"/>
      <c r="BB188" s="77"/>
      <c r="BC188" s="244"/>
      <c r="BD188" s="244"/>
      <c r="BE188" s="244"/>
      <c r="BF188" s="109"/>
      <c r="BG188" s="109"/>
      <c r="BH188" s="38"/>
      <c r="BI188" s="38"/>
      <c r="BJ188" s="38"/>
      <c r="BK188" s="38"/>
      <c r="BL188" s="38"/>
      <c r="BM188" s="77"/>
      <c r="BN188" s="77"/>
      <c r="BO188" s="77"/>
      <c r="BP188" s="77"/>
      <c r="BQ188" s="77"/>
      <c r="BR188" s="244"/>
      <c r="BS188" s="274"/>
      <c r="BT188" s="77"/>
      <c r="BU188" s="260"/>
      <c r="BV188" s="260"/>
      <c r="BW188" s="260"/>
      <c r="BX188" s="260"/>
      <c r="BY188" s="260"/>
      <c r="BZ188" s="260"/>
      <c r="CA188" s="260"/>
      <c r="CB188" s="260"/>
      <c r="CC188" s="260"/>
      <c r="CD188" s="260"/>
      <c r="CE188" s="260"/>
      <c r="CF188" s="260"/>
      <c r="CG188" s="260"/>
      <c r="CH188" s="260"/>
      <c r="CI188" s="260"/>
      <c r="CJ188" s="260"/>
      <c r="CK188" s="109"/>
      <c r="CL188" s="260"/>
      <c r="CM188" s="260"/>
      <c r="CN188" s="260"/>
      <c r="CO188" s="260"/>
      <c r="CP188" s="260"/>
      <c r="CQ188" s="260"/>
      <c r="CR188" s="260"/>
      <c r="CS188" s="260"/>
      <c r="CT188" s="109"/>
    </row>
    <row r="189" spans="1:98" s="87" customFormat="1" ht="66.75" customHeight="1" x14ac:dyDescent="0.25">
      <c r="A189" s="432"/>
      <c r="B189" s="391" t="s">
        <v>318</v>
      </c>
      <c r="C189" s="244" t="s">
        <v>316</v>
      </c>
      <c r="D189" s="433">
        <f>8*2*3.7+    6.5*2*8+   0.5*8*8</f>
        <v>195.2</v>
      </c>
      <c r="E189" s="244">
        <f t="shared" si="26"/>
        <v>214.72</v>
      </c>
      <c r="F189" s="244"/>
      <c r="G189" s="244"/>
      <c r="H189" s="244"/>
      <c r="I189" s="433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433"/>
      <c r="V189" s="244"/>
      <c r="W189" s="244"/>
      <c r="X189" s="244"/>
      <c r="Y189" s="77"/>
      <c r="Z189" s="433"/>
      <c r="AA189" s="77"/>
      <c r="AB189" s="77"/>
      <c r="AC189" s="77"/>
      <c r="AD189" s="77"/>
      <c r="AE189" s="77"/>
      <c r="AF189" s="77"/>
      <c r="AG189" s="244"/>
      <c r="AH189" s="77"/>
      <c r="AI189" s="77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3"/>
      <c r="AV189" s="244"/>
      <c r="AW189" s="244"/>
      <c r="AX189" s="244"/>
      <c r="AY189" s="244"/>
      <c r="AZ189" s="244"/>
      <c r="BA189" s="77"/>
      <c r="BB189" s="77"/>
      <c r="BC189" s="244"/>
      <c r="BD189" s="244"/>
      <c r="BE189" s="244"/>
      <c r="BF189" s="109"/>
      <c r="BG189" s="109"/>
      <c r="BH189" s="38"/>
      <c r="BI189" s="38"/>
      <c r="BJ189" s="38"/>
      <c r="BK189" s="38"/>
      <c r="BL189" s="38"/>
      <c r="BM189" s="77"/>
      <c r="BN189" s="77"/>
      <c r="BO189" s="77"/>
      <c r="BP189" s="77"/>
      <c r="BQ189" s="77"/>
      <c r="BR189" s="244"/>
      <c r="BS189" s="274"/>
      <c r="BT189" s="77"/>
      <c r="BU189" s="260"/>
      <c r="BV189" s="260"/>
      <c r="BW189" s="260"/>
      <c r="BX189" s="260"/>
      <c r="BY189" s="260"/>
      <c r="BZ189" s="260"/>
      <c r="CA189" s="260"/>
      <c r="CB189" s="260"/>
      <c r="CC189" s="260"/>
      <c r="CD189" s="260"/>
      <c r="CE189" s="260"/>
      <c r="CF189" s="260"/>
      <c r="CG189" s="260"/>
      <c r="CH189" s="260"/>
      <c r="CI189" s="260"/>
      <c r="CJ189" s="260"/>
      <c r="CK189" s="109"/>
      <c r="CL189" s="260"/>
      <c r="CM189" s="260"/>
      <c r="CN189" s="260"/>
      <c r="CO189" s="260"/>
      <c r="CP189" s="260"/>
      <c r="CQ189" s="260"/>
      <c r="CR189" s="260"/>
      <c r="CS189" s="260"/>
      <c r="CT189" s="109"/>
    </row>
    <row r="190" spans="1:98" s="87" customFormat="1" x14ac:dyDescent="0.25">
      <c r="A190" s="432"/>
      <c r="B190" s="391"/>
      <c r="C190" s="244"/>
      <c r="D190" s="425">
        <f>SUM(D180:D189)</f>
        <v>3139.1999999999994</v>
      </c>
      <c r="E190" s="425">
        <f>SUM(E180:E189)</f>
        <v>3453.1200000000003</v>
      </c>
      <c r="F190" s="244"/>
      <c r="G190" s="244"/>
      <c r="H190" s="244"/>
      <c r="I190" s="433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433"/>
      <c r="V190" s="244"/>
      <c r="W190" s="244"/>
      <c r="X190" s="244"/>
      <c r="Y190" s="77"/>
      <c r="Z190" s="433"/>
      <c r="AA190" s="77"/>
      <c r="AB190" s="77"/>
      <c r="AC190" s="77"/>
      <c r="AD190" s="77"/>
      <c r="AE190" s="77"/>
      <c r="AF190" s="77"/>
      <c r="AG190" s="244"/>
      <c r="AH190" s="77"/>
      <c r="AI190" s="77"/>
      <c r="AJ190" s="433"/>
      <c r="AK190" s="433"/>
      <c r="AL190" s="433"/>
      <c r="AM190" s="433"/>
      <c r="AN190" s="433"/>
      <c r="AO190" s="433"/>
      <c r="AP190" s="433"/>
      <c r="AQ190" s="433"/>
      <c r="AR190" s="433"/>
      <c r="AS190" s="433"/>
      <c r="AT190" s="433"/>
      <c r="AU190" s="433"/>
      <c r="AV190" s="244"/>
      <c r="AW190" s="244"/>
      <c r="AX190" s="244"/>
      <c r="AY190" s="244"/>
      <c r="AZ190" s="244"/>
      <c r="BA190" s="77"/>
      <c r="BB190" s="77"/>
      <c r="BC190" s="244"/>
      <c r="BD190" s="244"/>
      <c r="BE190" s="244"/>
      <c r="BF190" s="109"/>
      <c r="BG190" s="109"/>
      <c r="BH190" s="38"/>
      <c r="BI190" s="38"/>
      <c r="BJ190" s="38"/>
      <c r="BK190" s="38"/>
      <c r="BL190" s="38"/>
      <c r="BM190" s="77"/>
      <c r="BN190" s="77"/>
      <c r="BO190" s="77"/>
      <c r="BP190" s="77"/>
      <c r="BQ190" s="77"/>
      <c r="BR190" s="244"/>
      <c r="BS190" s="274"/>
      <c r="BT190" s="77"/>
      <c r="BU190" s="260"/>
      <c r="BV190" s="260"/>
      <c r="BW190" s="260"/>
      <c r="BX190" s="260"/>
      <c r="BY190" s="260"/>
      <c r="BZ190" s="260"/>
      <c r="CA190" s="260"/>
      <c r="CB190" s="260"/>
      <c r="CC190" s="260"/>
      <c r="CD190" s="260"/>
      <c r="CE190" s="260"/>
      <c r="CF190" s="260"/>
      <c r="CG190" s="260"/>
      <c r="CH190" s="260"/>
      <c r="CI190" s="260"/>
      <c r="CJ190" s="260"/>
      <c r="CK190" s="109"/>
      <c r="CL190" s="260"/>
      <c r="CM190" s="260"/>
      <c r="CN190" s="260"/>
      <c r="CO190" s="260"/>
      <c r="CP190" s="260"/>
      <c r="CQ190" s="260"/>
      <c r="CR190" s="260"/>
      <c r="CS190" s="260"/>
      <c r="CT190" s="109"/>
    </row>
    <row r="191" spans="1:98" s="87" customFormat="1" x14ac:dyDescent="0.25">
      <c r="A191" s="432"/>
      <c r="B191" s="391"/>
      <c r="C191" s="244"/>
      <c r="D191" s="433"/>
      <c r="E191" s="244"/>
      <c r="F191" s="244"/>
      <c r="G191" s="244"/>
      <c r="H191" s="244"/>
      <c r="I191" s="433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433"/>
      <c r="V191" s="244"/>
      <c r="W191" s="244"/>
      <c r="X191" s="244"/>
      <c r="Y191" s="77"/>
      <c r="Z191" s="433"/>
      <c r="AA191" s="77"/>
      <c r="AB191" s="77"/>
      <c r="AC191" s="77"/>
      <c r="AD191" s="77"/>
      <c r="AE191" s="77"/>
      <c r="AF191" s="77"/>
      <c r="AG191" s="244"/>
      <c r="AH191" s="77"/>
      <c r="AI191" s="77"/>
      <c r="AJ191" s="433"/>
      <c r="AK191" s="433"/>
      <c r="AL191" s="433"/>
      <c r="AM191" s="433"/>
      <c r="AN191" s="433"/>
      <c r="AO191" s="433"/>
      <c r="AP191" s="433"/>
      <c r="AQ191" s="433"/>
      <c r="AR191" s="433"/>
      <c r="AS191" s="433"/>
      <c r="AT191" s="433"/>
      <c r="AU191" s="433"/>
      <c r="AV191" s="244"/>
      <c r="AW191" s="244"/>
      <c r="AX191" s="244"/>
      <c r="AY191" s="244"/>
      <c r="AZ191" s="244"/>
      <c r="BA191" s="77"/>
      <c r="BB191" s="77"/>
      <c r="BC191" s="244"/>
      <c r="BD191" s="244"/>
      <c r="BE191" s="244"/>
      <c r="BF191" s="109"/>
      <c r="BG191" s="109"/>
      <c r="BH191" s="38"/>
      <c r="BI191" s="38"/>
      <c r="BJ191" s="38"/>
      <c r="BK191" s="38"/>
      <c r="BL191" s="38"/>
      <c r="BM191" s="77"/>
      <c r="BN191" s="77"/>
      <c r="BO191" s="77"/>
      <c r="BP191" s="77"/>
      <c r="BQ191" s="77"/>
      <c r="BR191" s="244"/>
      <c r="BS191" s="274"/>
      <c r="BT191" s="77"/>
      <c r="BU191" s="260"/>
      <c r="BV191" s="260"/>
      <c r="BW191" s="260"/>
      <c r="BX191" s="260"/>
      <c r="BY191" s="260"/>
      <c r="BZ191" s="260"/>
      <c r="CA191" s="260"/>
      <c r="CB191" s="260"/>
      <c r="CC191" s="260"/>
      <c r="CD191" s="260"/>
      <c r="CE191" s="260"/>
      <c r="CF191" s="260"/>
      <c r="CG191" s="260"/>
      <c r="CH191" s="260"/>
      <c r="CI191" s="260"/>
      <c r="CJ191" s="260"/>
      <c r="CK191" s="109"/>
      <c r="CL191" s="260"/>
      <c r="CM191" s="260"/>
      <c r="CN191" s="260"/>
      <c r="CO191" s="260"/>
      <c r="CP191" s="260"/>
      <c r="CQ191" s="260"/>
      <c r="CR191" s="260"/>
      <c r="CS191" s="260"/>
      <c r="CT191" s="109"/>
    </row>
    <row r="192" spans="1:98" s="87" customFormat="1" ht="66" x14ac:dyDescent="0.25">
      <c r="A192" s="432"/>
      <c r="B192" s="434" t="s">
        <v>327</v>
      </c>
      <c r="C192" s="244" t="s">
        <v>328</v>
      </c>
      <c r="D192" s="425">
        <f>8*0.5* (6.1+6.2+6.2+6.5+5*3.8+ 1*4.7+10*3.5+1*5.2+ 6.75+6.5)</f>
        <v>408.6</v>
      </c>
      <c r="E192" s="256">
        <f>1.1*D192</f>
        <v>449.46000000000004</v>
      </c>
      <c r="F192" s="244"/>
      <c r="G192" s="244"/>
      <c r="H192" s="244"/>
      <c r="I192" s="433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433"/>
      <c r="V192" s="244"/>
      <c r="W192" s="244"/>
      <c r="X192" s="244"/>
      <c r="Y192" s="77"/>
      <c r="Z192" s="433"/>
      <c r="AA192" s="77"/>
      <c r="AB192" s="77"/>
      <c r="AC192" s="77"/>
      <c r="AD192" s="77"/>
      <c r="AE192" s="77"/>
      <c r="AF192" s="77"/>
      <c r="AG192" s="244"/>
      <c r="AH192" s="77"/>
      <c r="AI192" s="77"/>
      <c r="AJ192" s="433"/>
      <c r="AK192" s="433"/>
      <c r="AL192" s="433"/>
      <c r="AM192" s="433"/>
      <c r="AN192" s="433"/>
      <c r="AO192" s="433"/>
      <c r="AP192" s="433"/>
      <c r="AQ192" s="433"/>
      <c r="AR192" s="433"/>
      <c r="AS192" s="433"/>
      <c r="AT192" s="433"/>
      <c r="AU192" s="433"/>
      <c r="AV192" s="244"/>
      <c r="AW192" s="244"/>
      <c r="AX192" s="244"/>
      <c r="AY192" s="244"/>
      <c r="AZ192" s="244"/>
      <c r="BA192" s="77"/>
      <c r="BB192" s="77"/>
      <c r="BC192" s="244"/>
      <c r="BD192" s="244"/>
      <c r="BE192" s="244"/>
      <c r="BF192" s="109"/>
      <c r="BG192" s="109"/>
      <c r="BH192" s="38"/>
      <c r="BI192" s="38"/>
      <c r="BJ192" s="38"/>
      <c r="BK192" s="38"/>
      <c r="BL192" s="38"/>
      <c r="BM192" s="77"/>
      <c r="BN192" s="77"/>
      <c r="BO192" s="77"/>
      <c r="BP192" s="77"/>
      <c r="BQ192" s="77"/>
      <c r="BR192" s="244"/>
      <c r="BS192" s="274"/>
      <c r="BT192" s="77"/>
      <c r="BU192" s="260"/>
      <c r="BV192" s="260"/>
      <c r="BW192" s="260"/>
      <c r="BX192" s="260"/>
      <c r="BY192" s="260"/>
      <c r="BZ192" s="260"/>
      <c r="CA192" s="260"/>
      <c r="CB192" s="260"/>
      <c r="CC192" s="260"/>
      <c r="CD192" s="260"/>
      <c r="CE192" s="260"/>
      <c r="CF192" s="260"/>
      <c r="CG192" s="260"/>
      <c r="CH192" s="260"/>
      <c r="CI192" s="260"/>
      <c r="CJ192" s="260"/>
      <c r="CK192" s="109"/>
      <c r="CL192" s="260"/>
      <c r="CM192" s="260"/>
      <c r="CN192" s="260"/>
      <c r="CO192" s="260"/>
      <c r="CP192" s="260"/>
      <c r="CQ192" s="260"/>
      <c r="CR192" s="260"/>
      <c r="CS192" s="260"/>
      <c r="CT192" s="109"/>
    </row>
    <row r="193" spans="1:98" s="87" customFormat="1" ht="49.5" x14ac:dyDescent="0.25">
      <c r="A193" s="432"/>
      <c r="B193" s="391"/>
      <c r="C193" s="244" t="s">
        <v>330</v>
      </c>
      <c r="D193" s="433">
        <f>6.1+6.2+6.2+6.5+5*3.8+ 1*4.7+10*3.5+1*5.2+ 6.75+6.5</f>
        <v>102.15</v>
      </c>
      <c r="E193" s="244"/>
      <c r="F193" s="244" t="s">
        <v>1</v>
      </c>
      <c r="G193" s="244"/>
      <c r="H193" s="244"/>
      <c r="I193" s="433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433"/>
      <c r="V193" s="244"/>
      <c r="W193" s="244"/>
      <c r="X193" s="244"/>
      <c r="Y193" s="77"/>
      <c r="Z193" s="433"/>
      <c r="AA193" s="77"/>
      <c r="AB193" s="77"/>
      <c r="AC193" s="77"/>
      <c r="AD193" s="77"/>
      <c r="AE193" s="77"/>
      <c r="AF193" s="77"/>
      <c r="AG193" s="244"/>
      <c r="AH193" s="77"/>
      <c r="AI193" s="77"/>
      <c r="AJ193" s="433"/>
      <c r="AK193" s="433"/>
      <c r="AL193" s="433"/>
      <c r="AM193" s="433"/>
      <c r="AN193" s="433"/>
      <c r="AO193" s="433"/>
      <c r="AP193" s="433"/>
      <c r="AQ193" s="433"/>
      <c r="AR193" s="433"/>
      <c r="AS193" s="433"/>
      <c r="AT193" s="433"/>
      <c r="AU193" s="433"/>
      <c r="AV193" s="244"/>
      <c r="AW193" s="244"/>
      <c r="AX193" s="244"/>
      <c r="AY193" s="244"/>
      <c r="AZ193" s="244"/>
      <c r="BA193" s="77"/>
      <c r="BB193" s="77"/>
      <c r="BC193" s="244"/>
      <c r="BD193" s="244"/>
      <c r="BE193" s="244"/>
      <c r="BF193" s="109"/>
      <c r="BG193" s="109"/>
      <c r="BH193" s="38"/>
      <c r="BI193" s="38"/>
      <c r="BJ193" s="38"/>
      <c r="BK193" s="38"/>
      <c r="BL193" s="38"/>
      <c r="BM193" s="77"/>
      <c r="BN193" s="77"/>
      <c r="BO193" s="77"/>
      <c r="BP193" s="77"/>
      <c r="BQ193" s="77"/>
      <c r="BR193" s="244"/>
      <c r="BS193" s="274"/>
      <c r="BT193" s="77"/>
      <c r="BU193" s="260"/>
      <c r="BV193" s="260"/>
      <c r="BW193" s="260"/>
      <c r="BX193" s="260"/>
      <c r="BY193" s="260"/>
      <c r="BZ193" s="260"/>
      <c r="CA193" s="260"/>
      <c r="CB193" s="260"/>
      <c r="CC193" s="260"/>
      <c r="CD193" s="260"/>
      <c r="CE193" s="260"/>
      <c r="CF193" s="260"/>
      <c r="CG193" s="260"/>
      <c r="CH193" s="260"/>
      <c r="CI193" s="260"/>
      <c r="CJ193" s="260"/>
      <c r="CK193" s="109"/>
      <c r="CL193" s="260"/>
      <c r="CM193" s="260"/>
      <c r="CN193" s="260"/>
      <c r="CO193" s="260"/>
      <c r="CP193" s="260"/>
      <c r="CQ193" s="260"/>
      <c r="CR193" s="260"/>
      <c r="CS193" s="260"/>
      <c r="CT193" s="109"/>
    </row>
    <row r="194" spans="1:98" s="87" customFormat="1" x14ac:dyDescent="0.25">
      <c r="A194" s="432"/>
      <c r="B194" s="391"/>
      <c r="C194" s="244"/>
      <c r="D194" s="433"/>
      <c r="E194" s="244"/>
      <c r="F194" s="244"/>
      <c r="G194" s="244"/>
      <c r="H194" s="244"/>
      <c r="I194" s="433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433"/>
      <c r="V194" s="244"/>
      <c r="W194" s="244"/>
      <c r="X194" s="244"/>
      <c r="Y194" s="77"/>
      <c r="Z194" s="433"/>
      <c r="AA194" s="77"/>
      <c r="AB194" s="77"/>
      <c r="AC194" s="77"/>
      <c r="AD194" s="77"/>
      <c r="AE194" s="77"/>
      <c r="AF194" s="77"/>
      <c r="AG194" s="244"/>
      <c r="AH194" s="77"/>
      <c r="AI194" s="77"/>
      <c r="AJ194" s="433"/>
      <c r="AK194" s="433"/>
      <c r="AL194" s="433"/>
      <c r="AM194" s="433"/>
      <c r="AN194" s="433"/>
      <c r="AO194" s="433"/>
      <c r="AP194" s="433"/>
      <c r="AQ194" s="433"/>
      <c r="AR194" s="433"/>
      <c r="AS194" s="433"/>
      <c r="AT194" s="433"/>
      <c r="AU194" s="433"/>
      <c r="AV194" s="244"/>
      <c r="AW194" s="244"/>
      <c r="AX194" s="244"/>
      <c r="AY194" s="244"/>
      <c r="AZ194" s="244"/>
      <c r="BA194" s="77"/>
      <c r="BB194" s="77"/>
      <c r="BC194" s="244"/>
      <c r="BD194" s="244"/>
      <c r="BE194" s="244"/>
      <c r="BF194" s="109"/>
      <c r="BG194" s="109"/>
      <c r="BH194" s="38"/>
      <c r="BI194" s="38"/>
      <c r="BJ194" s="38"/>
      <c r="BK194" s="38"/>
      <c r="BL194" s="38"/>
      <c r="BM194" s="77"/>
      <c r="BN194" s="77"/>
      <c r="BO194" s="77"/>
      <c r="BP194" s="77"/>
      <c r="BQ194" s="77"/>
      <c r="BR194" s="244"/>
      <c r="BS194" s="274"/>
      <c r="BT194" s="77"/>
      <c r="BU194" s="260"/>
      <c r="BV194" s="260"/>
      <c r="BW194" s="260"/>
      <c r="BX194" s="260"/>
      <c r="BY194" s="260"/>
      <c r="BZ194" s="260"/>
      <c r="CA194" s="260"/>
      <c r="CB194" s="260"/>
      <c r="CC194" s="260"/>
      <c r="CD194" s="260"/>
      <c r="CE194" s="260"/>
      <c r="CF194" s="260"/>
      <c r="CG194" s="260"/>
      <c r="CH194" s="260"/>
      <c r="CI194" s="260"/>
      <c r="CJ194" s="260"/>
      <c r="CK194" s="109"/>
      <c r="CL194" s="260"/>
      <c r="CM194" s="260"/>
      <c r="CN194" s="260"/>
      <c r="CO194" s="260"/>
      <c r="CP194" s="260"/>
      <c r="CQ194" s="260"/>
      <c r="CR194" s="260"/>
      <c r="CS194" s="260"/>
      <c r="CT194" s="109"/>
    </row>
    <row r="195" spans="1:98" s="87" customFormat="1" x14ac:dyDescent="0.25">
      <c r="A195" s="432"/>
      <c r="B195" s="391"/>
      <c r="C195" s="244"/>
      <c r="D195" s="433"/>
      <c r="E195" s="244"/>
      <c r="F195" s="244"/>
      <c r="G195" s="244"/>
      <c r="H195" s="244"/>
      <c r="I195" s="433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433"/>
      <c r="V195" s="244"/>
      <c r="W195" s="244"/>
      <c r="X195" s="244"/>
      <c r="Y195" s="77"/>
      <c r="Z195" s="433"/>
      <c r="AA195" s="77"/>
      <c r="AB195" s="77"/>
      <c r="AC195" s="77"/>
      <c r="AD195" s="77"/>
      <c r="AE195" s="77"/>
      <c r="AF195" s="77"/>
      <c r="AG195" s="244"/>
      <c r="AH195" s="77"/>
      <c r="AI195" s="77"/>
      <c r="AJ195" s="433"/>
      <c r="AK195" s="433"/>
      <c r="AL195" s="433"/>
      <c r="AM195" s="433"/>
      <c r="AN195" s="433"/>
      <c r="AO195" s="433"/>
      <c r="AP195" s="433"/>
      <c r="AQ195" s="433"/>
      <c r="AR195" s="433"/>
      <c r="AS195" s="433"/>
      <c r="AT195" s="433"/>
      <c r="AU195" s="433"/>
      <c r="AV195" s="244"/>
      <c r="AW195" s="244"/>
      <c r="AX195" s="244"/>
      <c r="AY195" s="244"/>
      <c r="AZ195" s="244"/>
      <c r="BA195" s="77"/>
      <c r="BB195" s="77"/>
      <c r="BC195" s="244"/>
      <c r="BD195" s="244"/>
      <c r="BE195" s="244"/>
      <c r="BF195" s="109"/>
      <c r="BG195" s="109"/>
      <c r="BH195" s="38"/>
      <c r="BI195" s="38"/>
      <c r="BJ195" s="38"/>
      <c r="BK195" s="38"/>
      <c r="BL195" s="38"/>
      <c r="BM195" s="77"/>
      <c r="BN195" s="77"/>
      <c r="BO195" s="77"/>
      <c r="BP195" s="77"/>
      <c r="BQ195" s="77"/>
      <c r="BR195" s="244"/>
      <c r="BS195" s="274"/>
      <c r="BT195" s="77"/>
      <c r="BU195" s="260"/>
      <c r="BV195" s="260"/>
      <c r="BW195" s="260"/>
      <c r="BX195" s="260"/>
      <c r="BY195" s="260"/>
      <c r="BZ195" s="260"/>
      <c r="CA195" s="260"/>
      <c r="CB195" s="260"/>
      <c r="CC195" s="260"/>
      <c r="CD195" s="260"/>
      <c r="CE195" s="260"/>
      <c r="CF195" s="260"/>
      <c r="CG195" s="260"/>
      <c r="CH195" s="260"/>
      <c r="CI195" s="260"/>
      <c r="CJ195" s="260"/>
      <c r="CK195" s="109"/>
      <c r="CL195" s="260"/>
      <c r="CM195" s="260"/>
      <c r="CN195" s="260"/>
      <c r="CO195" s="260"/>
      <c r="CP195" s="260"/>
      <c r="CQ195" s="260"/>
      <c r="CR195" s="260"/>
      <c r="CS195" s="260"/>
      <c r="CT195" s="109"/>
    </row>
    <row r="196" spans="1:98" s="269" customFormat="1" ht="17.25" thickBot="1" x14ac:dyDescent="0.3">
      <c r="A196" s="110"/>
      <c r="B196" s="279"/>
      <c r="C196" s="75"/>
      <c r="D196" s="263"/>
      <c r="E196" s="75"/>
      <c r="F196" s="75"/>
      <c r="G196" s="75"/>
      <c r="H196" s="75"/>
      <c r="I196" s="330"/>
      <c r="J196" s="244"/>
      <c r="K196" s="244"/>
      <c r="L196" s="244"/>
      <c r="M196" s="244"/>
      <c r="N196" s="244"/>
      <c r="O196" s="244"/>
      <c r="P196" s="244"/>
      <c r="Q196" s="244"/>
      <c r="R196" s="75"/>
      <c r="S196" s="75"/>
      <c r="T196" s="75"/>
      <c r="U196" s="263"/>
      <c r="V196" s="75"/>
      <c r="W196" s="75"/>
      <c r="X196" s="75"/>
      <c r="Y196" s="64"/>
      <c r="Z196" s="330"/>
      <c r="AA196" s="64"/>
      <c r="AB196" s="64"/>
      <c r="AC196" s="64"/>
      <c r="AD196" s="64"/>
      <c r="AE196" s="64"/>
      <c r="AF196" s="64"/>
      <c r="AG196" s="75"/>
      <c r="AH196" s="64"/>
      <c r="AI196" s="64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75"/>
      <c r="AW196" s="75"/>
      <c r="AX196" s="75"/>
      <c r="AY196" s="75"/>
      <c r="AZ196" s="75"/>
      <c r="BA196" s="64"/>
      <c r="BB196" s="64"/>
      <c r="BC196" s="75"/>
      <c r="BD196" s="75"/>
      <c r="BE196" s="61"/>
      <c r="BF196" s="109"/>
      <c r="BG196" s="109"/>
      <c r="BH196" s="38"/>
      <c r="BI196" s="38"/>
      <c r="BJ196" s="38"/>
      <c r="BK196" s="38"/>
      <c r="BL196" s="38"/>
      <c r="BM196" s="77"/>
      <c r="BN196" s="77"/>
      <c r="BO196" s="64"/>
      <c r="BP196" s="77"/>
      <c r="BQ196" s="64"/>
      <c r="BR196" s="75"/>
      <c r="BS196" s="39"/>
      <c r="BT196" s="64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190"/>
      <c r="CL196" s="37"/>
      <c r="CM196" s="37"/>
      <c r="CN196" s="37"/>
      <c r="CO196" s="37"/>
      <c r="CP196" s="37"/>
      <c r="CQ196" s="37"/>
      <c r="CR196" s="37"/>
      <c r="CS196" s="37"/>
      <c r="CT196" s="190"/>
    </row>
    <row r="197" spans="1:98" s="18" customFormat="1" x14ac:dyDescent="0.25">
      <c r="A197" s="542" t="s">
        <v>135</v>
      </c>
      <c r="B197" s="543"/>
      <c r="C197" s="543"/>
      <c r="D197" s="543"/>
      <c r="E197" s="543"/>
      <c r="F197" s="543"/>
      <c r="G197" s="543"/>
      <c r="H197" s="548"/>
      <c r="I197" s="36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</row>
    <row r="198" spans="1:98" s="18" customFormat="1" ht="37.5" customHeight="1" x14ac:dyDescent="0.25">
      <c r="A198" s="136"/>
      <c r="B198" s="132"/>
      <c r="C198" s="132"/>
      <c r="D198" s="132"/>
      <c r="E198" s="86"/>
      <c r="F198" s="131"/>
      <c r="G198" s="131"/>
      <c r="H198" s="131"/>
      <c r="I198" s="36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</row>
    <row r="199" spans="1:98" s="3" customFormat="1" x14ac:dyDescent="0.25">
      <c r="A199" s="287"/>
      <c r="B199" s="109"/>
      <c r="C199" s="109"/>
      <c r="D199" s="109"/>
      <c r="E199" s="62"/>
      <c r="F199" s="9"/>
      <c r="G199" s="285" t="s">
        <v>5</v>
      </c>
      <c r="H199" s="317"/>
      <c r="I199" s="28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</row>
    <row r="200" spans="1:98" s="18" customFormat="1" x14ac:dyDescent="0.25">
      <c r="A200" s="252"/>
      <c r="B200" s="37"/>
      <c r="C200" s="85"/>
      <c r="D200" s="285"/>
      <c r="E200" s="17"/>
      <c r="F200" s="17"/>
      <c r="G200" s="285" t="s">
        <v>4</v>
      </c>
      <c r="H200" s="318" t="s">
        <v>138</v>
      </c>
      <c r="I200" s="36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</row>
    <row r="201" spans="1:98" s="18" customFormat="1" x14ac:dyDescent="0.25">
      <c r="A201" s="253"/>
      <c r="B201" s="37"/>
      <c r="C201" s="85"/>
      <c r="D201" s="285"/>
      <c r="E201" s="17"/>
      <c r="F201" s="17"/>
      <c r="G201" s="285" t="s">
        <v>5</v>
      </c>
      <c r="H201" s="317"/>
      <c r="I201" s="36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</row>
    <row r="202" spans="1:98" s="18" customFormat="1" x14ac:dyDescent="0.25">
      <c r="A202" s="253"/>
      <c r="B202" s="37"/>
      <c r="C202" s="85"/>
      <c r="D202" s="285"/>
      <c r="E202" s="17"/>
      <c r="F202" s="17"/>
      <c r="G202" s="285" t="s">
        <v>4</v>
      </c>
      <c r="H202" s="318" t="s">
        <v>139</v>
      </c>
      <c r="I202" s="36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</row>
    <row r="203" spans="1:98" s="18" customFormat="1" x14ac:dyDescent="0.25">
      <c r="A203" s="253"/>
      <c r="B203" s="37"/>
      <c r="C203" s="85"/>
      <c r="D203" s="285"/>
      <c r="E203" s="17"/>
      <c r="F203" s="17"/>
      <c r="G203" s="285" t="s">
        <v>5</v>
      </c>
      <c r="H203" s="317"/>
      <c r="I203" s="36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</row>
    <row r="204" spans="1:98" s="18" customFormat="1" x14ac:dyDescent="0.25">
      <c r="A204" s="253"/>
      <c r="B204" s="37"/>
      <c r="C204" s="85"/>
      <c r="D204" s="285"/>
      <c r="E204" s="17"/>
      <c r="F204" s="17"/>
      <c r="G204" s="285" t="s">
        <v>4</v>
      </c>
      <c r="H204" s="318" t="s">
        <v>140</v>
      </c>
      <c r="I204" s="36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</row>
    <row r="205" spans="1:98" s="18" customFormat="1" x14ac:dyDescent="0.25">
      <c r="A205" s="253"/>
      <c r="B205" s="37"/>
      <c r="C205" s="85"/>
      <c r="D205" s="286"/>
      <c r="E205" s="85"/>
      <c r="F205" s="17"/>
      <c r="G205" s="286" t="s">
        <v>5</v>
      </c>
      <c r="H205" s="319"/>
      <c r="I205" s="3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</row>
    <row r="206" spans="1:98" s="18" customFormat="1" ht="17.25" thickBot="1" x14ac:dyDescent="0.3">
      <c r="A206" s="254"/>
      <c r="B206" s="113"/>
      <c r="C206" s="320"/>
      <c r="D206" s="116"/>
      <c r="E206" s="113"/>
      <c r="F206" s="125"/>
      <c r="G206" s="116" t="s">
        <v>4</v>
      </c>
      <c r="H206" s="321" t="s">
        <v>136</v>
      </c>
      <c r="I206" s="36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</row>
    <row r="207" spans="1:98" s="18" customFormat="1" x14ac:dyDescent="0.25">
      <c r="A207" s="89"/>
      <c r="B207" s="89"/>
      <c r="C207" s="89"/>
      <c r="D207" s="316"/>
      <c r="E207" s="283"/>
      <c r="F207" s="316"/>
      <c r="G207" s="283"/>
      <c r="H207" s="52"/>
      <c r="I207" s="36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</row>
    <row r="208" spans="1:98" s="18" customFormat="1" x14ac:dyDescent="0.25">
      <c r="A208" s="130"/>
      <c r="B208" s="89"/>
      <c r="C208" s="141"/>
      <c r="D208" s="141"/>
      <c r="E208" s="297"/>
      <c r="F208" s="193"/>
      <c r="G208" s="127"/>
      <c r="H208" s="52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</row>
    <row r="209" spans="1:98" s="18" customFormat="1" ht="17.25" thickBot="1" x14ac:dyDescent="0.3">
      <c r="A209" s="133"/>
      <c r="B209" s="90"/>
      <c r="C209" s="134"/>
      <c r="D209" s="134"/>
      <c r="E209" s="134"/>
      <c r="F209" s="135"/>
      <c r="G209" s="127"/>
      <c r="H209" s="12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</row>
    <row r="210" spans="1:98" s="18" customFormat="1" x14ac:dyDescent="0.25">
      <c r="A210" s="542" t="s">
        <v>137</v>
      </c>
      <c r="B210" s="543"/>
      <c r="C210" s="543"/>
      <c r="D210" s="543"/>
      <c r="E210" s="543"/>
      <c r="F210" s="544"/>
      <c r="G210" s="225"/>
      <c r="H210" s="226"/>
      <c r="I210" s="36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</row>
    <row r="211" spans="1:98" s="18" customFormat="1" ht="30" customHeight="1" x14ac:dyDescent="0.25">
      <c r="A211" s="136"/>
      <c r="B211" s="132"/>
      <c r="C211" s="132" t="s">
        <v>5</v>
      </c>
      <c r="D211" s="132" t="s">
        <v>4</v>
      </c>
      <c r="E211" s="86"/>
      <c r="F211" s="131"/>
      <c r="G211" s="131"/>
      <c r="H211" s="230"/>
      <c r="I211" s="36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</row>
    <row r="212" spans="1:98" s="18" customFormat="1" ht="48" customHeight="1" x14ac:dyDescent="0.25">
      <c r="A212" s="213"/>
      <c r="B212" s="214"/>
      <c r="C212" s="215"/>
      <c r="D212" s="216"/>
      <c r="E212" s="217"/>
      <c r="F212" s="289"/>
      <c r="G212" s="215" t="s">
        <v>5</v>
      </c>
      <c r="H212" s="218" t="s">
        <v>138</v>
      </c>
      <c r="I212" s="36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</row>
    <row r="213" spans="1:98" s="18" customFormat="1" x14ac:dyDescent="0.25">
      <c r="A213" s="213"/>
      <c r="B213" s="214"/>
      <c r="C213" s="215"/>
      <c r="D213" s="216"/>
      <c r="E213" s="217"/>
      <c r="F213" s="289">
        <f>F212*0.1</f>
        <v>0</v>
      </c>
      <c r="G213" s="215" t="s">
        <v>4</v>
      </c>
      <c r="H213" s="219"/>
      <c r="I213" s="36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</row>
    <row r="214" spans="1:98" s="18" customFormat="1" x14ac:dyDescent="0.25">
      <c r="A214" s="213"/>
      <c r="B214" s="214"/>
      <c r="C214" s="215"/>
      <c r="D214" s="216"/>
      <c r="E214" s="217"/>
      <c r="F214" s="217"/>
      <c r="G214" s="215"/>
      <c r="H214" s="219"/>
      <c r="I214" s="36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</row>
    <row r="215" spans="1:98" s="18" customFormat="1" x14ac:dyDescent="0.25">
      <c r="A215" s="213"/>
      <c r="B215" s="214"/>
      <c r="C215" s="215"/>
      <c r="D215" s="216"/>
      <c r="E215" s="217"/>
      <c r="F215" s="217"/>
      <c r="G215" s="215"/>
      <c r="H215" s="219"/>
      <c r="I215" s="36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</row>
    <row r="216" spans="1:98" s="18" customFormat="1" x14ac:dyDescent="0.25">
      <c r="A216" s="213"/>
      <c r="B216" s="214"/>
      <c r="C216" s="215"/>
      <c r="D216" s="216"/>
      <c r="E216" s="217"/>
      <c r="F216" s="217"/>
      <c r="G216" s="215"/>
      <c r="H216" s="220"/>
      <c r="I216" s="36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</row>
    <row r="217" spans="1:98" s="18" customFormat="1" ht="48.75" customHeight="1" x14ac:dyDescent="0.25">
      <c r="A217" s="350" t="s">
        <v>223</v>
      </c>
      <c r="B217" s="349" t="s">
        <v>222</v>
      </c>
      <c r="C217" s="290">
        <f>(6.2*2+3.75*1+3.75*3)*2.8-0.8*2.1*6</f>
        <v>66.639999999999986</v>
      </c>
      <c r="D217" s="396">
        <f>C217*0.15</f>
        <v>9.9959999999999969</v>
      </c>
      <c r="E217" s="242"/>
      <c r="F217" s="290"/>
      <c r="G217" s="209" t="s">
        <v>5</v>
      </c>
      <c r="H217" s="223" t="s">
        <v>139</v>
      </c>
      <c r="I217" s="36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</row>
    <row r="218" spans="1:98" s="18" customFormat="1" ht="33" x14ac:dyDescent="0.25">
      <c r="A218" s="207" t="s">
        <v>236</v>
      </c>
      <c r="B218" s="208" t="s">
        <v>237</v>
      </c>
      <c r="C218" s="210">
        <f>6.2*2.8*8</f>
        <v>138.88</v>
      </c>
      <c r="D218" s="412">
        <f>6.2*2.8*8 *0.15</f>
        <v>20.831999999999997</v>
      </c>
      <c r="E218" s="211"/>
      <c r="F218" s="290">
        <f>F217*0.15</f>
        <v>0</v>
      </c>
      <c r="G218" s="209" t="s">
        <v>4</v>
      </c>
      <c r="H218" s="212"/>
      <c r="I218" s="36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</row>
    <row r="219" spans="1:98" s="18" customFormat="1" x14ac:dyDescent="0.25">
      <c r="A219" s="207"/>
      <c r="B219" s="208"/>
      <c r="C219" s="210"/>
      <c r="D219" s="210"/>
      <c r="E219" s="211"/>
      <c r="F219" s="211"/>
      <c r="G219" s="209"/>
      <c r="H219" s="212"/>
      <c r="I219" s="36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</row>
    <row r="220" spans="1:98" s="18" customFormat="1" x14ac:dyDescent="0.25">
      <c r="A220" s="207"/>
      <c r="B220" s="208"/>
      <c r="C220" s="210"/>
      <c r="D220" s="210"/>
      <c r="E220" s="211"/>
      <c r="F220" s="211"/>
      <c r="G220" s="209"/>
      <c r="H220" s="212"/>
      <c r="I220" s="36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</row>
    <row r="221" spans="1:98" s="18" customFormat="1" x14ac:dyDescent="0.25">
      <c r="A221" s="207"/>
      <c r="B221" s="208"/>
      <c r="C221" s="210"/>
      <c r="D221" s="210"/>
      <c r="E221" s="211"/>
      <c r="F221" s="211"/>
      <c r="G221" s="209"/>
      <c r="H221" s="224"/>
      <c r="I221" s="36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</row>
    <row r="222" spans="1:98" s="18" customFormat="1" ht="63" customHeight="1" x14ac:dyDescent="0.25">
      <c r="A222" s="202" t="s">
        <v>235</v>
      </c>
      <c r="B222" s="201" t="s">
        <v>238</v>
      </c>
      <c r="C222" s="203">
        <f>(19.5+19.5+2.7)*2.8- (11*1*2.2+1*1.5*2.8)</f>
        <v>88.36</v>
      </c>
      <c r="D222" s="412">
        <f>(19.5+19.5+2.7)*2.8*0.2 - (11*1*2.2+1*1.5*2.8)*0.2</f>
        <v>17.672000000000004</v>
      </c>
      <c r="E222" s="281"/>
      <c r="F222" s="281"/>
      <c r="G222" s="282" t="s">
        <v>4</v>
      </c>
      <c r="H222" s="221" t="s">
        <v>140</v>
      </c>
      <c r="I222" s="36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</row>
    <row r="223" spans="1:98" s="18" customFormat="1" x14ac:dyDescent="0.25">
      <c r="A223" s="202"/>
      <c r="B223" s="201"/>
      <c r="C223" s="203"/>
      <c r="D223" s="203"/>
      <c r="E223" s="204"/>
      <c r="F223" s="204"/>
      <c r="G223" s="282"/>
      <c r="H223" s="206"/>
      <c r="I223" s="36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</row>
    <row r="224" spans="1:98" s="18" customFormat="1" x14ac:dyDescent="0.25">
      <c r="A224" s="202"/>
      <c r="B224" s="201"/>
      <c r="C224" s="203"/>
      <c r="D224" s="203"/>
      <c r="E224" s="204"/>
      <c r="F224" s="204"/>
      <c r="G224" s="282"/>
      <c r="H224" s="206"/>
      <c r="I224" s="36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</row>
    <row r="225" spans="1:98" s="18" customFormat="1" x14ac:dyDescent="0.25">
      <c r="A225" s="202"/>
      <c r="B225" s="201"/>
      <c r="C225" s="205"/>
      <c r="D225" s="205"/>
      <c r="E225" s="204"/>
      <c r="F225" s="204"/>
      <c r="G225" s="282"/>
      <c r="H225" s="206"/>
      <c r="I225" s="36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</row>
    <row r="226" spans="1:98" s="18" customFormat="1" x14ac:dyDescent="0.25">
      <c r="A226" s="202"/>
      <c r="B226" s="201"/>
      <c r="C226" s="205"/>
      <c r="D226" s="205"/>
      <c r="E226" s="204"/>
      <c r="F226" s="204"/>
      <c r="G226" s="282"/>
      <c r="H226" s="222"/>
      <c r="I226" s="36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</row>
    <row r="227" spans="1:98" s="18" customFormat="1" ht="33" x14ac:dyDescent="0.25">
      <c r="A227" s="231" t="s">
        <v>255</v>
      </c>
      <c r="B227" s="348" t="s">
        <v>299</v>
      </c>
      <c r="C227" s="233">
        <f>16*(4.15-0.4)</f>
        <v>60.000000000000007</v>
      </c>
      <c r="D227" s="423">
        <f>16*(4.15-0.4)*0.3</f>
        <v>18</v>
      </c>
      <c r="E227" s="234"/>
      <c r="F227" s="234"/>
      <c r="G227" s="234" t="s">
        <v>4</v>
      </c>
      <c r="H227" s="235" t="s">
        <v>136</v>
      </c>
      <c r="I227" s="36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</row>
    <row r="228" spans="1:98" s="18" customFormat="1" x14ac:dyDescent="0.25">
      <c r="A228" s="231"/>
      <c r="B228" s="232" t="s">
        <v>300</v>
      </c>
      <c r="C228" s="233" t="s">
        <v>301</v>
      </c>
      <c r="D228" s="423">
        <f>( 3*7*16 + (16/0.2+1)*7*0.3 )*1.05*0.222/1000</f>
        <v>0.11797191000000003</v>
      </c>
      <c r="E228" s="234"/>
      <c r="F228" s="234"/>
      <c r="G228" s="234" t="s">
        <v>6</v>
      </c>
      <c r="H228" s="236"/>
      <c r="I228" s="36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</row>
    <row r="229" spans="1:98" s="18" customFormat="1" x14ac:dyDescent="0.25">
      <c r="A229" s="231"/>
      <c r="B229" s="232"/>
      <c r="C229" s="233"/>
      <c r="D229" s="233"/>
      <c r="E229" s="234"/>
      <c r="F229" s="234"/>
      <c r="G229" s="234"/>
      <c r="H229" s="236"/>
      <c r="I229" s="36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</row>
    <row r="230" spans="1:98" s="18" customFormat="1" x14ac:dyDescent="0.25">
      <c r="A230" s="231"/>
      <c r="B230" s="237"/>
      <c r="C230" s="234"/>
      <c r="D230" s="234"/>
      <c r="E230" s="234"/>
      <c r="F230" s="234"/>
      <c r="G230" s="234"/>
      <c r="H230" s="236"/>
      <c r="I230" s="36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</row>
    <row r="231" spans="1:98" s="18" customFormat="1" ht="17.25" thickBot="1" x14ac:dyDescent="0.3">
      <c r="A231" s="238"/>
      <c r="B231" s="239"/>
      <c r="C231" s="240"/>
      <c r="D231" s="240"/>
      <c r="E231" s="240"/>
      <c r="F231" s="240"/>
      <c r="G231" s="240"/>
      <c r="H231" s="241"/>
      <c r="I231" s="36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</row>
    <row r="232" spans="1:98" s="18" customFormat="1" ht="17.25" thickBot="1" x14ac:dyDescent="0.3">
      <c r="A232" s="188"/>
      <c r="B232" s="137"/>
      <c r="C232" s="138"/>
      <c r="D232" s="138"/>
      <c r="E232" s="227"/>
      <c r="F232" s="227"/>
      <c r="G232" s="228"/>
      <c r="H232" s="229"/>
      <c r="I232" s="36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</row>
    <row r="233" spans="1:98" s="18" customFormat="1" x14ac:dyDescent="0.25">
      <c r="A233" s="194"/>
      <c r="B233" s="195"/>
      <c r="C233" s="147"/>
      <c r="D233" s="147"/>
      <c r="E233" s="147"/>
      <c r="F233" s="147"/>
      <c r="G233" s="147"/>
      <c r="H233" s="14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</row>
    <row r="234" spans="1:98" s="18" customFormat="1" x14ac:dyDescent="0.25">
      <c r="A234" s="110"/>
      <c r="B234" s="246"/>
      <c r="C234" s="37"/>
      <c r="D234" s="73"/>
      <c r="E234" s="73"/>
      <c r="F234" s="73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</row>
    <row r="235" spans="1:98" s="18" customFormat="1" x14ac:dyDescent="0.25">
      <c r="A235" s="63"/>
      <c r="B235" s="65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</row>
    <row r="236" spans="1:98" s="18" customFormat="1" x14ac:dyDescent="0.25">
      <c r="A236" s="63"/>
      <c r="B236" s="65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</row>
    <row r="237" spans="1:98" s="14" customFormat="1" ht="17.25" thickBot="1" x14ac:dyDescent="0.3">
      <c r="A237" s="139"/>
      <c r="B237" s="140"/>
      <c r="C237" s="127"/>
      <c r="D237" s="127"/>
      <c r="E237" s="127"/>
      <c r="F237" s="127"/>
      <c r="G237" s="127"/>
      <c r="H237" s="127"/>
      <c r="I237" s="15"/>
      <c r="J237" s="15"/>
      <c r="K237" s="17"/>
      <c r="L237" s="17"/>
      <c r="M237" s="17"/>
      <c r="N237" s="17"/>
      <c r="O237" s="17"/>
      <c r="P237" s="15"/>
      <c r="Q237" s="15"/>
      <c r="R237" s="17"/>
      <c r="S237" s="17"/>
      <c r="T237" s="17"/>
      <c r="U237" s="15"/>
      <c r="V237" s="15"/>
      <c r="W237" s="15"/>
      <c r="X237" s="15"/>
      <c r="Y237" s="17"/>
      <c r="Z237" s="15"/>
      <c r="AA237" s="15"/>
      <c r="AB237" s="17"/>
      <c r="AC237" s="17"/>
      <c r="AD237" s="17"/>
      <c r="AE237" s="17"/>
      <c r="AF237" s="15"/>
      <c r="AG237" s="17"/>
      <c r="AH237" s="17"/>
      <c r="AI237" s="15"/>
      <c r="AJ237" s="17"/>
      <c r="AK237" s="15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5"/>
      <c r="AW237" s="15"/>
      <c r="AX237" s="15"/>
      <c r="AY237" s="17"/>
      <c r="AZ237" s="17"/>
      <c r="BA237" s="15"/>
      <c r="BB237" s="17"/>
      <c r="BC237" s="17"/>
      <c r="BD237" s="15"/>
      <c r="BE237" s="17"/>
      <c r="BF237" s="17"/>
      <c r="BG237" s="17"/>
      <c r="BH237" s="17"/>
      <c r="BI237" s="17"/>
      <c r="BJ237" s="17"/>
      <c r="BK237" s="17"/>
      <c r="BL237" s="17"/>
      <c r="BM237" s="17"/>
      <c r="BN237" s="15"/>
      <c r="BO237" s="15"/>
      <c r="BP237" s="15"/>
      <c r="BQ237" s="15"/>
      <c r="BR237" s="17"/>
      <c r="BS237" s="17"/>
      <c r="BT237" s="15"/>
      <c r="BU237" s="72"/>
      <c r="BV237" s="72"/>
      <c r="BW237" s="72"/>
      <c r="BX237" s="72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72"/>
      <c r="CL237" s="72"/>
      <c r="CM237" s="72"/>
      <c r="CN237" s="72"/>
      <c r="CO237" s="91"/>
      <c r="CP237" s="91"/>
      <c r="CQ237" s="72"/>
      <c r="CR237" s="72"/>
      <c r="CS237" s="72"/>
      <c r="CT237" s="72"/>
    </row>
    <row r="238" spans="1:98" s="18" customFormat="1" ht="147" customHeight="1" thickBot="1" x14ac:dyDescent="0.3">
      <c r="A238" s="196"/>
      <c r="B238" s="200" t="s">
        <v>72</v>
      </c>
      <c r="C238" s="248" t="s">
        <v>217</v>
      </c>
      <c r="D238" s="299"/>
      <c r="E238" s="249">
        <f>(0)* (0+0)</f>
        <v>0</v>
      </c>
      <c r="F238" s="249" t="s">
        <v>5</v>
      </c>
      <c r="G238" s="43"/>
      <c r="H238" s="44"/>
      <c r="I238" s="36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72"/>
      <c r="BV238" s="72"/>
      <c r="BW238" s="72"/>
      <c r="BX238" s="72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72"/>
      <c r="CL238" s="72"/>
      <c r="CM238" s="72"/>
      <c r="CN238" s="72"/>
      <c r="CO238" s="91"/>
      <c r="CP238" s="91"/>
      <c r="CQ238" s="72"/>
      <c r="CR238" s="72"/>
      <c r="CS238" s="72"/>
      <c r="CT238" s="72"/>
    </row>
    <row r="239" spans="1:98" s="18" customFormat="1" ht="39" customHeight="1" thickBot="1" x14ac:dyDescent="0.3">
      <c r="A239" s="247"/>
      <c r="B239" s="303" t="s">
        <v>183</v>
      </c>
      <c r="C239" s="298">
        <v>0</v>
      </c>
      <c r="D239" s="304"/>
      <c r="E239" s="305">
        <v>0</v>
      </c>
      <c r="F239" s="249" t="s">
        <v>5</v>
      </c>
      <c r="G239" s="127"/>
      <c r="H239" s="41"/>
      <c r="I239" s="36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72"/>
      <c r="BV239" s="72"/>
      <c r="BW239" s="72"/>
      <c r="BX239" s="72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72"/>
      <c r="CL239" s="72"/>
      <c r="CM239" s="72"/>
      <c r="CN239" s="72"/>
      <c r="CO239" s="91"/>
      <c r="CP239" s="91"/>
      <c r="CQ239" s="72"/>
      <c r="CR239" s="72"/>
      <c r="CS239" s="72"/>
      <c r="CT239" s="72"/>
    </row>
    <row r="240" spans="1:98" s="18" customFormat="1" ht="46.5" customHeight="1" x14ac:dyDescent="0.25">
      <c r="A240" s="247"/>
      <c r="B240" s="303" t="s">
        <v>187</v>
      </c>
      <c r="C240" s="298">
        <v>0</v>
      </c>
      <c r="D240" s="304"/>
      <c r="E240" s="305">
        <v>0</v>
      </c>
      <c r="F240" s="249" t="s">
        <v>5</v>
      </c>
      <c r="G240" s="127"/>
      <c r="H240" s="41"/>
      <c r="I240" s="36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</row>
    <row r="241" spans="1:98" s="18" customFormat="1" ht="16.5" customHeight="1" x14ac:dyDescent="0.25">
      <c r="A241" s="247"/>
      <c r="B241" s="140"/>
      <c r="C241" s="150"/>
      <c r="D241" s="150"/>
      <c r="E241" s="150"/>
      <c r="F241" s="150"/>
      <c r="G241" s="127"/>
      <c r="H241" s="41"/>
      <c r="I241" s="36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</row>
    <row r="242" spans="1:98" s="18" customFormat="1" ht="16.5" customHeight="1" x14ac:dyDescent="0.25">
      <c r="A242" s="247"/>
      <c r="B242" s="140"/>
      <c r="C242" s="150"/>
      <c r="D242" s="150"/>
      <c r="E242" s="150"/>
      <c r="F242" s="150"/>
      <c r="G242" s="127"/>
      <c r="H242" s="41"/>
      <c r="I242" s="36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</row>
    <row r="243" spans="1:98" s="18" customFormat="1" ht="16.5" customHeight="1" x14ac:dyDescent="0.25">
      <c r="A243" s="247"/>
      <c r="B243" s="140"/>
      <c r="C243" s="150"/>
      <c r="D243" s="150"/>
      <c r="E243" s="150"/>
      <c r="F243" s="150"/>
      <c r="G243" s="127"/>
      <c r="H243" s="41"/>
      <c r="I243" s="36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</row>
    <row r="244" spans="1:98" s="18" customFormat="1" x14ac:dyDescent="0.25">
      <c r="A244" s="142"/>
      <c r="B244" s="280"/>
      <c r="C244" s="85"/>
      <c r="D244" s="285"/>
      <c r="E244" s="189"/>
      <c r="F244" s="129"/>
      <c r="G244" s="17"/>
      <c r="H244" s="41"/>
      <c r="I244" s="36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</row>
    <row r="245" spans="1:98" s="18" customFormat="1" x14ac:dyDescent="0.25">
      <c r="A245" s="142"/>
      <c r="B245" s="280"/>
      <c r="C245" s="85"/>
      <c r="D245" s="285"/>
      <c r="E245" s="189"/>
      <c r="F245" s="129"/>
      <c r="G245" s="129"/>
      <c r="H245" s="41"/>
      <c r="I245" s="36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</row>
    <row r="246" spans="1:98" s="18" customFormat="1" ht="16.5" customHeight="1" x14ac:dyDescent="0.25">
      <c r="A246" s="142"/>
      <c r="B246" s="65"/>
      <c r="C246" s="67"/>
      <c r="D246" s="67"/>
      <c r="E246" s="67"/>
      <c r="F246" s="67"/>
      <c r="G246" s="17"/>
      <c r="H246" s="41"/>
      <c r="I246" s="36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</row>
    <row r="247" spans="1:98" s="18" customFormat="1" ht="58.5" customHeight="1" x14ac:dyDescent="0.25">
      <c r="A247" s="142"/>
      <c r="B247" s="71" t="s">
        <v>166</v>
      </c>
      <c r="C247" s="67"/>
      <c r="D247" s="190"/>
      <c r="E247" s="192">
        <f>E238</f>
        <v>0</v>
      </c>
      <c r="F247" s="191" t="s">
        <v>5</v>
      </c>
      <c r="G247" s="17"/>
      <c r="H247" s="41"/>
      <c r="I247" s="36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</row>
    <row r="248" spans="1:98" s="18" customFormat="1" ht="58.5" customHeight="1" x14ac:dyDescent="0.25">
      <c r="A248" s="142"/>
      <c r="B248" s="71" t="s">
        <v>165</v>
      </c>
      <c r="C248" s="67"/>
      <c r="D248" s="190"/>
      <c r="E248" s="341">
        <v>0</v>
      </c>
      <c r="F248" s="191" t="s">
        <v>5</v>
      </c>
      <c r="G248" s="67">
        <f>E238-M315</f>
        <v>-63.382499999999993</v>
      </c>
      <c r="H248" s="41"/>
      <c r="I248" s="36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</row>
    <row r="249" spans="1:98" s="18" customFormat="1" x14ac:dyDescent="0.25">
      <c r="A249" s="197"/>
      <c r="B249" s="65"/>
      <c r="C249" s="67"/>
      <c r="D249" s="67"/>
      <c r="E249" s="67"/>
      <c r="F249" s="67"/>
      <c r="G249" s="17"/>
      <c r="H249" s="41"/>
      <c r="I249" s="36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</row>
    <row r="250" spans="1:98" s="18" customFormat="1" x14ac:dyDescent="0.25">
      <c r="A250" s="197"/>
      <c r="B250" s="65"/>
      <c r="C250" s="67"/>
      <c r="D250" s="67"/>
      <c r="E250" s="67"/>
      <c r="F250" s="67"/>
      <c r="G250" s="17"/>
      <c r="H250" s="41"/>
      <c r="I250" s="36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</row>
    <row r="251" spans="1:98" s="18" customFormat="1" ht="96" customHeight="1" x14ac:dyDescent="0.25">
      <c r="A251" s="197"/>
      <c r="B251" s="300" t="s">
        <v>164</v>
      </c>
      <c r="C251" s="75" t="s">
        <v>218</v>
      </c>
      <c r="D251" s="61"/>
      <c r="E251" s="291">
        <f>(0)*(0)</f>
        <v>0</v>
      </c>
      <c r="F251" s="191" t="s">
        <v>5</v>
      </c>
      <c r="G251" s="17"/>
      <c r="H251" s="41"/>
      <c r="I251" s="36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72"/>
      <c r="BV251" s="72"/>
      <c r="BW251" s="72"/>
      <c r="BX251" s="72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72"/>
      <c r="CL251" s="72"/>
      <c r="CM251" s="72"/>
      <c r="CN251" s="72"/>
      <c r="CO251" s="91"/>
      <c r="CP251" s="91"/>
      <c r="CQ251" s="72"/>
      <c r="CR251" s="72"/>
      <c r="CS251" s="72"/>
      <c r="CT251" s="72"/>
    </row>
    <row r="252" spans="1:98" s="18" customFormat="1" x14ac:dyDescent="0.25">
      <c r="A252" s="197"/>
      <c r="B252" s="65"/>
      <c r="C252" s="17"/>
      <c r="D252" s="17"/>
      <c r="E252" s="17"/>
      <c r="F252" s="17"/>
      <c r="G252" s="17"/>
      <c r="H252" s="41"/>
      <c r="I252" s="36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</row>
    <row r="253" spans="1:98" s="18" customFormat="1" ht="27.75" customHeight="1" x14ac:dyDescent="0.25">
      <c r="A253" s="197"/>
      <c r="B253" s="300" t="s">
        <v>118</v>
      </c>
      <c r="C253" s="17"/>
      <c r="D253" s="302"/>
      <c r="E253" s="291">
        <f>E248+E239+E240</f>
        <v>0</v>
      </c>
      <c r="F253" s="191" t="s">
        <v>5</v>
      </c>
      <c r="G253" s="17"/>
      <c r="H253" s="41"/>
      <c r="I253" s="36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</row>
    <row r="254" spans="1:98" s="18" customFormat="1" ht="27.75" customHeight="1" x14ac:dyDescent="0.25">
      <c r="A254" s="197"/>
      <c r="B254" s="301" t="s">
        <v>188</v>
      </c>
      <c r="C254" s="17"/>
      <c r="D254" s="302"/>
      <c r="E254" s="338">
        <v>0</v>
      </c>
      <c r="F254" s="191" t="s">
        <v>5</v>
      </c>
      <c r="G254" s="67">
        <f>E248+O315*0.2-E251</f>
        <v>29.560000000000002</v>
      </c>
      <c r="H254" s="41"/>
      <c r="I254" s="36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</row>
    <row r="255" spans="1:98" s="18" customFormat="1" x14ac:dyDescent="0.25">
      <c r="A255" s="197"/>
      <c r="B255" s="65"/>
      <c r="C255" s="17"/>
      <c r="D255" s="17"/>
      <c r="E255" s="17"/>
      <c r="F255" s="17"/>
      <c r="G255" s="17"/>
      <c r="H255" s="41"/>
      <c r="I255" s="36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</row>
    <row r="256" spans="1:98" s="18" customFormat="1" ht="17.25" thickBot="1" x14ac:dyDescent="0.3">
      <c r="A256" s="198"/>
      <c r="B256" s="199"/>
      <c r="C256" s="125"/>
      <c r="D256" s="125"/>
      <c r="E256" s="125"/>
      <c r="F256" s="125"/>
      <c r="G256" s="125"/>
      <c r="H256" s="126"/>
      <c r="I256" s="36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</row>
    <row r="257" spans="1:98" s="18" customFormat="1" x14ac:dyDescent="0.25">
      <c r="A257" s="117"/>
      <c r="B257" s="118"/>
      <c r="C257" s="52"/>
      <c r="D257" s="52"/>
      <c r="E257" s="52"/>
      <c r="F257" s="52"/>
      <c r="G257" s="52"/>
      <c r="H257" s="52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</row>
    <row r="258" spans="1:98" s="18" customFormat="1" ht="16.5" customHeight="1" x14ac:dyDescent="0.25">
      <c r="A258" s="545" t="s">
        <v>148</v>
      </c>
      <c r="B258" s="546"/>
      <c r="C258" s="546"/>
      <c r="D258" s="546"/>
      <c r="E258" s="546"/>
      <c r="F258" s="546"/>
      <c r="G258" s="546"/>
      <c r="H258" s="54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</row>
    <row r="259" spans="1:98" s="18" customFormat="1" x14ac:dyDescent="0.25">
      <c r="A259" s="128"/>
      <c r="B259" s="88" t="s">
        <v>149</v>
      </c>
      <c r="C259" s="144"/>
      <c r="D259" s="144"/>
      <c r="E259" s="37"/>
      <c r="F259" s="37"/>
      <c r="G259" s="37" t="s">
        <v>4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</row>
    <row r="260" spans="1:98" s="18" customFormat="1" x14ac:dyDescent="0.25">
      <c r="A260" s="128"/>
      <c r="B260" s="88" t="s">
        <v>150</v>
      </c>
      <c r="C260" s="144"/>
      <c r="D260" s="144"/>
      <c r="E260" s="37"/>
      <c r="F260" s="37"/>
      <c r="G260" s="37" t="s">
        <v>5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</row>
    <row r="261" spans="1:98" s="18" customFormat="1" x14ac:dyDescent="0.25">
      <c r="A261" s="128"/>
      <c r="B261" s="88"/>
      <c r="C261" s="144"/>
      <c r="D261" s="73"/>
      <c r="E261" s="73"/>
      <c r="F261" s="73"/>
      <c r="G261" s="285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</row>
    <row r="262" spans="1:98" s="18" customFormat="1" x14ac:dyDescent="0.25">
      <c r="A262" s="110"/>
      <c r="B262" s="88" t="s">
        <v>151</v>
      </c>
      <c r="C262" s="144"/>
      <c r="D262" s="37"/>
      <c r="E262" s="37"/>
      <c r="F262" s="37"/>
      <c r="G262" s="37" t="s">
        <v>5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</row>
    <row r="263" spans="1:98" s="18" customFormat="1" x14ac:dyDescent="0.25">
      <c r="A263" s="110"/>
      <c r="B263" s="143"/>
      <c r="C263" s="144"/>
      <c r="D263" s="73"/>
      <c r="E263" s="73"/>
      <c r="F263" s="73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</row>
    <row r="264" spans="1:98" s="18" customFormat="1" x14ac:dyDescent="0.25">
      <c r="A264" s="4"/>
      <c r="B264" s="25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</row>
    <row r="265" spans="1:98" s="18" customFormat="1" x14ac:dyDescent="0.25">
      <c r="A265" s="4"/>
      <c r="B265" s="25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</row>
    <row r="266" spans="1:98" s="18" customFormat="1" ht="17.25" thickBot="1" x14ac:dyDescent="0.3">
      <c r="A266" s="4"/>
      <c r="B266" s="25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</row>
    <row r="267" spans="1:98" s="18" customFormat="1" ht="36" customHeight="1" thickBot="1" x14ac:dyDescent="0.3">
      <c r="A267" s="4"/>
      <c r="B267" s="539" t="s">
        <v>161</v>
      </c>
      <c r="C267" s="540"/>
      <c r="D267" s="540"/>
      <c r="E267" s="540"/>
      <c r="F267" s="540"/>
      <c r="G267" s="540"/>
      <c r="H267" s="540"/>
      <c r="I267" s="540"/>
      <c r="J267" s="541"/>
      <c r="L267" s="331" t="s">
        <v>159</v>
      </c>
      <c r="M267" s="332"/>
      <c r="N267" s="332"/>
      <c r="O267" s="333"/>
      <c r="P267" s="331" t="s">
        <v>160</v>
      </c>
      <c r="Q267" s="332"/>
      <c r="R267" s="333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</row>
    <row r="268" spans="1:98" ht="60.6" customHeight="1" thickBot="1" x14ac:dyDescent="0.3">
      <c r="B268" s="177"/>
      <c r="C268" s="178" t="s">
        <v>10</v>
      </c>
      <c r="D268" s="179" t="s">
        <v>59</v>
      </c>
      <c r="E268" s="180" t="s">
        <v>58</v>
      </c>
      <c r="F268" s="152" t="s">
        <v>63</v>
      </c>
      <c r="G268" s="180" t="s">
        <v>68</v>
      </c>
      <c r="H268" s="153" t="s">
        <v>69</v>
      </c>
      <c r="I268" s="178" t="s">
        <v>70</v>
      </c>
      <c r="J268" s="181" t="s">
        <v>62</v>
      </c>
      <c r="L268" s="182" t="s">
        <v>59</v>
      </c>
      <c r="M268" s="183" t="s">
        <v>71</v>
      </c>
      <c r="N268" s="183"/>
      <c r="O268" s="184" t="s">
        <v>67</v>
      </c>
      <c r="P268" s="182" t="s">
        <v>59</v>
      </c>
      <c r="Q268" s="183" t="s">
        <v>71</v>
      </c>
      <c r="R268" s="184" t="s">
        <v>67</v>
      </c>
      <c r="S268" s="1"/>
      <c r="T268" s="1"/>
      <c r="U268" s="1"/>
      <c r="V268" s="1"/>
      <c r="Y268" s="1"/>
    </row>
    <row r="269" spans="1:98" s="3" customFormat="1" ht="21" x14ac:dyDescent="0.25">
      <c r="A269" s="359"/>
      <c r="B269" s="358" t="s">
        <v>256</v>
      </c>
      <c r="C269" s="360"/>
      <c r="D269" s="361"/>
      <c r="E269" s="362"/>
      <c r="F269" s="360"/>
      <c r="G269" s="362"/>
      <c r="H269" s="362"/>
      <c r="I269" s="360"/>
      <c r="J269" s="363"/>
      <c r="L269" s="364"/>
      <c r="M269" s="365"/>
      <c r="N269" s="365"/>
      <c r="O269" s="366"/>
      <c r="P269" s="364"/>
      <c r="Q269" s="365"/>
      <c r="R269" s="366"/>
      <c r="BU269" s="367"/>
      <c r="BV269" s="367"/>
      <c r="BW269" s="367"/>
      <c r="BX269" s="367"/>
      <c r="BY269" s="367"/>
      <c r="BZ269" s="367"/>
      <c r="CA269" s="367"/>
      <c r="CB269" s="367"/>
      <c r="CC269" s="367"/>
      <c r="CD269" s="367"/>
      <c r="CE269" s="367"/>
      <c r="CF269" s="367"/>
      <c r="CG269" s="367"/>
      <c r="CH269" s="367"/>
      <c r="CI269" s="367"/>
      <c r="CJ269" s="367"/>
      <c r="CK269" s="367"/>
      <c r="CL269" s="367"/>
      <c r="CM269" s="367"/>
      <c r="CN269" s="367"/>
      <c r="CO269" s="367"/>
      <c r="CP269" s="367"/>
      <c r="CQ269" s="367"/>
      <c r="CR269" s="367"/>
      <c r="CS269" s="367"/>
      <c r="CT269" s="367"/>
    </row>
    <row r="270" spans="1:98" x14ac:dyDescent="0.25">
      <c r="B270" s="156" t="s">
        <v>53</v>
      </c>
      <c r="C270" s="64" t="s">
        <v>203</v>
      </c>
      <c r="D270" s="64">
        <v>14</v>
      </c>
      <c r="E270" s="77">
        <f>1*2.2</f>
        <v>2.2000000000000002</v>
      </c>
      <c r="F270" s="413">
        <f t="shared" ref="F270:F275" si="27">E270*D270</f>
        <v>30.800000000000004</v>
      </c>
      <c r="G270" s="64">
        <f>1+2.2*2</f>
        <v>5.4</v>
      </c>
      <c r="H270" s="64">
        <f t="shared" ref="H270:H275" si="28">G270*D270</f>
        <v>75.600000000000009</v>
      </c>
      <c r="I270" s="64" t="s">
        <v>162</v>
      </c>
      <c r="J270" s="69"/>
      <c r="L270" s="146"/>
      <c r="M270" s="64">
        <f t="shared" ref="M270:M276" si="29">L270*E270</f>
        <v>0</v>
      </c>
      <c r="N270" s="64"/>
      <c r="O270" s="413">
        <f t="shared" ref="O270:O276" si="30">L270*G270</f>
        <v>0</v>
      </c>
      <c r="P270" s="64">
        <f t="shared" ref="P270:P276" si="31">D270-L270</f>
        <v>14</v>
      </c>
      <c r="Q270" s="77">
        <f t="shared" ref="Q270:Q276" si="32">P270*E270</f>
        <v>30.800000000000004</v>
      </c>
      <c r="R270" s="413">
        <f t="shared" ref="R270:R276" si="33">P270*G270</f>
        <v>75.600000000000009</v>
      </c>
      <c r="S270" s="1"/>
      <c r="T270" s="1"/>
      <c r="U270" s="1"/>
      <c r="V270" s="1"/>
      <c r="Y270" s="1"/>
    </row>
    <row r="271" spans="1:98" x14ac:dyDescent="0.25">
      <c r="B271" s="76" t="s">
        <v>54</v>
      </c>
      <c r="C271" s="64" t="s">
        <v>204</v>
      </c>
      <c r="D271" s="64">
        <v>5</v>
      </c>
      <c r="E271" s="77">
        <f>0.9*2.2</f>
        <v>1.9800000000000002</v>
      </c>
      <c r="F271" s="413">
        <f t="shared" si="27"/>
        <v>9.9</v>
      </c>
      <c r="G271" s="64">
        <f>0.9+2.2*2</f>
        <v>5.3000000000000007</v>
      </c>
      <c r="H271" s="64">
        <f t="shared" si="28"/>
        <v>26.500000000000004</v>
      </c>
      <c r="I271" s="151" t="s">
        <v>162</v>
      </c>
      <c r="J271" s="69"/>
      <c r="L271" s="146"/>
      <c r="M271" s="64">
        <f t="shared" si="29"/>
        <v>0</v>
      </c>
      <c r="N271" s="383"/>
      <c r="O271" s="414">
        <f t="shared" si="30"/>
        <v>0</v>
      </c>
      <c r="P271" s="82">
        <f t="shared" si="31"/>
        <v>5</v>
      </c>
      <c r="Q271" s="77">
        <f t="shared" si="32"/>
        <v>9.9</v>
      </c>
      <c r="R271" s="413">
        <f t="shared" si="33"/>
        <v>26.500000000000004</v>
      </c>
      <c r="S271" s="1"/>
      <c r="T271" s="1"/>
      <c r="U271" s="1"/>
      <c r="V271" s="1"/>
      <c r="Y271" s="1"/>
    </row>
    <row r="272" spans="1:98" x14ac:dyDescent="0.25">
      <c r="B272" s="76" t="s">
        <v>55</v>
      </c>
      <c r="C272" s="64" t="s">
        <v>205</v>
      </c>
      <c r="D272" s="64">
        <v>1</v>
      </c>
      <c r="E272" s="77">
        <f>1.5*2.8</f>
        <v>4.1999999999999993</v>
      </c>
      <c r="F272" s="413">
        <f t="shared" si="27"/>
        <v>4.1999999999999993</v>
      </c>
      <c r="G272" s="64">
        <f>1.5+2.8*2</f>
        <v>7.1</v>
      </c>
      <c r="H272" s="64">
        <f t="shared" si="28"/>
        <v>7.1</v>
      </c>
      <c r="I272" s="64" t="s">
        <v>216</v>
      </c>
      <c r="J272" s="69"/>
      <c r="L272" s="146">
        <v>1</v>
      </c>
      <c r="M272" s="64">
        <f t="shared" si="29"/>
        <v>4.1999999999999993</v>
      </c>
      <c r="N272" s="383"/>
      <c r="O272" s="414">
        <f t="shared" si="30"/>
        <v>7.1</v>
      </c>
      <c r="P272" s="82">
        <f t="shared" si="31"/>
        <v>0</v>
      </c>
      <c r="Q272" s="77">
        <f t="shared" si="32"/>
        <v>0</v>
      </c>
      <c r="R272" s="413">
        <f t="shared" si="33"/>
        <v>0</v>
      </c>
      <c r="S272" s="1"/>
      <c r="T272" s="1"/>
      <c r="U272" s="1"/>
      <c r="V272" s="1"/>
      <c r="Y272" s="1"/>
    </row>
    <row r="273" spans="1:98" s="18" customFormat="1" x14ac:dyDescent="0.25">
      <c r="A273" s="4"/>
      <c r="B273" s="76" t="s">
        <v>56</v>
      </c>
      <c r="C273" s="64" t="s">
        <v>190</v>
      </c>
      <c r="D273" s="77">
        <v>1</v>
      </c>
      <c r="E273" s="77">
        <f>0.9*2.1</f>
        <v>1.8900000000000001</v>
      </c>
      <c r="F273" s="413">
        <f t="shared" si="27"/>
        <v>1.8900000000000001</v>
      </c>
      <c r="G273" s="64">
        <f>0.9+2.1*2</f>
        <v>5.1000000000000005</v>
      </c>
      <c r="H273" s="77">
        <f t="shared" si="28"/>
        <v>5.1000000000000005</v>
      </c>
      <c r="I273" s="64" t="s">
        <v>216</v>
      </c>
      <c r="J273" s="69"/>
      <c r="L273" s="146"/>
      <c r="M273" s="64">
        <f t="shared" si="29"/>
        <v>0</v>
      </c>
      <c r="N273" s="383"/>
      <c r="O273" s="414">
        <f t="shared" si="30"/>
        <v>0</v>
      </c>
      <c r="P273" s="82">
        <f t="shared" si="31"/>
        <v>1</v>
      </c>
      <c r="Q273" s="77">
        <f t="shared" si="32"/>
        <v>1.8900000000000001</v>
      </c>
      <c r="R273" s="413">
        <f t="shared" si="33"/>
        <v>5.1000000000000005</v>
      </c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</row>
    <row r="274" spans="1:98" s="18" customFormat="1" x14ac:dyDescent="0.25">
      <c r="A274" s="4"/>
      <c r="B274" s="76" t="s">
        <v>64</v>
      </c>
      <c r="C274" s="64" t="s">
        <v>163</v>
      </c>
      <c r="D274" s="64">
        <v>6</v>
      </c>
      <c r="E274" s="77">
        <f>0.8*2.1</f>
        <v>1.6800000000000002</v>
      </c>
      <c r="F274" s="413">
        <f t="shared" si="27"/>
        <v>10.080000000000002</v>
      </c>
      <c r="G274" s="64">
        <f>0.8+2.1*2</f>
        <v>5</v>
      </c>
      <c r="H274" s="64">
        <f t="shared" si="28"/>
        <v>30</v>
      </c>
      <c r="I274" s="64" t="s">
        <v>216</v>
      </c>
      <c r="J274" s="69"/>
      <c r="L274" s="146"/>
      <c r="M274" s="64">
        <f t="shared" si="29"/>
        <v>0</v>
      </c>
      <c r="N274" s="383"/>
      <c r="O274" s="414">
        <f t="shared" si="30"/>
        <v>0</v>
      </c>
      <c r="P274" s="82">
        <f t="shared" si="31"/>
        <v>6</v>
      </c>
      <c r="Q274" s="77">
        <f t="shared" si="32"/>
        <v>10.080000000000002</v>
      </c>
      <c r="R274" s="413">
        <f t="shared" si="33"/>
        <v>30</v>
      </c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</row>
    <row r="275" spans="1:98" s="18" customFormat="1" x14ac:dyDescent="0.25">
      <c r="A275" s="4"/>
      <c r="B275" s="76" t="s">
        <v>239</v>
      </c>
      <c r="C275" s="64" t="s">
        <v>240</v>
      </c>
      <c r="D275" s="64">
        <v>2</v>
      </c>
      <c r="E275" s="77">
        <f>0.7*2</f>
        <v>1.4</v>
      </c>
      <c r="F275" s="413">
        <f t="shared" si="27"/>
        <v>2.8</v>
      </c>
      <c r="G275" s="64">
        <f>0.7+2*2</f>
        <v>4.7</v>
      </c>
      <c r="H275" s="64">
        <f t="shared" si="28"/>
        <v>9.4</v>
      </c>
      <c r="I275" s="64" t="s">
        <v>216</v>
      </c>
      <c r="J275" s="69"/>
      <c r="L275" s="146"/>
      <c r="M275" s="64">
        <f>L275*E275</f>
        <v>0</v>
      </c>
      <c r="N275" s="383"/>
      <c r="O275" s="414">
        <f>L275*G275</f>
        <v>0</v>
      </c>
      <c r="P275" s="82">
        <f t="shared" si="31"/>
        <v>2</v>
      </c>
      <c r="Q275" s="77">
        <f>P275*E275</f>
        <v>2.8</v>
      </c>
      <c r="R275" s="413">
        <f>P275*G275</f>
        <v>9.4</v>
      </c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</row>
    <row r="276" spans="1:98" s="18" customFormat="1" ht="66" x14ac:dyDescent="0.25">
      <c r="A276" s="4"/>
      <c r="B276" s="347" t="s">
        <v>213</v>
      </c>
      <c r="C276" s="64" t="s">
        <v>206</v>
      </c>
      <c r="D276" s="64">
        <v>2</v>
      </c>
      <c r="E276" s="77">
        <f>2.6*2.8</f>
        <v>7.2799999999999994</v>
      </c>
      <c r="F276" s="413">
        <f>E276*D276</f>
        <v>14.559999999999999</v>
      </c>
      <c r="G276" s="64">
        <f>2.6+2.8*2</f>
        <v>8.1999999999999993</v>
      </c>
      <c r="H276" s="64">
        <f>G276*D276</f>
        <v>16.399999999999999</v>
      </c>
      <c r="I276" s="64" t="s">
        <v>273</v>
      </c>
      <c r="J276" s="69"/>
      <c r="L276" s="146"/>
      <c r="M276" s="64">
        <f t="shared" si="29"/>
        <v>0</v>
      </c>
      <c r="N276" s="383"/>
      <c r="O276" s="414">
        <f t="shared" si="30"/>
        <v>0</v>
      </c>
      <c r="P276" s="82">
        <f t="shared" si="31"/>
        <v>2</v>
      </c>
      <c r="Q276" s="77">
        <f t="shared" si="32"/>
        <v>14.559999999999999</v>
      </c>
      <c r="R276" s="413">
        <f t="shared" si="33"/>
        <v>16.399999999999999</v>
      </c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</row>
    <row r="277" spans="1:98" s="3" customFormat="1" x14ac:dyDescent="0.25">
      <c r="A277" s="359"/>
      <c r="B277" s="418"/>
      <c r="C277" s="77"/>
      <c r="D277" s="77"/>
      <c r="E277" s="77"/>
      <c r="F277" s="77"/>
      <c r="G277" s="77"/>
      <c r="H277" s="77"/>
      <c r="I277" s="77"/>
      <c r="J277" s="419"/>
      <c r="L277" s="294"/>
      <c r="M277" s="77"/>
      <c r="N277" s="420"/>
      <c r="O277" s="421"/>
      <c r="P277" s="294"/>
      <c r="Q277" s="77"/>
      <c r="R277" s="78"/>
      <c r="BU277" s="367"/>
      <c r="BV277" s="367"/>
      <c r="BW277" s="367"/>
      <c r="BX277" s="367"/>
      <c r="BY277" s="367"/>
      <c r="BZ277" s="367"/>
      <c r="CA277" s="367"/>
      <c r="CB277" s="367"/>
      <c r="CC277" s="367"/>
      <c r="CD277" s="367"/>
      <c r="CE277" s="367"/>
      <c r="CF277" s="367"/>
      <c r="CG277" s="367"/>
      <c r="CH277" s="367"/>
      <c r="CI277" s="367"/>
      <c r="CJ277" s="367"/>
      <c r="CK277" s="367"/>
      <c r="CL277" s="367"/>
      <c r="CM277" s="367"/>
      <c r="CN277" s="367"/>
      <c r="CO277" s="367"/>
      <c r="CP277" s="367"/>
      <c r="CQ277" s="367"/>
      <c r="CR277" s="367"/>
      <c r="CS277" s="367"/>
      <c r="CT277" s="367"/>
    </row>
    <row r="278" spans="1:98" s="18" customFormat="1" x14ac:dyDescent="0.25">
      <c r="A278" s="4"/>
      <c r="B278" s="358" t="s">
        <v>264</v>
      </c>
      <c r="C278" s="64"/>
      <c r="D278" s="17"/>
      <c r="E278" s="17"/>
      <c r="F278" s="17"/>
      <c r="G278" s="17"/>
      <c r="H278" s="17"/>
      <c r="I278" s="17"/>
      <c r="J278" s="69"/>
      <c r="L278" s="146"/>
      <c r="M278" s="17"/>
      <c r="N278" s="17"/>
      <c r="O278" s="78"/>
      <c r="P278" s="17"/>
      <c r="Q278" s="17"/>
      <c r="R278" s="78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</row>
    <row r="279" spans="1:98" s="18" customFormat="1" x14ac:dyDescent="0.25">
      <c r="A279" s="4"/>
      <c r="B279" s="76" t="s">
        <v>124</v>
      </c>
      <c r="C279" s="64" t="s">
        <v>204</v>
      </c>
      <c r="D279" s="64">
        <v>1</v>
      </c>
      <c r="E279" s="77">
        <f>0.9*2.2</f>
        <v>1.9800000000000002</v>
      </c>
      <c r="F279" s="413">
        <f>D279*E279</f>
        <v>1.9800000000000002</v>
      </c>
      <c r="G279" s="64">
        <f>0.9+2.2*2</f>
        <v>5.3000000000000007</v>
      </c>
      <c r="H279" s="64">
        <f>D279*G279</f>
        <v>5.3000000000000007</v>
      </c>
      <c r="I279" s="64" t="s">
        <v>216</v>
      </c>
      <c r="J279" s="69"/>
      <c r="L279" s="146"/>
      <c r="M279" s="64">
        <f>L279*E279</f>
        <v>0</v>
      </c>
      <c r="N279" s="383"/>
      <c r="O279" s="414">
        <f>L279*G279</f>
        <v>0</v>
      </c>
      <c r="P279" s="82">
        <f>D279-L279</f>
        <v>1</v>
      </c>
      <c r="Q279" s="64">
        <f>P279*E279</f>
        <v>1.9800000000000002</v>
      </c>
      <c r="R279" s="414">
        <f>P279*G279</f>
        <v>5.3000000000000007</v>
      </c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</row>
    <row r="280" spans="1:98" s="3" customFormat="1" x14ac:dyDescent="0.25">
      <c r="A280" s="359"/>
      <c r="B280" s="418"/>
      <c r="C280" s="77"/>
      <c r="D280" s="77"/>
      <c r="E280" s="77"/>
      <c r="F280" s="77"/>
      <c r="G280" s="77"/>
      <c r="H280" s="77"/>
      <c r="I280" s="77"/>
      <c r="J280" s="419"/>
      <c r="L280" s="294"/>
      <c r="M280" s="77"/>
      <c r="N280" s="420"/>
      <c r="O280" s="421"/>
      <c r="P280" s="294"/>
      <c r="Q280" s="77"/>
      <c r="R280" s="78"/>
      <c r="BU280" s="367"/>
      <c r="BV280" s="367"/>
      <c r="BW280" s="367"/>
      <c r="BX280" s="367"/>
      <c r="BY280" s="367"/>
      <c r="BZ280" s="367"/>
      <c r="CA280" s="367"/>
      <c r="CB280" s="367"/>
      <c r="CC280" s="367"/>
      <c r="CD280" s="367"/>
      <c r="CE280" s="367"/>
      <c r="CF280" s="367"/>
      <c r="CG280" s="367"/>
      <c r="CH280" s="367"/>
      <c r="CI280" s="367"/>
      <c r="CJ280" s="367"/>
      <c r="CK280" s="367"/>
      <c r="CL280" s="367"/>
      <c r="CM280" s="367"/>
      <c r="CN280" s="367"/>
      <c r="CO280" s="367"/>
      <c r="CP280" s="367"/>
      <c r="CQ280" s="367"/>
      <c r="CR280" s="367"/>
      <c r="CS280" s="367"/>
      <c r="CT280" s="367"/>
    </row>
    <row r="281" spans="1:98" s="18" customFormat="1" x14ac:dyDescent="0.25">
      <c r="A281" s="4"/>
      <c r="B281" s="358" t="s">
        <v>255</v>
      </c>
      <c r="C281" s="64"/>
      <c r="D281" s="64"/>
      <c r="E281" s="64"/>
      <c r="F281" s="64"/>
      <c r="G281" s="64"/>
      <c r="H281" s="64"/>
      <c r="I281" s="64"/>
      <c r="J281" s="69"/>
      <c r="L281" s="146"/>
      <c r="M281" s="64"/>
      <c r="N281" s="383"/>
      <c r="O281" s="78"/>
      <c r="P281" s="82"/>
      <c r="Q281" s="64"/>
      <c r="R281" s="78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</row>
    <row r="282" spans="1:98" s="18" customFormat="1" x14ac:dyDescent="0.25">
      <c r="A282" s="4"/>
      <c r="B282" s="76" t="s">
        <v>257</v>
      </c>
      <c r="C282" s="64" t="s">
        <v>261</v>
      </c>
      <c r="D282" s="64">
        <v>1</v>
      </c>
      <c r="E282" s="64">
        <f>0.9*2.1</f>
        <v>1.8900000000000001</v>
      </c>
      <c r="F282" s="413">
        <f>E282*D282</f>
        <v>1.8900000000000001</v>
      </c>
      <c r="G282" s="64">
        <f>0.9+2.1*2</f>
        <v>5.1000000000000005</v>
      </c>
      <c r="H282" s="64">
        <f>G282*D282</f>
        <v>5.1000000000000005</v>
      </c>
      <c r="I282" s="64" t="s">
        <v>274</v>
      </c>
      <c r="J282" s="69"/>
      <c r="L282" s="146"/>
      <c r="M282" s="64">
        <f>L282*E282</f>
        <v>0</v>
      </c>
      <c r="N282" s="383"/>
      <c r="O282" s="414">
        <f>L282*G282</f>
        <v>0</v>
      </c>
      <c r="P282" s="82">
        <f>D282-L282</f>
        <v>1</v>
      </c>
      <c r="Q282" s="64">
        <f>P282*E282</f>
        <v>1.8900000000000001</v>
      </c>
      <c r="R282" s="414">
        <f>P282*G282</f>
        <v>5.1000000000000005</v>
      </c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</row>
    <row r="283" spans="1:98" s="18" customFormat="1" x14ac:dyDescent="0.25">
      <c r="A283" s="4"/>
      <c r="B283" s="76" t="s">
        <v>258</v>
      </c>
      <c r="C283" s="64" t="s">
        <v>262</v>
      </c>
      <c r="D283" s="64">
        <v>1</v>
      </c>
      <c r="E283" s="64">
        <f>1.5*2.1</f>
        <v>3.1500000000000004</v>
      </c>
      <c r="F283" s="413">
        <f>E283*D283</f>
        <v>3.1500000000000004</v>
      </c>
      <c r="G283" s="64">
        <f>1.5+2.1*2</f>
        <v>5.7</v>
      </c>
      <c r="H283" s="64">
        <f>G283*D283</f>
        <v>5.7</v>
      </c>
      <c r="I283" s="64" t="s">
        <v>274</v>
      </c>
      <c r="J283" s="69"/>
      <c r="L283" s="146"/>
      <c r="M283" s="64">
        <f>L283*E283</f>
        <v>0</v>
      </c>
      <c r="N283" s="383"/>
      <c r="O283" s="414">
        <f>L283*G283</f>
        <v>0</v>
      </c>
      <c r="P283" s="82">
        <f>D283-L283</f>
        <v>1</v>
      </c>
      <c r="Q283" s="64">
        <f>P283*E283</f>
        <v>3.1500000000000004</v>
      </c>
      <c r="R283" s="414">
        <f>P283*G283</f>
        <v>5.7</v>
      </c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</row>
    <row r="284" spans="1:98" s="18" customFormat="1" x14ac:dyDescent="0.25">
      <c r="A284" s="4"/>
      <c r="B284" s="76" t="s">
        <v>259</v>
      </c>
      <c r="C284" s="64" t="s">
        <v>263</v>
      </c>
      <c r="D284" s="64">
        <v>1</v>
      </c>
      <c r="E284" s="64">
        <f>1.8*2.4</f>
        <v>4.32</v>
      </c>
      <c r="F284" s="413">
        <f>E284*D284</f>
        <v>4.32</v>
      </c>
      <c r="G284" s="64">
        <f>1.8+2.4*2</f>
        <v>6.6</v>
      </c>
      <c r="H284" s="64">
        <f>G284*D284</f>
        <v>6.6</v>
      </c>
      <c r="I284" s="64" t="s">
        <v>274</v>
      </c>
      <c r="J284" s="69"/>
      <c r="L284" s="146"/>
      <c r="M284" s="64">
        <f>L284*E284</f>
        <v>0</v>
      </c>
      <c r="N284" s="383"/>
      <c r="O284" s="414">
        <f>L284*G284</f>
        <v>0</v>
      </c>
      <c r="P284" s="82">
        <f>D284-L284</f>
        <v>1</v>
      </c>
      <c r="Q284" s="64">
        <f>P284*E284</f>
        <v>4.32</v>
      </c>
      <c r="R284" s="414">
        <f>P284*G284</f>
        <v>6.6</v>
      </c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</row>
    <row r="285" spans="1:98" s="18" customFormat="1" x14ac:dyDescent="0.25">
      <c r="A285" s="4"/>
      <c r="B285" s="76"/>
      <c r="C285" s="64"/>
      <c r="D285" s="64"/>
      <c r="E285" s="64"/>
      <c r="F285" s="64"/>
      <c r="G285" s="64"/>
      <c r="H285" s="64"/>
      <c r="I285" s="64"/>
      <c r="J285" s="69"/>
      <c r="L285" s="146"/>
      <c r="M285" s="64"/>
      <c r="N285" s="383"/>
      <c r="O285" s="78"/>
      <c r="P285" s="82"/>
      <c r="Q285" s="64"/>
      <c r="R285" s="78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</row>
    <row r="286" spans="1:98" s="18" customFormat="1" x14ac:dyDescent="0.25">
      <c r="A286" s="4"/>
      <c r="B286" s="76"/>
      <c r="C286" s="64"/>
      <c r="D286" s="64"/>
      <c r="E286" s="64"/>
      <c r="F286" s="64"/>
      <c r="G286" s="64"/>
      <c r="H286" s="64"/>
      <c r="I286" s="64"/>
      <c r="J286" s="69"/>
      <c r="L286" s="294"/>
      <c r="M286" s="64"/>
      <c r="N286" s="383"/>
      <c r="O286" s="78"/>
      <c r="P286" s="82"/>
      <c r="Q286" s="64"/>
      <c r="R286" s="78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</row>
    <row r="287" spans="1:98" s="18" customFormat="1" x14ac:dyDescent="0.25">
      <c r="A287" s="4"/>
      <c r="B287" s="76"/>
      <c r="C287" s="186"/>
      <c r="D287" s="186"/>
      <c r="E287" s="186"/>
      <c r="F287" s="64"/>
      <c r="G287" s="186"/>
      <c r="H287" s="64"/>
      <c r="I287" s="186"/>
      <c r="J287" s="187"/>
      <c r="L287" s="295"/>
      <c r="M287" s="64"/>
      <c r="N287" s="383"/>
      <c r="O287" s="78"/>
      <c r="P287" s="82"/>
      <c r="Q287" s="64"/>
      <c r="R287" s="78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</row>
    <row r="288" spans="1:98" s="18" customFormat="1" x14ac:dyDescent="0.25">
      <c r="A288" s="4"/>
      <c r="B288" s="378" t="s">
        <v>285</v>
      </c>
      <c r="C288" s="186" t="s">
        <v>286</v>
      </c>
      <c r="D288" s="186">
        <v>4</v>
      </c>
      <c r="E288" s="186">
        <f>1.1*2.2</f>
        <v>2.4200000000000004</v>
      </c>
      <c r="F288" s="64">
        <f>D288*E288</f>
        <v>9.6800000000000015</v>
      </c>
      <c r="G288" s="186">
        <f>1.1+2.2*2</f>
        <v>5.5</v>
      </c>
      <c r="H288" s="64">
        <f>D288*G288</f>
        <v>22</v>
      </c>
      <c r="I288" s="186"/>
      <c r="J288" s="187"/>
      <c r="L288" s="146"/>
      <c r="M288" s="64">
        <f>L288*E288</f>
        <v>0</v>
      </c>
      <c r="N288" s="383"/>
      <c r="O288" s="414">
        <f>L288*G288</f>
        <v>0</v>
      </c>
      <c r="P288" s="82">
        <f>D288-L288</f>
        <v>4</v>
      </c>
      <c r="Q288" s="64">
        <f>P288*E288</f>
        <v>9.6800000000000015</v>
      </c>
      <c r="R288" s="414">
        <f>P288*G288</f>
        <v>22</v>
      </c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</row>
    <row r="289" spans="1:98" s="18" customFormat="1" x14ac:dyDescent="0.25">
      <c r="A289" s="4"/>
      <c r="B289" s="76"/>
      <c r="C289" s="186" t="s">
        <v>286</v>
      </c>
      <c r="D289" s="186">
        <v>2</v>
      </c>
      <c r="E289" s="186">
        <f>1.1*2.2</f>
        <v>2.4200000000000004</v>
      </c>
      <c r="F289" s="64">
        <f>D289*E289</f>
        <v>4.8400000000000007</v>
      </c>
      <c r="G289" s="186">
        <f>1.1+2.2*2</f>
        <v>5.5</v>
      </c>
      <c r="H289" s="64">
        <f>D289*G289</f>
        <v>11</v>
      </c>
      <c r="I289" s="186"/>
      <c r="J289" s="187"/>
      <c r="L289" s="146">
        <v>2</v>
      </c>
      <c r="M289" s="64">
        <f>L289*E289</f>
        <v>4.8400000000000007</v>
      </c>
      <c r="N289" s="383"/>
      <c r="O289" s="414">
        <f>L289*G289</f>
        <v>11</v>
      </c>
      <c r="P289" s="82">
        <f>D289-L289</f>
        <v>0</v>
      </c>
      <c r="Q289" s="64">
        <f>P289*E289</f>
        <v>0</v>
      </c>
      <c r="R289" s="414">
        <f>P289*G289</f>
        <v>0</v>
      </c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</row>
    <row r="290" spans="1:98" s="18" customFormat="1" x14ac:dyDescent="0.25">
      <c r="A290" s="4"/>
      <c r="B290" s="76"/>
      <c r="C290" s="186" t="s">
        <v>287</v>
      </c>
      <c r="D290" s="186">
        <v>1</v>
      </c>
      <c r="E290" s="186">
        <f>1.5*2.2</f>
        <v>3.3000000000000003</v>
      </c>
      <c r="F290" s="64">
        <f>D290*E290</f>
        <v>3.3000000000000003</v>
      </c>
      <c r="G290" s="186">
        <f>1.5+2.2*2</f>
        <v>5.9</v>
      </c>
      <c r="H290" s="64">
        <f>D290*G290</f>
        <v>5.9</v>
      </c>
      <c r="I290" s="186"/>
      <c r="J290" s="187"/>
      <c r="L290" s="146">
        <v>1</v>
      </c>
      <c r="M290" s="64">
        <f>L290*E290</f>
        <v>3.3000000000000003</v>
      </c>
      <c r="N290" s="383"/>
      <c r="O290" s="414">
        <f>L290*G290</f>
        <v>5.9</v>
      </c>
      <c r="P290" s="82">
        <f>D290-L290</f>
        <v>0</v>
      </c>
      <c r="Q290" s="64">
        <f>P290*E290</f>
        <v>0</v>
      </c>
      <c r="R290" s="414">
        <f>P290*G290</f>
        <v>0</v>
      </c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</row>
    <row r="291" spans="1:98" s="18" customFormat="1" x14ac:dyDescent="0.25">
      <c r="A291" s="4"/>
      <c r="B291" s="76"/>
      <c r="C291" s="186"/>
      <c r="D291" s="186"/>
      <c r="E291" s="186"/>
      <c r="F291" s="64"/>
      <c r="G291" s="186"/>
      <c r="H291" s="64"/>
      <c r="I291" s="186"/>
      <c r="J291" s="187"/>
      <c r="L291" s="295"/>
      <c r="M291" s="64"/>
      <c r="N291" s="383"/>
      <c r="O291" s="78"/>
      <c r="P291" s="82"/>
      <c r="Q291" s="64"/>
      <c r="R291" s="78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</row>
    <row r="292" spans="1:98" s="18" customFormat="1" x14ac:dyDescent="0.25">
      <c r="A292" s="4"/>
      <c r="B292" s="76"/>
      <c r="C292" s="186"/>
      <c r="D292" s="186"/>
      <c r="E292" s="186"/>
      <c r="F292" s="64"/>
      <c r="G292" s="186"/>
      <c r="H292" s="64"/>
      <c r="I292" s="186"/>
      <c r="J292" s="187"/>
      <c r="L292" s="296"/>
      <c r="M292" s="64"/>
      <c r="N292" s="383"/>
      <c r="O292" s="78"/>
      <c r="P292" s="82"/>
      <c r="Q292" s="64"/>
      <c r="R292" s="78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</row>
    <row r="293" spans="1:98" ht="17.25" thickBot="1" x14ac:dyDescent="0.3">
      <c r="B293" s="158"/>
      <c r="C293" s="150"/>
      <c r="D293" s="150"/>
      <c r="E293" s="150"/>
      <c r="F293" s="127"/>
      <c r="G293" s="127"/>
      <c r="H293" s="127"/>
      <c r="I293" s="127"/>
      <c r="J293" s="42"/>
      <c r="L293" s="155"/>
      <c r="M293" s="127"/>
      <c r="N293" s="384"/>
      <c r="O293" s="42"/>
      <c r="P293" s="155"/>
      <c r="Q293" s="127"/>
      <c r="R293" s="42"/>
      <c r="S293" s="1"/>
      <c r="T293" s="1"/>
      <c r="U293" s="1"/>
      <c r="V293" s="1"/>
      <c r="Y293" s="1"/>
    </row>
    <row r="294" spans="1:98" ht="48.75" customHeight="1" thickBot="1" x14ac:dyDescent="0.3">
      <c r="B294" s="166" t="s">
        <v>18</v>
      </c>
      <c r="C294" s="167"/>
      <c r="D294" s="167"/>
      <c r="E294" s="167"/>
      <c r="F294" s="167">
        <f>SUM(F270:F293)</f>
        <v>103.39000000000003</v>
      </c>
      <c r="G294" s="167"/>
      <c r="H294" s="167">
        <f>SUM(H270:H293)</f>
        <v>231.70000000000002</v>
      </c>
      <c r="I294" s="167"/>
      <c r="J294" s="168"/>
      <c r="L294" s="170"/>
      <c r="M294" s="171">
        <f>SUM(M270:M293)</f>
        <v>12.34</v>
      </c>
      <c r="N294" s="385"/>
      <c r="O294" s="172">
        <f>SUM(O270:O293)</f>
        <v>24</v>
      </c>
      <c r="P294" s="170"/>
      <c r="Q294" s="173">
        <f>SUM(Q270:Q293)</f>
        <v>91.050000000000011</v>
      </c>
      <c r="R294" s="174">
        <f>SUM(R270:R293)</f>
        <v>207.7</v>
      </c>
      <c r="S294" s="1"/>
      <c r="T294" s="1"/>
      <c r="U294" s="1"/>
      <c r="V294" s="1"/>
      <c r="Y294" s="1"/>
    </row>
    <row r="295" spans="1:98" x14ac:dyDescent="0.25">
      <c r="B295" s="159"/>
      <c r="C295" s="52"/>
      <c r="D295" s="52"/>
      <c r="E295" s="52"/>
      <c r="F295" s="52"/>
      <c r="G295" s="52"/>
      <c r="H295" s="52"/>
      <c r="I295" s="52"/>
      <c r="J295" s="157"/>
      <c r="L295" s="163"/>
      <c r="M295" s="43"/>
      <c r="N295" s="386"/>
      <c r="O295" s="44"/>
      <c r="P295" s="175"/>
      <c r="Q295" s="43"/>
      <c r="R295" s="44"/>
      <c r="S295" s="1"/>
      <c r="U295" s="18"/>
      <c r="V295" s="18"/>
      <c r="W295" s="18"/>
    </row>
    <row r="296" spans="1:98" s="18" customFormat="1" ht="21" x14ac:dyDescent="0.25">
      <c r="A296" s="4"/>
      <c r="B296" s="358" t="s">
        <v>256</v>
      </c>
      <c r="C296" s="360"/>
      <c r="D296" s="361"/>
      <c r="E296" s="362"/>
      <c r="F296" s="360"/>
      <c r="G296" s="362"/>
      <c r="H296" s="362"/>
      <c r="I296" s="360"/>
      <c r="J296" s="363"/>
      <c r="K296" s="3"/>
      <c r="L296" s="364"/>
      <c r="M296" s="365"/>
      <c r="N296" s="365"/>
      <c r="O296" s="366"/>
      <c r="P296" s="364"/>
      <c r="Q296" s="365"/>
      <c r="R296" s="366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</row>
    <row r="297" spans="1:98" ht="33" x14ac:dyDescent="0.25">
      <c r="B297" s="76" t="s">
        <v>57</v>
      </c>
      <c r="C297" s="64" t="s">
        <v>207</v>
      </c>
      <c r="D297" s="64">
        <v>15</v>
      </c>
      <c r="E297" s="77">
        <f>1.7*1.7</f>
        <v>2.8899999999999997</v>
      </c>
      <c r="F297" s="413">
        <f>E297*D297</f>
        <v>43.349999999999994</v>
      </c>
      <c r="G297" s="64">
        <f>(1.7+1.7)*2</f>
        <v>6.8</v>
      </c>
      <c r="H297" s="64">
        <f>G297*D297</f>
        <v>102</v>
      </c>
      <c r="I297" s="64" t="s">
        <v>184</v>
      </c>
      <c r="J297" s="414">
        <f>1.9*D297</f>
        <v>28.5</v>
      </c>
      <c r="L297" s="82">
        <f>D297-P297</f>
        <v>15</v>
      </c>
      <c r="M297" s="64">
        <f>L297*E297</f>
        <v>43.349999999999994</v>
      </c>
      <c r="N297" s="64"/>
      <c r="O297" s="413">
        <f>L297*G297</f>
        <v>102</v>
      </c>
      <c r="P297" s="176"/>
      <c r="Q297" s="77">
        <f>P297*E297</f>
        <v>0</v>
      </c>
      <c r="R297" s="413">
        <f>P297*G297</f>
        <v>0</v>
      </c>
      <c r="S297" s="1"/>
      <c r="U297" s="18"/>
      <c r="V297" s="18"/>
      <c r="W297" s="18"/>
    </row>
    <row r="298" spans="1:98" ht="33" x14ac:dyDescent="0.25">
      <c r="B298" s="76" t="s">
        <v>214</v>
      </c>
      <c r="C298" s="64" t="s">
        <v>208</v>
      </c>
      <c r="D298" s="64">
        <v>1</v>
      </c>
      <c r="E298" s="77">
        <f>1.75*1.75</f>
        <v>3.0625</v>
      </c>
      <c r="F298" s="413">
        <f>E298*D298</f>
        <v>3.0625</v>
      </c>
      <c r="G298" s="64">
        <f>(1.75+1.75)*2</f>
        <v>7</v>
      </c>
      <c r="H298" s="64">
        <f>G298*D298</f>
        <v>7</v>
      </c>
      <c r="I298" s="64" t="s">
        <v>184</v>
      </c>
      <c r="J298" s="414">
        <f>1.9*D298</f>
        <v>1.9</v>
      </c>
      <c r="L298" s="82">
        <f>D298-P298</f>
        <v>1</v>
      </c>
      <c r="M298" s="151">
        <f>L298*E298</f>
        <v>3.0625</v>
      </c>
      <c r="N298" s="382"/>
      <c r="O298" s="415">
        <f>L298*G298</f>
        <v>7</v>
      </c>
      <c r="P298" s="176"/>
      <c r="Q298" s="77">
        <f>P298*E298</f>
        <v>0</v>
      </c>
      <c r="R298" s="413">
        <f>P298*G298</f>
        <v>0</v>
      </c>
      <c r="S298" s="1"/>
      <c r="U298" s="18"/>
      <c r="V298" s="18"/>
      <c r="W298" s="18"/>
    </row>
    <row r="299" spans="1:98" ht="33" x14ac:dyDescent="0.25">
      <c r="B299" s="76" t="s">
        <v>215</v>
      </c>
      <c r="C299" s="64" t="s">
        <v>209</v>
      </c>
      <c r="D299" s="64">
        <v>2</v>
      </c>
      <c r="E299" s="77">
        <f>1.2*1.7</f>
        <v>2.04</v>
      </c>
      <c r="F299" s="413">
        <f>E299*D299</f>
        <v>4.08</v>
      </c>
      <c r="G299" s="64">
        <f>(1.2+1.7)*2</f>
        <v>5.8</v>
      </c>
      <c r="H299" s="64">
        <f>G299*D299</f>
        <v>11.6</v>
      </c>
      <c r="I299" s="64" t="s">
        <v>184</v>
      </c>
      <c r="J299" s="414">
        <f>1.3*D299</f>
        <v>2.6</v>
      </c>
      <c r="L299" s="82">
        <f>D299-P299</f>
        <v>2</v>
      </c>
      <c r="M299" s="151">
        <f>L299*E299</f>
        <v>4.08</v>
      </c>
      <c r="N299" s="382"/>
      <c r="O299" s="415">
        <f>L299*G299</f>
        <v>11.6</v>
      </c>
      <c r="P299" s="176"/>
      <c r="Q299" s="77">
        <f>P299*E299</f>
        <v>0</v>
      </c>
      <c r="R299" s="413">
        <f>P299*G299</f>
        <v>0</v>
      </c>
      <c r="S299" s="1"/>
      <c r="U299" s="18"/>
      <c r="V299" s="18"/>
      <c r="W299" s="18"/>
    </row>
    <row r="300" spans="1:98" s="18" customFormat="1" x14ac:dyDescent="0.25">
      <c r="A300" s="4"/>
      <c r="B300" s="76"/>
      <c r="C300" s="64"/>
      <c r="D300" s="64"/>
      <c r="E300" s="77"/>
      <c r="F300" s="64"/>
      <c r="G300" s="64"/>
      <c r="H300" s="64"/>
      <c r="I300" s="64"/>
      <c r="J300" s="78"/>
      <c r="L300" s="82"/>
      <c r="M300" s="151"/>
      <c r="N300" s="382"/>
      <c r="O300" s="154"/>
      <c r="P300" s="176"/>
      <c r="Q300" s="64"/>
      <c r="R300" s="78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</row>
    <row r="301" spans="1:98" s="18" customFormat="1" x14ac:dyDescent="0.25">
      <c r="A301" s="4"/>
      <c r="B301" s="76"/>
      <c r="C301" s="64"/>
      <c r="D301" s="64"/>
      <c r="E301" s="77"/>
      <c r="F301" s="64"/>
      <c r="G301" s="64"/>
      <c r="H301" s="64"/>
      <c r="I301" s="64"/>
      <c r="J301" s="78"/>
      <c r="L301" s="82"/>
      <c r="M301" s="151"/>
      <c r="N301" s="382"/>
      <c r="O301" s="154"/>
      <c r="P301" s="176"/>
      <c r="Q301" s="64"/>
      <c r="R301" s="78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</row>
    <row r="302" spans="1:98" s="18" customFormat="1" x14ac:dyDescent="0.25">
      <c r="A302" s="4"/>
      <c r="B302" s="76"/>
      <c r="C302" s="64"/>
      <c r="D302" s="64"/>
      <c r="E302" s="77"/>
      <c r="F302" s="64"/>
      <c r="G302" s="64"/>
      <c r="H302" s="64"/>
      <c r="I302" s="64"/>
      <c r="J302" s="78"/>
      <c r="L302" s="82"/>
      <c r="M302" s="151"/>
      <c r="N302" s="382"/>
      <c r="O302" s="154"/>
      <c r="P302" s="176"/>
      <c r="Q302" s="64"/>
      <c r="R302" s="78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</row>
    <row r="303" spans="1:98" s="18" customFormat="1" x14ac:dyDescent="0.25">
      <c r="A303" s="4"/>
      <c r="B303" s="358" t="s">
        <v>264</v>
      </c>
      <c r="C303" s="64"/>
      <c r="D303" s="77"/>
      <c r="E303" s="77"/>
      <c r="F303" s="64"/>
      <c r="G303" s="64"/>
      <c r="H303" s="64"/>
      <c r="I303" s="64"/>
      <c r="J303" s="78"/>
      <c r="L303" s="82"/>
      <c r="M303" s="151"/>
      <c r="N303" s="382"/>
      <c r="O303" s="154"/>
      <c r="P303" s="176"/>
      <c r="Q303" s="64"/>
      <c r="R303" s="78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</row>
    <row r="304" spans="1:98" s="18" customFormat="1" ht="33" x14ac:dyDescent="0.25">
      <c r="A304" s="4"/>
      <c r="B304" s="76" t="s">
        <v>129</v>
      </c>
      <c r="C304" s="64" t="s">
        <v>280</v>
      </c>
      <c r="D304" s="77">
        <v>1</v>
      </c>
      <c r="E304" s="77">
        <f>1.1*0.5</f>
        <v>0.55000000000000004</v>
      </c>
      <c r="F304" s="413">
        <f>D304*E304</f>
        <v>0.55000000000000004</v>
      </c>
      <c r="G304" s="64">
        <f>(1.1+0.5)*2</f>
        <v>3.2</v>
      </c>
      <c r="H304" s="64">
        <f>D304*G304</f>
        <v>3.2</v>
      </c>
      <c r="I304" s="64" t="s">
        <v>306</v>
      </c>
      <c r="J304" s="414">
        <f>1.2*D304</f>
        <v>1.2</v>
      </c>
      <c r="L304" s="82">
        <f>D304-P304</f>
        <v>1</v>
      </c>
      <c r="M304" s="151">
        <f>L304*E304</f>
        <v>0.55000000000000004</v>
      </c>
      <c r="N304" s="382"/>
      <c r="O304" s="415">
        <f>L304*G304</f>
        <v>3.2</v>
      </c>
      <c r="P304" s="176"/>
      <c r="Q304" s="64">
        <f>P304*E304</f>
        <v>0</v>
      </c>
      <c r="R304" s="414">
        <f>P304*G304</f>
        <v>0</v>
      </c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</row>
    <row r="305" spans="1:98" s="18" customFormat="1" x14ac:dyDescent="0.25">
      <c r="A305" s="4"/>
      <c r="B305" s="76"/>
      <c r="C305" s="64"/>
      <c r="D305" s="64"/>
      <c r="E305" s="64"/>
      <c r="F305" s="64"/>
      <c r="G305" s="64"/>
      <c r="H305" s="64"/>
      <c r="I305" s="64"/>
      <c r="J305" s="78"/>
      <c r="L305" s="82"/>
      <c r="M305" s="151"/>
      <c r="N305" s="382"/>
      <c r="O305" s="154"/>
      <c r="P305" s="36"/>
      <c r="Q305" s="64"/>
      <c r="R305" s="78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</row>
    <row r="306" spans="1:98" s="18" customFormat="1" x14ac:dyDescent="0.25">
      <c r="A306" s="4"/>
      <c r="B306" s="76"/>
      <c r="C306" s="64"/>
      <c r="D306" s="64"/>
      <c r="E306" s="64"/>
      <c r="F306" s="64"/>
      <c r="G306" s="64"/>
      <c r="H306" s="64"/>
      <c r="I306" s="64"/>
      <c r="J306" s="78"/>
      <c r="L306" s="82"/>
      <c r="M306" s="151"/>
      <c r="N306" s="382"/>
      <c r="O306" s="154"/>
      <c r="P306" s="36"/>
      <c r="Q306" s="64"/>
      <c r="R306" s="78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</row>
    <row r="307" spans="1:98" s="18" customFormat="1" x14ac:dyDescent="0.25">
      <c r="A307" s="4"/>
      <c r="B307" s="76"/>
      <c r="C307" s="64"/>
      <c r="D307" s="64"/>
      <c r="E307" s="64"/>
      <c r="F307" s="64"/>
      <c r="G307" s="64"/>
      <c r="H307" s="64"/>
      <c r="I307" s="64"/>
      <c r="J307" s="78"/>
      <c r="L307" s="82"/>
      <c r="M307" s="151"/>
      <c r="N307" s="382"/>
      <c r="O307" s="154"/>
      <c r="P307" s="36"/>
      <c r="Q307" s="64"/>
      <c r="R307" s="78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</row>
    <row r="308" spans="1:98" s="18" customFormat="1" x14ac:dyDescent="0.25">
      <c r="A308" s="4"/>
      <c r="B308" s="76"/>
      <c r="C308" s="64"/>
      <c r="D308" s="64"/>
      <c r="E308" s="64"/>
      <c r="F308" s="64"/>
      <c r="G308" s="64"/>
      <c r="H308" s="64"/>
      <c r="I308" s="64"/>
      <c r="J308" s="78"/>
      <c r="L308" s="82"/>
      <c r="M308" s="151"/>
      <c r="N308" s="382"/>
      <c r="O308" s="154"/>
      <c r="P308" s="36"/>
      <c r="Q308" s="64"/>
      <c r="R308" s="78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</row>
    <row r="309" spans="1:98" s="18" customFormat="1" x14ac:dyDescent="0.25">
      <c r="A309" s="4"/>
      <c r="B309" s="358" t="s">
        <v>255</v>
      </c>
      <c r="C309" s="64">
        <v>0</v>
      </c>
      <c r="D309" s="64">
        <v>0</v>
      </c>
      <c r="E309" s="77">
        <v>0</v>
      </c>
      <c r="F309" s="413">
        <v>0</v>
      </c>
      <c r="G309" s="64">
        <v>0</v>
      </c>
      <c r="H309" s="64">
        <v>0</v>
      </c>
      <c r="I309" s="64"/>
      <c r="J309" s="78">
        <v>0</v>
      </c>
      <c r="L309" s="82">
        <f>D309-P309</f>
        <v>0</v>
      </c>
      <c r="M309" s="151">
        <f>L309*E309</f>
        <v>0</v>
      </c>
      <c r="N309" s="382"/>
      <c r="O309" s="415">
        <f>L309*G309</f>
        <v>0</v>
      </c>
      <c r="P309" s="176"/>
      <c r="Q309" s="64">
        <f>P309*E309</f>
        <v>0</v>
      </c>
      <c r="R309" s="414">
        <f>P309*G309</f>
        <v>0</v>
      </c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</row>
    <row r="310" spans="1:98" s="18" customFormat="1" x14ac:dyDescent="0.25">
      <c r="A310" s="4"/>
      <c r="B310" s="76"/>
      <c r="C310" s="64"/>
      <c r="D310" s="64"/>
      <c r="E310" s="64"/>
      <c r="F310" s="64"/>
      <c r="G310" s="64"/>
      <c r="H310" s="64"/>
      <c r="I310" s="64"/>
      <c r="J310" s="78"/>
      <c r="L310" s="82"/>
      <c r="M310" s="151"/>
      <c r="N310" s="382"/>
      <c r="O310" s="154"/>
      <c r="P310" s="36"/>
      <c r="Q310" s="64"/>
      <c r="R310" s="78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</row>
    <row r="311" spans="1:98" s="18" customFormat="1" x14ac:dyDescent="0.25">
      <c r="A311" s="4"/>
      <c r="B311" s="76"/>
      <c r="C311" s="64"/>
      <c r="D311" s="64"/>
      <c r="E311" s="64"/>
      <c r="F311" s="64"/>
      <c r="G311" s="64"/>
      <c r="H311" s="64"/>
      <c r="I311" s="64"/>
      <c r="J311" s="78"/>
      <c r="L311" s="82"/>
      <c r="M311" s="151"/>
      <c r="N311" s="382"/>
      <c r="O311" s="154"/>
      <c r="P311" s="36"/>
      <c r="Q311" s="64"/>
      <c r="R311" s="78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</row>
    <row r="312" spans="1:98" s="18" customFormat="1" ht="17.25" thickBot="1" x14ac:dyDescent="0.3">
      <c r="A312" s="4"/>
      <c r="B312" s="160"/>
      <c r="C312" s="127"/>
      <c r="D312" s="127"/>
      <c r="E312" s="127"/>
      <c r="F312" s="127"/>
      <c r="G312" s="127"/>
      <c r="H312" s="127"/>
      <c r="I312" s="127"/>
      <c r="J312" s="42"/>
      <c r="L312" s="164"/>
      <c r="M312" s="125"/>
      <c r="N312" s="387"/>
      <c r="O312" s="126"/>
      <c r="P312" s="122"/>
      <c r="Q312" s="127"/>
      <c r="R312" s="42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</row>
    <row r="313" spans="1:98" ht="38.25" customHeight="1" thickBot="1" x14ac:dyDescent="0.3">
      <c r="B313" s="166" t="s">
        <v>18</v>
      </c>
      <c r="C313" s="167"/>
      <c r="D313" s="167"/>
      <c r="E313" s="167"/>
      <c r="F313" s="167">
        <f>SUM(F297:F312)</f>
        <v>51.04249999999999</v>
      </c>
      <c r="G313" s="167"/>
      <c r="H313" s="167">
        <f>SUM(H297:H312)</f>
        <v>123.8</v>
      </c>
      <c r="I313" s="167"/>
      <c r="J313" s="168">
        <f>SUM(J297:J312)</f>
        <v>34.200000000000003</v>
      </c>
      <c r="L313" s="169"/>
      <c r="M313" s="167">
        <f>SUM(M297:M312)</f>
        <v>51.04249999999999</v>
      </c>
      <c r="N313" s="167"/>
      <c r="O313" s="167">
        <f>SUM(O297:O312)</f>
        <v>123.8</v>
      </c>
      <c r="P313" s="167"/>
      <c r="Q313" s="167">
        <f>SUM(Q297:Q312)</f>
        <v>0</v>
      </c>
      <c r="R313" s="167">
        <f>SUM(R297:R312)</f>
        <v>0</v>
      </c>
      <c r="S313" s="1"/>
      <c r="U313" s="18"/>
      <c r="V313" s="18"/>
      <c r="W313" s="18"/>
    </row>
    <row r="314" spans="1:98" ht="17.25" thickBot="1" x14ac:dyDescent="0.3">
      <c r="B314" s="161"/>
      <c r="C314" s="147"/>
      <c r="D314" s="147"/>
      <c r="E314" s="147"/>
      <c r="F314" s="147"/>
      <c r="G314" s="147"/>
      <c r="H314" s="147"/>
      <c r="I314" s="147"/>
      <c r="J314" s="162"/>
      <c r="L314" s="165"/>
      <c r="M314" s="147"/>
      <c r="N314" s="147"/>
      <c r="O314" s="147"/>
      <c r="P314" s="147"/>
      <c r="Q314" s="147"/>
      <c r="R314" s="162"/>
      <c r="S314" s="1"/>
      <c r="U314" s="18"/>
      <c r="V314" s="18"/>
      <c r="W314" s="18"/>
    </row>
    <row r="315" spans="1:98" ht="39.75" customHeight="1" thickBot="1" x14ac:dyDescent="0.3">
      <c r="B315" s="148" t="s">
        <v>60</v>
      </c>
      <c r="C315" s="250"/>
      <c r="D315" s="250"/>
      <c r="E315" s="250"/>
      <c r="F315" s="250">
        <f>F294+F313</f>
        <v>154.4325</v>
      </c>
      <c r="G315" s="250"/>
      <c r="H315" s="250">
        <f>H294+H313</f>
        <v>355.5</v>
      </c>
      <c r="I315" s="250"/>
      <c r="J315" s="250"/>
      <c r="L315" s="250"/>
      <c r="M315" s="149">
        <f>M294+M313</f>
        <v>63.382499999999993</v>
      </c>
      <c r="N315" s="149"/>
      <c r="O315" s="149">
        <f>O294+O313</f>
        <v>147.80000000000001</v>
      </c>
      <c r="P315" s="149"/>
      <c r="Q315" s="149">
        <f>Q294+Q313</f>
        <v>91.050000000000011</v>
      </c>
      <c r="R315" s="149">
        <f>R294+R313</f>
        <v>207.7</v>
      </c>
      <c r="S315" s="1"/>
      <c r="U315" s="18"/>
      <c r="V315" s="18"/>
      <c r="W315" s="18"/>
    </row>
    <row r="316" spans="1:98" x14ac:dyDescent="0.25">
      <c r="I316" s="18"/>
    </row>
    <row r="317" spans="1:98" s="99" customFormat="1" x14ac:dyDescent="0.25">
      <c r="A317" s="306"/>
      <c r="B317" s="307"/>
      <c r="BU317" s="308"/>
      <c r="BV317" s="308"/>
      <c r="BW317" s="308"/>
      <c r="BX317" s="308"/>
      <c r="BY317" s="308"/>
      <c r="BZ317" s="308"/>
      <c r="CA317" s="308"/>
      <c r="CB317" s="308"/>
      <c r="CC317" s="308"/>
      <c r="CD317" s="308"/>
      <c r="CE317" s="308"/>
      <c r="CF317" s="308"/>
      <c r="CG317" s="308"/>
      <c r="CH317" s="308"/>
      <c r="CI317" s="308"/>
      <c r="CJ317" s="308"/>
      <c r="CK317" s="308"/>
      <c r="CL317" s="308"/>
      <c r="CM317" s="308"/>
      <c r="CN317" s="308"/>
      <c r="CO317" s="308"/>
      <c r="CP317" s="308"/>
      <c r="CQ317" s="308"/>
      <c r="CR317" s="308"/>
      <c r="CS317" s="308"/>
      <c r="CT317" s="308"/>
    </row>
    <row r="318" spans="1:98" s="99" customFormat="1" x14ac:dyDescent="0.25">
      <c r="A318" s="306"/>
      <c r="B318" s="307"/>
      <c r="BU318" s="308"/>
      <c r="BV318" s="308"/>
      <c r="BW318" s="308"/>
      <c r="BX318" s="308"/>
      <c r="BY318" s="308"/>
      <c r="BZ318" s="308"/>
      <c r="CA318" s="308"/>
      <c r="CB318" s="308"/>
      <c r="CC318" s="308"/>
      <c r="CD318" s="308"/>
      <c r="CE318" s="308"/>
      <c r="CF318" s="308"/>
      <c r="CG318" s="308"/>
      <c r="CH318" s="308"/>
      <c r="CI318" s="308"/>
      <c r="CJ318" s="308"/>
      <c r="CK318" s="308"/>
      <c r="CL318" s="308"/>
      <c r="CM318" s="308"/>
      <c r="CN318" s="308"/>
      <c r="CO318" s="308"/>
      <c r="CP318" s="308"/>
      <c r="CQ318" s="308"/>
      <c r="CR318" s="308"/>
      <c r="CS318" s="308"/>
      <c r="CT318" s="308"/>
    </row>
    <row r="319" spans="1:98" s="99" customFormat="1" x14ac:dyDescent="0.25">
      <c r="A319" s="309"/>
      <c r="B319" s="310"/>
      <c r="C319" s="311"/>
      <c r="D319" s="312"/>
      <c r="E319" s="312"/>
      <c r="F319" s="312"/>
      <c r="BU319" s="308"/>
      <c r="BV319" s="308"/>
      <c r="BW319" s="308"/>
      <c r="BX319" s="308"/>
      <c r="BY319" s="308"/>
      <c r="BZ319" s="308"/>
      <c r="CA319" s="308"/>
      <c r="CB319" s="308"/>
      <c r="CC319" s="308"/>
      <c r="CD319" s="308"/>
      <c r="CE319" s="308"/>
      <c r="CF319" s="308"/>
      <c r="CG319" s="308"/>
      <c r="CH319" s="308"/>
      <c r="CI319" s="308"/>
      <c r="CJ319" s="308"/>
      <c r="CK319" s="308"/>
      <c r="CL319" s="308"/>
      <c r="CM319" s="308"/>
      <c r="CN319" s="308"/>
      <c r="CO319" s="308"/>
      <c r="CP319" s="308"/>
      <c r="CQ319" s="308"/>
      <c r="CR319" s="308"/>
      <c r="CS319" s="308"/>
      <c r="CT319" s="308"/>
    </row>
    <row r="320" spans="1:98" s="99" customFormat="1" x14ac:dyDescent="0.25">
      <c r="A320" s="309"/>
      <c r="B320" s="310"/>
      <c r="C320" s="311"/>
      <c r="D320" s="312"/>
      <c r="E320" s="312"/>
      <c r="F320" s="312"/>
      <c r="BU320" s="308"/>
      <c r="BV320" s="308"/>
      <c r="BW320" s="308"/>
      <c r="BX320" s="308"/>
      <c r="BY320" s="308"/>
      <c r="BZ320" s="308"/>
      <c r="CA320" s="308"/>
      <c r="CB320" s="308"/>
      <c r="CC320" s="308"/>
      <c r="CD320" s="308"/>
      <c r="CE320" s="308"/>
      <c r="CF320" s="308"/>
      <c r="CG320" s="308"/>
      <c r="CH320" s="308"/>
      <c r="CI320" s="308"/>
      <c r="CJ320" s="308"/>
      <c r="CK320" s="308"/>
      <c r="CL320" s="308"/>
      <c r="CM320" s="308"/>
      <c r="CN320" s="308"/>
      <c r="CO320" s="308"/>
      <c r="CP320" s="308"/>
      <c r="CQ320" s="308"/>
      <c r="CR320" s="308"/>
      <c r="CS320" s="308"/>
      <c r="CT320" s="308"/>
    </row>
    <row r="321" spans="1:98" ht="35.25" customHeight="1" x14ac:dyDescent="0.25">
      <c r="A321" s="537" t="s">
        <v>87</v>
      </c>
      <c r="B321" s="537"/>
      <c r="C321" s="537"/>
      <c r="D321" s="537"/>
      <c r="E321" s="537"/>
      <c r="F321" s="537"/>
      <c r="G321" s="537"/>
      <c r="H321" s="537"/>
    </row>
    <row r="322" spans="1:98" x14ac:dyDescent="0.25">
      <c r="A322" s="60"/>
      <c r="B322" s="49"/>
      <c r="C322" s="49"/>
      <c r="D322" s="66"/>
      <c r="E322" s="67"/>
      <c r="F322" s="66"/>
      <c r="G322" s="17"/>
      <c r="H322" s="17"/>
    </row>
    <row r="323" spans="1:98" x14ac:dyDescent="0.25">
      <c r="A323" s="60"/>
      <c r="B323" s="49"/>
      <c r="C323" s="49"/>
      <c r="D323" s="66"/>
      <c r="E323" s="67"/>
      <c r="F323" s="66"/>
      <c r="G323" s="17"/>
      <c r="H323" s="17"/>
    </row>
    <row r="324" spans="1:98" x14ac:dyDescent="0.25">
      <c r="A324" s="60"/>
      <c r="B324" s="49"/>
      <c r="C324" s="49"/>
      <c r="D324" s="66"/>
      <c r="E324" s="67"/>
      <c r="F324" s="66"/>
      <c r="G324" s="17"/>
      <c r="H324" s="17"/>
    </row>
    <row r="325" spans="1:98" x14ac:dyDescent="0.25">
      <c r="A325" s="53"/>
      <c r="B325" s="49"/>
      <c r="C325" s="49"/>
      <c r="D325" s="66"/>
      <c r="E325" s="67"/>
      <c r="F325" s="66"/>
      <c r="G325" s="17"/>
      <c r="H325" s="17"/>
    </row>
    <row r="326" spans="1:98" s="18" customFormat="1" x14ac:dyDescent="0.25">
      <c r="A326" s="53"/>
      <c r="B326" s="49"/>
      <c r="C326" s="49"/>
      <c r="D326" s="66"/>
      <c r="E326" s="67"/>
      <c r="F326" s="66"/>
      <c r="G326" s="17"/>
      <c r="H326" s="17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</row>
    <row r="327" spans="1:98" s="18" customFormat="1" x14ac:dyDescent="0.25">
      <c r="A327" s="53"/>
      <c r="B327" s="49"/>
      <c r="C327" s="49"/>
      <c r="D327" s="66"/>
      <c r="E327" s="67"/>
      <c r="F327" s="66"/>
      <c r="G327" s="17"/>
      <c r="H327" s="17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</row>
    <row r="328" spans="1:98" s="18" customFormat="1" x14ac:dyDescent="0.25">
      <c r="A328" s="53"/>
      <c r="B328" s="49"/>
      <c r="C328" s="49"/>
      <c r="D328" s="66"/>
      <c r="E328" s="67"/>
      <c r="F328" s="66"/>
      <c r="G328" s="17"/>
      <c r="H328" s="17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</row>
    <row r="329" spans="1:98" s="18" customFormat="1" x14ac:dyDescent="0.25">
      <c r="A329" s="53"/>
      <c r="B329" s="49"/>
      <c r="C329" s="49"/>
      <c r="D329" s="66"/>
      <c r="E329" s="67"/>
      <c r="F329" s="66"/>
      <c r="G329" s="17"/>
      <c r="H329" s="17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</row>
    <row r="330" spans="1:98" s="18" customFormat="1" x14ac:dyDescent="0.25">
      <c r="A330" s="53"/>
      <c r="B330" s="49"/>
      <c r="C330" s="49"/>
      <c r="D330" s="66"/>
      <c r="E330" s="67"/>
      <c r="F330" s="66"/>
      <c r="G330" s="17"/>
      <c r="H330" s="17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</row>
    <row r="331" spans="1:98" s="18" customFormat="1" x14ac:dyDescent="0.25">
      <c r="A331" s="53"/>
      <c r="B331" s="49"/>
      <c r="C331" s="49"/>
      <c r="D331" s="66"/>
      <c r="E331" s="67"/>
      <c r="F331" s="66"/>
      <c r="G331" s="17"/>
      <c r="H331" s="17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</row>
    <row r="332" spans="1:98" s="18" customFormat="1" x14ac:dyDescent="0.25">
      <c r="A332" s="53"/>
      <c r="B332" s="49"/>
      <c r="C332" s="49"/>
      <c r="D332" s="66"/>
      <c r="E332" s="67"/>
      <c r="F332" s="66"/>
      <c r="G332" s="17"/>
      <c r="H332" s="17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</row>
    <row r="333" spans="1:98" x14ac:dyDescent="0.25">
      <c r="A333" s="53"/>
      <c r="B333" s="47"/>
      <c r="C333" s="17"/>
      <c r="D333" s="66"/>
      <c r="E333" s="67"/>
      <c r="F333" s="66"/>
      <c r="G333" s="17"/>
      <c r="H333" s="17"/>
    </row>
    <row r="334" spans="1:98" x14ac:dyDescent="0.25">
      <c r="A334" s="53"/>
      <c r="B334" s="47"/>
      <c r="C334" s="17"/>
      <c r="D334" s="66"/>
      <c r="E334" s="67"/>
      <c r="F334" s="66"/>
      <c r="G334" s="17"/>
      <c r="H334" s="17"/>
    </row>
    <row r="335" spans="1:98" s="18" customFormat="1" x14ac:dyDescent="0.25">
      <c r="A335" s="53"/>
      <c r="B335" s="70"/>
      <c r="C335" s="17"/>
      <c r="D335" s="66"/>
      <c r="E335" s="67"/>
      <c r="F335" s="66"/>
      <c r="G335" s="17"/>
      <c r="H335" s="17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</row>
    <row r="336" spans="1:98" s="18" customFormat="1" x14ac:dyDescent="0.25">
      <c r="A336" s="53"/>
      <c r="B336" s="70"/>
      <c r="C336" s="17"/>
      <c r="D336" s="66"/>
      <c r="E336" s="67"/>
      <c r="F336" s="66"/>
      <c r="G336" s="17"/>
      <c r="H336" s="17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</row>
    <row r="337" spans="1:98" x14ac:dyDescent="0.25">
      <c r="A337" s="53"/>
      <c r="B337" s="46"/>
      <c r="C337" s="17"/>
      <c r="D337" s="75"/>
      <c r="E337" s="64"/>
      <c r="F337" s="75"/>
      <c r="G337" s="17"/>
      <c r="H337" s="17"/>
    </row>
    <row r="338" spans="1:98" x14ac:dyDescent="0.25">
      <c r="A338" s="51"/>
      <c r="B338" s="46"/>
      <c r="C338" s="17"/>
      <c r="D338" s="17"/>
      <c r="E338" s="17"/>
      <c r="F338" s="17"/>
      <c r="G338" s="17"/>
      <c r="H338" s="17"/>
    </row>
    <row r="339" spans="1:98" x14ac:dyDescent="0.25">
      <c r="A339" s="51"/>
      <c r="B339" s="46"/>
      <c r="C339" s="17"/>
      <c r="D339" s="17"/>
      <c r="E339" s="17"/>
      <c r="F339" s="17"/>
      <c r="G339" s="17"/>
      <c r="H339" s="17"/>
    </row>
    <row r="340" spans="1:98" x14ac:dyDescent="0.25">
      <c r="A340" s="63"/>
      <c r="B340" s="65"/>
      <c r="C340" s="17"/>
      <c r="D340" s="17"/>
      <c r="E340" s="17"/>
      <c r="F340" s="17"/>
      <c r="G340" s="17"/>
      <c r="H340" s="17"/>
    </row>
    <row r="341" spans="1:98" s="18" customFormat="1" ht="16.5" customHeight="1" x14ac:dyDescent="0.25">
      <c r="A341" s="538" t="s">
        <v>82</v>
      </c>
      <c r="B341" s="538"/>
      <c r="C341" s="538"/>
      <c r="D341" s="538"/>
      <c r="E341" s="538"/>
      <c r="F341" s="538"/>
      <c r="G341" s="538"/>
      <c r="H341" s="538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</row>
    <row r="342" spans="1:98" s="18" customFormat="1" x14ac:dyDescent="0.25">
      <c r="A342" s="110"/>
      <c r="B342" s="143" t="s">
        <v>141</v>
      </c>
      <c r="C342" s="144"/>
      <c r="D342" s="37"/>
      <c r="E342" s="37"/>
      <c r="F342" s="37" t="s">
        <v>5</v>
      </c>
      <c r="G342" s="17"/>
      <c r="H342" s="17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</row>
    <row r="343" spans="1:98" s="18" customFormat="1" x14ac:dyDescent="0.25">
      <c r="A343" s="110"/>
      <c r="B343" s="143" t="s">
        <v>142</v>
      </c>
      <c r="C343" s="144"/>
      <c r="D343" s="144"/>
      <c r="E343" s="37"/>
      <c r="F343" s="37" t="s">
        <v>5</v>
      </c>
      <c r="G343" s="17"/>
      <c r="H343" s="17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</row>
    <row r="344" spans="1:98" s="18" customFormat="1" x14ac:dyDescent="0.25">
      <c r="A344" s="110"/>
      <c r="B344" s="143" t="s">
        <v>143</v>
      </c>
      <c r="C344" s="144"/>
      <c r="D344" s="144"/>
      <c r="E344" s="37"/>
      <c r="F344" s="37" t="s">
        <v>5</v>
      </c>
      <c r="G344" s="17"/>
      <c r="H344" s="17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</row>
    <row r="345" spans="1:98" s="18" customFormat="1" x14ac:dyDescent="0.25">
      <c r="A345" s="110"/>
      <c r="B345" s="143" t="s">
        <v>144</v>
      </c>
      <c r="C345" s="144"/>
      <c r="D345" s="144"/>
      <c r="E345" s="37"/>
      <c r="F345" s="37" t="s">
        <v>1</v>
      </c>
      <c r="G345" s="17"/>
      <c r="H345" s="17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</row>
    <row r="346" spans="1:98" s="18" customFormat="1" x14ac:dyDescent="0.25">
      <c r="A346" s="110"/>
      <c r="B346" s="143" t="s">
        <v>145</v>
      </c>
      <c r="C346" s="144"/>
      <c r="D346" s="144"/>
      <c r="E346" s="37"/>
      <c r="F346" s="37" t="s">
        <v>5</v>
      </c>
      <c r="G346" s="17"/>
      <c r="H346" s="17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</row>
    <row r="347" spans="1:98" s="18" customFormat="1" x14ac:dyDescent="0.25">
      <c r="A347" s="110"/>
      <c r="B347" s="143" t="s">
        <v>146</v>
      </c>
      <c r="C347" s="144"/>
      <c r="D347" s="144"/>
      <c r="E347" s="37"/>
      <c r="F347" s="37" t="s">
        <v>5</v>
      </c>
      <c r="G347" s="17"/>
      <c r="H347" s="17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</row>
    <row r="348" spans="1:98" s="18" customFormat="1" x14ac:dyDescent="0.25">
      <c r="A348" s="110"/>
      <c r="B348" s="143" t="s">
        <v>147</v>
      </c>
      <c r="C348" s="144"/>
      <c r="D348" s="37"/>
      <c r="E348" s="37"/>
      <c r="F348" s="37" t="s">
        <v>5</v>
      </c>
      <c r="G348" s="17"/>
      <c r="H348" s="17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</row>
    <row r="350" spans="1:98" s="18" customFormat="1" ht="30" customHeight="1" x14ac:dyDescent="0.25">
      <c r="A350" s="537" t="s">
        <v>73</v>
      </c>
      <c r="B350" s="537"/>
      <c r="C350" s="537"/>
      <c r="D350" s="537"/>
      <c r="E350" s="537"/>
      <c r="F350" s="537"/>
      <c r="G350" s="537"/>
      <c r="H350" s="537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</row>
    <row r="351" spans="1:98" ht="69" customHeight="1" x14ac:dyDescent="0.25">
      <c r="B351" s="313" t="s">
        <v>59</v>
      </c>
      <c r="C351" s="314" t="s">
        <v>80</v>
      </c>
      <c r="D351" s="314" t="s">
        <v>74</v>
      </c>
      <c r="E351" s="315" t="s">
        <v>81</v>
      </c>
      <c r="F351" s="52"/>
      <c r="G351" s="59" t="s">
        <v>84</v>
      </c>
      <c r="H351" s="59" t="s">
        <v>85</v>
      </c>
    </row>
    <row r="352" spans="1:98" x14ac:dyDescent="0.25">
      <c r="A352" s="83" t="s">
        <v>75</v>
      </c>
      <c r="B352" s="20"/>
      <c r="C352" s="64">
        <f>0*B352</f>
        <v>0</v>
      </c>
      <c r="D352" s="64">
        <f>( (3.4+3.4)*2*0.1+(3.3+3.3)*2*0.4+(2.3+2.3)*2*0.4+(1.3+1.3)*2*0.4+(0.4+0.4)*2*(1.8+0.15-1.3) )*B352</f>
        <v>0</v>
      </c>
      <c r="E352" s="64">
        <f>3.4*3.4*(1.8+0.15)*B352</f>
        <v>0</v>
      </c>
      <c r="F352" s="17"/>
      <c r="G352" s="17"/>
      <c r="H352" s="17"/>
    </row>
    <row r="353" spans="1:98" x14ac:dyDescent="0.25">
      <c r="A353" s="83" t="s">
        <v>76</v>
      </c>
      <c r="B353" s="20"/>
      <c r="C353" s="64">
        <f>0*B353</f>
        <v>0</v>
      </c>
      <c r="D353" s="64">
        <f>( (1.9+1.9)*2*0.1+(1.8+1.8)*2*0.35+(1.1+1.1)*2*0.35+(0.4+0.4)*2*(1.8+0.15-0.8) )*B353</f>
        <v>0</v>
      </c>
      <c r="E353" s="64">
        <f>1.9*1.9*(1.8+0.15)*B353</f>
        <v>0</v>
      </c>
      <c r="F353" s="17"/>
      <c r="G353" s="17"/>
      <c r="H353" s="17"/>
    </row>
    <row r="354" spans="1:98" x14ac:dyDescent="0.25">
      <c r="A354" s="83" t="s">
        <v>77</v>
      </c>
      <c r="B354" s="20"/>
      <c r="C354" s="64">
        <f>0*B354</f>
        <v>0</v>
      </c>
      <c r="D354" s="64">
        <f>( (1.7+1.7)*2*0.1+(1.6+1.6)*2*0.35+(1+1)*2*0.25+(0.4+0.4)*2*(1.8+0.15-0.7) )*B354</f>
        <v>0</v>
      </c>
      <c r="E354" s="64">
        <f>1.7*1.7*(1.8+0.15)*B354</f>
        <v>0</v>
      </c>
      <c r="F354" s="17"/>
      <c r="G354" s="17"/>
      <c r="H354" s="17"/>
    </row>
    <row r="355" spans="1:98" x14ac:dyDescent="0.25">
      <c r="A355" s="83" t="s">
        <v>78</v>
      </c>
      <c r="B355" s="20"/>
      <c r="C355" s="64">
        <f>0*B355</f>
        <v>0</v>
      </c>
      <c r="D355" s="64">
        <f>( (1.5+1.5)*2*0.1+(1.4+1.4)*2*0.25+(0.9+0.9)*2*0.25+(0.4+0.4)*2*(1.8+0.15-0.6) )*B355</f>
        <v>0</v>
      </c>
      <c r="E355" s="64">
        <f>1.5*1.5*(1.8+0.15)*B355</f>
        <v>0</v>
      </c>
      <c r="F355" s="17"/>
      <c r="G355" s="17"/>
      <c r="H355" s="17"/>
    </row>
    <row r="356" spans="1:98" x14ac:dyDescent="0.25">
      <c r="A356" s="83" t="s">
        <v>79</v>
      </c>
      <c r="B356" s="20"/>
      <c r="C356" s="64">
        <f>0*B356</f>
        <v>0</v>
      </c>
      <c r="D356" s="64">
        <f>( (1.3+1.3)*2*0.1+(1.2+1.2)*2*0.25+(0.8+0.8)*2*0.2+(0.4+0.4)*2*(1.8+0.15-0.55) )*B356</f>
        <v>0</v>
      </c>
      <c r="E356" s="64">
        <f>1.3*1.3*(1.8+0.15)*B356</f>
        <v>0</v>
      </c>
      <c r="F356" s="17"/>
      <c r="G356" s="17"/>
      <c r="H356" s="17"/>
    </row>
    <row r="357" spans="1:98" s="18" customFormat="1" x14ac:dyDescent="0.25">
      <c r="A357" s="83" t="s">
        <v>152</v>
      </c>
      <c r="B357" s="68"/>
      <c r="C357" s="64">
        <f t="shared" ref="C357:C363" si="34">0*B357</f>
        <v>0</v>
      </c>
      <c r="D357" s="64">
        <f t="shared" ref="D357:D363" si="35">( (1.3+1.3)*2*0.1+(1.2+1.2)*2*0.25+(0.8+0.8)*2*0.2+(0.4+0.4)*2*(1.8+0.15-0.55) )*B357</f>
        <v>0</v>
      </c>
      <c r="E357" s="64">
        <f t="shared" ref="E357:E363" si="36">1.3*1.3*(1.8+0.15)*B357</f>
        <v>0</v>
      </c>
      <c r="F357" s="17"/>
      <c r="G357" s="17"/>
      <c r="H357" s="17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</row>
    <row r="358" spans="1:98" s="18" customFormat="1" x14ac:dyDescent="0.25">
      <c r="A358" s="83" t="s">
        <v>153</v>
      </c>
      <c r="B358" s="68"/>
      <c r="C358" s="64">
        <f t="shared" si="34"/>
        <v>0</v>
      </c>
      <c r="D358" s="64">
        <f t="shared" si="35"/>
        <v>0</v>
      </c>
      <c r="E358" s="64">
        <f t="shared" si="36"/>
        <v>0</v>
      </c>
      <c r="F358" s="17"/>
      <c r="G358" s="17"/>
      <c r="H358" s="17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</row>
    <row r="359" spans="1:98" s="18" customFormat="1" x14ac:dyDescent="0.25">
      <c r="A359" s="83" t="s">
        <v>154</v>
      </c>
      <c r="B359" s="68"/>
      <c r="C359" s="64">
        <f t="shared" si="34"/>
        <v>0</v>
      </c>
      <c r="D359" s="64">
        <f t="shared" si="35"/>
        <v>0</v>
      </c>
      <c r="E359" s="64">
        <f t="shared" si="36"/>
        <v>0</v>
      </c>
      <c r="F359" s="17"/>
      <c r="G359" s="17"/>
      <c r="H359" s="17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</row>
    <row r="360" spans="1:98" s="18" customFormat="1" x14ac:dyDescent="0.25">
      <c r="A360" s="83" t="s">
        <v>155</v>
      </c>
      <c r="B360" s="68"/>
      <c r="C360" s="64">
        <f t="shared" si="34"/>
        <v>0</v>
      </c>
      <c r="D360" s="64">
        <f t="shared" si="35"/>
        <v>0</v>
      </c>
      <c r="E360" s="64">
        <f t="shared" si="36"/>
        <v>0</v>
      </c>
      <c r="F360" s="17"/>
      <c r="G360" s="17"/>
      <c r="H360" s="17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</row>
    <row r="361" spans="1:98" s="18" customFormat="1" x14ac:dyDescent="0.25">
      <c r="A361" s="83" t="s">
        <v>156</v>
      </c>
      <c r="B361" s="68"/>
      <c r="C361" s="64">
        <f t="shared" si="34"/>
        <v>0</v>
      </c>
      <c r="D361" s="64">
        <f t="shared" si="35"/>
        <v>0</v>
      </c>
      <c r="E361" s="64">
        <f t="shared" si="36"/>
        <v>0</v>
      </c>
      <c r="F361" s="17"/>
      <c r="G361" s="17"/>
      <c r="H361" s="17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</row>
    <row r="362" spans="1:98" s="18" customFormat="1" x14ac:dyDescent="0.25">
      <c r="A362" s="83" t="s">
        <v>157</v>
      </c>
      <c r="B362" s="68"/>
      <c r="C362" s="64">
        <f t="shared" si="34"/>
        <v>0</v>
      </c>
      <c r="D362" s="64">
        <f t="shared" si="35"/>
        <v>0</v>
      </c>
      <c r="E362" s="64">
        <f t="shared" si="36"/>
        <v>0</v>
      </c>
      <c r="F362" s="17"/>
      <c r="G362" s="17"/>
      <c r="H362" s="17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</row>
    <row r="363" spans="1:98" s="18" customFormat="1" x14ac:dyDescent="0.25">
      <c r="A363" s="83" t="s">
        <v>158</v>
      </c>
      <c r="B363" s="68"/>
      <c r="C363" s="64">
        <f t="shared" si="34"/>
        <v>0</v>
      </c>
      <c r="D363" s="64">
        <f t="shared" si="35"/>
        <v>0</v>
      </c>
      <c r="E363" s="64">
        <f t="shared" si="36"/>
        <v>0</v>
      </c>
      <c r="F363" s="17"/>
      <c r="G363" s="17"/>
      <c r="H363" s="17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</row>
    <row r="364" spans="1:98" s="18" customFormat="1" x14ac:dyDescent="0.25">
      <c r="A364" s="83"/>
      <c r="B364" s="68"/>
      <c r="C364" s="67"/>
      <c r="D364" s="67"/>
      <c r="E364" s="67"/>
      <c r="F364" s="17"/>
      <c r="G364" s="17"/>
      <c r="H364" s="17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</row>
    <row r="365" spans="1:98" x14ac:dyDescent="0.25">
      <c r="A365" s="83" t="s">
        <v>82</v>
      </c>
      <c r="B365" s="20"/>
      <c r="C365" s="64">
        <f>0*B365</f>
        <v>0</v>
      </c>
      <c r="D365" s="64">
        <f>( (1.3+1.3)*2*0.1+(1.2+1.2)*2*0.25+(0.8+0.8)*2*0.2+(0.4+0.4)*2*(1.8+0.15-0.55) )*B365</f>
        <v>0</v>
      </c>
      <c r="E365" s="64">
        <f>1.3*1.3*(1.8+0.15)*B365</f>
        <v>0</v>
      </c>
      <c r="F365" s="17"/>
      <c r="G365" s="17"/>
      <c r="H365" s="17"/>
    </row>
    <row r="366" spans="1:98" s="18" customFormat="1" x14ac:dyDescent="0.25">
      <c r="A366" s="56"/>
      <c r="B366" s="46"/>
      <c r="C366" s="17"/>
      <c r="D366" s="17"/>
      <c r="E366" s="17"/>
      <c r="F366" s="17"/>
      <c r="G366" s="17"/>
      <c r="H366" s="17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</row>
    <row r="367" spans="1:98" x14ac:dyDescent="0.25">
      <c r="A367" s="532" t="s">
        <v>89</v>
      </c>
      <c r="B367" s="20"/>
      <c r="C367" s="64">
        <f>0.4*B367</f>
        <v>0</v>
      </c>
      <c r="D367" s="64">
        <f>(0.45+0.4+0.45)*B367</f>
        <v>0</v>
      </c>
      <c r="E367" s="64">
        <f>0.4*(1.8+0.15)*B367</f>
        <v>0</v>
      </c>
      <c r="F367" s="17"/>
      <c r="G367" s="17"/>
      <c r="H367" s="17"/>
    </row>
    <row r="368" spans="1:98" s="18" customFormat="1" x14ac:dyDescent="0.25">
      <c r="A368" s="533"/>
      <c r="B368" s="20" t="s">
        <v>1</v>
      </c>
      <c r="C368" s="64" t="s">
        <v>5</v>
      </c>
      <c r="D368" s="64" t="s">
        <v>5</v>
      </c>
      <c r="E368" s="64" t="s">
        <v>4</v>
      </c>
      <c r="F368" s="17"/>
      <c r="G368" s="17"/>
      <c r="H368" s="17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</row>
    <row r="369" spans="1:98" s="18" customFormat="1" x14ac:dyDescent="0.25">
      <c r="A369" s="56"/>
      <c r="B369" s="46"/>
      <c r="C369" s="17"/>
      <c r="D369" s="17"/>
      <c r="E369" s="17"/>
      <c r="F369" s="17"/>
      <c r="G369" s="17"/>
      <c r="H369" s="17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</row>
    <row r="370" spans="1:98" s="18" customFormat="1" x14ac:dyDescent="0.25">
      <c r="A370" s="56"/>
      <c r="B370" s="46"/>
      <c r="C370" s="17"/>
      <c r="D370" s="17"/>
      <c r="E370" s="17"/>
      <c r="F370" s="17"/>
      <c r="G370" s="17"/>
      <c r="H370" s="17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</row>
    <row r="371" spans="1:98" s="18" customFormat="1" ht="49.5" x14ac:dyDescent="0.25">
      <c r="A371" s="83" t="s">
        <v>83</v>
      </c>
      <c r="B371" s="46"/>
      <c r="C371" s="17"/>
      <c r="D371" s="17"/>
      <c r="E371" s="17"/>
      <c r="F371" s="17"/>
      <c r="G371" s="145"/>
      <c r="H371" s="145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</row>
    <row r="372" spans="1:98" s="18" customFormat="1" x14ac:dyDescent="0.25">
      <c r="A372" s="83" t="s">
        <v>82</v>
      </c>
      <c r="B372" s="46"/>
      <c r="C372" s="17"/>
      <c r="D372" s="17"/>
      <c r="E372" s="17"/>
      <c r="F372" s="17"/>
      <c r="G372" s="145"/>
      <c r="H372" s="145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</row>
    <row r="373" spans="1:98" s="18" customFormat="1" x14ac:dyDescent="0.25">
      <c r="A373" s="83"/>
      <c r="B373" s="65"/>
      <c r="C373" s="17"/>
      <c r="D373" s="17"/>
      <c r="E373" s="17"/>
      <c r="F373" s="17"/>
      <c r="G373" s="145"/>
      <c r="H373" s="145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</row>
    <row r="374" spans="1:98" s="18" customFormat="1" x14ac:dyDescent="0.25">
      <c r="A374" s="56"/>
      <c r="B374" s="46"/>
      <c r="C374" s="17"/>
      <c r="D374" s="17"/>
      <c r="E374" s="17"/>
      <c r="F374" s="17"/>
      <c r="G374" s="17"/>
      <c r="H374" s="17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</row>
    <row r="375" spans="1:98" s="18" customFormat="1" ht="31.5" x14ac:dyDescent="0.25">
      <c r="A375" s="56"/>
      <c r="B375" s="257" t="s">
        <v>171</v>
      </c>
      <c r="C375" s="17"/>
      <c r="D375" s="17"/>
      <c r="E375" s="17"/>
      <c r="F375" s="17"/>
      <c r="G375" s="245"/>
      <c r="H375" s="17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</row>
    <row r="376" spans="1:98" s="18" customFormat="1" x14ac:dyDescent="0.25">
      <c r="A376" s="56"/>
      <c r="B376" s="65"/>
      <c r="C376" s="17"/>
      <c r="D376" s="17"/>
      <c r="E376" s="17"/>
      <c r="F376" s="17"/>
      <c r="G376" s="17"/>
      <c r="H376" s="17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</row>
    <row r="377" spans="1:98" x14ac:dyDescent="0.25">
      <c r="A377" s="57"/>
      <c r="B377" s="58"/>
      <c r="C377" s="33">
        <f>SUM(C352:C376)</f>
        <v>0</v>
      </c>
      <c r="D377" s="33">
        <f>SUM(D352:D376)</f>
        <v>0</v>
      </c>
      <c r="E377" s="33">
        <f>SUM(E352:E376)</f>
        <v>0</v>
      </c>
      <c r="F377" s="33"/>
      <c r="G377" s="33">
        <f>SUM(G352:G376)</f>
        <v>0</v>
      </c>
      <c r="H377" s="33">
        <f>SUM(H352:H376)</f>
        <v>0</v>
      </c>
    </row>
  </sheetData>
  <sheetProtection algorithmName="SHA-512" hashValue="byHyyelaq7vUcria5tuZbWSVE9ZpoUwbvsx+68mpTO01qWdbtM44skGCPjAHjlv/9COcp6pM+rE9sMrv2mV5fw==" saltValue="kDKM54Oup9Rv/9WhT6Wyhw==" spinCount="100000" sheet="1" objects="1" scenarios="1"/>
  <mergeCells count="54">
    <mergeCell ref="A367:A368"/>
    <mergeCell ref="A71:H71"/>
    <mergeCell ref="A350:H350"/>
    <mergeCell ref="A341:H341"/>
    <mergeCell ref="A321:H321"/>
    <mergeCell ref="A100:A104"/>
    <mergeCell ref="A93:A99"/>
    <mergeCell ref="B267:J267"/>
    <mergeCell ref="A210:F210"/>
    <mergeCell ref="A258:H258"/>
    <mergeCell ref="A197:H197"/>
    <mergeCell ref="A136:H136"/>
    <mergeCell ref="A125:H125"/>
    <mergeCell ref="A146:H146"/>
    <mergeCell ref="A147:A153"/>
    <mergeCell ref="A154:A160"/>
    <mergeCell ref="A162:A166"/>
    <mergeCell ref="A48:H48"/>
    <mergeCell ref="J4:L4"/>
    <mergeCell ref="A9:H9"/>
    <mergeCell ref="A20:H20"/>
    <mergeCell ref="AA4:AH4"/>
    <mergeCell ref="Y4:Y6"/>
    <mergeCell ref="O4:P4"/>
    <mergeCell ref="A86:A92"/>
    <mergeCell ref="A79:A85"/>
    <mergeCell ref="A49:A51"/>
    <mergeCell ref="A52:A54"/>
    <mergeCell ref="A61:A63"/>
    <mergeCell ref="A58:A60"/>
    <mergeCell ref="A55:A57"/>
    <mergeCell ref="A65:A67"/>
    <mergeCell ref="A72:A78"/>
    <mergeCell ref="A1:H1"/>
    <mergeCell ref="C4:E4"/>
    <mergeCell ref="C3:E3"/>
    <mergeCell ref="I3:X3"/>
    <mergeCell ref="Q4:W4"/>
    <mergeCell ref="CL4:CS4"/>
    <mergeCell ref="BE3:BT3"/>
    <mergeCell ref="BC5:BD5"/>
    <mergeCell ref="Z3:BD3"/>
    <mergeCell ref="BE5:BF5"/>
    <mergeCell ref="AN4:AP4"/>
    <mergeCell ref="AQ4:BB4"/>
    <mergeCell ref="BK4:BT4"/>
    <mergeCell ref="BJ5:BM5"/>
    <mergeCell ref="BN5:BP5"/>
    <mergeCell ref="AX5:BA5"/>
    <mergeCell ref="AI4:AM4"/>
    <mergeCell ref="BG5:BI5"/>
    <mergeCell ref="BU4:CJ4"/>
    <mergeCell ref="BQ5:BR5"/>
    <mergeCell ref="BS5:BT5"/>
  </mergeCells>
  <pageMargins left="0.21" right="0.2" top="0.3" bottom="0.18" header="0.2" footer="0.16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77777</vt:lpstr>
      <vt:lpstr>Sheet1!Print_Area</vt:lpstr>
      <vt:lpstr>'77777'!Print_Titles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2022-03-01T06:30:19Z</dcterms:modified>
</cp:coreProperties>
</file>