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tabRatio="576"/>
  </bookViews>
  <sheets>
    <sheet name="სამშენებლო          " sheetId="43" r:id="rId1"/>
  </sheets>
  <definedNames>
    <definedName name="_xlnm.Print_Titles" localSheetId="0">'სამშენებლო          '!$9:$9</definedName>
    <definedName name="_xlnm.Print_Area" localSheetId="0">'სამშენებლო          '!$A$1:$M$239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43" l="1"/>
  <c r="B99" i="43"/>
  <c r="F214" i="43" l="1"/>
  <c r="F103" i="43"/>
  <c r="F107" i="43"/>
  <c r="F111" i="43"/>
  <c r="J204" i="43" l="1"/>
  <c r="H204" i="43"/>
  <c r="F190" i="43"/>
  <c r="F196" i="43" s="1"/>
  <c r="F189" i="43"/>
  <c r="F188" i="43"/>
  <c r="F187" i="43"/>
  <c r="F186" i="43"/>
  <c r="F183" i="43"/>
  <c r="F172" i="43"/>
  <c r="F162" i="43"/>
  <c r="E161" i="43"/>
  <c r="F161" i="43" s="1"/>
  <c r="E160" i="43"/>
  <c r="F160" i="43" s="1"/>
  <c r="E159" i="43"/>
  <c r="F159" i="43" s="1"/>
  <c r="E158" i="43"/>
  <c r="F158" i="43" s="1"/>
  <c r="E157" i="43"/>
  <c r="F157" i="43" s="1"/>
  <c r="E156" i="43"/>
  <c r="F156" i="43" s="1"/>
  <c r="F173" i="43" l="1"/>
  <c r="F176" i="43" s="1"/>
  <c r="F165" i="43"/>
  <c r="F166" i="43" s="1"/>
  <c r="F191" i="43"/>
  <c r="F195" i="43"/>
  <c r="M204" i="43"/>
  <c r="F194" i="43"/>
  <c r="F193" i="43"/>
  <c r="F192" i="43"/>
  <c r="F174" i="43" l="1"/>
  <c r="F175" i="43"/>
  <c r="F184" i="43"/>
  <c r="E144" i="43"/>
  <c r="E142" i="43"/>
  <c r="E226" i="43" l="1"/>
  <c r="F218" i="43"/>
  <c r="E139" i="43"/>
  <c r="F129" i="43"/>
  <c r="F120" i="43"/>
  <c r="F121" i="43" s="1"/>
  <c r="F113" i="43"/>
  <c r="F112" i="43"/>
  <c r="F108" i="43"/>
  <c r="F104" i="43"/>
  <c r="E93" i="43"/>
  <c r="F87" i="43"/>
  <c r="F84" i="43"/>
  <c r="F83" i="43"/>
  <c r="F82" i="43"/>
  <c r="F81" i="43"/>
  <c r="F80" i="43"/>
  <c r="F71" i="43"/>
  <c r="F89" i="43" s="1"/>
  <c r="F94" i="43" s="1"/>
  <c r="F65" i="43"/>
  <c r="F68" i="43" s="1"/>
  <c r="E59" i="43"/>
  <c r="F58" i="43"/>
  <c r="F63" i="43" s="1"/>
  <c r="E56" i="43"/>
  <c r="E54" i="43"/>
  <c r="F53" i="43"/>
  <c r="F55" i="43" s="1"/>
  <c r="F51" i="43"/>
  <c r="F50" i="43"/>
  <c r="E47" i="43"/>
  <c r="F47" i="43" s="1"/>
  <c r="E46" i="43"/>
  <c r="F46" i="43" s="1"/>
  <c r="E45" i="43"/>
  <c r="F45" i="43" s="1"/>
  <c r="F44" i="43"/>
  <c r="F43" i="43"/>
  <c r="E40" i="43"/>
  <c r="E39" i="43"/>
  <c r="F37" i="43"/>
  <c r="E34" i="43"/>
  <c r="F30" i="43"/>
  <c r="F31" i="43" s="1"/>
  <c r="F28" i="43"/>
  <c r="E27" i="43"/>
  <c r="F27" i="43" s="1"/>
  <c r="E26" i="43"/>
  <c r="F26" i="43" s="1"/>
  <c r="E25" i="43"/>
  <c r="F25" i="43" s="1"/>
  <c r="F16" i="43"/>
  <c r="F19" i="43" s="1"/>
  <c r="F11" i="43"/>
  <c r="F14" i="43" s="1"/>
  <c r="F40" i="43" l="1"/>
  <c r="F17" i="43"/>
  <c r="F21" i="43"/>
  <c r="F34" i="43"/>
  <c r="F133" i="43"/>
  <c r="F134" i="43" s="1"/>
  <c r="F38" i="43"/>
  <c r="F54" i="43"/>
  <c r="F74" i="43"/>
  <c r="F39" i="43"/>
  <c r="F59" i="43"/>
  <c r="F75" i="43"/>
  <c r="F109" i="43"/>
  <c r="F56" i="43"/>
  <c r="F22" i="43"/>
  <c r="F35" i="43"/>
  <c r="F67" i="43"/>
  <c r="F130" i="43"/>
  <c r="F33" i="43"/>
  <c r="F131" i="43"/>
  <c r="F91" i="43"/>
  <c r="F93" i="43"/>
  <c r="F92" i="43"/>
  <c r="F90" i="43"/>
  <c r="F115" i="43"/>
  <c r="F116" i="43"/>
  <c r="F114" i="43"/>
  <c r="F12" i="43"/>
  <c r="F69" i="43"/>
  <c r="F66" i="43"/>
  <c r="F20" i="43"/>
  <c r="F32" i="43"/>
  <c r="F73" i="43"/>
  <c r="F77" i="43"/>
  <c r="F105" i="43"/>
  <c r="F219" i="43"/>
  <c r="F220" i="43"/>
  <c r="F18" i="43"/>
  <c r="F72" i="43"/>
  <c r="F76" i="43"/>
  <c r="F216" i="43" l="1"/>
  <c r="F215" i="43"/>
  <c r="F146" i="43"/>
  <c r="F148" i="43" s="1"/>
  <c r="F225" i="43"/>
  <c r="F222" i="43" s="1"/>
  <c r="F151" i="43"/>
  <c r="F152" i="43"/>
  <c r="F149" i="43"/>
  <c r="F150" i="43"/>
  <c r="F136" i="43"/>
  <c r="F137" i="43" s="1"/>
  <c r="F223" i="43" l="1"/>
  <c r="F226" i="43"/>
  <c r="F138" i="43"/>
  <c r="F123" i="43"/>
  <c r="F139" i="43"/>
  <c r="F147" i="43"/>
  <c r="F124" i="43" l="1"/>
  <c r="F126" i="43"/>
  <c r="F127" i="43"/>
  <c r="F125" i="43"/>
  <c r="F141" i="43"/>
  <c r="F142" i="43" l="1"/>
  <c r="F144" i="43"/>
  <c r="F143" i="43"/>
  <c r="K5" i="43" l="1"/>
</calcChain>
</file>

<file path=xl/sharedStrings.xml><?xml version="1.0" encoding="utf-8"?>
<sst xmlns="http://schemas.openxmlformats.org/spreadsheetml/2006/main" count="464" uniqueCount="251">
  <si>
    <t>კაც/სთ</t>
  </si>
  <si>
    <t>სხვა მანქანები</t>
  </si>
  <si>
    <t>ლარი</t>
  </si>
  <si>
    <t>საერთო სამშენებლო სამუშაოები</t>
  </si>
  <si>
    <t>მასალები</t>
  </si>
  <si>
    <t>ხელფასი</t>
  </si>
  <si>
    <t>ჯამი</t>
  </si>
  <si>
    <t>სულ</t>
  </si>
  <si>
    <t>მ2</t>
  </si>
  <si>
    <t>მ3</t>
  </si>
  <si>
    <t>კგ</t>
  </si>
  <si>
    <t>მასალების ტრანსპორტირება</t>
  </si>
  <si>
    <t xml:space="preserve">დღგ </t>
  </si>
  <si>
    <t>გაუთვალისწინებელი ხარჯები</t>
  </si>
  <si>
    <t>სხვა მასალები</t>
  </si>
  <si>
    <t>სამუშაოს დასახელება</t>
  </si>
  <si>
    <t>ტ</t>
  </si>
  <si>
    <t>მანქ/სთ</t>
  </si>
  <si>
    <t>ოლიფა</t>
  </si>
  <si>
    <t>საფუძველი</t>
  </si>
  <si>
    <t>ნორმატიული რესურსი</t>
  </si>
  <si>
    <t>ტრანსპორტი და მექანიზმები</t>
  </si>
  <si>
    <t>ერთ</t>
  </si>
  <si>
    <t>სახარჯთაღირცხვო ღირებულება:</t>
  </si>
  <si>
    <t>100 მ2</t>
  </si>
  <si>
    <t>შრომითი დანახარჯები</t>
  </si>
  <si>
    <t>100 მ3</t>
  </si>
  <si>
    <t>100 მ</t>
  </si>
  <si>
    <t>14-ტრ-10</t>
  </si>
  <si>
    <t>არასაყოფაცხოვრებო წყალი</t>
  </si>
  <si>
    <t>4-1-337</t>
  </si>
  <si>
    <t>1-9-071</t>
  </si>
  <si>
    <t>13-1-043</t>
  </si>
  <si>
    <t>ამწე საავტომობილო სვლაზე 6.3 ტ-ანი</t>
  </si>
  <si>
    <t>განზომილება</t>
  </si>
  <si>
    <t>11-8-3-4,</t>
  </si>
  <si>
    <t>შრომის დანახარჯი</t>
  </si>
  <si>
    <t>კ/სთ</t>
  </si>
  <si>
    <t>მანქანები</t>
  </si>
  <si>
    <t>ბეტონი მ-200</t>
  </si>
  <si>
    <t>27-19-1.</t>
  </si>
  <si>
    <t>grZ/m</t>
  </si>
  <si>
    <t xml:space="preserve">Sromis danaxarji </t>
  </si>
  <si>
    <t>k/sT</t>
  </si>
  <si>
    <t>sabazro</t>
  </si>
  <si>
    <t>4,1-367</t>
  </si>
  <si>
    <t>qviSa-cementis xsnari m-200</t>
  </si>
  <si>
    <t>m3</t>
  </si>
  <si>
    <t>sxva manqanebi</t>
  </si>
  <si>
    <t>lari</t>
  </si>
  <si>
    <t>sxva masalebi</t>
  </si>
  <si>
    <t>ბორდიურების ქვეშ ბეტონის საფუძვლის მოწყობა სისქით 4 სმ</t>
  </si>
  <si>
    <t>Sromis danaxarji</t>
  </si>
  <si>
    <t>48–18–4</t>
  </si>
  <si>
    <t>m2</t>
  </si>
  <si>
    <t>7-21-10</t>
  </si>
  <si>
    <t>სამონტაჟო დეტალები</t>
  </si>
  <si>
    <t>15-164-8</t>
  </si>
  <si>
    <t>ანტიკოროზიული ზეთოვანი საღებავი</t>
  </si>
  <si>
    <t>1,9-68</t>
  </si>
  <si>
    <t>ცალი</t>
  </si>
  <si>
    <t>4-1-228</t>
  </si>
  <si>
    <t>cali</t>
  </si>
  <si>
    <t>Sromis danaxarjebi</t>
  </si>
  <si>
    <t>პრო</t>
  </si>
  <si>
    <t>1-80-3</t>
  </si>
  <si>
    <t>თავი I. არქიტექტურული ნაწილი</t>
  </si>
  <si>
    <t>თავი III.  გარე განათების სამუშაოები</t>
  </si>
  <si>
    <t>1-80-3.</t>
  </si>
  <si>
    <r>
      <t>m</t>
    </r>
    <r>
      <rPr>
        <vertAlign val="superscript"/>
        <sz val="9"/>
        <color theme="1"/>
        <rFont val="AcadNusx"/>
      </rPr>
      <t>3</t>
    </r>
  </si>
  <si>
    <t>23-1-1.</t>
  </si>
  <si>
    <t>4,1-233</t>
  </si>
  <si>
    <t>ქვიშა samSeneblo</t>
  </si>
  <si>
    <t>1-81-2</t>
  </si>
  <si>
    <t>თხრილის ამovseba moWrili gruntiT</t>
  </si>
  <si>
    <t>33-303.</t>
  </si>
  <si>
    <t>2,1-48</t>
  </si>
  <si>
    <t>jami</t>
  </si>
  <si>
    <t xml:space="preserve">zednadebi xarjebi </t>
  </si>
  <si>
    <t>gegmiuri dagroveba</t>
  </si>
  <si>
    <t xml:space="preserve">jami </t>
  </si>
  <si>
    <t>8-617-2</t>
  </si>
  <si>
    <t>21-16-1</t>
  </si>
  <si>
    <t>plasmasis gofrirebuli saizolacio milebis montaJi (pro.mix)</t>
  </si>
  <si>
    <t>8-392-1.</t>
  </si>
  <si>
    <t>m</t>
  </si>
  <si>
    <t xml:space="preserve"> jami</t>
  </si>
  <si>
    <t xml:space="preserve">zednadebi xarjebi xelfasebidan </t>
  </si>
  <si>
    <t>75%</t>
  </si>
  <si>
    <t>8%</t>
  </si>
  <si>
    <t>3%</t>
  </si>
  <si>
    <t>18%</t>
  </si>
  <si>
    <t>10%.</t>
  </si>
  <si>
    <t>qviSa-Slami სისქით 15 სმ (mcenareuli miwa)</t>
  </si>
  <si>
    <t>48-18-6</t>
  </si>
  <si>
    <t xml:space="preserve">gazonis mowyoba beltiT </t>
  </si>
  <si>
    <t>SromiTi resursebi</t>
  </si>
  <si>
    <t>_ wyali</t>
  </si>
  <si>
    <t>_ sabaRe gazoni /belti</t>
  </si>
  <si>
    <t>kac/sT</t>
  </si>
  <si>
    <r>
      <t>m</t>
    </r>
    <r>
      <rPr>
        <vertAlign val="superscript"/>
        <sz val="9"/>
        <rFont val="AcadNusx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</si>
  <si>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9"/>
        <rFont val="AcadNusx"/>
      </rPr>
      <t>3</t>
    </r>
  </si>
  <si>
    <t>5%.</t>
  </si>
  <si>
    <t>მ³</t>
  </si>
  <si>
    <t>13-1-229</t>
  </si>
  <si>
    <t>მოსარწყავ-მოსარეცხი მანქანა 6000 ლ-ანი</t>
  </si>
  <si>
    <t>100 მ³</t>
  </si>
  <si>
    <t>13-1-222</t>
  </si>
  <si>
    <t>სატკეპნი საგზაო თვითმავალი პნევმოსვლაზე 18 ტ-ანი</t>
  </si>
  <si>
    <t>48-5-4</t>
  </si>
  <si>
    <t>kviparosi</t>
  </si>
  <si>
    <t>4-1-322</t>
  </si>
  <si>
    <t>6-1-20.</t>
  </si>
  <si>
    <t>ბეტონი მ-250</t>
  </si>
  <si>
    <t>ლითონის ღობის მოწყობა (პროექტის მიხედვით)</t>
  </si>
  <si>
    <t>7-22-1</t>
  </si>
  <si>
    <t>100 ც</t>
  </si>
  <si>
    <t>ელექტროდი შედუღების</t>
  </si>
  <si>
    <t>ჭანჭიკი სამშენებლო</t>
  </si>
  <si>
    <t>ანჯამა კარების</t>
  </si>
  <si>
    <t>ც</t>
  </si>
  <si>
    <t>პროექტი</t>
  </si>
  <si>
    <t>კარის საკეტი</t>
  </si>
  <si>
    <t>ზემოაღნიშნული ლითონის ღობის da WiSkris შეღებვა ანტიკოროზიული საღებავით ორჯერ</t>
  </si>
  <si>
    <t>c</t>
  </si>
  <si>
    <t>8-477-2</t>
  </si>
  <si>
    <t>grZ.m.</t>
  </si>
  <si>
    <t>foladis  zolovana 40X3 mm</t>
  </si>
  <si>
    <t>grZ.m</t>
  </si>
  <si>
    <t>glinula d-8 mm</t>
  </si>
  <si>
    <t>armatura d-18 mm</t>
  </si>
  <si>
    <t>8%.</t>
  </si>
  <si>
    <t>sanaTebis mowyoba (pro.mix)</t>
  </si>
  <si>
    <t>jami თავი I+II</t>
  </si>
  <si>
    <t>N</t>
  </si>
  <si>
    <t>ზედმეტი გრუნტის განატანა ნაყარში 10 კმ-მდე</t>
  </si>
  <si>
    <t>ბილიკების ადგილზე ქვიშა-ხრეშის საფუძვლის მოწყობა სისქით 15 სმ (ჩატკეპნით)</t>
  </si>
  <si>
    <t>27-7-2.</t>
  </si>
  <si>
    <t>ავტოგრეიდერი მინიმუმ საშუალო ტიპის 79 კვტ</t>
  </si>
  <si>
    <t>27-20-3</t>
  </si>
  <si>
    <t xml:space="preserve">Sromis danaxarjebi </t>
  </si>
  <si>
    <t xml:space="preserve">sxva manqana </t>
  </si>
  <si>
    <t>kbm</t>
  </si>
  <si>
    <t>sxva masala</t>
  </si>
  <si>
    <t>ქვიშა-ცემენტის ხსნარი წყობის მ-200</t>
  </si>
  <si>
    <t>27-44-1</t>
  </si>
  <si>
    <t>ბეტონი B-15 (მ-200)</t>
  </si>
  <si>
    <t>მონოლითური ბეტონის ბილიკების მოწყობა  სისქით 4 სმ (პროეტის მიხედვით)</t>
  </si>
  <si>
    <t>ბილიკებზე ბეტონის ფილების მოწყობა</t>
  </si>
  <si>
    <t>სრფ</t>
  </si>
  <si>
    <t>6-1-13.</t>
  </si>
  <si>
    <t>betoni m-250</t>
  </si>
  <si>
    <t>liTonis Robe (pro.mix)</t>
  </si>
  <si>
    <t>ლითონის ჭიშკრის მოწყობა (პროექტის მიხედვით)</t>
  </si>
  <si>
    <t>ტირიფები</t>
  </si>
  <si>
    <t>ნაძვის ხე</t>
  </si>
  <si>
    <t>ხის საბაღე ანაკრები სკამების მონტაჟი საზურგე ინვენტარით (პრო.მიხ)</t>
  </si>
  <si>
    <t>III kategoriis gruntis gaTxra xeliT el. სadenebis arxis gasayvanad და ბოძების მოსაწყობად</t>
  </si>
  <si>
    <t>გარე განათებისთვის betonis wertilovani saZirkvlebis mowyoba kveTiT 0,4X0,4X0,60 m</t>
  </si>
  <si>
    <t>liTonis მილი (პროექტის მიხედვით)</t>
  </si>
  <si>
    <t>damiwebis konturis mowyoba ყველა ლითონის დგართან</t>
  </si>
  <si>
    <t>მილის შემოსვა ქვიშის ფენაში, საერთო სისქით 20 სმ</t>
  </si>
  <si>
    <t xml:space="preserve">damiwebis foladis eleqtrodi  </t>
  </si>
  <si>
    <t>sabaRe sanaTebis mowyoba სკვერის ტერიტორიაზე (pro.mix)</t>
  </si>
  <si>
    <t xml:space="preserve">სკვერის ტერიტორიაზე განათების ლითონის ბოძების მოწყობა </t>
  </si>
  <si>
    <t>plasmasis gofrirebuli milebi დ-25 მმ</t>
  </si>
  <si>
    <t>ქვიშა-ხრეში  (კ-1,22)</t>
  </si>
  <si>
    <t>III კატ. გრუნტის გათხრა ხელით, ბორდიურების, ბილიკების და Robis მოსაწყობად, ავტოთვითმცლელზე დატვირთვით  (პრო.მიხ)</t>
  </si>
  <si>
    <t>ბეტონის ფერადი filebi სისქით 3 სმ</t>
  </si>
  <si>
    <t>ლითონის ღობისთვის და ჭიშკრებისთვის  მონოლითური ბეტონის ლენტური საძირკვლისა და ზეძირკვლის მოწყობა (პრო. მიხ)</t>
  </si>
  <si>
    <t>liTonis მხატვრული ჭიშკარი (ღობის სქემისდა მიხედვით)</t>
  </si>
  <si>
    <t>ხის სანაგვე ურნები (პრო.მიხ)</t>
  </si>
  <si>
    <t>6_16-1</t>
  </si>
  <si>
    <t>kub.m.</t>
  </si>
  <si>
    <t>27-04-016-01</t>
  </si>
  <si>
    <t>1000 მ2</t>
  </si>
  <si>
    <t>ГЭСН</t>
  </si>
  <si>
    <t xml:space="preserve">გეოტექსტილი </t>
  </si>
  <si>
    <t>11-01-056-03</t>
  </si>
  <si>
    <t>ატრაქციონზე კაუჩუკის საფარის მოწყობა (პროექტის მიხედვით)</t>
  </si>
  <si>
    <t>ბიტუმის ემულსია</t>
  </si>
  <si>
    <t>საფითხნი პოლიმერული</t>
  </si>
  <si>
    <t>პოლირეტანის წებო ორკომპონენტიანი</t>
  </si>
  <si>
    <t>კაუჩუკის დეკორატიული საფარი (2.0 სმ. სისქის)</t>
  </si>
  <si>
    <r>
      <t>m</t>
    </r>
    <r>
      <rPr>
        <vertAlign val="superscript"/>
        <sz val="9"/>
        <rFont val="AcadNusx"/>
      </rPr>
      <t>2</t>
    </r>
  </si>
  <si>
    <t xml:space="preserve">ელ. სადენი სპილენძის, კვეთით  5X6 mm </t>
  </si>
  <si>
    <t>ganaTebisTvis ელ.კაბელebის მოწყობა გარე ქსელთან მიერთებით</t>
  </si>
  <si>
    <t xml:space="preserve">სპილენძის kabeli 2X2,5 mm </t>
  </si>
  <si>
    <t>aRniSnul adgilze Semotanili gruntis gaSla-mosworeba ხელით, სისქით 15 სმ (proeqtis mix)</t>
  </si>
  <si>
    <t>13-18-3.</t>
  </si>
  <si>
    <t>ganaTebis liTonis boZebis SeRebva 2-jer</t>
  </si>
  <si>
    <t>zeTovani saRebavi antikoroziuli</t>
  </si>
  <si>
    <t>kg</t>
  </si>
  <si>
    <t>olifa</t>
  </si>
  <si>
    <t>6-1-5</t>
  </si>
  <si>
    <t>liTonis dgarebis wertilovani saZirkvlebis mowyoba</t>
  </si>
  <si>
    <r>
      <t>m</t>
    </r>
    <r>
      <rPr>
        <b/>
        <vertAlign val="superscript"/>
        <sz val="9"/>
        <rFont val="AcadNusx"/>
      </rPr>
      <t>3</t>
    </r>
  </si>
  <si>
    <t>yalibis fari</t>
  </si>
  <si>
    <t>xe masala</t>
  </si>
  <si>
    <r>
      <t xml:space="preserve">armatura </t>
    </r>
    <r>
      <rPr>
        <sz val="9"/>
        <color rgb="FFFF0000"/>
        <rFont val="Times New Roman"/>
        <family val="1"/>
        <charset val="204"/>
      </rPr>
      <t xml:space="preserve">A-III  </t>
    </r>
  </si>
  <si>
    <t>tn.</t>
  </si>
  <si>
    <r>
      <t xml:space="preserve">armatura </t>
    </r>
    <r>
      <rPr>
        <sz val="9"/>
        <color rgb="FFFF0000"/>
        <rFont val="Times New Roman"/>
        <family val="1"/>
        <charset val="204"/>
      </rPr>
      <t>A-I</t>
    </r>
    <r>
      <rPr>
        <sz val="11"/>
        <color theme="1"/>
        <rFont val="Calibri"/>
        <family val="2"/>
        <charset val="1"/>
        <scheme val="minor"/>
      </rPr>
      <t/>
    </r>
  </si>
  <si>
    <t>gadaxurvis liTonis konstruqciis montaJi</t>
  </si>
  <si>
    <t>liTonis kv mili 110*110*6 20g/m</t>
  </si>
  <si>
    <t>tn</t>
  </si>
  <si>
    <t>liTonis kv mili 40*40*3  80g/m</t>
  </si>
  <si>
    <t>foladis furceli  6mm 0,53kvm</t>
  </si>
  <si>
    <t>liTonis marTkuTxa mili 80*60*3  72m</t>
  </si>
  <si>
    <t>foladis furceli  3mm 0,10kvm</t>
  </si>
  <si>
    <t xml:space="preserve">sul liTonis konstruqcia </t>
  </si>
  <si>
    <t>9-10-2</t>
  </si>
  <si>
    <t>liTonis svetebisa da
fermebis damontaJeba (proeqtiT)</t>
  </si>
  <si>
    <t>0471</t>
  </si>
  <si>
    <t>avtoamwe krani 25tn</t>
  </si>
  <si>
    <t>manq/sT</t>
  </si>
  <si>
    <t>gafarToebadTaviani ankeri, diametriT 12 mm, sigrZiT 150 mm</t>
  </si>
  <si>
    <t>eleqtrodi</t>
  </si>
  <si>
    <t>15-164-7</t>
  </si>
  <si>
    <t>liTonis konstruqciebis antikoroziuli
damuSaveba</t>
  </si>
  <si>
    <t>100 kvm</t>
  </si>
  <si>
    <t>manqanebi</t>
  </si>
  <si>
    <t>antikoroziuli laqi</t>
  </si>
  <si>
    <t>12-6-3</t>
  </si>
  <si>
    <t>gadaxurvis mowyoba gamWvirvale karboluqsis  furcliT (nacrisferi,   8-10mm sisqis)</t>
  </si>
  <si>
    <t>karboluqsis  furceli (nacrisferi, 8-10mm sisqis)</t>
  </si>
  <si>
    <t>kvm</t>
  </si>
  <si>
    <t>sWvali Tunuqis</t>
  </si>
  <si>
    <t>samSeneblo WanWiki</t>
  </si>
  <si>
    <t>Tavi 2. sportuli trenaJorebi</t>
  </si>
  <si>
    <t>s.f.</t>
  </si>
  <si>
    <t>Tavi1V. trenaJorebis gadaxurvis mowyoba</t>
  </si>
  <si>
    <t>ტყიბულის მუნიციპალიტეტში, გორგასლის ქუჩაზე სკვერის მოწყობა</t>
  </si>
  <si>
    <t xml:space="preserve">ბეტონის bordiuri kveTiT: 10X20 sm, </t>
  </si>
  <si>
    <t>ლითონის საბავშო ატრაქციონის და აიწონა-დაიწონას მოწყობა (პრო.მიხ)</t>
  </si>
  <si>
    <t>ატრაქციონის და ტრენაჟორის ტერიტორიაზე ჰიდროიზოლაციის მოწყობა გეოტექსტილით</t>
  </si>
  <si>
    <t>atraqcionis da ტრენაჟორის safaris mosawyobad  მონოლითური ბეტონის ფენილის მოწყობა sisqiT 10 sm</t>
  </si>
  <si>
    <t>betoni m-200</t>
  </si>
  <si>
    <t>invoisi</t>
  </si>
  <si>
    <t>ბილიკების garSemo bordiuris mowyoba (პრო.მიხ)</t>
  </si>
  <si>
    <t>(ინსპექტირების შედეგად დაკორექტირებული ხარჯთაღრიცხვა)</t>
  </si>
  <si>
    <t xml:space="preserve">სკვერის ტერიტორიაზე mcire simaRlis mwvane nargavebis dargva </t>
  </si>
  <si>
    <t xml:space="preserve">ტრენაჟორი „ნიჩბოსანი“ 
miwodeba-montaJi (Sesabamisi masalebisa da samuSaoebis Rirebulebis gaTvaliswinebiT) eskizis Sesabamisad გაბარიტული ზომები: სიგრძე სმ. 124 სიგანე, სმ. 79 სიმაღლე, სმ. 102მომხმარებლის მაქსიმალური წონა, კგ. 150                 </t>
  </si>
  <si>
    <t>ტრენაჟორი „სხეულის ამზიდი“   
miwodeba-montaJi (Sesabamisi masalebisa da samuSaoebis Rirebulebis gaTvaliswinebiT) eskizis Sesabamisad გაბარიტული ზომები: სიგრძე სმ. 101,5 სიგანე, სმ. 78 სიმაღლე, სმ. 180,5მომხმარებლის მაქსიმალური წონა, კგ. 150</t>
  </si>
  <si>
    <t xml:space="preserve">ტრენაჟორი „აზიდვა მკერდიდან“ 
miwodeba-montaJi (Sesabamisi masalebisa da samuSaoebis Rirebulebis gaTvaliswinebiT) eskizis Sesabamisad გაბარიტული ზომები: სიგრძე სმ. 108 სიგანე, სმ. 78 სიმაღლე, სმ. 180,5მომხმარებლის მაქსიმალური წონა, კგ. 150              </t>
  </si>
  <si>
    <t xml:space="preserve">ტრენაჟორი „მიზიდვა მკერდისაკენ“
miwodeba-montaJi (Sesabamisi masalebisa da samuSaoebis Rirebulebis gaTvaliswinebiT) eskizis Sesabamisad გაბარიტული ზომები: სიგრძე სმ. 106 სიგანე, სმ. 78 სიმაღლე, სმ. 116,5მომხმარებლის მაქსიმალური წონა, კგ. 150              </t>
  </si>
  <si>
    <t xml:space="preserve">ტრენაჟორი „აზიდვა ფეხებით“ 
miwodeba-montaJi (Sesabamisi masalebisa da samuSaoebis Rirebulebis gaTvaliswinebiT) eskizis Sesabamisad  გაბარიტული ზომები: სიგრძე სმ. 131 სიგანე, სმ. 54 სიმაღლე, სმ. 126,5 მომხმარებლის მაქსიმალური წონა, კგ. 150  </t>
  </si>
  <si>
    <t xml:space="preserve">ტრენაჟორი „ტვისტერი“ 
miwodeba-montaJi (Sesabamisi masalebisa da samuSaoebis Rirebulebis gaTvaliswinebiT) eskizis Sesabamisad გაბარიტული ზომები: სიგრძე სმ. 76 სიგანე, სმ. 63,5 სიმაღლე, სმ. 120მომხმარებლის მაქსიმალური წონა, კგ. 150                    </t>
  </si>
  <si>
    <t>ტრენაჟორი „ელიფტური“       
miwodeba-montaJi (Sesabamisi masalebisa da samuSaoebis Rirebulebis gaTvaliswinebiT) eskizis Sesabamisad გაბარიტული ზომები: სიგრძე სმ. 148,5 სიგანე, სმ. 72,7 სიმაღლე, სმ. 163,5მომხმარებლის მაქსიმალური წონა, კგ. 150</t>
  </si>
  <si>
    <t>ტრენაჟორი „მუცლის კუნთებისათვის“ 
miwodeba-montaJi (Sesabamisi masalebisa da samuSaoebis Rirebulebis gaTvaliswinebiT) eskizis Sesabamisad გაბარიტული ზომები: სიგრძე სმ. 98,2 სიგანე, სმ. 44,3 სიმაღლე, სმ. 54,9მომხმარებლის მაქსიმალური წონა, კგ. 150</t>
  </si>
  <si>
    <t>ტრენაჟორი „ქანქარა - წელის კორექციისთვის"
miwodeba-montaJi (Sesabamisi masalebisa da samuSaoebis Rirebulebis gaTvaliswinebiT) eskizis Sesabamisad გაბარიტული ზომები: სიგრძე სმ. 74 სიგანე, სმ. 76 სიმაღლე, სმ. 120მომხმარებლის მაქსიმალური წონა, კგ. 150</t>
  </si>
  <si>
    <t xml:space="preserve">ტრენაჟორი „ორმხრივი ძელი“  
miwodeba-montaJi (Sesabamisi masalebisa da samuSaoebis Rirebulebis gaTvaliswinebiT) eskizis Sesabamisad გაბარიტული ზომები: სიგრძე სმ. 140 სიგანე, სმ. 65 სიმაღლე, სმ. 150მომხმარებლის მაქსიმალური წონა, კგ. 150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</si>
</sst>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#,##0.0000"/>
    <numFmt numFmtId="168" formatCode="#,##0.000"/>
    <numFmt numFmtId="169" formatCode="0;\-0;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b/>
      <sz val="9"/>
      <name val="AcadNusx"/>
    </font>
    <font>
      <sz val="10"/>
      <name val="Arial Cyr"/>
      <charset val="204"/>
    </font>
    <font>
      <vertAlign val="superscript"/>
      <sz val="9"/>
      <color theme="1"/>
      <name val="AcadNusx"/>
    </font>
    <font>
      <b/>
      <sz val="9"/>
      <color rgb="FFFF0000"/>
      <name val="AcadNusx"/>
    </font>
    <font>
      <vertAlign val="superscript"/>
      <sz val="9"/>
      <name val="AcadNusx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9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2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  <charset val="204"/>
    </font>
    <font>
      <sz val="9"/>
      <name val="Sylfaen"/>
      <family val="1"/>
      <charset val="204"/>
    </font>
    <font>
      <b/>
      <vertAlign val="superscript"/>
      <sz val="9"/>
      <name val="AcadNusx"/>
    </font>
    <font>
      <sz val="9"/>
      <color rgb="FFFF0000"/>
      <name val="AcadNusx"/>
    </font>
    <font>
      <sz val="9"/>
      <color rgb="FFFF0000"/>
      <name val="Times New Roman"/>
      <family val="1"/>
      <charset val="204"/>
    </font>
    <font>
      <sz val="9"/>
      <color rgb="FF000000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0" fillId="0" borderId="0"/>
    <xf numFmtId="0" fontId="21" fillId="0" borderId="0"/>
    <xf numFmtId="0" fontId="3" fillId="0" borderId="0"/>
    <xf numFmtId="0" fontId="2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3" applyFont="1" applyFill="1" applyBorder="1" applyAlignment="1">
      <alignment horizontal="center"/>
    </xf>
    <xf numFmtId="168" fontId="16" fillId="0" borderId="1" xfId="1" applyNumberFormat="1" applyFont="1" applyFill="1" applyBorder="1" applyAlignment="1">
      <alignment horizontal="center" vertical="center" shrinkToFit="1"/>
    </xf>
    <xf numFmtId="4" fontId="13" fillId="0" borderId="1" xfId="1" applyNumberFormat="1" applyFont="1" applyFill="1" applyBorder="1" applyAlignment="1">
      <alignment horizontal="center" vertical="center" shrinkToFit="1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shrinkToFit="1"/>
    </xf>
    <xf numFmtId="4" fontId="13" fillId="0" borderId="1" xfId="14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distributed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 applyProtection="1">
      <alignment horizontal="left" vertical="distributed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0" fontId="17" fillId="0" borderId="1" xfId="7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distributed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2" fontId="5" fillId="0" borderId="1" xfId="0" applyNumberFormat="1" applyFont="1" applyFill="1" applyBorder="1" applyAlignment="1">
      <alignment horizontal="left" vertical="distributed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/>
    </xf>
    <xf numFmtId="4" fontId="13" fillId="0" borderId="1" xfId="11" applyNumberFormat="1" applyFont="1" applyFill="1" applyBorder="1" applyAlignment="1">
      <alignment horizontal="center" vertical="center" shrinkToFit="1"/>
    </xf>
    <xf numFmtId="49" fontId="17" fillId="0" borderId="1" xfId="15" applyNumberFormat="1" applyFont="1" applyFill="1" applyBorder="1" applyAlignment="1">
      <alignment horizontal="center" vertical="center"/>
    </xf>
    <xf numFmtId="0" fontId="17" fillId="0" borderId="1" xfId="14" applyFont="1" applyFill="1" applyBorder="1" applyAlignment="1">
      <alignment horizontal="left" vertical="center"/>
    </xf>
    <xf numFmtId="0" fontId="27" fillId="0" borderId="1" xfId="0" quotePrefix="1" applyFont="1" applyFill="1" applyBorder="1" applyAlignment="1">
      <alignment horizontal="center" vertical="center" wrapText="1"/>
    </xf>
    <xf numFmtId="0" fontId="28" fillId="0" borderId="1" xfId="0" quotePrefix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169" fontId="23" fillId="0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4" fontId="17" fillId="0" borderId="1" xfId="5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/>
    </xf>
    <xf numFmtId="16" fontId="1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" fontId="29" fillId="0" borderId="1" xfId="5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distributed"/>
    </xf>
    <xf numFmtId="4" fontId="17" fillId="0" borderId="1" xfId="24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distributed"/>
    </xf>
    <xf numFmtId="4" fontId="17" fillId="0" borderId="1" xfId="3" applyNumberFormat="1" applyFont="1" applyFill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distributed"/>
    </xf>
    <xf numFmtId="2" fontId="7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justify" wrapText="1"/>
    </xf>
    <xf numFmtId="49" fontId="8" fillId="0" borderId="1" xfId="7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2" fillId="0" borderId="1" xfId="7" applyNumberFormat="1" applyFont="1" applyFill="1" applyBorder="1" applyAlignment="1">
      <alignment vertical="center" wrapText="1"/>
    </xf>
    <xf numFmtId="2" fontId="32" fillId="0" borderId="1" xfId="7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distributed"/>
    </xf>
    <xf numFmtId="2" fontId="7" fillId="0" borderId="0" xfId="0" applyNumberFormat="1" applyFont="1" applyFill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25">
    <cellStyle name="Comma 12 2" xfId="6"/>
    <cellStyle name="Normal 10" xfId="22"/>
    <cellStyle name="Normal 11 2" xfId="3"/>
    <cellStyle name="Normal 13 3 3" xfId="4"/>
    <cellStyle name="Normal 13 5 3 3" xfId="8"/>
    <cellStyle name="Normal 2" xfId="9"/>
    <cellStyle name="Normal 2 11" xfId="10"/>
    <cellStyle name="Normal 2 3" xfId="5"/>
    <cellStyle name="Normal 3" xfId="2"/>
    <cellStyle name="Normal_Book1_1" xfId="20"/>
    <cellStyle name="Normal_gare wyalsadfenigagarini 10" xfId="24"/>
    <cellStyle name="Normal_mTisZiris q. keTilmowyoba" xfId="13"/>
    <cellStyle name="Percent 2" xfId="23"/>
    <cellStyle name="silfain" xfId="18"/>
    <cellStyle name="Обычный" xfId="0" builtinId="0"/>
    <cellStyle name="Обычный 2" xfId="7"/>
    <cellStyle name="Обычный 2 2" xfId="19"/>
    <cellStyle name="Обычный 2 2 2" xfId="16"/>
    <cellStyle name="Обычный 2 3 2" xfId="15"/>
    <cellStyle name="Обычный 3" xfId="12"/>
    <cellStyle name="Обычный 4" xfId="14"/>
    <cellStyle name="Обычный 4 2" xfId="17"/>
    <cellStyle name="Обычный_Лист1" xfId="11"/>
    <cellStyle name="Финансовый" xfId="1" builtinId="3"/>
    <cellStyle name="ჩვეულებრივი 2 2 2" xfId="21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0066"/>
      <color rgb="FFD60093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242"/>
  <sheetViews>
    <sheetView tabSelected="1" view="pageBreakPreview" zoomScale="120" zoomScaleNormal="120" zoomScaleSheetLayoutView="120" workbookViewId="0">
      <selection activeCell="H11" sqref="H11"/>
    </sheetView>
  </sheetViews>
  <sheetFormatPr defaultColWidth="8.85546875" defaultRowHeight="12.75" x14ac:dyDescent="0.25"/>
  <cols>
    <col min="1" max="1" width="5.5703125" style="96" customWidth="1"/>
    <col min="2" max="2" width="12.7109375" style="162" customWidth="1"/>
    <col min="3" max="3" width="76.42578125" style="90" customWidth="1"/>
    <col min="4" max="4" width="8.7109375" style="54" customWidth="1"/>
    <col min="5" max="5" width="9.140625" style="54" customWidth="1"/>
    <col min="6" max="6" width="10.85546875" style="54" customWidth="1"/>
    <col min="7" max="7" width="8.5703125" style="55" customWidth="1"/>
    <col min="8" max="8" width="10.28515625" style="54" customWidth="1"/>
    <col min="9" max="10" width="10" style="54" customWidth="1"/>
    <col min="11" max="11" width="9.7109375" style="54" customWidth="1"/>
    <col min="12" max="13" width="9.5703125" style="54" customWidth="1"/>
    <col min="14" max="14" width="11" style="98" bestFit="1" customWidth="1"/>
    <col min="15" max="42" width="8.85546875" style="98"/>
    <col min="43" max="16384" width="8.85546875" style="99"/>
  </cols>
  <sheetData>
    <row r="1" spans="1:42" s="94" customFormat="1" ht="30" customHeight="1" x14ac:dyDescent="0.25">
      <c r="A1" s="92"/>
      <c r="B1" s="200" t="s">
        <v>231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2" s="94" customFormat="1" ht="18.75" customHeight="1" x14ac:dyDescent="0.25">
      <c r="A2" s="92"/>
      <c r="B2" s="201" t="s">
        <v>239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42" s="94" customFormat="1" x14ac:dyDescent="0.25">
      <c r="A3" s="9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</row>
    <row r="4" spans="1:42" s="94" customFormat="1" ht="15.75" customHeight="1" x14ac:dyDescent="0.25">
      <c r="A4" s="92"/>
      <c r="B4" s="201" t="s">
        <v>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2" s="94" customFormat="1" ht="15" customHeight="1" x14ac:dyDescent="0.25">
      <c r="A5" s="92"/>
      <c r="B5" s="163"/>
      <c r="C5" s="95"/>
      <c r="D5" s="164"/>
      <c r="E5" s="164"/>
      <c r="F5" s="21"/>
      <c r="G5" s="164"/>
      <c r="H5" s="202" t="s">
        <v>23</v>
      </c>
      <c r="I5" s="202"/>
      <c r="J5" s="202"/>
      <c r="K5" s="163">
        <f>M238</f>
        <v>0</v>
      </c>
      <c r="L5" s="163" t="s">
        <v>2</v>
      </c>
      <c r="M5" s="16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</row>
    <row r="6" spans="1:42" x14ac:dyDescent="0.25">
      <c r="B6" s="23"/>
      <c r="C6" s="59"/>
      <c r="D6" s="164"/>
      <c r="E6" s="164"/>
      <c r="F6" s="21"/>
      <c r="G6" s="22"/>
      <c r="H6" s="22"/>
      <c r="I6" s="22"/>
      <c r="J6" s="22"/>
      <c r="K6" s="23"/>
      <c r="L6" s="23"/>
      <c r="M6" s="97"/>
    </row>
    <row r="7" spans="1:42" ht="45.75" customHeight="1" x14ac:dyDescent="0.25">
      <c r="A7" s="195" t="s">
        <v>134</v>
      </c>
      <c r="B7" s="197" t="s">
        <v>19</v>
      </c>
      <c r="C7" s="197" t="s">
        <v>15</v>
      </c>
      <c r="D7" s="198" t="s">
        <v>34</v>
      </c>
      <c r="E7" s="198" t="s">
        <v>20</v>
      </c>
      <c r="F7" s="198"/>
      <c r="G7" s="197" t="s">
        <v>4</v>
      </c>
      <c r="H7" s="197"/>
      <c r="I7" s="197" t="s">
        <v>5</v>
      </c>
      <c r="J7" s="197"/>
      <c r="K7" s="198" t="s">
        <v>21</v>
      </c>
      <c r="L7" s="198"/>
      <c r="M7" s="197" t="s">
        <v>6</v>
      </c>
    </row>
    <row r="8" spans="1:42" ht="24" customHeight="1" x14ac:dyDescent="0.25">
      <c r="A8" s="196"/>
      <c r="B8" s="197"/>
      <c r="C8" s="197"/>
      <c r="D8" s="198"/>
      <c r="E8" s="160" t="s">
        <v>22</v>
      </c>
      <c r="F8" s="160" t="s">
        <v>7</v>
      </c>
      <c r="G8" s="160" t="s">
        <v>22</v>
      </c>
      <c r="H8" s="160" t="s">
        <v>7</v>
      </c>
      <c r="I8" s="160" t="s">
        <v>22</v>
      </c>
      <c r="J8" s="160" t="s">
        <v>7</v>
      </c>
      <c r="K8" s="160" t="s">
        <v>22</v>
      </c>
      <c r="L8" s="160" t="s">
        <v>7</v>
      </c>
      <c r="M8" s="197"/>
    </row>
    <row r="9" spans="1:42" ht="15.75" customHeight="1" x14ac:dyDescent="0.25">
      <c r="A9" s="100"/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</row>
    <row r="10" spans="1:42" ht="18.75" customHeight="1" x14ac:dyDescent="0.25">
      <c r="A10" s="100"/>
      <c r="B10" s="160"/>
      <c r="C10" s="160" t="s">
        <v>66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42" s="98" customFormat="1" ht="31.5" customHeight="1" x14ac:dyDescent="0.25">
      <c r="A11" s="100">
        <v>1</v>
      </c>
      <c r="B11" s="160" t="s">
        <v>65</v>
      </c>
      <c r="C11" s="60" t="s">
        <v>167</v>
      </c>
      <c r="D11" s="160" t="s">
        <v>9</v>
      </c>
      <c r="E11" s="160"/>
      <c r="F11" s="160">
        <f>F42*0.3*0.7</f>
        <v>23.309999999999995</v>
      </c>
      <c r="G11" s="3"/>
      <c r="H11" s="3"/>
      <c r="I11" s="3"/>
      <c r="J11" s="3"/>
      <c r="K11" s="3"/>
      <c r="L11" s="3"/>
      <c r="M11" s="3"/>
    </row>
    <row r="12" spans="1:42" s="98" customFormat="1" x14ac:dyDescent="0.25">
      <c r="A12" s="100"/>
      <c r="B12" s="160"/>
      <c r="C12" s="4" t="s">
        <v>25</v>
      </c>
      <c r="D12" s="2" t="s">
        <v>0</v>
      </c>
      <c r="E12" s="101">
        <v>2.06</v>
      </c>
      <c r="F12" s="2">
        <f>E12*F11</f>
        <v>48.018599999999992</v>
      </c>
      <c r="G12" s="3"/>
      <c r="H12" s="2"/>
      <c r="I12" s="2"/>
      <c r="J12" s="3"/>
      <c r="K12" s="2"/>
      <c r="L12" s="2"/>
      <c r="M12" s="3"/>
    </row>
    <row r="13" spans="1:42" s="98" customFormat="1" x14ac:dyDescent="0.25">
      <c r="A13" s="100"/>
      <c r="B13" s="160"/>
      <c r="C13" s="4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42" s="98" customFormat="1" ht="18.75" customHeight="1" x14ac:dyDescent="0.25">
      <c r="A14" s="100">
        <v>2</v>
      </c>
      <c r="B14" s="160" t="s">
        <v>28</v>
      </c>
      <c r="C14" s="62" t="s">
        <v>135</v>
      </c>
      <c r="D14" s="160" t="s">
        <v>16</v>
      </c>
      <c r="E14" s="102"/>
      <c r="F14" s="160">
        <f>F11*1.6</f>
        <v>37.295999999999992</v>
      </c>
      <c r="G14" s="25"/>
      <c r="H14" s="3"/>
      <c r="I14" s="25"/>
      <c r="J14" s="3"/>
      <c r="K14" s="2"/>
      <c r="L14" s="2"/>
      <c r="M14" s="2"/>
    </row>
    <row r="15" spans="1:42" s="103" customFormat="1" x14ac:dyDescent="0.25">
      <c r="A15" s="100"/>
      <c r="B15" s="1"/>
      <c r="C15" s="50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42" s="103" customFormat="1" ht="24" customHeight="1" x14ac:dyDescent="0.25">
      <c r="A16" s="100">
        <v>3</v>
      </c>
      <c r="B16" s="104" t="s">
        <v>137</v>
      </c>
      <c r="C16" s="63" t="s">
        <v>136</v>
      </c>
      <c r="D16" s="64" t="s">
        <v>106</v>
      </c>
      <c r="E16" s="105"/>
      <c r="F16" s="17">
        <f>F24*0.15/100</f>
        <v>0.15037500000000001</v>
      </c>
      <c r="G16" s="26"/>
      <c r="H16" s="26"/>
      <c r="I16" s="26"/>
      <c r="J16" s="26"/>
      <c r="K16" s="26"/>
      <c r="L16" s="26"/>
      <c r="M16" s="26"/>
    </row>
    <row r="17" spans="1:13" s="103" customFormat="1" ht="12" x14ac:dyDescent="0.25">
      <c r="A17" s="100"/>
      <c r="B17" s="106"/>
      <c r="C17" s="65" t="s">
        <v>25</v>
      </c>
      <c r="D17" s="66" t="s">
        <v>0</v>
      </c>
      <c r="E17" s="107">
        <v>15</v>
      </c>
      <c r="F17" s="26">
        <f>E17*F16</f>
        <v>2.2556250000000002</v>
      </c>
      <c r="G17" s="26"/>
      <c r="H17" s="26"/>
      <c r="I17" s="26"/>
      <c r="J17" s="26"/>
      <c r="K17" s="26"/>
      <c r="L17" s="26"/>
      <c r="M17" s="26"/>
    </row>
    <row r="18" spans="1:13" s="103" customFormat="1" x14ac:dyDescent="0.25">
      <c r="A18" s="100"/>
      <c r="B18" s="106" t="s">
        <v>107</v>
      </c>
      <c r="C18" s="65" t="s">
        <v>138</v>
      </c>
      <c r="D18" s="66" t="s">
        <v>17</v>
      </c>
      <c r="E18" s="107">
        <v>2.16</v>
      </c>
      <c r="F18" s="26">
        <f>E18*F16</f>
        <v>0.32481000000000004</v>
      </c>
      <c r="G18" s="26"/>
      <c r="H18" s="26"/>
      <c r="I18" s="26"/>
      <c r="J18" s="26"/>
      <c r="K18" s="15"/>
      <c r="L18" s="26"/>
      <c r="M18" s="26"/>
    </row>
    <row r="19" spans="1:13" s="103" customFormat="1" ht="12" x14ac:dyDescent="0.25">
      <c r="A19" s="100"/>
      <c r="B19" s="106" t="s">
        <v>107</v>
      </c>
      <c r="C19" s="65" t="s">
        <v>108</v>
      </c>
      <c r="D19" s="66" t="s">
        <v>17</v>
      </c>
      <c r="E19" s="107">
        <v>2.73</v>
      </c>
      <c r="F19" s="26">
        <f>E19*F16</f>
        <v>0.41052375000000002</v>
      </c>
      <c r="G19" s="26"/>
      <c r="H19" s="26"/>
      <c r="I19" s="26"/>
      <c r="J19" s="26"/>
      <c r="K19" s="26"/>
      <c r="L19" s="26"/>
      <c r="M19" s="26"/>
    </row>
    <row r="20" spans="1:13" s="103" customFormat="1" ht="12" x14ac:dyDescent="0.25">
      <c r="A20" s="100"/>
      <c r="B20" s="108" t="s">
        <v>104</v>
      </c>
      <c r="C20" s="109" t="s">
        <v>105</v>
      </c>
      <c r="D20" s="66" t="s">
        <v>17</v>
      </c>
      <c r="E20" s="107">
        <v>0.97</v>
      </c>
      <c r="F20" s="27">
        <f>E20*F16</f>
        <v>0.14586375000000001</v>
      </c>
      <c r="G20" s="27"/>
      <c r="H20" s="27"/>
      <c r="I20" s="27"/>
      <c r="J20" s="27"/>
      <c r="K20" s="27"/>
      <c r="L20" s="26"/>
      <c r="M20" s="26"/>
    </row>
    <row r="21" spans="1:13" s="103" customFormat="1" ht="12" x14ac:dyDescent="0.25">
      <c r="A21" s="100"/>
      <c r="B21" s="106" t="s">
        <v>61</v>
      </c>
      <c r="C21" s="67" t="s">
        <v>29</v>
      </c>
      <c r="D21" s="68" t="s">
        <v>103</v>
      </c>
      <c r="E21" s="107">
        <v>7</v>
      </c>
      <c r="F21" s="27">
        <f>E21*F16</f>
        <v>1.0526250000000001</v>
      </c>
      <c r="G21" s="27"/>
      <c r="H21" s="27"/>
      <c r="I21" s="27"/>
      <c r="J21" s="27"/>
      <c r="K21" s="27"/>
      <c r="L21" s="27"/>
      <c r="M21" s="26"/>
    </row>
    <row r="22" spans="1:13" s="103" customFormat="1" ht="12" x14ac:dyDescent="0.25">
      <c r="A22" s="100"/>
      <c r="B22" s="106"/>
      <c r="C22" s="65" t="s">
        <v>166</v>
      </c>
      <c r="D22" s="68" t="s">
        <v>103</v>
      </c>
      <c r="E22" s="107">
        <v>122</v>
      </c>
      <c r="F22" s="27">
        <f>E22*F16</f>
        <v>18.345750000000002</v>
      </c>
      <c r="G22" s="18"/>
      <c r="H22" s="27"/>
      <c r="I22" s="27"/>
      <c r="J22" s="27"/>
      <c r="K22" s="27"/>
      <c r="L22" s="27"/>
      <c r="M22" s="26"/>
    </row>
    <row r="23" spans="1:13" s="103" customFormat="1" x14ac:dyDescent="0.25">
      <c r="A23" s="100"/>
      <c r="B23" s="1"/>
      <c r="C23" s="50"/>
      <c r="D23" s="2"/>
      <c r="E23" s="2"/>
      <c r="F23" s="2"/>
      <c r="G23" s="3"/>
      <c r="H23" s="2"/>
      <c r="I23" s="2"/>
      <c r="J23" s="2"/>
      <c r="K23" s="2"/>
      <c r="L23" s="2"/>
      <c r="M23" s="2"/>
    </row>
    <row r="24" spans="1:13" s="98" customFormat="1" ht="25.5" customHeight="1" x14ac:dyDescent="0.25">
      <c r="A24" s="100">
        <v>4</v>
      </c>
      <c r="B24" s="69" t="s">
        <v>145</v>
      </c>
      <c r="C24" s="70" t="s">
        <v>147</v>
      </c>
      <c r="D24" s="71" t="s">
        <v>8</v>
      </c>
      <c r="E24" s="72"/>
      <c r="F24" s="72">
        <v>100.25</v>
      </c>
      <c r="G24" s="73"/>
      <c r="H24" s="73"/>
      <c r="I24" s="73"/>
      <c r="J24" s="73"/>
      <c r="K24" s="73"/>
      <c r="L24" s="73"/>
      <c r="M24" s="73"/>
    </row>
    <row r="25" spans="1:13" s="98" customFormat="1" x14ac:dyDescent="0.25">
      <c r="A25" s="100"/>
      <c r="B25" s="69"/>
      <c r="C25" s="4" t="s">
        <v>52</v>
      </c>
      <c r="D25" s="74" t="s">
        <v>0</v>
      </c>
      <c r="E25" s="73">
        <f>47.9/100</f>
        <v>0.47899999999999998</v>
      </c>
      <c r="F25" s="35">
        <f>E25*F24</f>
        <v>48.019749999999995</v>
      </c>
      <c r="G25" s="73"/>
      <c r="H25" s="73"/>
      <c r="I25" s="73"/>
      <c r="J25" s="73"/>
      <c r="K25" s="73"/>
      <c r="L25" s="73"/>
      <c r="M25" s="73"/>
    </row>
    <row r="26" spans="1:13" s="98" customFormat="1" x14ac:dyDescent="0.25">
      <c r="A26" s="100"/>
      <c r="B26" s="69"/>
      <c r="C26" s="14" t="s">
        <v>48</v>
      </c>
      <c r="D26" s="36" t="s">
        <v>49</v>
      </c>
      <c r="E26" s="35">
        <f>15.3/100</f>
        <v>0.153</v>
      </c>
      <c r="F26" s="35">
        <f>E26*F24</f>
        <v>15.33825</v>
      </c>
      <c r="G26" s="46"/>
      <c r="H26" s="46"/>
      <c r="I26" s="46"/>
      <c r="J26" s="46"/>
      <c r="K26" s="46"/>
      <c r="L26" s="46"/>
      <c r="M26" s="46"/>
    </row>
    <row r="27" spans="1:13" s="98" customFormat="1" x14ac:dyDescent="0.25">
      <c r="A27" s="100"/>
      <c r="B27" s="69"/>
      <c r="C27" s="14" t="s">
        <v>50</v>
      </c>
      <c r="D27" s="36" t="s">
        <v>49</v>
      </c>
      <c r="E27" s="35">
        <f>0.06/100</f>
        <v>5.9999999999999995E-4</v>
      </c>
      <c r="F27" s="73">
        <f>E27*F24</f>
        <v>6.0149999999999995E-2</v>
      </c>
      <c r="G27" s="46"/>
      <c r="H27" s="46"/>
      <c r="I27" s="46"/>
      <c r="J27" s="46"/>
      <c r="K27" s="46"/>
      <c r="L27" s="46"/>
      <c r="M27" s="46"/>
    </row>
    <row r="28" spans="1:13" s="98" customFormat="1" x14ac:dyDescent="0.25">
      <c r="A28" s="100"/>
      <c r="B28" s="71" t="s">
        <v>30</v>
      </c>
      <c r="C28" s="75" t="s">
        <v>146</v>
      </c>
      <c r="D28" s="66" t="s">
        <v>9</v>
      </c>
      <c r="E28" s="73" t="s">
        <v>64</v>
      </c>
      <c r="F28" s="2">
        <f>F24*0.05*1.02</f>
        <v>5.1127500000000001</v>
      </c>
      <c r="G28" s="73"/>
      <c r="H28" s="73"/>
      <c r="I28" s="73"/>
      <c r="J28" s="73"/>
      <c r="K28" s="73"/>
      <c r="L28" s="73"/>
      <c r="M28" s="73"/>
    </row>
    <row r="29" spans="1:13" s="98" customFormat="1" x14ac:dyDescent="0.25">
      <c r="A29" s="100"/>
      <c r="B29" s="1"/>
      <c r="C29" s="6"/>
      <c r="D29" s="3"/>
      <c r="E29" s="2"/>
      <c r="F29" s="2"/>
      <c r="G29" s="3"/>
      <c r="H29" s="3"/>
      <c r="I29" s="2"/>
      <c r="J29" s="3"/>
      <c r="K29" s="2"/>
      <c r="L29" s="3"/>
      <c r="M29" s="3"/>
    </row>
    <row r="30" spans="1:13" s="98" customFormat="1" ht="17.25" customHeight="1" x14ac:dyDescent="0.25">
      <c r="A30" s="100">
        <v>5</v>
      </c>
      <c r="B30" s="110" t="s">
        <v>139</v>
      </c>
      <c r="C30" s="61" t="s">
        <v>148</v>
      </c>
      <c r="D30" s="8" t="s">
        <v>54</v>
      </c>
      <c r="E30" s="8"/>
      <c r="F30" s="10">
        <f>F24</f>
        <v>100.25</v>
      </c>
      <c r="G30" s="8"/>
      <c r="H30" s="8"/>
      <c r="I30" s="8"/>
      <c r="J30" s="8"/>
      <c r="K30" s="8"/>
      <c r="L30" s="8"/>
      <c r="M30" s="8"/>
    </row>
    <row r="31" spans="1:13" s="98" customFormat="1" x14ac:dyDescent="0.25">
      <c r="A31" s="100"/>
      <c r="B31" s="111"/>
      <c r="C31" s="20" t="s">
        <v>140</v>
      </c>
      <c r="D31" s="11" t="s">
        <v>99</v>
      </c>
      <c r="E31" s="11">
        <v>0.73699999999999999</v>
      </c>
      <c r="F31" s="12">
        <f>F30*E31</f>
        <v>73.884249999999994</v>
      </c>
      <c r="G31" s="28"/>
      <c r="H31" s="28"/>
      <c r="I31" s="28"/>
      <c r="J31" s="2"/>
      <c r="K31" s="28"/>
      <c r="L31" s="28"/>
      <c r="M31" s="2"/>
    </row>
    <row r="32" spans="1:13" s="98" customFormat="1" x14ac:dyDescent="0.25">
      <c r="A32" s="100"/>
      <c r="B32" s="111"/>
      <c r="C32" s="20" t="s">
        <v>141</v>
      </c>
      <c r="D32" s="11" t="s">
        <v>49</v>
      </c>
      <c r="E32" s="11">
        <v>1.5299999999999999E-2</v>
      </c>
      <c r="F32" s="12">
        <f>F30*E32</f>
        <v>1.533825</v>
      </c>
      <c r="G32" s="28"/>
      <c r="H32" s="28"/>
      <c r="I32" s="28"/>
      <c r="J32" s="28"/>
      <c r="K32" s="28"/>
      <c r="L32" s="2"/>
      <c r="M32" s="2"/>
    </row>
    <row r="33" spans="1:13" s="98" customFormat="1" x14ac:dyDescent="0.25">
      <c r="A33" s="100"/>
      <c r="B33" s="111"/>
      <c r="C33" s="20" t="s">
        <v>168</v>
      </c>
      <c r="D33" s="11" t="s">
        <v>54</v>
      </c>
      <c r="E33" s="11">
        <v>1.02</v>
      </c>
      <c r="F33" s="12">
        <f>F30*E33</f>
        <v>102.255</v>
      </c>
      <c r="G33" s="2"/>
      <c r="H33" s="2"/>
      <c r="I33" s="28"/>
      <c r="J33" s="28"/>
      <c r="K33" s="28"/>
      <c r="L33" s="28"/>
      <c r="M33" s="2"/>
    </row>
    <row r="34" spans="1:13" s="98" customFormat="1" x14ac:dyDescent="0.25">
      <c r="A34" s="100"/>
      <c r="B34" s="111"/>
      <c r="C34" s="20" t="s">
        <v>144</v>
      </c>
      <c r="D34" s="11" t="s">
        <v>142</v>
      </c>
      <c r="E34" s="11">
        <f>18.8/1000</f>
        <v>1.8800000000000001E-2</v>
      </c>
      <c r="F34" s="12">
        <f>E34*F30</f>
        <v>1.8847</v>
      </c>
      <c r="G34" s="2"/>
      <c r="H34" s="2"/>
      <c r="I34" s="28"/>
      <c r="J34" s="28"/>
      <c r="K34" s="28"/>
      <c r="L34" s="28"/>
      <c r="M34" s="2"/>
    </row>
    <row r="35" spans="1:13" s="98" customFormat="1" x14ac:dyDescent="0.25">
      <c r="A35" s="100"/>
      <c r="B35" s="111"/>
      <c r="C35" s="20" t="s">
        <v>143</v>
      </c>
      <c r="D35" s="11" t="s">
        <v>49</v>
      </c>
      <c r="E35" s="11">
        <v>3.32E-3</v>
      </c>
      <c r="F35" s="12">
        <f>F30*E35</f>
        <v>0.33283000000000001</v>
      </c>
      <c r="G35" s="28"/>
      <c r="H35" s="101"/>
      <c r="I35" s="28"/>
      <c r="J35" s="28"/>
      <c r="K35" s="28"/>
      <c r="L35" s="28"/>
      <c r="M35" s="2"/>
    </row>
    <row r="36" spans="1:13" s="98" customFormat="1" x14ac:dyDescent="0.25">
      <c r="A36" s="100"/>
      <c r="B36" s="1"/>
      <c r="C36" s="6"/>
      <c r="D36" s="3"/>
      <c r="E36" s="2"/>
      <c r="F36" s="2"/>
      <c r="G36" s="3"/>
      <c r="H36" s="3"/>
      <c r="I36" s="2"/>
      <c r="J36" s="3"/>
      <c r="K36" s="2"/>
      <c r="L36" s="3"/>
      <c r="M36" s="112"/>
    </row>
    <row r="37" spans="1:13" s="98" customFormat="1" ht="18" customHeight="1" x14ac:dyDescent="0.25">
      <c r="A37" s="100">
        <v>6</v>
      </c>
      <c r="B37" s="1" t="s">
        <v>35</v>
      </c>
      <c r="C37" s="5" t="s">
        <v>51</v>
      </c>
      <c r="D37" s="1" t="s">
        <v>8</v>
      </c>
      <c r="E37" s="1"/>
      <c r="F37" s="1">
        <f>F42*0.1</f>
        <v>11.100000000000001</v>
      </c>
      <c r="G37" s="160"/>
      <c r="H37" s="2"/>
      <c r="I37" s="1"/>
      <c r="J37" s="3"/>
      <c r="K37" s="1"/>
      <c r="L37" s="3"/>
      <c r="M37" s="3"/>
    </row>
    <row r="38" spans="1:13" s="98" customFormat="1" x14ac:dyDescent="0.25">
      <c r="A38" s="100"/>
      <c r="B38" s="1"/>
      <c r="C38" s="6" t="s">
        <v>36</v>
      </c>
      <c r="D38" s="2" t="s">
        <v>37</v>
      </c>
      <c r="E38" s="2">
        <v>0.31</v>
      </c>
      <c r="F38" s="2">
        <f>E38*F37</f>
        <v>3.4410000000000003</v>
      </c>
      <c r="G38" s="3"/>
      <c r="H38" s="2"/>
      <c r="I38" s="2"/>
      <c r="J38" s="3"/>
      <c r="K38" s="2"/>
      <c r="L38" s="3"/>
      <c r="M38" s="3"/>
    </row>
    <row r="39" spans="1:13" s="98" customFormat="1" x14ac:dyDescent="0.25">
      <c r="A39" s="100"/>
      <c r="B39" s="1"/>
      <c r="C39" s="6" t="s">
        <v>38</v>
      </c>
      <c r="D39" s="2" t="s">
        <v>2</v>
      </c>
      <c r="E39" s="2">
        <f>2.24/100</f>
        <v>2.2400000000000003E-2</v>
      </c>
      <c r="F39" s="2">
        <f>E39*F37</f>
        <v>0.24864000000000006</v>
      </c>
      <c r="G39" s="3"/>
      <c r="H39" s="2"/>
      <c r="I39" s="2"/>
      <c r="J39" s="3"/>
      <c r="K39" s="2"/>
      <c r="L39" s="3"/>
      <c r="M39" s="3"/>
    </row>
    <row r="40" spans="1:13" s="98" customFormat="1" x14ac:dyDescent="0.25">
      <c r="A40" s="100"/>
      <c r="B40" s="1" t="s">
        <v>30</v>
      </c>
      <c r="C40" s="6" t="s">
        <v>39</v>
      </c>
      <c r="D40" s="2" t="s">
        <v>9</v>
      </c>
      <c r="E40" s="2">
        <f>4.08/100</f>
        <v>4.0800000000000003E-2</v>
      </c>
      <c r="F40" s="2">
        <f>E40*F37</f>
        <v>0.45288000000000012</v>
      </c>
      <c r="G40" s="3"/>
      <c r="H40" s="2"/>
      <c r="I40" s="2"/>
      <c r="J40" s="3"/>
      <c r="K40" s="2"/>
      <c r="L40" s="3"/>
      <c r="M40" s="3"/>
    </row>
    <row r="41" spans="1:13" s="98" customFormat="1" x14ac:dyDescent="0.25">
      <c r="A41" s="100"/>
      <c r="B41" s="1"/>
      <c r="C41" s="6"/>
      <c r="D41" s="2"/>
      <c r="E41" s="2"/>
      <c r="F41" s="2"/>
      <c r="G41" s="3"/>
      <c r="H41" s="2"/>
      <c r="I41" s="2"/>
      <c r="J41" s="3"/>
      <c r="K41" s="2"/>
      <c r="L41" s="3"/>
      <c r="M41" s="3"/>
    </row>
    <row r="42" spans="1:13" s="98" customFormat="1" ht="18.75" customHeight="1" x14ac:dyDescent="0.25">
      <c r="A42" s="100">
        <v>7</v>
      </c>
      <c r="B42" s="160" t="s">
        <v>40</v>
      </c>
      <c r="C42" s="60" t="s">
        <v>238</v>
      </c>
      <c r="D42" s="160" t="s">
        <v>41</v>
      </c>
      <c r="E42" s="2"/>
      <c r="F42" s="1">
        <v>111</v>
      </c>
      <c r="G42" s="3"/>
      <c r="H42" s="2"/>
      <c r="I42" s="2"/>
      <c r="J42" s="3"/>
      <c r="K42" s="2"/>
      <c r="L42" s="3"/>
      <c r="M42" s="3"/>
    </row>
    <row r="43" spans="1:13" s="98" customFormat="1" ht="13.5" customHeight="1" x14ac:dyDescent="0.25">
      <c r="A43" s="100"/>
      <c r="B43" s="160"/>
      <c r="C43" s="4" t="s">
        <v>42</v>
      </c>
      <c r="D43" s="2" t="s">
        <v>43</v>
      </c>
      <c r="E43" s="2">
        <v>0.74</v>
      </c>
      <c r="F43" s="2">
        <f>E43*F42</f>
        <v>82.14</v>
      </c>
      <c r="G43" s="3"/>
      <c r="H43" s="2"/>
      <c r="I43" s="2"/>
      <c r="J43" s="2"/>
      <c r="K43" s="2"/>
      <c r="L43" s="2"/>
      <c r="M43" s="2"/>
    </row>
    <row r="44" spans="1:13" s="98" customFormat="1" ht="13.5" customHeight="1" x14ac:dyDescent="0.25">
      <c r="A44" s="100"/>
      <c r="B44" s="160" t="s">
        <v>149</v>
      </c>
      <c r="C44" s="4" t="s">
        <v>232</v>
      </c>
      <c r="D44" s="2" t="s">
        <v>41</v>
      </c>
      <c r="E44" s="2"/>
      <c r="F44" s="2">
        <f>F42</f>
        <v>111</v>
      </c>
      <c r="G44" s="3"/>
      <c r="H44" s="2"/>
      <c r="I44" s="2"/>
      <c r="J44" s="2"/>
      <c r="K44" s="2"/>
      <c r="L44" s="2"/>
      <c r="M44" s="2"/>
    </row>
    <row r="45" spans="1:13" s="98" customFormat="1" ht="13.5" customHeight="1" x14ac:dyDescent="0.25">
      <c r="A45" s="100"/>
      <c r="B45" s="160" t="s">
        <v>45</v>
      </c>
      <c r="C45" s="4" t="s">
        <v>46</v>
      </c>
      <c r="D45" s="2" t="s">
        <v>47</v>
      </c>
      <c r="E45" s="2">
        <f>3.9/100</f>
        <v>3.9E-2</v>
      </c>
      <c r="F45" s="2">
        <f>F42*E45</f>
        <v>4.3289999999999997</v>
      </c>
      <c r="G45" s="3"/>
      <c r="H45" s="2"/>
      <c r="I45" s="2"/>
      <c r="J45" s="2"/>
      <c r="K45" s="2"/>
      <c r="L45" s="2"/>
      <c r="M45" s="2"/>
    </row>
    <row r="46" spans="1:13" s="98" customFormat="1" ht="13.5" customHeight="1" x14ac:dyDescent="0.25">
      <c r="A46" s="100"/>
      <c r="B46" s="160"/>
      <c r="C46" s="4" t="s">
        <v>48</v>
      </c>
      <c r="D46" s="2" t="s">
        <v>49</v>
      </c>
      <c r="E46" s="2">
        <f>0.71/100</f>
        <v>7.0999999999999995E-3</v>
      </c>
      <c r="F46" s="2">
        <f>F42*E46</f>
        <v>0.78809999999999991</v>
      </c>
      <c r="G46" s="3"/>
      <c r="H46" s="2"/>
      <c r="I46" s="2"/>
      <c r="J46" s="2"/>
      <c r="K46" s="2"/>
      <c r="L46" s="2"/>
      <c r="M46" s="2"/>
    </row>
    <row r="47" spans="1:13" s="98" customFormat="1" ht="13.5" customHeight="1" x14ac:dyDescent="0.25">
      <c r="A47" s="100"/>
      <c r="B47" s="160"/>
      <c r="C47" s="4" t="s">
        <v>50</v>
      </c>
      <c r="D47" s="2" t="s">
        <v>49</v>
      </c>
      <c r="E47" s="2">
        <f>9.6/100</f>
        <v>9.6000000000000002E-2</v>
      </c>
      <c r="F47" s="2">
        <f>F42*E47</f>
        <v>10.656000000000001</v>
      </c>
      <c r="G47" s="3"/>
      <c r="H47" s="2"/>
      <c r="I47" s="2"/>
      <c r="J47" s="2"/>
      <c r="K47" s="2"/>
      <c r="L47" s="2"/>
      <c r="M47" s="2"/>
    </row>
    <row r="48" spans="1:13" s="98" customFormat="1" x14ac:dyDescent="0.25">
      <c r="A48" s="100"/>
      <c r="B48" s="160"/>
      <c r="C48" s="4"/>
      <c r="D48" s="2"/>
      <c r="E48" s="2"/>
      <c r="F48" s="2"/>
      <c r="G48" s="3"/>
      <c r="H48" s="2"/>
      <c r="I48" s="2"/>
      <c r="J48" s="2"/>
      <c r="K48" s="2"/>
      <c r="L48" s="2"/>
      <c r="M48" s="2"/>
    </row>
    <row r="49" spans="1:13" s="98" customFormat="1" ht="28.5" customHeight="1" x14ac:dyDescent="0.25">
      <c r="A49" s="100">
        <v>8</v>
      </c>
      <c r="B49" s="160" t="s">
        <v>53</v>
      </c>
      <c r="C49" s="60" t="s">
        <v>188</v>
      </c>
      <c r="D49" s="1" t="s">
        <v>8</v>
      </c>
      <c r="E49" s="2"/>
      <c r="F49" s="1">
        <v>415</v>
      </c>
      <c r="G49" s="160"/>
      <c r="H49" s="1"/>
      <c r="I49" s="2"/>
      <c r="J49" s="1"/>
      <c r="K49" s="1"/>
      <c r="L49" s="1"/>
      <c r="M49" s="33"/>
    </row>
    <row r="50" spans="1:13" s="98" customFormat="1" x14ac:dyDescent="0.25">
      <c r="A50" s="100"/>
      <c r="B50" s="160"/>
      <c r="C50" s="4" t="s">
        <v>52</v>
      </c>
      <c r="D50" s="2" t="s">
        <v>43</v>
      </c>
      <c r="E50" s="2">
        <v>0.38</v>
      </c>
      <c r="F50" s="2">
        <f>E50*F49</f>
        <v>157.69999999999999</v>
      </c>
      <c r="G50" s="3"/>
      <c r="H50" s="2"/>
      <c r="I50" s="2"/>
      <c r="J50" s="2"/>
      <c r="K50" s="2"/>
      <c r="L50" s="2"/>
      <c r="M50" s="2"/>
    </row>
    <row r="51" spans="1:13" s="98" customFormat="1" x14ac:dyDescent="0.25">
      <c r="A51" s="100"/>
      <c r="B51" s="160"/>
      <c r="C51" s="4" t="s">
        <v>93</v>
      </c>
      <c r="D51" s="2" t="s">
        <v>9</v>
      </c>
      <c r="E51" s="2"/>
      <c r="F51" s="2">
        <f>F49*0.15</f>
        <v>62.25</v>
      </c>
      <c r="G51" s="3"/>
      <c r="H51" s="2"/>
      <c r="I51" s="2"/>
      <c r="J51" s="2"/>
      <c r="K51" s="2"/>
      <c r="L51" s="2"/>
      <c r="M51" s="2"/>
    </row>
    <row r="52" spans="1:13" s="98" customFormat="1" x14ac:dyDescent="0.25">
      <c r="A52" s="100"/>
      <c r="B52" s="160"/>
      <c r="C52" s="4"/>
      <c r="D52" s="3"/>
      <c r="E52" s="3"/>
      <c r="F52" s="3"/>
      <c r="G52" s="3"/>
      <c r="H52" s="2"/>
      <c r="I52" s="2"/>
      <c r="J52" s="2"/>
      <c r="K52" s="2"/>
      <c r="L52" s="2"/>
      <c r="M52" s="2"/>
    </row>
    <row r="53" spans="1:13" s="98" customFormat="1" x14ac:dyDescent="0.25">
      <c r="A53" s="100">
        <v>9</v>
      </c>
      <c r="B53" s="8" t="s">
        <v>94</v>
      </c>
      <c r="C53" s="9" t="s">
        <v>95</v>
      </c>
      <c r="D53" s="8" t="s">
        <v>54</v>
      </c>
      <c r="E53" s="8"/>
      <c r="F53" s="10">
        <f>F49</f>
        <v>415</v>
      </c>
      <c r="G53" s="11"/>
      <c r="H53" s="12"/>
      <c r="I53" s="11"/>
      <c r="J53" s="11"/>
      <c r="K53" s="11"/>
      <c r="L53" s="11"/>
      <c r="M53" s="13"/>
    </row>
    <row r="54" spans="1:13" s="98" customFormat="1" ht="15" x14ac:dyDescent="0.25">
      <c r="A54" s="100"/>
      <c r="B54" s="8"/>
      <c r="C54" s="14" t="s">
        <v>96</v>
      </c>
      <c r="D54" s="15" t="s">
        <v>184</v>
      </c>
      <c r="E54" s="11">
        <f>4.39/100</f>
        <v>4.3899999999999995E-2</v>
      </c>
      <c r="F54" s="113">
        <f>F53*E54</f>
        <v>18.218499999999999</v>
      </c>
      <c r="G54" s="11"/>
      <c r="H54" s="12"/>
      <c r="I54" s="12"/>
      <c r="J54" s="12"/>
      <c r="K54" s="11"/>
      <c r="L54" s="11"/>
      <c r="M54" s="13"/>
    </row>
    <row r="55" spans="1:13" s="98" customFormat="1" ht="15" x14ac:dyDescent="0.25">
      <c r="A55" s="100"/>
      <c r="B55" s="8"/>
      <c r="C55" s="14" t="s">
        <v>98</v>
      </c>
      <c r="D55" s="15" t="s">
        <v>100</v>
      </c>
      <c r="E55" s="11">
        <v>1</v>
      </c>
      <c r="F55" s="11">
        <f>F53*E55</f>
        <v>415</v>
      </c>
      <c r="G55" s="12"/>
      <c r="H55" s="12"/>
      <c r="I55" s="11"/>
      <c r="J55" s="11"/>
      <c r="K55" s="11"/>
      <c r="L55" s="11"/>
      <c r="M55" s="13"/>
    </row>
    <row r="56" spans="1:13" s="98" customFormat="1" ht="15" x14ac:dyDescent="0.25">
      <c r="A56" s="100"/>
      <c r="B56" s="8"/>
      <c r="C56" s="14" t="s">
        <v>97</v>
      </c>
      <c r="D56" s="15" t="s">
        <v>101</v>
      </c>
      <c r="E56" s="11">
        <f>10/100</f>
        <v>0.1</v>
      </c>
      <c r="F56" s="11">
        <f>F53*E56</f>
        <v>41.5</v>
      </c>
      <c r="G56" s="11"/>
      <c r="H56" s="11"/>
      <c r="I56" s="16"/>
      <c r="J56" s="16"/>
      <c r="K56" s="11"/>
      <c r="L56" s="11"/>
      <c r="M56" s="13"/>
    </row>
    <row r="57" spans="1:13" s="98" customFormat="1" x14ac:dyDescent="0.25">
      <c r="A57" s="100"/>
      <c r="B57" s="160"/>
      <c r="C57" s="4"/>
      <c r="D57" s="3"/>
      <c r="E57" s="3"/>
      <c r="F57" s="3"/>
      <c r="G57" s="3"/>
      <c r="H57" s="2"/>
      <c r="I57" s="2"/>
      <c r="J57" s="2"/>
      <c r="K57" s="2"/>
      <c r="L57" s="2"/>
      <c r="M57" s="2"/>
    </row>
    <row r="58" spans="1:13" s="98" customFormat="1" x14ac:dyDescent="0.25">
      <c r="A58" s="100">
        <v>10</v>
      </c>
      <c r="B58" s="110" t="s">
        <v>109</v>
      </c>
      <c r="C58" s="56" t="s">
        <v>240</v>
      </c>
      <c r="D58" s="8" t="s">
        <v>62</v>
      </c>
      <c r="E58" s="10"/>
      <c r="F58" s="10">
        <f>F60+F61+F62</f>
        <v>18</v>
      </c>
      <c r="G58" s="10"/>
      <c r="H58" s="10"/>
      <c r="I58" s="10"/>
      <c r="J58" s="10"/>
      <c r="K58" s="10"/>
      <c r="L58" s="10"/>
      <c r="M58" s="43"/>
    </row>
    <row r="59" spans="1:13" s="98" customFormat="1" x14ac:dyDescent="0.25">
      <c r="A59" s="100"/>
      <c r="B59" s="110"/>
      <c r="C59" s="4" t="s">
        <v>52</v>
      </c>
      <c r="D59" s="11" t="s">
        <v>99</v>
      </c>
      <c r="E59" s="12">
        <f>15.7/10</f>
        <v>1.5699999999999998</v>
      </c>
      <c r="F59" s="12">
        <f>F58*E59</f>
        <v>28.259999999999998</v>
      </c>
      <c r="G59" s="2"/>
      <c r="H59" s="2"/>
      <c r="I59" s="2"/>
      <c r="J59" s="2"/>
      <c r="K59" s="2"/>
      <c r="L59" s="2"/>
      <c r="M59" s="44"/>
    </row>
    <row r="60" spans="1:13" s="98" customFormat="1" x14ac:dyDescent="0.25">
      <c r="A60" s="100"/>
      <c r="B60" s="110"/>
      <c r="C60" s="14" t="s">
        <v>155</v>
      </c>
      <c r="D60" s="48" t="s">
        <v>62</v>
      </c>
      <c r="E60" s="3"/>
      <c r="F60" s="3">
        <v>6</v>
      </c>
      <c r="G60" s="2"/>
      <c r="H60" s="2"/>
      <c r="I60" s="2"/>
      <c r="J60" s="2"/>
      <c r="K60" s="2"/>
      <c r="L60" s="2"/>
      <c r="M60" s="44"/>
    </row>
    <row r="61" spans="1:13" s="98" customFormat="1" x14ac:dyDescent="0.25">
      <c r="A61" s="100"/>
      <c r="B61" s="110"/>
      <c r="C61" s="14" t="s">
        <v>110</v>
      </c>
      <c r="D61" s="48" t="s">
        <v>62</v>
      </c>
      <c r="E61" s="3"/>
      <c r="F61" s="3">
        <v>6</v>
      </c>
      <c r="G61" s="2"/>
      <c r="H61" s="2"/>
      <c r="I61" s="2"/>
      <c r="J61" s="2"/>
      <c r="K61" s="2"/>
      <c r="L61" s="2"/>
      <c r="M61" s="44"/>
    </row>
    <row r="62" spans="1:13" s="98" customFormat="1" x14ac:dyDescent="0.25">
      <c r="A62" s="100"/>
      <c r="B62" s="110"/>
      <c r="C62" s="14" t="s">
        <v>154</v>
      </c>
      <c r="D62" s="48" t="s">
        <v>62</v>
      </c>
      <c r="E62" s="3"/>
      <c r="F62" s="3">
        <v>6</v>
      </c>
      <c r="G62" s="2"/>
      <c r="H62" s="2"/>
      <c r="I62" s="2"/>
      <c r="J62" s="2"/>
      <c r="K62" s="2"/>
      <c r="L62" s="2"/>
      <c r="M62" s="44"/>
    </row>
    <row r="63" spans="1:13" s="98" customFormat="1" x14ac:dyDescent="0.25">
      <c r="A63" s="100"/>
      <c r="B63" s="110"/>
      <c r="C63" s="14" t="s">
        <v>29</v>
      </c>
      <c r="D63" s="48" t="s">
        <v>47</v>
      </c>
      <c r="E63" s="3">
        <v>1.03</v>
      </c>
      <c r="F63" s="3">
        <f>E63*F58</f>
        <v>18.54</v>
      </c>
      <c r="G63" s="2"/>
      <c r="H63" s="2"/>
      <c r="I63" s="2"/>
      <c r="J63" s="2"/>
      <c r="K63" s="2"/>
      <c r="L63" s="2"/>
      <c r="M63" s="44"/>
    </row>
    <row r="64" spans="1:13" s="98" customFormat="1" x14ac:dyDescent="0.25">
      <c r="A64" s="100"/>
      <c r="B64" s="160"/>
      <c r="C64" s="4"/>
      <c r="D64" s="3"/>
      <c r="E64" s="3"/>
      <c r="F64" s="3"/>
      <c r="G64" s="3"/>
      <c r="H64" s="2"/>
      <c r="I64" s="2"/>
      <c r="J64" s="2"/>
      <c r="K64" s="2"/>
      <c r="L64" s="2"/>
      <c r="M64" s="114"/>
    </row>
    <row r="65" spans="1:13" s="98" customFormat="1" ht="27" customHeight="1" x14ac:dyDescent="0.25">
      <c r="A65" s="100">
        <v>11</v>
      </c>
      <c r="B65" s="115" t="s">
        <v>112</v>
      </c>
      <c r="C65" s="77" t="s">
        <v>169</v>
      </c>
      <c r="D65" s="69" t="s">
        <v>26</v>
      </c>
      <c r="E65" s="30"/>
      <c r="F65" s="29">
        <f>12.7/100</f>
        <v>0.127</v>
      </c>
      <c r="G65" s="30"/>
      <c r="H65" s="30"/>
      <c r="I65" s="30"/>
      <c r="J65" s="30"/>
      <c r="K65" s="30"/>
      <c r="L65" s="30"/>
      <c r="M65" s="30"/>
    </row>
    <row r="66" spans="1:13" s="98" customFormat="1" ht="15.75" customHeight="1" x14ac:dyDescent="0.25">
      <c r="A66" s="100"/>
      <c r="B66" s="116"/>
      <c r="C66" s="65" t="s">
        <v>25</v>
      </c>
      <c r="D66" s="74" t="s">
        <v>0</v>
      </c>
      <c r="E66" s="31">
        <v>286</v>
      </c>
      <c r="F66" s="31">
        <f>E66*F65</f>
        <v>36.322000000000003</v>
      </c>
      <c r="G66" s="31"/>
      <c r="H66" s="31"/>
      <c r="I66" s="31"/>
      <c r="J66" s="32"/>
      <c r="K66" s="31"/>
      <c r="L66" s="31"/>
      <c r="M66" s="31"/>
    </row>
    <row r="67" spans="1:13" s="98" customFormat="1" ht="15.75" customHeight="1" x14ac:dyDescent="0.25">
      <c r="A67" s="100"/>
      <c r="B67" s="117"/>
      <c r="C67" s="65" t="s">
        <v>1</v>
      </c>
      <c r="D67" s="74" t="s">
        <v>2</v>
      </c>
      <c r="E67" s="31">
        <v>76</v>
      </c>
      <c r="F67" s="31">
        <f>F65*E67</f>
        <v>9.652000000000001</v>
      </c>
      <c r="G67" s="31"/>
      <c r="H67" s="31"/>
      <c r="I67" s="31"/>
      <c r="J67" s="31"/>
      <c r="K67" s="31"/>
      <c r="L67" s="32"/>
      <c r="M67" s="31"/>
    </row>
    <row r="68" spans="1:13" s="98" customFormat="1" ht="15.75" customHeight="1" x14ac:dyDescent="0.25">
      <c r="A68" s="100"/>
      <c r="B68" s="118" t="s">
        <v>111</v>
      </c>
      <c r="C68" s="65" t="s">
        <v>113</v>
      </c>
      <c r="D68" s="66" t="s">
        <v>9</v>
      </c>
      <c r="E68" s="31">
        <v>102</v>
      </c>
      <c r="F68" s="31">
        <f>E68*F65</f>
        <v>12.954000000000001</v>
      </c>
      <c r="G68" s="31"/>
      <c r="H68" s="32"/>
      <c r="I68" s="31"/>
      <c r="J68" s="31"/>
      <c r="K68" s="31"/>
      <c r="L68" s="31"/>
      <c r="M68" s="31"/>
    </row>
    <row r="69" spans="1:13" s="98" customFormat="1" ht="15.75" customHeight="1" x14ac:dyDescent="0.25">
      <c r="A69" s="100"/>
      <c r="B69" s="117"/>
      <c r="C69" s="78" t="s">
        <v>14</v>
      </c>
      <c r="D69" s="74" t="s">
        <v>2</v>
      </c>
      <c r="E69" s="31">
        <v>13</v>
      </c>
      <c r="F69" s="31">
        <f>F65*E69</f>
        <v>1.651</v>
      </c>
      <c r="G69" s="31"/>
      <c r="H69" s="32"/>
      <c r="I69" s="31"/>
      <c r="J69" s="31"/>
      <c r="K69" s="31"/>
      <c r="L69" s="31"/>
      <c r="M69" s="31"/>
    </row>
    <row r="70" spans="1:13" s="98" customFormat="1" ht="16.5" customHeight="1" x14ac:dyDescent="0.25">
      <c r="A70" s="100"/>
      <c r="B70" s="119"/>
      <c r="C70" s="120"/>
      <c r="D70" s="121"/>
      <c r="E70" s="31"/>
      <c r="F70" s="31"/>
      <c r="G70" s="31"/>
      <c r="H70" s="31"/>
      <c r="I70" s="31"/>
      <c r="J70" s="31"/>
      <c r="K70" s="31"/>
      <c r="L70" s="31"/>
      <c r="M70" s="31"/>
    </row>
    <row r="71" spans="1:13" s="98" customFormat="1" ht="18" customHeight="1" x14ac:dyDescent="0.25">
      <c r="A71" s="100">
        <v>12</v>
      </c>
      <c r="B71" s="122" t="s">
        <v>55</v>
      </c>
      <c r="C71" s="79" t="s">
        <v>114</v>
      </c>
      <c r="D71" s="71" t="s">
        <v>27</v>
      </c>
      <c r="E71" s="30"/>
      <c r="F71" s="37">
        <f>106/100</f>
        <v>1.06</v>
      </c>
      <c r="G71" s="30"/>
      <c r="H71" s="30"/>
      <c r="I71" s="30"/>
      <c r="J71" s="30"/>
      <c r="K71" s="30"/>
      <c r="L71" s="30"/>
      <c r="M71" s="30"/>
    </row>
    <row r="72" spans="1:13" s="98" customFormat="1" ht="15.75" customHeight="1" x14ac:dyDescent="0.25">
      <c r="A72" s="100"/>
      <c r="B72" s="123"/>
      <c r="C72" s="65" t="s">
        <v>25</v>
      </c>
      <c r="D72" s="74" t="s">
        <v>0</v>
      </c>
      <c r="E72" s="31">
        <v>158</v>
      </c>
      <c r="F72" s="31">
        <f>E72*F71</f>
        <v>167.48000000000002</v>
      </c>
      <c r="G72" s="31"/>
      <c r="H72" s="31"/>
      <c r="I72" s="31"/>
      <c r="J72" s="32"/>
      <c r="K72" s="31"/>
      <c r="L72" s="31"/>
      <c r="M72" s="31"/>
    </row>
    <row r="73" spans="1:13" s="98" customFormat="1" ht="15.75" customHeight="1" x14ac:dyDescent="0.25">
      <c r="A73" s="100"/>
      <c r="B73" s="124" t="s">
        <v>32</v>
      </c>
      <c r="C73" s="125" t="s">
        <v>33</v>
      </c>
      <c r="D73" s="121" t="s">
        <v>17</v>
      </c>
      <c r="E73" s="126">
        <v>20.5</v>
      </c>
      <c r="F73" s="126">
        <f>E73*F71</f>
        <v>21.73</v>
      </c>
      <c r="G73" s="32"/>
      <c r="H73" s="32"/>
      <c r="I73" s="126"/>
      <c r="J73" s="32"/>
      <c r="K73" s="126"/>
      <c r="L73" s="32"/>
      <c r="M73" s="31"/>
    </row>
    <row r="74" spans="1:13" s="98" customFormat="1" ht="15.75" customHeight="1" x14ac:dyDescent="0.25">
      <c r="A74" s="100"/>
      <c r="B74" s="117"/>
      <c r="C74" s="65" t="s">
        <v>1</v>
      </c>
      <c r="D74" s="74" t="s">
        <v>2</v>
      </c>
      <c r="E74" s="31">
        <v>4</v>
      </c>
      <c r="F74" s="31">
        <f>E74*F71</f>
        <v>4.24</v>
      </c>
      <c r="G74" s="31"/>
      <c r="H74" s="31"/>
      <c r="I74" s="31"/>
      <c r="J74" s="31"/>
      <c r="K74" s="31"/>
      <c r="L74" s="32"/>
      <c r="M74" s="31"/>
    </row>
    <row r="75" spans="1:13" s="98" customFormat="1" ht="15.75" customHeight="1" x14ac:dyDescent="0.25">
      <c r="A75" s="100"/>
      <c r="B75" s="8" t="s">
        <v>59</v>
      </c>
      <c r="C75" s="14" t="s">
        <v>152</v>
      </c>
      <c r="D75" s="36" t="s">
        <v>54</v>
      </c>
      <c r="E75" s="36">
        <v>100</v>
      </c>
      <c r="F75" s="35">
        <f>E75*F71</f>
        <v>106</v>
      </c>
      <c r="G75" s="38"/>
      <c r="H75" s="38"/>
      <c r="I75" s="38"/>
      <c r="J75" s="38"/>
      <c r="K75" s="38"/>
      <c r="L75" s="38"/>
      <c r="M75" s="38"/>
    </row>
    <row r="76" spans="1:13" s="98" customFormat="1" ht="15.75" customHeight="1" x14ac:dyDescent="0.25">
      <c r="A76" s="100"/>
      <c r="B76" s="127" t="s">
        <v>31</v>
      </c>
      <c r="C76" s="65" t="s">
        <v>56</v>
      </c>
      <c r="D76" s="74" t="s">
        <v>10</v>
      </c>
      <c r="E76" s="31">
        <v>2</v>
      </c>
      <c r="F76" s="31">
        <f>F71*E76</f>
        <v>2.12</v>
      </c>
      <c r="G76" s="31"/>
      <c r="H76" s="32"/>
      <c r="I76" s="31"/>
      <c r="J76" s="32"/>
      <c r="K76" s="31"/>
      <c r="L76" s="32"/>
      <c r="M76" s="32"/>
    </row>
    <row r="77" spans="1:13" s="98" customFormat="1" ht="15.75" customHeight="1" x14ac:dyDescent="0.25">
      <c r="A77" s="100"/>
      <c r="B77" s="123"/>
      <c r="C77" s="78" t="s">
        <v>14</v>
      </c>
      <c r="D77" s="74" t="s">
        <v>2</v>
      </c>
      <c r="E77" s="31">
        <v>6</v>
      </c>
      <c r="F77" s="31">
        <f>E77*F71</f>
        <v>6.36</v>
      </c>
      <c r="G77" s="31"/>
      <c r="H77" s="32"/>
      <c r="I77" s="31"/>
      <c r="J77" s="31"/>
      <c r="K77" s="31"/>
      <c r="L77" s="31"/>
      <c r="M77" s="31"/>
    </row>
    <row r="78" spans="1:13" s="98" customFormat="1" ht="12" x14ac:dyDescent="0.25">
      <c r="A78" s="100"/>
      <c r="B78" s="123"/>
      <c r="C78" s="80"/>
      <c r="D78" s="74"/>
      <c r="E78" s="31"/>
      <c r="F78" s="31"/>
      <c r="G78" s="31"/>
      <c r="H78" s="31"/>
      <c r="I78" s="31"/>
      <c r="J78" s="31"/>
      <c r="K78" s="31"/>
      <c r="L78" s="31"/>
      <c r="M78" s="31"/>
    </row>
    <row r="79" spans="1:13" s="98" customFormat="1" ht="20.25" customHeight="1" x14ac:dyDescent="0.25">
      <c r="A79" s="100">
        <v>13</v>
      </c>
      <c r="B79" s="122" t="s">
        <v>115</v>
      </c>
      <c r="C79" s="81" t="s">
        <v>153</v>
      </c>
      <c r="D79" s="71" t="s">
        <v>116</v>
      </c>
      <c r="E79" s="30"/>
      <c r="F79" s="37">
        <v>0.01</v>
      </c>
      <c r="G79" s="31"/>
      <c r="H79" s="31"/>
      <c r="I79" s="31"/>
      <c r="J79" s="31"/>
      <c r="K79" s="31"/>
      <c r="L79" s="31"/>
      <c r="M79" s="40"/>
    </row>
    <row r="80" spans="1:13" s="98" customFormat="1" ht="11.25" customHeight="1" x14ac:dyDescent="0.25">
      <c r="A80" s="100"/>
      <c r="B80" s="128"/>
      <c r="C80" s="65" t="s">
        <v>25</v>
      </c>
      <c r="D80" s="74" t="s">
        <v>0</v>
      </c>
      <c r="E80" s="31">
        <v>1720</v>
      </c>
      <c r="F80" s="31">
        <f>E80*F79</f>
        <v>17.2</v>
      </c>
      <c r="G80" s="31"/>
      <c r="H80" s="31"/>
      <c r="I80" s="31"/>
      <c r="J80" s="32"/>
      <c r="K80" s="31"/>
      <c r="L80" s="31"/>
      <c r="M80" s="40"/>
    </row>
    <row r="81" spans="1:13" s="98" customFormat="1" ht="11.25" customHeight="1" x14ac:dyDescent="0.25">
      <c r="A81" s="100"/>
      <c r="B81" s="129"/>
      <c r="C81" s="65" t="s">
        <v>1</v>
      </c>
      <c r="D81" s="74" t="s">
        <v>2</v>
      </c>
      <c r="E81" s="31">
        <v>70</v>
      </c>
      <c r="F81" s="31">
        <f>E81*F79</f>
        <v>0.70000000000000007</v>
      </c>
      <c r="G81" s="31"/>
      <c r="H81" s="31"/>
      <c r="I81" s="31"/>
      <c r="J81" s="31"/>
      <c r="K81" s="31"/>
      <c r="L81" s="32"/>
      <c r="M81" s="40"/>
    </row>
    <row r="82" spans="1:13" s="98" customFormat="1" ht="11.25" customHeight="1" x14ac:dyDescent="0.25">
      <c r="A82" s="100"/>
      <c r="B82" s="121"/>
      <c r="C82" s="82" t="s">
        <v>170</v>
      </c>
      <c r="D82" s="28" t="s">
        <v>62</v>
      </c>
      <c r="E82" s="32">
        <v>100</v>
      </c>
      <c r="F82" s="31">
        <f>E82*F79</f>
        <v>1</v>
      </c>
      <c r="G82" s="31"/>
      <c r="H82" s="32"/>
      <c r="I82" s="31"/>
      <c r="J82" s="31"/>
      <c r="K82" s="31"/>
      <c r="L82" s="31"/>
      <c r="M82" s="40"/>
    </row>
    <row r="83" spans="1:13" s="98" customFormat="1" ht="11.25" customHeight="1" x14ac:dyDescent="0.25">
      <c r="A83" s="100"/>
      <c r="B83" s="128"/>
      <c r="C83" s="80" t="s">
        <v>117</v>
      </c>
      <c r="D83" s="66" t="s">
        <v>10</v>
      </c>
      <c r="E83" s="31">
        <v>20</v>
      </c>
      <c r="F83" s="31">
        <f>E83*F79</f>
        <v>0.2</v>
      </c>
      <c r="G83" s="31"/>
      <c r="H83" s="32"/>
      <c r="I83" s="31"/>
      <c r="J83" s="31"/>
      <c r="K83" s="31"/>
      <c r="L83" s="31"/>
      <c r="M83" s="40"/>
    </row>
    <row r="84" spans="1:13" s="98" customFormat="1" ht="11.25" customHeight="1" x14ac:dyDescent="0.25">
      <c r="A84" s="100"/>
      <c r="B84" s="128"/>
      <c r="C84" s="80" t="s">
        <v>118</v>
      </c>
      <c r="D84" s="66" t="s">
        <v>10</v>
      </c>
      <c r="E84" s="31">
        <v>160</v>
      </c>
      <c r="F84" s="31">
        <f>E84*F79</f>
        <v>1.6</v>
      </c>
      <c r="G84" s="31"/>
      <c r="H84" s="32"/>
      <c r="I84" s="31"/>
      <c r="J84" s="31"/>
      <c r="K84" s="31"/>
      <c r="L84" s="31"/>
      <c r="M84" s="40"/>
    </row>
    <row r="85" spans="1:13" s="98" customFormat="1" ht="11.25" customHeight="1" x14ac:dyDescent="0.25">
      <c r="A85" s="100"/>
      <c r="B85" s="128"/>
      <c r="C85" s="80" t="s">
        <v>119</v>
      </c>
      <c r="D85" s="74" t="s">
        <v>120</v>
      </c>
      <c r="E85" s="32" t="s">
        <v>121</v>
      </c>
      <c r="F85" s="31">
        <v>4</v>
      </c>
      <c r="G85" s="31"/>
      <c r="H85" s="32"/>
      <c r="I85" s="31"/>
      <c r="J85" s="31"/>
      <c r="K85" s="31"/>
      <c r="L85" s="31"/>
      <c r="M85" s="40"/>
    </row>
    <row r="86" spans="1:13" s="98" customFormat="1" ht="11.25" customHeight="1" x14ac:dyDescent="0.25">
      <c r="A86" s="100"/>
      <c r="B86" s="128"/>
      <c r="C86" s="80" t="s">
        <v>122</v>
      </c>
      <c r="D86" s="74" t="s">
        <v>120</v>
      </c>
      <c r="E86" s="32" t="s">
        <v>121</v>
      </c>
      <c r="F86" s="31">
        <v>1</v>
      </c>
      <c r="G86" s="31"/>
      <c r="H86" s="32"/>
      <c r="I86" s="31"/>
      <c r="J86" s="31"/>
      <c r="K86" s="31"/>
      <c r="L86" s="31"/>
      <c r="M86" s="40"/>
    </row>
    <row r="87" spans="1:13" s="98" customFormat="1" ht="12" x14ac:dyDescent="0.25">
      <c r="A87" s="100"/>
      <c r="B87" s="128"/>
      <c r="C87" s="78" t="s">
        <v>14</v>
      </c>
      <c r="D87" s="74" t="s">
        <v>2</v>
      </c>
      <c r="E87" s="31">
        <v>20</v>
      </c>
      <c r="F87" s="31">
        <f>E87*F79</f>
        <v>0.2</v>
      </c>
      <c r="G87" s="31"/>
      <c r="H87" s="32"/>
      <c r="I87" s="31"/>
      <c r="J87" s="31"/>
      <c r="K87" s="31"/>
      <c r="L87" s="31"/>
      <c r="M87" s="40"/>
    </row>
    <row r="88" spans="1:13" s="98" customFormat="1" ht="12" x14ac:dyDescent="0.25">
      <c r="A88" s="100"/>
      <c r="B88" s="123"/>
      <c r="C88" s="80"/>
      <c r="D88" s="74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98" customFormat="1" ht="25.5" x14ac:dyDescent="0.25">
      <c r="A89" s="100">
        <v>14</v>
      </c>
      <c r="B89" s="119" t="s">
        <v>57</v>
      </c>
      <c r="C89" s="81" t="s">
        <v>123</v>
      </c>
      <c r="D89" s="71" t="s">
        <v>24</v>
      </c>
      <c r="E89" s="30"/>
      <c r="F89" s="41">
        <f>F71</f>
        <v>1.06</v>
      </c>
      <c r="G89" s="30"/>
      <c r="H89" s="30"/>
      <c r="I89" s="30"/>
      <c r="J89" s="30"/>
      <c r="K89" s="39"/>
      <c r="L89" s="30"/>
      <c r="M89" s="42"/>
    </row>
    <row r="90" spans="1:13" s="98" customFormat="1" ht="12" x14ac:dyDescent="0.25">
      <c r="A90" s="100"/>
      <c r="B90" s="130"/>
      <c r="C90" s="65" t="s">
        <v>25</v>
      </c>
      <c r="D90" s="74" t="s">
        <v>0</v>
      </c>
      <c r="E90" s="31">
        <v>68</v>
      </c>
      <c r="F90" s="31">
        <f>E90*F89</f>
        <v>72.08</v>
      </c>
      <c r="G90" s="31"/>
      <c r="H90" s="31"/>
      <c r="I90" s="31"/>
      <c r="J90" s="32"/>
      <c r="K90" s="32"/>
      <c r="L90" s="19"/>
      <c r="M90" s="40"/>
    </row>
    <row r="91" spans="1:13" s="98" customFormat="1" ht="12" x14ac:dyDescent="0.25">
      <c r="A91" s="100"/>
      <c r="B91" s="117"/>
      <c r="C91" s="65" t="s">
        <v>1</v>
      </c>
      <c r="D91" s="74" t="s">
        <v>2</v>
      </c>
      <c r="E91" s="31">
        <v>0.03</v>
      </c>
      <c r="F91" s="31">
        <f>E91*F89</f>
        <v>3.1800000000000002E-2</v>
      </c>
      <c r="G91" s="19"/>
      <c r="H91" s="19"/>
      <c r="I91" s="19"/>
      <c r="J91" s="19"/>
      <c r="K91" s="31"/>
      <c r="L91" s="32"/>
      <c r="M91" s="40"/>
    </row>
    <row r="92" spans="1:13" s="98" customFormat="1" ht="12" x14ac:dyDescent="0.25">
      <c r="A92" s="100"/>
      <c r="B92" s="131"/>
      <c r="C92" s="78" t="s">
        <v>18</v>
      </c>
      <c r="D92" s="66" t="s">
        <v>10</v>
      </c>
      <c r="E92" s="31">
        <v>2.7</v>
      </c>
      <c r="F92" s="31">
        <f>F89*E92</f>
        <v>2.8620000000000005</v>
      </c>
      <c r="G92" s="31"/>
      <c r="H92" s="32"/>
      <c r="I92" s="19"/>
      <c r="J92" s="19"/>
      <c r="K92" s="32"/>
      <c r="L92" s="31"/>
      <c r="M92" s="40"/>
    </row>
    <row r="93" spans="1:13" s="98" customFormat="1" ht="12" x14ac:dyDescent="0.25">
      <c r="A93" s="100"/>
      <c r="B93" s="131"/>
      <c r="C93" s="78" t="s">
        <v>58</v>
      </c>
      <c r="D93" s="66" t="s">
        <v>10</v>
      </c>
      <c r="E93" s="31">
        <f>25.1+0.2</f>
        <v>25.3</v>
      </c>
      <c r="F93" s="31">
        <f>F89*E93</f>
        <v>26.818000000000001</v>
      </c>
      <c r="G93" s="31"/>
      <c r="H93" s="32"/>
      <c r="I93" s="19"/>
      <c r="J93" s="19"/>
      <c r="K93" s="32"/>
      <c r="L93" s="31"/>
      <c r="M93" s="40"/>
    </row>
    <row r="94" spans="1:13" s="98" customFormat="1" ht="12" x14ac:dyDescent="0.25">
      <c r="A94" s="100"/>
      <c r="B94" s="131"/>
      <c r="C94" s="78" t="s">
        <v>14</v>
      </c>
      <c r="D94" s="74" t="s">
        <v>2</v>
      </c>
      <c r="E94" s="31">
        <v>0.19</v>
      </c>
      <c r="F94" s="31">
        <f>E94*F89</f>
        <v>0.20140000000000002</v>
      </c>
      <c r="G94" s="32"/>
      <c r="H94" s="32"/>
      <c r="I94" s="126"/>
      <c r="J94" s="32"/>
      <c r="K94" s="132"/>
      <c r="L94" s="133"/>
      <c r="M94" s="31"/>
    </row>
    <row r="95" spans="1:13" s="98" customFormat="1" ht="12" x14ac:dyDescent="0.25">
      <c r="A95" s="100"/>
      <c r="B95" s="131"/>
      <c r="C95" s="78"/>
      <c r="D95" s="74"/>
      <c r="E95" s="31"/>
      <c r="F95" s="31"/>
      <c r="G95" s="32"/>
      <c r="H95" s="32"/>
      <c r="I95" s="126"/>
      <c r="J95" s="32"/>
      <c r="K95" s="132"/>
      <c r="L95" s="133"/>
      <c r="M95" s="31"/>
    </row>
    <row r="96" spans="1:13" s="98" customFormat="1" ht="12" x14ac:dyDescent="0.25">
      <c r="A96" s="100"/>
      <c r="B96" s="131"/>
      <c r="C96" s="78"/>
      <c r="D96" s="74"/>
      <c r="E96" s="31"/>
      <c r="F96" s="31"/>
      <c r="G96" s="32"/>
      <c r="H96" s="32"/>
      <c r="I96" s="126"/>
      <c r="J96" s="32"/>
      <c r="K96" s="132"/>
      <c r="L96" s="133"/>
      <c r="M96" s="31"/>
    </row>
    <row r="97" spans="1:13" s="98" customFormat="1" ht="21" customHeight="1" x14ac:dyDescent="0.25">
      <c r="A97" s="100">
        <v>15</v>
      </c>
      <c r="B97" s="161" t="s">
        <v>237</v>
      </c>
      <c r="C97" s="60" t="s">
        <v>233</v>
      </c>
      <c r="D97" s="1" t="s">
        <v>60</v>
      </c>
      <c r="E97" s="1"/>
      <c r="F97" s="1">
        <v>1</v>
      </c>
      <c r="G97" s="3"/>
      <c r="H97" s="3"/>
      <c r="I97" s="2"/>
      <c r="J97" s="2"/>
      <c r="K97" s="2"/>
      <c r="L97" s="2"/>
      <c r="M97" s="3"/>
    </row>
    <row r="98" spans="1:13" s="98" customFormat="1" ht="12" x14ac:dyDescent="0.25">
      <c r="A98" s="100"/>
      <c r="B98" s="131"/>
      <c r="C98" s="78"/>
      <c r="D98" s="74"/>
      <c r="E98" s="31"/>
      <c r="F98" s="31"/>
      <c r="G98" s="32"/>
      <c r="H98" s="32"/>
      <c r="I98" s="126"/>
      <c r="J98" s="32"/>
      <c r="K98" s="132"/>
      <c r="L98" s="133"/>
      <c r="M98" s="31"/>
    </row>
    <row r="99" spans="1:13" s="98" customFormat="1" ht="21" customHeight="1" x14ac:dyDescent="0.25">
      <c r="A99" s="100">
        <v>16</v>
      </c>
      <c r="B99" s="160" t="str">
        <f>B97</f>
        <v>invoisi</v>
      </c>
      <c r="C99" s="60" t="s">
        <v>156</v>
      </c>
      <c r="D99" s="1" t="s">
        <v>60</v>
      </c>
      <c r="E99" s="1"/>
      <c r="F99" s="1">
        <v>4</v>
      </c>
      <c r="G99" s="3"/>
      <c r="H99" s="3"/>
      <c r="I99" s="2"/>
      <c r="J99" s="2"/>
      <c r="K99" s="2"/>
      <c r="L99" s="2"/>
      <c r="M99" s="3"/>
    </row>
    <row r="100" spans="1:13" s="98" customFormat="1" x14ac:dyDescent="0.25">
      <c r="A100" s="100"/>
      <c r="B100" s="160"/>
      <c r="C100" s="83"/>
      <c r="D100" s="1"/>
      <c r="E100" s="1"/>
      <c r="F100" s="1"/>
      <c r="G100" s="3"/>
      <c r="H100" s="2"/>
      <c r="I100" s="2"/>
      <c r="J100" s="2"/>
      <c r="K100" s="2"/>
      <c r="L100" s="2"/>
      <c r="M100" s="2"/>
    </row>
    <row r="101" spans="1:13" s="98" customFormat="1" ht="15" customHeight="1" x14ac:dyDescent="0.25">
      <c r="A101" s="100">
        <v>17</v>
      </c>
      <c r="B101" s="160" t="str">
        <f>B97</f>
        <v>invoisi</v>
      </c>
      <c r="C101" s="83" t="s">
        <v>171</v>
      </c>
      <c r="D101" s="1" t="s">
        <v>60</v>
      </c>
      <c r="E101" s="1"/>
      <c r="F101" s="1">
        <v>2</v>
      </c>
      <c r="G101" s="3"/>
      <c r="H101" s="3"/>
      <c r="I101" s="2"/>
      <c r="J101" s="2"/>
      <c r="K101" s="2"/>
      <c r="L101" s="2"/>
      <c r="M101" s="3"/>
    </row>
    <row r="102" spans="1:13" s="98" customFormat="1" ht="19.5" customHeight="1" x14ac:dyDescent="0.25">
      <c r="A102" s="100"/>
      <c r="B102" s="160"/>
      <c r="C102" s="83"/>
      <c r="D102" s="1"/>
      <c r="E102" s="1"/>
      <c r="F102" s="1"/>
      <c r="G102" s="3"/>
      <c r="H102" s="3"/>
      <c r="I102" s="2"/>
      <c r="J102" s="2"/>
      <c r="K102" s="2"/>
      <c r="L102" s="2"/>
      <c r="M102" s="3"/>
    </row>
    <row r="103" spans="1:13" s="98" customFormat="1" ht="27.75" customHeight="1" x14ac:dyDescent="0.25">
      <c r="A103" s="100">
        <v>18</v>
      </c>
      <c r="B103" s="8" t="s">
        <v>172</v>
      </c>
      <c r="C103" s="56" t="s">
        <v>235</v>
      </c>
      <c r="D103" s="34" t="s">
        <v>47</v>
      </c>
      <c r="E103" s="143"/>
      <c r="F103" s="144">
        <f>113*0.1</f>
        <v>11.3</v>
      </c>
      <c r="G103" s="36"/>
      <c r="H103" s="35"/>
      <c r="I103" s="145"/>
      <c r="J103" s="145"/>
      <c r="K103" s="36"/>
      <c r="L103" s="36"/>
      <c r="M103" s="35"/>
    </row>
    <row r="104" spans="1:13" s="98" customFormat="1" ht="19.5" customHeight="1" x14ac:dyDescent="0.25">
      <c r="A104" s="100"/>
      <c r="B104" s="8"/>
      <c r="C104" s="14" t="s">
        <v>96</v>
      </c>
      <c r="D104" s="36"/>
      <c r="E104" s="36">
        <v>8.4</v>
      </c>
      <c r="F104" s="35">
        <f>E104*F103</f>
        <v>94.920000000000016</v>
      </c>
      <c r="G104" s="36"/>
      <c r="H104" s="35"/>
      <c r="I104" s="35"/>
      <c r="J104" s="28"/>
      <c r="K104" s="36"/>
      <c r="L104" s="36"/>
      <c r="M104" s="35"/>
    </row>
    <row r="105" spans="1:13" s="98" customFormat="1" ht="19.5" customHeight="1" x14ac:dyDescent="0.25">
      <c r="A105" s="100"/>
      <c r="B105" s="34"/>
      <c r="C105" s="91" t="s">
        <v>151</v>
      </c>
      <c r="D105" s="36" t="s">
        <v>173</v>
      </c>
      <c r="E105" s="36">
        <v>1.01</v>
      </c>
      <c r="F105" s="35">
        <f>E105*F103</f>
        <v>11.413</v>
      </c>
      <c r="G105" s="36"/>
      <c r="H105" s="35"/>
      <c r="I105" s="145"/>
      <c r="J105" s="145"/>
      <c r="K105" s="36"/>
      <c r="L105" s="36"/>
      <c r="M105" s="35"/>
    </row>
    <row r="106" spans="1:13" s="98" customFormat="1" ht="19.5" customHeight="1" x14ac:dyDescent="0.25">
      <c r="A106" s="100"/>
      <c r="B106" s="160"/>
      <c r="C106" s="83"/>
      <c r="D106" s="1"/>
      <c r="E106" s="1"/>
      <c r="F106" s="1"/>
      <c r="G106" s="3"/>
      <c r="H106" s="3"/>
      <c r="I106" s="2"/>
      <c r="J106" s="2"/>
      <c r="K106" s="2"/>
      <c r="L106" s="2"/>
      <c r="M106" s="3"/>
    </row>
    <row r="107" spans="1:13" s="98" customFormat="1" ht="32.25" customHeight="1" x14ac:dyDescent="0.25">
      <c r="A107" s="100">
        <v>19</v>
      </c>
      <c r="B107" s="146" t="s">
        <v>174</v>
      </c>
      <c r="C107" s="147" t="s">
        <v>234</v>
      </c>
      <c r="D107" s="71" t="s">
        <v>175</v>
      </c>
      <c r="E107" s="39"/>
      <c r="F107" s="29">
        <f>113/1000</f>
        <v>0.113</v>
      </c>
      <c r="G107" s="148"/>
      <c r="H107" s="32"/>
      <c r="I107" s="148"/>
      <c r="J107" s="32"/>
      <c r="K107" s="148"/>
      <c r="L107" s="32"/>
      <c r="M107" s="149"/>
    </row>
    <row r="108" spans="1:13" s="98" customFormat="1" ht="19.5" customHeight="1" x14ac:dyDescent="0.25">
      <c r="A108" s="100"/>
      <c r="B108" s="106" t="s">
        <v>176</v>
      </c>
      <c r="C108" s="65" t="s">
        <v>25</v>
      </c>
      <c r="D108" s="74" t="s">
        <v>0</v>
      </c>
      <c r="E108" s="32">
        <v>20.6</v>
      </c>
      <c r="F108" s="32">
        <f>F107*E108</f>
        <v>2.3278000000000003</v>
      </c>
      <c r="G108" s="32"/>
      <c r="H108" s="32"/>
      <c r="I108" s="148"/>
      <c r="J108" s="32"/>
      <c r="K108" s="148"/>
      <c r="L108" s="32"/>
      <c r="M108" s="40"/>
    </row>
    <row r="109" spans="1:13" s="98" customFormat="1" ht="19.5" customHeight="1" x14ac:dyDescent="0.25">
      <c r="A109" s="100"/>
      <c r="B109" s="106"/>
      <c r="C109" s="150" t="s">
        <v>177</v>
      </c>
      <c r="D109" s="74" t="s">
        <v>8</v>
      </c>
      <c r="E109" s="32">
        <v>1100</v>
      </c>
      <c r="F109" s="32">
        <f>F107*E109</f>
        <v>124.3</v>
      </c>
      <c r="G109" s="148"/>
      <c r="H109" s="32"/>
      <c r="I109" s="32"/>
      <c r="J109" s="32"/>
      <c r="K109" s="148"/>
      <c r="L109" s="32"/>
      <c r="M109" s="40"/>
    </row>
    <row r="110" spans="1:13" s="98" customFormat="1" ht="19.5" customHeight="1" x14ac:dyDescent="0.25">
      <c r="A110" s="100"/>
      <c r="B110" s="106"/>
      <c r="C110" s="150"/>
      <c r="D110" s="74"/>
      <c r="E110" s="32"/>
      <c r="F110" s="32"/>
      <c r="G110" s="148"/>
      <c r="H110" s="32"/>
      <c r="I110" s="32"/>
      <c r="J110" s="32"/>
      <c r="K110" s="148"/>
      <c r="L110" s="32"/>
      <c r="M110" s="40"/>
    </row>
    <row r="111" spans="1:13" s="98" customFormat="1" ht="26.25" customHeight="1" x14ac:dyDescent="0.25">
      <c r="A111" s="100">
        <v>20</v>
      </c>
      <c r="B111" s="151" t="s">
        <v>178</v>
      </c>
      <c r="C111" s="152" t="s">
        <v>179</v>
      </c>
      <c r="D111" s="71" t="s">
        <v>24</v>
      </c>
      <c r="E111" s="30"/>
      <c r="F111" s="39">
        <f>64/100</f>
        <v>0.64</v>
      </c>
      <c r="G111" s="31"/>
      <c r="H111" s="32"/>
      <c r="I111" s="31"/>
      <c r="J111" s="32"/>
      <c r="K111" s="31"/>
      <c r="L111" s="32"/>
      <c r="M111" s="149"/>
    </row>
    <row r="112" spans="1:13" s="98" customFormat="1" ht="19.5" customHeight="1" x14ac:dyDescent="0.25">
      <c r="A112" s="100"/>
      <c r="B112" s="106" t="s">
        <v>176</v>
      </c>
      <c r="C112" s="65" t="s">
        <v>25</v>
      </c>
      <c r="D112" s="74" t="s">
        <v>0</v>
      </c>
      <c r="E112" s="153">
        <v>28</v>
      </c>
      <c r="F112" s="153">
        <f>F111*E112</f>
        <v>17.920000000000002</v>
      </c>
      <c r="G112" s="31"/>
      <c r="H112" s="32"/>
      <c r="I112" s="31"/>
      <c r="J112" s="32"/>
      <c r="K112" s="31"/>
      <c r="L112" s="32"/>
      <c r="M112" s="40"/>
    </row>
    <row r="113" spans="1:13" s="98" customFormat="1" ht="19.5" customHeight="1" x14ac:dyDescent="0.25">
      <c r="A113" s="100"/>
      <c r="B113" s="154"/>
      <c r="C113" s="65" t="s">
        <v>180</v>
      </c>
      <c r="D113" s="66" t="s">
        <v>10</v>
      </c>
      <c r="E113" s="153">
        <v>69</v>
      </c>
      <c r="F113" s="153">
        <f>E113*F111</f>
        <v>44.160000000000004</v>
      </c>
      <c r="G113" s="31"/>
      <c r="H113" s="32"/>
      <c r="I113" s="31"/>
      <c r="J113" s="32"/>
      <c r="K113" s="31"/>
      <c r="L113" s="32"/>
      <c r="M113" s="40"/>
    </row>
    <row r="114" spans="1:13" s="98" customFormat="1" ht="19.5" customHeight="1" x14ac:dyDescent="0.25">
      <c r="A114" s="100"/>
      <c r="B114" s="154"/>
      <c r="C114" s="65" t="s">
        <v>181</v>
      </c>
      <c r="D114" s="66" t="s">
        <v>10</v>
      </c>
      <c r="E114" s="153">
        <v>1.9</v>
      </c>
      <c r="F114" s="153">
        <f>E114*F111</f>
        <v>1.216</v>
      </c>
      <c r="G114" s="31"/>
      <c r="H114" s="32"/>
      <c r="I114" s="31"/>
      <c r="J114" s="32"/>
      <c r="K114" s="31"/>
      <c r="L114" s="32"/>
      <c r="M114" s="40"/>
    </row>
    <row r="115" spans="1:13" s="98" customFormat="1" ht="19.5" customHeight="1" x14ac:dyDescent="0.25">
      <c r="A115" s="100"/>
      <c r="B115" s="154"/>
      <c r="C115" s="65" t="s">
        <v>182</v>
      </c>
      <c r="D115" s="66" t="s">
        <v>10</v>
      </c>
      <c r="E115" s="153">
        <v>0.5</v>
      </c>
      <c r="F115" s="153">
        <f>E115*F111</f>
        <v>0.32</v>
      </c>
      <c r="G115" s="31"/>
      <c r="H115" s="32"/>
      <c r="I115" s="31"/>
      <c r="J115" s="32"/>
      <c r="K115" s="31"/>
      <c r="L115" s="32"/>
      <c r="M115" s="40"/>
    </row>
    <row r="116" spans="1:13" s="98" customFormat="1" ht="19.5" customHeight="1" x14ac:dyDescent="0.25">
      <c r="A116" s="100"/>
      <c r="B116" s="154"/>
      <c r="C116" s="155" t="s">
        <v>183</v>
      </c>
      <c r="D116" s="74" t="s">
        <v>8</v>
      </c>
      <c r="E116" s="153">
        <v>102</v>
      </c>
      <c r="F116" s="153">
        <f>F111*E116</f>
        <v>65.28</v>
      </c>
      <c r="G116" s="31"/>
      <c r="H116" s="32"/>
      <c r="I116" s="31"/>
      <c r="J116" s="32"/>
      <c r="K116" s="31"/>
      <c r="L116" s="32"/>
      <c r="M116" s="40"/>
    </row>
    <row r="117" spans="1:13" s="98" customFormat="1" ht="19.5" customHeight="1" x14ac:dyDescent="0.25">
      <c r="A117" s="100"/>
      <c r="B117" s="160"/>
      <c r="C117" s="83"/>
      <c r="D117" s="1"/>
      <c r="E117" s="1"/>
      <c r="F117" s="1"/>
      <c r="G117" s="3"/>
      <c r="H117" s="3"/>
      <c r="I117" s="2"/>
      <c r="J117" s="2"/>
      <c r="K117" s="2"/>
      <c r="L117" s="2"/>
      <c r="M117" s="3"/>
    </row>
    <row r="118" spans="1:13" s="98" customFormat="1" ht="19.5" customHeight="1" x14ac:dyDescent="0.25">
      <c r="A118" s="100"/>
      <c r="B118" s="160"/>
      <c r="C118" s="84" t="s">
        <v>67</v>
      </c>
      <c r="D118" s="84"/>
      <c r="E118" s="1"/>
      <c r="F118" s="1"/>
      <c r="G118" s="3"/>
      <c r="H118" s="3"/>
      <c r="I118" s="2"/>
      <c r="J118" s="2"/>
      <c r="K118" s="2"/>
      <c r="L118" s="2"/>
      <c r="M118" s="3"/>
    </row>
    <row r="119" spans="1:13" s="98" customFormat="1" ht="19.5" customHeight="1" x14ac:dyDescent="0.25">
      <c r="A119" s="100"/>
      <c r="B119" s="160"/>
      <c r="C119" s="84"/>
      <c r="D119" s="84"/>
      <c r="E119" s="1"/>
      <c r="F119" s="1"/>
      <c r="G119" s="160"/>
      <c r="H119" s="1"/>
      <c r="I119" s="2"/>
      <c r="J119" s="2"/>
      <c r="K119" s="2"/>
      <c r="L119" s="2"/>
      <c r="M119" s="3"/>
    </row>
    <row r="120" spans="1:13" s="98" customFormat="1" ht="31.5" customHeight="1" x14ac:dyDescent="0.25">
      <c r="A120" s="100">
        <v>1</v>
      </c>
      <c r="B120" s="160" t="s">
        <v>68</v>
      </c>
      <c r="C120" s="60" t="s">
        <v>157</v>
      </c>
      <c r="D120" s="1" t="s">
        <v>69</v>
      </c>
      <c r="E120" s="2"/>
      <c r="F120" s="1">
        <f>F224*0.6*0.5</f>
        <v>29.099999999999998</v>
      </c>
      <c r="G120" s="3"/>
      <c r="H120" s="2"/>
      <c r="I120" s="2"/>
      <c r="J120" s="1"/>
      <c r="K120" s="1"/>
      <c r="L120" s="1"/>
      <c r="M120" s="1"/>
    </row>
    <row r="121" spans="1:13" s="98" customFormat="1" ht="19.5" customHeight="1" x14ac:dyDescent="0.25">
      <c r="A121" s="100"/>
      <c r="B121" s="160"/>
      <c r="C121" s="4" t="s">
        <v>52</v>
      </c>
      <c r="D121" s="2" t="s">
        <v>43</v>
      </c>
      <c r="E121" s="2">
        <v>2.06</v>
      </c>
      <c r="F121" s="2">
        <f>E121*F120</f>
        <v>59.945999999999998</v>
      </c>
      <c r="G121" s="3"/>
      <c r="H121" s="2"/>
      <c r="I121" s="2"/>
      <c r="J121" s="2"/>
      <c r="K121" s="2"/>
      <c r="L121" s="2"/>
      <c r="M121" s="2"/>
    </row>
    <row r="122" spans="1:13" s="98" customFormat="1" ht="19.5" customHeight="1" x14ac:dyDescent="0.25">
      <c r="A122" s="100"/>
      <c r="B122" s="160"/>
      <c r="C122" s="4"/>
      <c r="D122" s="2"/>
      <c r="E122" s="2"/>
      <c r="F122" s="2"/>
      <c r="G122" s="3"/>
      <c r="H122" s="3"/>
      <c r="I122" s="2"/>
      <c r="J122" s="2"/>
      <c r="K122" s="2"/>
      <c r="L122" s="2"/>
      <c r="M122" s="2"/>
    </row>
    <row r="123" spans="1:13" s="98" customFormat="1" ht="27.75" customHeight="1" x14ac:dyDescent="0.25">
      <c r="A123" s="100">
        <v>2</v>
      </c>
      <c r="B123" s="134" t="s">
        <v>150</v>
      </c>
      <c r="C123" s="56" t="s">
        <v>158</v>
      </c>
      <c r="D123" s="34" t="s">
        <v>47</v>
      </c>
      <c r="E123" s="36"/>
      <c r="F123" s="160">
        <f>F136*0.4*0.4*0.6</f>
        <v>1.1520000000000001</v>
      </c>
      <c r="G123" s="57"/>
      <c r="H123" s="57"/>
      <c r="I123" s="57"/>
      <c r="J123" s="57"/>
      <c r="K123" s="57"/>
      <c r="L123" s="57"/>
      <c r="M123" s="58"/>
    </row>
    <row r="124" spans="1:13" s="98" customFormat="1" ht="19.5" customHeight="1" x14ac:dyDescent="0.25">
      <c r="A124" s="100"/>
      <c r="B124" s="134"/>
      <c r="C124" s="14" t="s">
        <v>42</v>
      </c>
      <c r="D124" s="36" t="s">
        <v>43</v>
      </c>
      <c r="E124" s="36">
        <v>5.07</v>
      </c>
      <c r="F124" s="45">
        <f>E124*F123</f>
        <v>5.8406400000000014</v>
      </c>
      <c r="G124" s="38"/>
      <c r="H124" s="46"/>
      <c r="I124" s="46"/>
      <c r="J124" s="46"/>
      <c r="K124" s="38"/>
      <c r="L124" s="46"/>
      <c r="M124" s="47"/>
    </row>
    <row r="125" spans="1:13" s="98" customFormat="1" ht="19.5" customHeight="1" x14ac:dyDescent="0.25">
      <c r="A125" s="100"/>
      <c r="B125" s="118"/>
      <c r="C125" s="14" t="s">
        <v>151</v>
      </c>
      <c r="D125" s="36" t="s">
        <v>47</v>
      </c>
      <c r="E125" s="36">
        <v>1.02</v>
      </c>
      <c r="F125" s="45">
        <f>E125*F123</f>
        <v>1.1750400000000001</v>
      </c>
      <c r="G125" s="76"/>
      <c r="H125" s="46"/>
      <c r="I125" s="46"/>
      <c r="J125" s="46"/>
      <c r="K125" s="38"/>
      <c r="L125" s="46"/>
      <c r="M125" s="47"/>
    </row>
    <row r="126" spans="1:13" s="98" customFormat="1" ht="19.5" customHeight="1" x14ac:dyDescent="0.25">
      <c r="A126" s="100"/>
      <c r="B126" s="134"/>
      <c r="C126" s="14" t="s">
        <v>48</v>
      </c>
      <c r="D126" s="36" t="s">
        <v>49</v>
      </c>
      <c r="E126" s="36">
        <v>1.1399999999999999</v>
      </c>
      <c r="F126" s="45">
        <f>F123*E126</f>
        <v>1.31328</v>
      </c>
      <c r="G126" s="38"/>
      <c r="H126" s="46"/>
      <c r="I126" s="46"/>
      <c r="J126" s="46"/>
      <c r="K126" s="38"/>
      <c r="L126" s="46"/>
      <c r="M126" s="47"/>
    </row>
    <row r="127" spans="1:13" s="98" customFormat="1" ht="19.5" customHeight="1" x14ac:dyDescent="0.25">
      <c r="A127" s="100"/>
      <c r="B127" s="134"/>
      <c r="C127" s="14" t="s">
        <v>50</v>
      </c>
      <c r="D127" s="36" t="s">
        <v>49</v>
      </c>
      <c r="E127" s="36">
        <v>0.25</v>
      </c>
      <c r="F127" s="45">
        <f>F123*E127</f>
        <v>0.28800000000000003</v>
      </c>
      <c r="G127" s="38"/>
      <c r="H127" s="46"/>
      <c r="I127" s="46"/>
      <c r="J127" s="46"/>
      <c r="K127" s="38"/>
      <c r="L127" s="46"/>
      <c r="M127" s="47"/>
    </row>
    <row r="128" spans="1:13" s="98" customFormat="1" ht="19.5" customHeight="1" x14ac:dyDescent="0.25">
      <c r="A128" s="100"/>
      <c r="B128" s="160"/>
      <c r="C128" s="4"/>
      <c r="D128" s="2"/>
      <c r="E128" s="2"/>
      <c r="F128" s="2"/>
      <c r="G128" s="3"/>
      <c r="H128" s="3"/>
      <c r="I128" s="2"/>
      <c r="J128" s="2"/>
      <c r="K128" s="2"/>
      <c r="L128" s="2"/>
      <c r="M128" s="2"/>
    </row>
    <row r="129" spans="1:13" s="98" customFormat="1" ht="19.5" customHeight="1" x14ac:dyDescent="0.25">
      <c r="A129" s="100">
        <v>3</v>
      </c>
      <c r="B129" s="160" t="s">
        <v>70</v>
      </c>
      <c r="C129" s="5" t="s">
        <v>161</v>
      </c>
      <c r="D129" s="1" t="s">
        <v>9</v>
      </c>
      <c r="E129" s="2"/>
      <c r="F129" s="1">
        <f>F224*0.4*0.2</f>
        <v>7.7600000000000016</v>
      </c>
      <c r="G129" s="3"/>
      <c r="H129" s="3"/>
      <c r="I129" s="2"/>
      <c r="J129" s="3"/>
      <c r="K129" s="2"/>
      <c r="L129" s="3"/>
      <c r="M129" s="3"/>
    </row>
    <row r="130" spans="1:13" s="98" customFormat="1" ht="19.5" customHeight="1" x14ac:dyDescent="0.25">
      <c r="A130" s="100"/>
      <c r="B130" s="160"/>
      <c r="C130" s="6" t="s">
        <v>36</v>
      </c>
      <c r="D130" s="2" t="s">
        <v>37</v>
      </c>
      <c r="E130" s="2">
        <v>1.8</v>
      </c>
      <c r="F130" s="2">
        <f>E130*F129</f>
        <v>13.968000000000004</v>
      </c>
      <c r="G130" s="138"/>
      <c r="H130" s="138"/>
      <c r="I130" s="2"/>
      <c r="J130" s="3"/>
      <c r="K130" s="2"/>
      <c r="L130" s="3"/>
      <c r="M130" s="3"/>
    </row>
    <row r="131" spans="1:13" s="98" customFormat="1" ht="19.5" customHeight="1" x14ac:dyDescent="0.25">
      <c r="A131" s="100"/>
      <c r="B131" s="160" t="s">
        <v>71</v>
      </c>
      <c r="C131" s="6" t="s">
        <v>72</v>
      </c>
      <c r="D131" s="2" t="s">
        <v>9</v>
      </c>
      <c r="E131" s="2">
        <v>1.1000000000000001</v>
      </c>
      <c r="F131" s="2">
        <f>E131*F129</f>
        <v>8.5360000000000031</v>
      </c>
      <c r="G131" s="3"/>
      <c r="H131" s="3"/>
      <c r="I131" s="2"/>
      <c r="J131" s="3"/>
      <c r="K131" s="2"/>
      <c r="L131" s="3"/>
      <c r="M131" s="3"/>
    </row>
    <row r="132" spans="1:13" s="98" customFormat="1" ht="19.5" customHeight="1" x14ac:dyDescent="0.25">
      <c r="A132" s="100"/>
      <c r="B132" s="160"/>
      <c r="C132" s="6"/>
      <c r="D132" s="2"/>
      <c r="E132" s="2"/>
      <c r="F132" s="2"/>
      <c r="G132" s="160"/>
      <c r="H132" s="1"/>
      <c r="I132" s="2"/>
      <c r="J132" s="3"/>
      <c r="K132" s="2"/>
      <c r="L132" s="3"/>
      <c r="M132" s="3"/>
    </row>
    <row r="133" spans="1:13" s="98" customFormat="1" ht="19.5" customHeight="1" x14ac:dyDescent="0.25">
      <c r="A133" s="100">
        <v>4</v>
      </c>
      <c r="B133" s="160" t="s">
        <v>73</v>
      </c>
      <c r="C133" s="5" t="s">
        <v>74</v>
      </c>
      <c r="D133" s="1" t="s">
        <v>9</v>
      </c>
      <c r="E133" s="2"/>
      <c r="F133" s="1">
        <f>F120-F129</f>
        <v>21.339999999999996</v>
      </c>
      <c r="G133" s="3"/>
      <c r="H133" s="2"/>
      <c r="I133" s="2"/>
      <c r="J133" s="1"/>
      <c r="K133" s="1"/>
      <c r="L133" s="1"/>
      <c r="M133" s="1"/>
    </row>
    <row r="134" spans="1:13" s="98" customFormat="1" ht="19.5" customHeight="1" x14ac:dyDescent="0.25">
      <c r="A134" s="100"/>
      <c r="B134" s="160"/>
      <c r="C134" s="6" t="s">
        <v>36</v>
      </c>
      <c r="D134" s="2" t="s">
        <v>37</v>
      </c>
      <c r="E134" s="2">
        <v>0.99</v>
      </c>
      <c r="F134" s="2">
        <f>E134*F133</f>
        <v>21.126599999999996</v>
      </c>
      <c r="G134" s="3"/>
      <c r="H134" s="2"/>
      <c r="I134" s="2"/>
      <c r="J134" s="2"/>
      <c r="K134" s="2"/>
      <c r="L134" s="2"/>
      <c r="M134" s="2"/>
    </row>
    <row r="135" spans="1:13" s="98" customFormat="1" ht="19.5" customHeight="1" x14ac:dyDescent="0.25">
      <c r="A135" s="100"/>
      <c r="B135" s="160"/>
      <c r="C135" s="6"/>
      <c r="D135" s="2"/>
      <c r="E135" s="2"/>
      <c r="F135" s="2"/>
      <c r="G135" s="160"/>
      <c r="H135" s="1"/>
      <c r="I135" s="2"/>
      <c r="J135" s="2"/>
      <c r="K135" s="2"/>
      <c r="L135" s="2"/>
      <c r="M135" s="2"/>
    </row>
    <row r="136" spans="1:13" s="98" customFormat="1" ht="19.5" customHeight="1" x14ac:dyDescent="0.25">
      <c r="A136" s="100">
        <v>5</v>
      </c>
      <c r="B136" s="160" t="s">
        <v>75</v>
      </c>
      <c r="C136" s="5" t="s">
        <v>164</v>
      </c>
      <c r="D136" s="1" t="s">
        <v>62</v>
      </c>
      <c r="E136" s="2"/>
      <c r="F136" s="160">
        <f>F214</f>
        <v>12</v>
      </c>
      <c r="G136" s="3"/>
      <c r="H136" s="2"/>
      <c r="I136" s="1"/>
      <c r="J136" s="1"/>
      <c r="K136" s="1"/>
      <c r="L136" s="1"/>
      <c r="M136" s="1"/>
    </row>
    <row r="137" spans="1:13" s="98" customFormat="1" ht="19.5" customHeight="1" x14ac:dyDescent="0.25">
      <c r="A137" s="100"/>
      <c r="B137" s="160"/>
      <c r="C137" s="4" t="s">
        <v>42</v>
      </c>
      <c r="D137" s="2" t="s">
        <v>43</v>
      </c>
      <c r="E137" s="2">
        <v>3.06</v>
      </c>
      <c r="F137" s="2">
        <f t="shared" ref="F137" si="0">E137*F136</f>
        <v>36.72</v>
      </c>
      <c r="G137" s="138"/>
      <c r="H137" s="138"/>
      <c r="I137" s="2"/>
      <c r="J137" s="2"/>
      <c r="K137" s="2"/>
      <c r="L137" s="2"/>
      <c r="M137" s="2"/>
    </row>
    <row r="138" spans="1:13" s="98" customFormat="1" ht="19.5" customHeight="1" x14ac:dyDescent="0.25">
      <c r="A138" s="100"/>
      <c r="B138" s="160" t="s">
        <v>76</v>
      </c>
      <c r="C138" s="6" t="s">
        <v>159</v>
      </c>
      <c r="D138" s="2" t="s">
        <v>41</v>
      </c>
      <c r="E138" s="2"/>
      <c r="F138" s="2">
        <f>4*F136</f>
        <v>48</v>
      </c>
      <c r="G138" s="3"/>
      <c r="H138" s="2"/>
      <c r="I138" s="2"/>
      <c r="J138" s="2"/>
      <c r="K138" s="2"/>
      <c r="L138" s="2"/>
      <c r="M138" s="2"/>
    </row>
    <row r="139" spans="1:13" s="98" customFormat="1" ht="19.5" customHeight="1" x14ac:dyDescent="0.25">
      <c r="A139" s="100"/>
      <c r="B139" s="160"/>
      <c r="C139" s="4" t="s">
        <v>50</v>
      </c>
      <c r="D139" s="2" t="s">
        <v>49</v>
      </c>
      <c r="E139" s="2">
        <f>16.4/100</f>
        <v>0.16399999999999998</v>
      </c>
      <c r="F139" s="2">
        <f>F136*E139</f>
        <v>1.9679999999999997</v>
      </c>
      <c r="G139" s="3"/>
      <c r="H139" s="2"/>
      <c r="I139" s="2"/>
      <c r="J139" s="2"/>
      <c r="K139" s="2"/>
      <c r="L139" s="2"/>
      <c r="M139" s="2"/>
    </row>
    <row r="140" spans="1:13" s="98" customFormat="1" ht="19.5" customHeight="1" x14ac:dyDescent="0.25">
      <c r="A140" s="100"/>
      <c r="B140" s="160"/>
      <c r="C140" s="4"/>
      <c r="D140" s="2"/>
      <c r="E140" s="2"/>
      <c r="F140" s="2"/>
      <c r="G140" s="36"/>
      <c r="H140" s="36"/>
      <c r="I140" s="2"/>
      <c r="J140" s="2"/>
      <c r="K140" s="2"/>
      <c r="L140" s="2"/>
      <c r="M140" s="2"/>
    </row>
    <row r="141" spans="1:13" s="98" customFormat="1" ht="19.5" customHeight="1" x14ac:dyDescent="0.25">
      <c r="A141" s="100">
        <v>6</v>
      </c>
      <c r="B141" s="134" t="s">
        <v>189</v>
      </c>
      <c r="C141" s="81" t="s">
        <v>190</v>
      </c>
      <c r="D141" s="34" t="s">
        <v>54</v>
      </c>
      <c r="E141" s="36"/>
      <c r="F141" s="160">
        <f>F138*0.28*2</f>
        <v>26.880000000000003</v>
      </c>
      <c r="G141" s="57"/>
      <c r="H141" s="57"/>
      <c r="I141" s="57"/>
      <c r="J141" s="57"/>
      <c r="K141" s="57"/>
      <c r="L141" s="57"/>
      <c r="M141" s="58"/>
    </row>
    <row r="142" spans="1:13" s="98" customFormat="1" ht="19.5" customHeight="1" x14ac:dyDescent="0.25">
      <c r="A142" s="100"/>
      <c r="B142" s="134"/>
      <c r="C142" s="14" t="s">
        <v>42</v>
      </c>
      <c r="D142" s="36" t="s">
        <v>43</v>
      </c>
      <c r="E142" s="36">
        <f>2.33/100</f>
        <v>2.3300000000000001E-2</v>
      </c>
      <c r="F142" s="35">
        <f t="shared" ref="F142" si="1">E142*F141</f>
        <v>0.62630400000000008</v>
      </c>
      <c r="G142" s="46"/>
      <c r="H142" s="46"/>
      <c r="I142" s="46"/>
      <c r="J142" s="46"/>
      <c r="K142" s="38"/>
      <c r="L142" s="46"/>
      <c r="M142" s="47"/>
    </row>
    <row r="143" spans="1:13" s="98" customFormat="1" ht="19.5" customHeight="1" x14ac:dyDescent="0.25">
      <c r="A143" s="100"/>
      <c r="B143" s="134"/>
      <c r="C143" s="166" t="s">
        <v>191</v>
      </c>
      <c r="D143" s="36" t="s">
        <v>192</v>
      </c>
      <c r="E143" s="36">
        <v>0.15</v>
      </c>
      <c r="F143" s="35">
        <f>E143*F141</f>
        <v>4.032</v>
      </c>
      <c r="G143" s="46"/>
      <c r="H143" s="46"/>
      <c r="I143" s="46"/>
      <c r="J143" s="46"/>
      <c r="K143" s="38"/>
      <c r="L143" s="46"/>
      <c r="M143" s="47"/>
    </row>
    <row r="144" spans="1:13" s="98" customFormat="1" ht="19.5" customHeight="1" x14ac:dyDescent="0.25">
      <c r="A144" s="100"/>
      <c r="B144" s="134"/>
      <c r="C144" s="14" t="s">
        <v>193</v>
      </c>
      <c r="D144" s="36" t="s">
        <v>192</v>
      </c>
      <c r="E144" s="36">
        <f>4/100</f>
        <v>0.04</v>
      </c>
      <c r="F144" s="35">
        <f>E144*F141</f>
        <v>1.0752000000000002</v>
      </c>
      <c r="G144" s="46"/>
      <c r="H144" s="46"/>
      <c r="I144" s="46"/>
      <c r="J144" s="46"/>
      <c r="K144" s="38"/>
      <c r="L144" s="46"/>
      <c r="M144" s="47"/>
    </row>
    <row r="145" spans="1:13" s="98" customFormat="1" ht="19.5" customHeight="1" x14ac:dyDescent="0.25">
      <c r="A145" s="100"/>
      <c r="B145" s="160"/>
      <c r="C145" s="4"/>
      <c r="D145" s="2"/>
      <c r="E145" s="2"/>
      <c r="F145" s="2"/>
      <c r="G145" s="36"/>
      <c r="H145" s="36"/>
      <c r="I145" s="2"/>
      <c r="J145" s="2"/>
      <c r="K145" s="2"/>
      <c r="L145" s="2"/>
      <c r="M145" s="2"/>
    </row>
    <row r="146" spans="1:13" s="98" customFormat="1" ht="19.5" customHeight="1" x14ac:dyDescent="0.25">
      <c r="A146" s="100">
        <v>7</v>
      </c>
      <c r="B146" s="8" t="s">
        <v>125</v>
      </c>
      <c r="C146" s="56" t="s">
        <v>160</v>
      </c>
      <c r="D146" s="85" t="s">
        <v>126</v>
      </c>
      <c r="E146" s="48"/>
      <c r="F146" s="10">
        <f>F214*5</f>
        <v>60</v>
      </c>
      <c r="G146" s="36"/>
      <c r="H146" s="36"/>
      <c r="I146" s="36"/>
      <c r="J146" s="36"/>
      <c r="K146" s="36"/>
      <c r="L146" s="36"/>
      <c r="M146" s="36"/>
    </row>
    <row r="147" spans="1:13" s="98" customFormat="1" ht="19.5" customHeight="1" x14ac:dyDescent="0.25">
      <c r="A147" s="100"/>
      <c r="B147" s="8"/>
      <c r="C147" s="14" t="s">
        <v>63</v>
      </c>
      <c r="D147" s="48" t="s">
        <v>99</v>
      </c>
      <c r="E147" s="48">
        <v>0.12</v>
      </c>
      <c r="F147" s="11">
        <f>E147*F146</f>
        <v>7.1999999999999993</v>
      </c>
      <c r="G147" s="36"/>
      <c r="H147" s="36"/>
      <c r="I147" s="35"/>
      <c r="J147" s="36"/>
      <c r="K147" s="36"/>
      <c r="L147" s="36"/>
      <c r="M147" s="36"/>
    </row>
    <row r="148" spans="1:13" s="98" customFormat="1" ht="19.5" customHeight="1" x14ac:dyDescent="0.25">
      <c r="A148" s="100"/>
      <c r="B148" s="8"/>
      <c r="C148" s="20" t="s">
        <v>48</v>
      </c>
      <c r="D148" s="48" t="s">
        <v>49</v>
      </c>
      <c r="E148" s="48">
        <v>2.1999999999999999E-2</v>
      </c>
      <c r="F148" s="48">
        <f>E148*F146</f>
        <v>1.3199999999999998</v>
      </c>
      <c r="I148" s="36"/>
      <c r="J148" s="36"/>
      <c r="K148" s="36"/>
      <c r="L148" s="36"/>
      <c r="M148" s="36"/>
    </row>
    <row r="149" spans="1:13" s="98" customFormat="1" ht="19.5" customHeight="1" x14ac:dyDescent="0.25">
      <c r="A149" s="100"/>
      <c r="B149" s="8"/>
      <c r="C149" s="20" t="s">
        <v>162</v>
      </c>
      <c r="D149" s="11" t="s">
        <v>124</v>
      </c>
      <c r="E149" s="135"/>
      <c r="F149" s="12">
        <f>F214</f>
        <v>12</v>
      </c>
      <c r="G149" s="36"/>
      <c r="H149" s="36"/>
      <c r="I149" s="36"/>
      <c r="J149" s="36"/>
      <c r="K149" s="36"/>
      <c r="L149" s="36"/>
      <c r="M149" s="36"/>
    </row>
    <row r="150" spans="1:13" s="98" customFormat="1" ht="19.5" customHeight="1" x14ac:dyDescent="0.25">
      <c r="A150" s="100"/>
      <c r="B150" s="8"/>
      <c r="C150" s="20" t="s">
        <v>127</v>
      </c>
      <c r="D150" s="86" t="s">
        <v>128</v>
      </c>
      <c r="E150" s="135"/>
      <c r="F150" s="11">
        <f>F214*5</f>
        <v>60</v>
      </c>
      <c r="G150" s="36"/>
      <c r="H150" s="36"/>
      <c r="I150" s="36"/>
      <c r="J150" s="36"/>
      <c r="K150" s="36"/>
      <c r="L150" s="36"/>
      <c r="M150" s="36"/>
    </row>
    <row r="151" spans="1:13" s="98" customFormat="1" ht="19.5" customHeight="1" x14ac:dyDescent="0.25">
      <c r="A151" s="100"/>
      <c r="B151" s="136"/>
      <c r="C151" s="87" t="s">
        <v>129</v>
      </c>
      <c r="D151" s="86" t="s">
        <v>128</v>
      </c>
      <c r="E151" s="86"/>
      <c r="F151" s="36">
        <f>F214*5.7</f>
        <v>68.400000000000006</v>
      </c>
      <c r="G151" s="12"/>
      <c r="H151" s="12"/>
      <c r="I151" s="49"/>
      <c r="J151" s="12"/>
      <c r="K151" s="11"/>
      <c r="L151" s="12"/>
      <c r="M151" s="12"/>
    </row>
    <row r="152" spans="1:13" s="98" customFormat="1" ht="19.5" customHeight="1" x14ac:dyDescent="0.25">
      <c r="A152" s="100"/>
      <c r="B152" s="136"/>
      <c r="C152" s="87" t="s">
        <v>130</v>
      </c>
      <c r="D152" s="86" t="s">
        <v>128</v>
      </c>
      <c r="E152" s="86"/>
      <c r="F152" s="36">
        <f>F214*5</f>
        <v>60</v>
      </c>
      <c r="G152" s="11"/>
      <c r="H152" s="12"/>
      <c r="I152" s="11"/>
      <c r="J152" s="12"/>
      <c r="K152" s="11"/>
      <c r="L152" s="12"/>
      <c r="M152" s="12"/>
    </row>
    <row r="153" spans="1:13" s="98" customFormat="1" ht="19.5" customHeight="1" x14ac:dyDescent="0.25">
      <c r="A153" s="137"/>
      <c r="B153" s="160"/>
      <c r="C153" s="4"/>
      <c r="D153" s="2"/>
      <c r="E153" s="2"/>
      <c r="F153" s="2"/>
      <c r="G153" s="11"/>
      <c r="H153" s="12"/>
      <c r="I153" s="2"/>
      <c r="J153" s="2"/>
      <c r="K153" s="2"/>
      <c r="L153" s="138"/>
      <c r="M153" s="2"/>
    </row>
    <row r="154" spans="1:13" s="98" customFormat="1" ht="19.5" customHeight="1" x14ac:dyDescent="0.25">
      <c r="A154" s="137"/>
      <c r="B154" s="167"/>
      <c r="C154" s="168" t="s">
        <v>230</v>
      </c>
      <c r="D154" s="169"/>
      <c r="E154" s="170"/>
      <c r="F154" s="170"/>
      <c r="G154" s="156"/>
      <c r="H154" s="157"/>
      <c r="I154" s="157"/>
      <c r="J154" s="157"/>
      <c r="K154" s="157"/>
      <c r="L154" s="157"/>
      <c r="M154" s="157"/>
    </row>
    <row r="155" spans="1:13" s="98" customFormat="1" ht="19.5" customHeight="1" x14ac:dyDescent="0.25">
      <c r="A155" s="137"/>
      <c r="B155" s="167" t="s">
        <v>194</v>
      </c>
      <c r="C155" s="171" t="s">
        <v>195</v>
      </c>
      <c r="D155" s="167" t="s">
        <v>196</v>
      </c>
      <c r="E155" s="172"/>
      <c r="F155" s="172">
        <v>0.87</v>
      </c>
      <c r="G155" s="10"/>
      <c r="H155" s="157"/>
      <c r="I155" s="10"/>
      <c r="J155" s="157"/>
      <c r="K155" s="10"/>
      <c r="L155" s="157"/>
      <c r="M155" s="157"/>
    </row>
    <row r="156" spans="1:13" s="98" customFormat="1" ht="19.5" customHeight="1" x14ac:dyDescent="0.25">
      <c r="A156" s="137"/>
      <c r="B156" s="167"/>
      <c r="C156" s="173" t="s">
        <v>52</v>
      </c>
      <c r="D156" s="174" t="s">
        <v>43</v>
      </c>
      <c r="E156" s="175">
        <f>666*0.01</f>
        <v>6.66</v>
      </c>
      <c r="F156" s="176">
        <f>E156*F155</f>
        <v>5.7942</v>
      </c>
      <c r="G156" s="176"/>
      <c r="H156" s="157"/>
      <c r="I156" s="176"/>
      <c r="J156" s="157"/>
      <c r="K156" s="176"/>
      <c r="L156" s="157"/>
      <c r="M156" s="157"/>
    </row>
    <row r="157" spans="1:13" s="98" customFormat="1" ht="19.5" customHeight="1" x14ac:dyDescent="0.25">
      <c r="A157" s="137"/>
      <c r="B157" s="167"/>
      <c r="C157" s="177" t="s">
        <v>48</v>
      </c>
      <c r="D157" s="178" t="s">
        <v>49</v>
      </c>
      <c r="E157" s="175">
        <f>59*0.01</f>
        <v>0.59</v>
      </c>
      <c r="F157" s="176">
        <f>E157*F155</f>
        <v>0.51329999999999998</v>
      </c>
      <c r="G157" s="176"/>
      <c r="H157" s="157"/>
      <c r="I157" s="176"/>
      <c r="J157" s="157"/>
      <c r="K157" s="176"/>
      <c r="L157" s="157"/>
      <c r="M157" s="157"/>
    </row>
    <row r="158" spans="1:13" s="98" customFormat="1" ht="19.5" customHeight="1" x14ac:dyDescent="0.25">
      <c r="A158" s="137"/>
      <c r="B158" s="167"/>
      <c r="C158" s="173" t="s">
        <v>236</v>
      </c>
      <c r="D158" s="174" t="s">
        <v>101</v>
      </c>
      <c r="E158" s="175">
        <f>101.5*0.01</f>
        <v>1.0150000000000001</v>
      </c>
      <c r="F158" s="176">
        <f>E158*F155</f>
        <v>0.88305000000000011</v>
      </c>
      <c r="G158" s="176"/>
      <c r="H158" s="157"/>
      <c r="I158" s="176"/>
      <c r="J158" s="157"/>
      <c r="K158" s="176"/>
      <c r="L158" s="157"/>
      <c r="M158" s="157"/>
    </row>
    <row r="159" spans="1:13" s="98" customFormat="1" ht="19.5" customHeight="1" x14ac:dyDescent="0.25">
      <c r="A159" s="137"/>
      <c r="B159" s="167"/>
      <c r="C159" s="173" t="s">
        <v>197</v>
      </c>
      <c r="D159" s="174" t="s">
        <v>184</v>
      </c>
      <c r="E159" s="176">
        <f>160*0.01</f>
        <v>1.6</v>
      </c>
      <c r="F159" s="176">
        <f>E159*F155</f>
        <v>1.3920000000000001</v>
      </c>
      <c r="G159" s="176"/>
      <c r="H159" s="157"/>
      <c r="I159" s="176"/>
      <c r="J159" s="157"/>
      <c r="K159" s="176"/>
      <c r="L159" s="157"/>
      <c r="M159" s="157"/>
    </row>
    <row r="160" spans="1:13" s="98" customFormat="1" ht="19.5" customHeight="1" x14ac:dyDescent="0.25">
      <c r="A160" s="137"/>
      <c r="B160" s="167"/>
      <c r="C160" s="173" t="s">
        <v>198</v>
      </c>
      <c r="D160" s="174" t="s">
        <v>101</v>
      </c>
      <c r="E160" s="175">
        <f>1.83*0.01</f>
        <v>1.83E-2</v>
      </c>
      <c r="F160" s="176">
        <f>E160*F155</f>
        <v>1.5921000000000001E-2</v>
      </c>
      <c r="G160" s="176"/>
      <c r="H160" s="157"/>
      <c r="I160" s="176"/>
      <c r="J160" s="157"/>
      <c r="K160" s="176"/>
      <c r="L160" s="157"/>
      <c r="M160" s="157"/>
    </row>
    <row r="161" spans="1:13" s="98" customFormat="1" ht="19.5" customHeight="1" x14ac:dyDescent="0.25">
      <c r="A161" s="137"/>
      <c r="B161" s="167"/>
      <c r="C161" s="177" t="s">
        <v>50</v>
      </c>
      <c r="D161" s="179" t="s">
        <v>49</v>
      </c>
      <c r="E161" s="176">
        <f>40*0.01</f>
        <v>0.4</v>
      </c>
      <c r="F161" s="176">
        <f>E161*F155</f>
        <v>0.34800000000000003</v>
      </c>
      <c r="G161" s="176"/>
      <c r="H161" s="157"/>
      <c r="I161" s="176"/>
      <c r="J161" s="157"/>
      <c r="K161" s="176"/>
      <c r="L161" s="157"/>
      <c r="M161" s="157"/>
    </row>
    <row r="162" spans="1:13" s="98" customFormat="1" ht="19.5" customHeight="1" x14ac:dyDescent="0.25">
      <c r="A162" s="137"/>
      <c r="B162" s="167"/>
      <c r="C162" s="180" t="s">
        <v>199</v>
      </c>
      <c r="D162" s="174" t="s">
        <v>200</v>
      </c>
      <c r="E162" s="175">
        <v>1.03</v>
      </c>
      <c r="F162" s="181">
        <f>0.023+0.031</f>
        <v>5.3999999999999999E-2</v>
      </c>
      <c r="G162" s="176"/>
      <c r="H162" s="157"/>
      <c r="I162" s="176"/>
      <c r="J162" s="157"/>
      <c r="K162" s="176"/>
      <c r="L162" s="157"/>
      <c r="M162" s="157"/>
    </row>
    <row r="163" spans="1:13" s="98" customFormat="1" ht="19.5" customHeight="1" x14ac:dyDescent="0.25">
      <c r="A163" s="137"/>
      <c r="B163" s="167"/>
      <c r="C163" s="180" t="s">
        <v>201</v>
      </c>
      <c r="D163" s="174" t="s">
        <v>200</v>
      </c>
      <c r="E163" s="175">
        <v>1.03</v>
      </c>
      <c r="F163" s="181">
        <v>1.7999999999999999E-2</v>
      </c>
      <c r="G163" s="176"/>
      <c r="H163" s="157"/>
      <c r="I163" s="176"/>
      <c r="J163" s="157"/>
      <c r="K163" s="176"/>
      <c r="L163" s="157"/>
      <c r="M163" s="157"/>
    </row>
    <row r="164" spans="1:13" s="98" customFormat="1" ht="19.5" customHeight="1" x14ac:dyDescent="0.25">
      <c r="A164" s="137"/>
      <c r="B164" s="167"/>
      <c r="C164" s="168" t="s">
        <v>202</v>
      </c>
      <c r="D164" s="169"/>
      <c r="E164" s="175"/>
      <c r="F164" s="175"/>
      <c r="G164" s="157"/>
      <c r="H164" s="157"/>
      <c r="I164" s="176"/>
      <c r="J164" s="157"/>
      <c r="K164" s="176"/>
      <c r="L164" s="157"/>
      <c r="M164" s="157"/>
    </row>
    <row r="165" spans="1:13" s="98" customFormat="1" ht="21.6" customHeight="1" x14ac:dyDescent="0.25">
      <c r="A165" s="137"/>
      <c r="B165" s="182" t="s">
        <v>210</v>
      </c>
      <c r="C165" s="171" t="s">
        <v>202</v>
      </c>
      <c r="D165" s="183" t="s">
        <v>204</v>
      </c>
      <c r="E165" s="36"/>
      <c r="F165" s="34">
        <f>F172</f>
        <v>1.121</v>
      </c>
      <c r="G165" s="35"/>
      <c r="H165" s="157"/>
      <c r="I165" s="35"/>
      <c r="J165" s="157"/>
      <c r="K165" s="35"/>
      <c r="L165" s="157"/>
      <c r="M165" s="157"/>
    </row>
    <row r="166" spans="1:13" s="98" customFormat="1" ht="19.5" customHeight="1" x14ac:dyDescent="0.25">
      <c r="A166" s="137"/>
      <c r="B166" s="182"/>
      <c r="C166" s="184" t="s">
        <v>63</v>
      </c>
      <c r="D166" s="183" t="s">
        <v>99</v>
      </c>
      <c r="E166" s="35">
        <v>13.9</v>
      </c>
      <c r="F166" s="35">
        <f>F165*E166</f>
        <v>15.581900000000001</v>
      </c>
      <c r="G166" s="35"/>
      <c r="H166" s="157"/>
      <c r="I166" s="35"/>
      <c r="J166" s="157"/>
      <c r="K166" s="35"/>
      <c r="L166" s="157"/>
      <c r="M166" s="157"/>
    </row>
    <row r="167" spans="1:13" s="98" customFormat="1" ht="19.5" customHeight="1" x14ac:dyDescent="0.25">
      <c r="A167" s="137"/>
      <c r="B167" s="167"/>
      <c r="C167" s="177" t="s">
        <v>203</v>
      </c>
      <c r="D167" s="169" t="s">
        <v>204</v>
      </c>
      <c r="E167" s="175"/>
      <c r="F167" s="175">
        <v>0.38300000000000001</v>
      </c>
      <c r="G167" s="176"/>
      <c r="H167" s="157"/>
      <c r="I167" s="176"/>
      <c r="J167" s="157"/>
      <c r="K167" s="176"/>
      <c r="L167" s="157"/>
      <c r="M167" s="157"/>
    </row>
    <row r="168" spans="1:13" s="98" customFormat="1" ht="19.5" customHeight="1" x14ac:dyDescent="0.25">
      <c r="A168" s="137"/>
      <c r="B168" s="167"/>
      <c r="C168" s="177" t="s">
        <v>205</v>
      </c>
      <c r="D168" s="169" t="s">
        <v>204</v>
      </c>
      <c r="E168" s="175"/>
      <c r="F168" s="175">
        <v>0.26900000000000002</v>
      </c>
      <c r="G168" s="176"/>
      <c r="H168" s="157"/>
      <c r="I168" s="176"/>
      <c r="J168" s="157"/>
      <c r="K168" s="176"/>
      <c r="L168" s="157"/>
      <c r="M168" s="157"/>
    </row>
    <row r="169" spans="1:13" s="98" customFormat="1" ht="19.5" customHeight="1" x14ac:dyDescent="0.25">
      <c r="A169" s="137"/>
      <c r="B169" s="167"/>
      <c r="C169" s="177" t="s">
        <v>206</v>
      </c>
      <c r="D169" s="169" t="s">
        <v>204</v>
      </c>
      <c r="E169" s="175"/>
      <c r="F169" s="175">
        <v>2.5000000000000001E-2</v>
      </c>
      <c r="G169" s="176"/>
      <c r="H169" s="157"/>
      <c r="I169" s="176"/>
      <c r="J169" s="157"/>
      <c r="K169" s="176"/>
      <c r="L169" s="157"/>
      <c r="M169" s="157"/>
    </row>
    <row r="170" spans="1:13" s="98" customFormat="1" ht="19.5" customHeight="1" x14ac:dyDescent="0.25">
      <c r="A170" s="137"/>
      <c r="B170" s="167"/>
      <c r="C170" s="177" t="s">
        <v>207</v>
      </c>
      <c r="D170" s="169" t="s">
        <v>204</v>
      </c>
      <c r="E170" s="175"/>
      <c r="F170" s="175">
        <v>0.441</v>
      </c>
      <c r="G170" s="176"/>
      <c r="H170" s="157"/>
      <c r="I170" s="176"/>
      <c r="J170" s="157"/>
      <c r="K170" s="176"/>
      <c r="L170" s="157"/>
      <c r="M170" s="157"/>
    </row>
    <row r="171" spans="1:13" s="98" customFormat="1" ht="19.5" customHeight="1" x14ac:dyDescent="0.25">
      <c r="A171" s="137"/>
      <c r="B171" s="167"/>
      <c r="C171" s="177" t="s">
        <v>208</v>
      </c>
      <c r="D171" s="169" t="s">
        <v>204</v>
      </c>
      <c r="E171" s="175"/>
      <c r="F171" s="175">
        <v>3.0000000000000001E-3</v>
      </c>
      <c r="G171" s="176"/>
      <c r="H171" s="157"/>
      <c r="I171" s="176"/>
      <c r="J171" s="157"/>
      <c r="K171" s="176"/>
      <c r="L171" s="157"/>
      <c r="M171" s="157"/>
    </row>
    <row r="172" spans="1:13" s="98" customFormat="1" ht="19.5" customHeight="1" x14ac:dyDescent="0.25">
      <c r="A172" s="137"/>
      <c r="B172" s="182"/>
      <c r="C172" s="185" t="s">
        <v>209</v>
      </c>
      <c r="D172" s="182" t="s">
        <v>204</v>
      </c>
      <c r="E172" s="34"/>
      <c r="F172" s="8">
        <f>F167+F168+F169+F170+F171</f>
        <v>1.121</v>
      </c>
      <c r="G172" s="157"/>
      <c r="H172" s="157"/>
      <c r="I172" s="176"/>
      <c r="J172" s="157"/>
      <c r="K172" s="176"/>
      <c r="L172" s="157"/>
      <c r="M172" s="157"/>
    </row>
    <row r="173" spans="1:13" s="98" customFormat="1" ht="39" customHeight="1" x14ac:dyDescent="0.25">
      <c r="A173" s="137"/>
      <c r="B173" s="182" t="s">
        <v>210</v>
      </c>
      <c r="C173" s="185" t="s">
        <v>211</v>
      </c>
      <c r="D173" s="183" t="s">
        <v>204</v>
      </c>
      <c r="E173" s="36"/>
      <c r="F173" s="34">
        <f>F172</f>
        <v>1.121</v>
      </c>
      <c r="G173" s="35"/>
      <c r="H173" s="157"/>
      <c r="I173" s="35"/>
      <c r="J173" s="157"/>
      <c r="K173" s="35"/>
      <c r="L173" s="157"/>
      <c r="M173" s="157"/>
    </row>
    <row r="174" spans="1:13" s="98" customFormat="1" ht="19.5" customHeight="1" x14ac:dyDescent="0.25">
      <c r="A174" s="137"/>
      <c r="B174" s="182"/>
      <c r="C174" s="184" t="s">
        <v>63</v>
      </c>
      <c r="D174" s="183" t="s">
        <v>99</v>
      </c>
      <c r="E174" s="35">
        <v>13.9</v>
      </c>
      <c r="F174" s="35">
        <f>F173*E174</f>
        <v>15.581900000000001</v>
      </c>
      <c r="G174" s="35"/>
      <c r="H174" s="157"/>
      <c r="I174" s="35"/>
      <c r="J174" s="157"/>
      <c r="K174" s="35"/>
      <c r="L174" s="157"/>
      <c r="M174" s="157"/>
    </row>
    <row r="175" spans="1:13" s="98" customFormat="1" ht="19.5" customHeight="1" x14ac:dyDescent="0.25">
      <c r="A175" s="137"/>
      <c r="B175" s="182" t="s">
        <v>212</v>
      </c>
      <c r="C175" s="184" t="s">
        <v>213</v>
      </c>
      <c r="D175" s="183" t="s">
        <v>214</v>
      </c>
      <c r="E175" s="35">
        <v>0.25</v>
      </c>
      <c r="F175" s="35">
        <f>F173*E175</f>
        <v>0.28025</v>
      </c>
      <c r="G175" s="35"/>
      <c r="H175" s="157"/>
      <c r="I175" s="35"/>
      <c r="J175" s="157"/>
      <c r="K175" s="35"/>
      <c r="L175" s="157"/>
      <c r="M175" s="157"/>
    </row>
    <row r="176" spans="1:13" s="98" customFormat="1" ht="19.5" customHeight="1" x14ac:dyDescent="0.25">
      <c r="A176" s="137"/>
      <c r="B176" s="182"/>
      <c r="C176" s="184" t="s">
        <v>48</v>
      </c>
      <c r="D176" s="183" t="s">
        <v>49</v>
      </c>
      <c r="E176" s="35">
        <v>3.38</v>
      </c>
      <c r="F176" s="35">
        <f>F173*E176</f>
        <v>3.78898</v>
      </c>
      <c r="G176" s="35"/>
      <c r="H176" s="157"/>
      <c r="I176" s="35"/>
      <c r="J176" s="157"/>
      <c r="K176" s="35"/>
      <c r="L176" s="157"/>
      <c r="M176" s="157"/>
    </row>
    <row r="177" spans="1:13" s="98" customFormat="1" ht="19.5" customHeight="1" x14ac:dyDescent="0.25">
      <c r="A177" s="137"/>
      <c r="B177" s="182"/>
      <c r="C177" s="186" t="s">
        <v>203</v>
      </c>
      <c r="D177" s="169" t="s">
        <v>204</v>
      </c>
      <c r="E177" s="170"/>
      <c r="F177" s="170">
        <v>0.38300000000000001</v>
      </c>
      <c r="G177" s="156"/>
      <c r="H177" s="157"/>
      <c r="I177" s="35"/>
      <c r="J177" s="157"/>
      <c r="K177" s="35"/>
      <c r="L177" s="157"/>
      <c r="M177" s="157"/>
    </row>
    <row r="178" spans="1:13" s="98" customFormat="1" ht="19.5" customHeight="1" x14ac:dyDescent="0.25">
      <c r="A178" s="137"/>
      <c r="B178" s="182"/>
      <c r="C178" s="186" t="s">
        <v>205</v>
      </c>
      <c r="D178" s="169" t="s">
        <v>204</v>
      </c>
      <c r="E178" s="170"/>
      <c r="F178" s="170">
        <v>0.26900000000000002</v>
      </c>
      <c r="G178" s="156"/>
      <c r="H178" s="157"/>
      <c r="I178" s="35"/>
      <c r="J178" s="157"/>
      <c r="K178" s="35"/>
      <c r="L178" s="157"/>
      <c r="M178" s="157"/>
    </row>
    <row r="179" spans="1:13" s="98" customFormat="1" ht="19.5" customHeight="1" x14ac:dyDescent="0.25">
      <c r="A179" s="137"/>
      <c r="B179" s="182"/>
      <c r="C179" s="186" t="s">
        <v>206</v>
      </c>
      <c r="D179" s="169" t="s">
        <v>204</v>
      </c>
      <c r="E179" s="170"/>
      <c r="F179" s="170">
        <v>2.5000000000000001E-2</v>
      </c>
      <c r="G179" s="156"/>
      <c r="H179" s="157"/>
      <c r="I179" s="35"/>
      <c r="J179" s="157"/>
      <c r="K179" s="35"/>
      <c r="L179" s="157"/>
      <c r="M179" s="157"/>
    </row>
    <row r="180" spans="1:13" s="98" customFormat="1" ht="19.5" customHeight="1" x14ac:dyDescent="0.25">
      <c r="A180" s="137"/>
      <c r="B180" s="182"/>
      <c r="C180" s="186" t="s">
        <v>207</v>
      </c>
      <c r="D180" s="169" t="s">
        <v>204</v>
      </c>
      <c r="E180" s="170"/>
      <c r="F180" s="170">
        <v>0.441</v>
      </c>
      <c r="G180" s="156"/>
      <c r="H180" s="157"/>
      <c r="I180" s="35"/>
      <c r="J180" s="157"/>
      <c r="K180" s="35"/>
      <c r="L180" s="157"/>
      <c r="M180" s="157"/>
    </row>
    <row r="181" spans="1:13" s="98" customFormat="1" ht="19.5" customHeight="1" x14ac:dyDescent="0.25">
      <c r="A181" s="137"/>
      <c r="B181" s="182"/>
      <c r="C181" s="186" t="s">
        <v>208</v>
      </c>
      <c r="D181" s="169" t="s">
        <v>204</v>
      </c>
      <c r="E181" s="170"/>
      <c r="F181" s="170">
        <v>3.0000000000000001E-3</v>
      </c>
      <c r="G181" s="156"/>
      <c r="H181" s="157"/>
      <c r="I181" s="35"/>
      <c r="J181" s="157"/>
      <c r="K181" s="35"/>
      <c r="L181" s="157"/>
      <c r="M181" s="157"/>
    </row>
    <row r="182" spans="1:13" s="98" customFormat="1" ht="19.5" customHeight="1" x14ac:dyDescent="0.25">
      <c r="A182" s="137"/>
      <c r="B182" s="182"/>
      <c r="C182" s="186" t="s">
        <v>215</v>
      </c>
      <c r="D182" s="169" t="s">
        <v>124</v>
      </c>
      <c r="E182" s="170"/>
      <c r="F182" s="170">
        <v>24</v>
      </c>
      <c r="G182" s="156"/>
      <c r="H182" s="157"/>
      <c r="I182" s="35"/>
      <c r="J182" s="157"/>
      <c r="K182" s="35"/>
      <c r="L182" s="157"/>
      <c r="M182" s="157"/>
    </row>
    <row r="183" spans="1:13" s="98" customFormat="1" ht="19.5" customHeight="1" x14ac:dyDescent="0.25">
      <c r="A183" s="137"/>
      <c r="B183" s="182"/>
      <c r="C183" s="186" t="s">
        <v>216</v>
      </c>
      <c r="D183" s="169" t="s">
        <v>192</v>
      </c>
      <c r="E183" s="170"/>
      <c r="F183" s="170">
        <f>8+7+10</f>
        <v>25</v>
      </c>
      <c r="G183" s="156"/>
      <c r="H183" s="157"/>
      <c r="I183" s="35"/>
      <c r="J183" s="157"/>
      <c r="K183" s="35"/>
      <c r="L183" s="157"/>
      <c r="M183" s="157"/>
    </row>
    <row r="184" spans="1:13" s="98" customFormat="1" ht="19.5" customHeight="1" x14ac:dyDescent="0.25">
      <c r="A184" s="137"/>
      <c r="B184" s="182"/>
      <c r="C184" s="187" t="s">
        <v>50</v>
      </c>
      <c r="D184" s="183" t="s">
        <v>49</v>
      </c>
      <c r="E184" s="36">
        <v>2.78</v>
      </c>
      <c r="F184" s="35">
        <f>F173*E184</f>
        <v>3.1163799999999999</v>
      </c>
      <c r="G184" s="35"/>
      <c r="H184" s="157"/>
      <c r="I184" s="35"/>
      <c r="J184" s="157"/>
      <c r="K184" s="35"/>
      <c r="L184" s="157"/>
      <c r="M184" s="157"/>
    </row>
    <row r="185" spans="1:13" s="98" customFormat="1" ht="39" customHeight="1" x14ac:dyDescent="0.25">
      <c r="A185" s="137"/>
      <c r="B185" s="182" t="s">
        <v>217</v>
      </c>
      <c r="C185" s="188" t="s">
        <v>218</v>
      </c>
      <c r="D185" s="183" t="s">
        <v>219</v>
      </c>
      <c r="E185" s="36"/>
      <c r="F185" s="34">
        <v>0.22</v>
      </c>
      <c r="G185" s="35"/>
      <c r="H185" s="157"/>
      <c r="I185" s="35"/>
      <c r="J185" s="157"/>
      <c r="K185" s="35"/>
      <c r="L185" s="157"/>
      <c r="M185" s="157"/>
    </row>
    <row r="186" spans="1:13" s="98" customFormat="1" ht="19.5" customHeight="1" x14ac:dyDescent="0.25">
      <c r="A186" s="137"/>
      <c r="B186" s="182"/>
      <c r="C186" s="187" t="s">
        <v>63</v>
      </c>
      <c r="D186" s="183" t="s">
        <v>99</v>
      </c>
      <c r="E186" s="35">
        <v>38.799999999999997</v>
      </c>
      <c r="F186" s="35">
        <f>F185*E186</f>
        <v>8.5359999999999996</v>
      </c>
      <c r="G186" s="35"/>
      <c r="H186" s="157"/>
      <c r="I186" s="35"/>
      <c r="J186" s="157"/>
      <c r="K186" s="35"/>
      <c r="L186" s="157"/>
      <c r="M186" s="157"/>
    </row>
    <row r="187" spans="1:13" s="98" customFormat="1" ht="19.5" customHeight="1" x14ac:dyDescent="0.25">
      <c r="A187" s="137"/>
      <c r="B187" s="182"/>
      <c r="C187" s="187" t="s">
        <v>220</v>
      </c>
      <c r="D187" s="183" t="s">
        <v>99</v>
      </c>
      <c r="E187" s="35">
        <v>0.03</v>
      </c>
      <c r="F187" s="35">
        <f>F185*E187</f>
        <v>6.6E-3</v>
      </c>
      <c r="G187" s="35"/>
      <c r="H187" s="157"/>
      <c r="I187" s="35"/>
      <c r="J187" s="157"/>
      <c r="K187" s="35"/>
      <c r="L187" s="157"/>
      <c r="M187" s="157"/>
    </row>
    <row r="188" spans="1:13" s="98" customFormat="1" ht="19.5" customHeight="1" x14ac:dyDescent="0.25">
      <c r="A188" s="137"/>
      <c r="B188" s="182"/>
      <c r="C188" s="187" t="s">
        <v>221</v>
      </c>
      <c r="D188" s="183" t="s">
        <v>192</v>
      </c>
      <c r="E188" s="35">
        <v>35</v>
      </c>
      <c r="F188" s="35">
        <f>F185*E188</f>
        <v>7.7</v>
      </c>
      <c r="G188" s="35"/>
      <c r="H188" s="157"/>
      <c r="I188" s="35"/>
      <c r="J188" s="157"/>
      <c r="K188" s="35"/>
      <c r="L188" s="157"/>
      <c r="M188" s="157"/>
    </row>
    <row r="189" spans="1:13" s="98" customFormat="1" ht="19.5" customHeight="1" x14ac:dyDescent="0.25">
      <c r="A189" s="137"/>
      <c r="B189" s="182"/>
      <c r="C189" s="187" t="s">
        <v>50</v>
      </c>
      <c r="D189" s="183" t="s">
        <v>49</v>
      </c>
      <c r="E189" s="35">
        <v>0.19</v>
      </c>
      <c r="F189" s="35">
        <f>F185*E189</f>
        <v>4.1800000000000004E-2</v>
      </c>
      <c r="G189" s="35"/>
      <c r="H189" s="157"/>
      <c r="I189" s="35"/>
      <c r="J189" s="157"/>
      <c r="K189" s="35"/>
      <c r="L189" s="157"/>
      <c r="M189" s="157"/>
    </row>
    <row r="190" spans="1:13" s="98" customFormat="1" ht="35.25" customHeight="1" x14ac:dyDescent="0.25">
      <c r="A190" s="137"/>
      <c r="B190" s="182" t="s">
        <v>222</v>
      </c>
      <c r="C190" s="188" t="s">
        <v>223</v>
      </c>
      <c r="D190" s="183" t="s">
        <v>219</v>
      </c>
      <c r="E190" s="36"/>
      <c r="F190" s="34">
        <f>61/100</f>
        <v>0.61</v>
      </c>
      <c r="G190" s="35"/>
      <c r="H190" s="157"/>
      <c r="I190" s="35"/>
      <c r="J190" s="157"/>
      <c r="K190" s="35"/>
      <c r="L190" s="157"/>
      <c r="M190" s="157"/>
    </row>
    <row r="191" spans="1:13" s="98" customFormat="1" ht="19.5" customHeight="1" x14ac:dyDescent="0.25">
      <c r="A191" s="137"/>
      <c r="B191" s="182"/>
      <c r="C191" s="187" t="s">
        <v>63</v>
      </c>
      <c r="D191" s="183" t="s">
        <v>99</v>
      </c>
      <c r="E191" s="35">
        <v>42.9</v>
      </c>
      <c r="F191" s="35">
        <f>F190*E191</f>
        <v>26.168999999999997</v>
      </c>
      <c r="G191" s="35"/>
      <c r="H191" s="157"/>
      <c r="I191" s="35"/>
      <c r="J191" s="157"/>
      <c r="K191" s="35"/>
      <c r="L191" s="157"/>
      <c r="M191" s="157"/>
    </row>
    <row r="192" spans="1:13" s="98" customFormat="1" ht="19.5" customHeight="1" x14ac:dyDescent="0.25">
      <c r="A192" s="137"/>
      <c r="B192" s="182"/>
      <c r="C192" s="187" t="s">
        <v>220</v>
      </c>
      <c r="D192" s="183" t="s">
        <v>214</v>
      </c>
      <c r="E192" s="35">
        <v>2.64</v>
      </c>
      <c r="F192" s="35">
        <f>F190*E192</f>
        <v>1.6104000000000001</v>
      </c>
      <c r="G192" s="35"/>
      <c r="H192" s="157"/>
      <c r="I192" s="35"/>
      <c r="J192" s="157"/>
      <c r="K192" s="35"/>
      <c r="L192" s="157"/>
      <c r="M192" s="157"/>
    </row>
    <row r="193" spans="1:13" s="98" customFormat="1" ht="19.5" customHeight="1" x14ac:dyDescent="0.25">
      <c r="A193" s="137"/>
      <c r="B193" s="182"/>
      <c r="C193" s="187" t="s">
        <v>224</v>
      </c>
      <c r="D193" s="183" t="s">
        <v>225</v>
      </c>
      <c r="E193" s="35">
        <v>130</v>
      </c>
      <c r="F193" s="35">
        <f>F190*E193</f>
        <v>79.3</v>
      </c>
      <c r="G193" s="35"/>
      <c r="H193" s="157"/>
      <c r="I193" s="35"/>
      <c r="J193" s="157"/>
      <c r="K193" s="35"/>
      <c r="L193" s="157"/>
      <c r="M193" s="157"/>
    </row>
    <row r="194" spans="1:13" s="98" customFormat="1" ht="19.5" customHeight="1" x14ac:dyDescent="0.25">
      <c r="A194" s="137"/>
      <c r="B194" s="182"/>
      <c r="C194" s="187" t="s">
        <v>226</v>
      </c>
      <c r="D194" s="183" t="s">
        <v>124</v>
      </c>
      <c r="E194" s="35">
        <v>600</v>
      </c>
      <c r="F194" s="35">
        <f>F190*E194</f>
        <v>366</v>
      </c>
      <c r="G194" s="35"/>
      <c r="H194" s="157"/>
      <c r="I194" s="35"/>
      <c r="J194" s="157"/>
      <c r="K194" s="35"/>
      <c r="L194" s="157"/>
      <c r="M194" s="157"/>
    </row>
    <row r="195" spans="1:13" s="98" customFormat="1" ht="19.5" customHeight="1" x14ac:dyDescent="0.25">
      <c r="A195" s="137"/>
      <c r="B195" s="182"/>
      <c r="C195" s="187" t="s">
        <v>227</v>
      </c>
      <c r="D195" s="183" t="s">
        <v>192</v>
      </c>
      <c r="E195" s="35">
        <v>7.9</v>
      </c>
      <c r="F195" s="35">
        <f>F190*E195</f>
        <v>4.819</v>
      </c>
      <c r="G195" s="35"/>
      <c r="H195" s="157"/>
      <c r="I195" s="35"/>
      <c r="J195" s="157"/>
      <c r="K195" s="35"/>
      <c r="L195" s="157"/>
      <c r="M195" s="157"/>
    </row>
    <row r="196" spans="1:13" s="98" customFormat="1" ht="19.5" customHeight="1" x14ac:dyDescent="0.25">
      <c r="A196" s="137"/>
      <c r="B196" s="182"/>
      <c r="C196" s="187" t="s">
        <v>50</v>
      </c>
      <c r="D196" s="183" t="s">
        <v>49</v>
      </c>
      <c r="E196" s="35">
        <v>6.36</v>
      </c>
      <c r="F196" s="35">
        <f>F190*E196</f>
        <v>3.8795999999999999</v>
      </c>
      <c r="G196" s="35"/>
      <c r="H196" s="157"/>
      <c r="I196" s="35"/>
      <c r="J196" s="157"/>
      <c r="K196" s="35"/>
      <c r="L196" s="157"/>
      <c r="M196" s="157"/>
    </row>
    <row r="197" spans="1:13" s="98" customFormat="1" ht="19.5" customHeight="1" x14ac:dyDescent="0.25">
      <c r="A197" s="137"/>
      <c r="B197" s="168"/>
      <c r="C197" s="168" t="s">
        <v>228</v>
      </c>
      <c r="D197" s="189"/>
      <c r="E197" s="159"/>
      <c r="F197" s="159"/>
      <c r="G197" s="157"/>
      <c r="H197" s="158"/>
      <c r="I197" s="158"/>
      <c r="J197" s="158"/>
      <c r="K197" s="158"/>
      <c r="L197" s="158"/>
      <c r="M197" s="158"/>
    </row>
    <row r="198" spans="1:13" s="98" customFormat="1" ht="57" customHeight="1" x14ac:dyDescent="0.25">
      <c r="A198" s="137"/>
      <c r="B198" s="191" t="s">
        <v>229</v>
      </c>
      <c r="C198" s="187" t="s">
        <v>241</v>
      </c>
      <c r="D198" s="192" t="s">
        <v>124</v>
      </c>
      <c r="E198" s="193"/>
      <c r="F198" s="194">
        <v>1</v>
      </c>
      <c r="G198" s="157"/>
      <c r="H198" s="158"/>
      <c r="I198" s="158"/>
      <c r="J198" s="158"/>
      <c r="K198" s="158"/>
      <c r="L198" s="158"/>
      <c r="M198" s="158"/>
    </row>
    <row r="199" spans="1:13" s="98" customFormat="1" ht="54" customHeight="1" x14ac:dyDescent="0.25">
      <c r="A199" s="137"/>
      <c r="B199" s="191" t="s">
        <v>229</v>
      </c>
      <c r="C199" s="187" t="s">
        <v>242</v>
      </c>
      <c r="D199" s="192" t="s">
        <v>124</v>
      </c>
      <c r="E199" s="193"/>
      <c r="F199" s="194">
        <v>1</v>
      </c>
      <c r="G199" s="157"/>
      <c r="H199" s="158"/>
      <c r="I199" s="158"/>
      <c r="J199" s="158"/>
      <c r="K199" s="158"/>
      <c r="L199" s="158"/>
      <c r="M199" s="158"/>
    </row>
    <row r="200" spans="1:13" s="98" customFormat="1" ht="56.25" customHeight="1" x14ac:dyDescent="0.25">
      <c r="A200" s="137"/>
      <c r="B200" s="191" t="s">
        <v>229</v>
      </c>
      <c r="C200" s="190" t="s">
        <v>243</v>
      </c>
      <c r="D200" s="192" t="s">
        <v>124</v>
      </c>
      <c r="E200" s="193"/>
      <c r="F200" s="194">
        <v>1</v>
      </c>
      <c r="G200" s="157"/>
      <c r="H200" s="158"/>
      <c r="I200" s="158"/>
      <c r="J200" s="158"/>
      <c r="K200" s="158"/>
      <c r="L200" s="158"/>
      <c r="M200" s="158"/>
    </row>
    <row r="201" spans="1:13" s="98" customFormat="1" ht="52.5" customHeight="1" x14ac:dyDescent="0.25">
      <c r="A201" s="137"/>
      <c r="B201" s="191" t="s">
        <v>229</v>
      </c>
      <c r="C201" s="190" t="s">
        <v>244</v>
      </c>
      <c r="D201" s="192" t="s">
        <v>124</v>
      </c>
      <c r="E201" s="193"/>
      <c r="F201" s="194">
        <v>1</v>
      </c>
      <c r="G201" s="157"/>
      <c r="H201" s="158"/>
      <c r="I201" s="158"/>
      <c r="J201" s="158"/>
      <c r="K201" s="158"/>
      <c r="L201" s="158"/>
      <c r="M201" s="158"/>
    </row>
    <row r="202" spans="1:13" s="98" customFormat="1" ht="52.5" customHeight="1" x14ac:dyDescent="0.25">
      <c r="A202" s="137"/>
      <c r="B202" s="191" t="s">
        <v>229</v>
      </c>
      <c r="C202" s="190" t="s">
        <v>245</v>
      </c>
      <c r="D202" s="192" t="s">
        <v>124</v>
      </c>
      <c r="E202" s="193"/>
      <c r="F202" s="194">
        <v>1</v>
      </c>
      <c r="G202" s="157"/>
      <c r="H202" s="158"/>
      <c r="I202" s="158"/>
      <c r="J202" s="158"/>
      <c r="K202" s="158"/>
      <c r="L202" s="158"/>
      <c r="M202" s="158"/>
    </row>
    <row r="203" spans="1:13" s="98" customFormat="1" ht="54" customHeight="1" x14ac:dyDescent="0.25">
      <c r="A203" s="137"/>
      <c r="B203" s="191" t="s">
        <v>229</v>
      </c>
      <c r="C203" s="190" t="s">
        <v>246</v>
      </c>
      <c r="D203" s="192" t="s">
        <v>124</v>
      </c>
      <c r="E203" s="193"/>
      <c r="F203" s="194">
        <v>1</v>
      </c>
      <c r="G203" s="157"/>
      <c r="H203" s="158"/>
      <c r="I203" s="158"/>
      <c r="J203" s="158"/>
      <c r="K203" s="158"/>
      <c r="L203" s="158"/>
      <c r="M203" s="158"/>
    </row>
    <row r="204" spans="1:13" s="98" customFormat="1" ht="40.5" customHeight="1" x14ac:dyDescent="0.25">
      <c r="A204" s="137"/>
      <c r="B204" s="191" t="s">
        <v>229</v>
      </c>
      <c r="C204" s="187" t="s">
        <v>248</v>
      </c>
      <c r="D204" s="192" t="s">
        <v>124</v>
      </c>
      <c r="E204" s="193"/>
      <c r="F204" s="194">
        <v>1</v>
      </c>
      <c r="G204" s="157">
        <v>1500</v>
      </c>
      <c r="H204" s="158">
        <f t="shared" ref="H204" si="2">F204*G204</f>
        <v>1500</v>
      </c>
      <c r="I204" s="158">
        <v>60</v>
      </c>
      <c r="J204" s="158">
        <f t="shared" ref="J204" si="3">F204*I204</f>
        <v>60</v>
      </c>
      <c r="K204" s="158"/>
      <c r="L204" s="158"/>
      <c r="M204" s="158">
        <f t="shared" ref="M204" si="4">H204+J204+L204</f>
        <v>1560</v>
      </c>
    </row>
    <row r="205" spans="1:13" s="98" customFormat="1" ht="40.5" customHeight="1" x14ac:dyDescent="0.25">
      <c r="A205" s="137"/>
      <c r="B205" s="191" t="s">
        <v>229</v>
      </c>
      <c r="C205" s="190" t="s">
        <v>247</v>
      </c>
      <c r="D205" s="192" t="s">
        <v>124</v>
      </c>
      <c r="E205" s="193"/>
      <c r="F205" s="194">
        <v>1</v>
      </c>
      <c r="G205" s="157"/>
      <c r="H205" s="158"/>
      <c r="I205" s="158"/>
      <c r="J205" s="158"/>
      <c r="K205" s="158"/>
      <c r="L205" s="158"/>
      <c r="M205" s="158"/>
    </row>
    <row r="206" spans="1:13" s="98" customFormat="1" ht="40.5" customHeight="1" x14ac:dyDescent="0.25">
      <c r="A206" s="137"/>
      <c r="B206" s="191" t="s">
        <v>229</v>
      </c>
      <c r="C206" s="190" t="s">
        <v>249</v>
      </c>
      <c r="D206" s="192" t="s">
        <v>124</v>
      </c>
      <c r="E206" s="193"/>
      <c r="F206" s="194">
        <v>1</v>
      </c>
      <c r="G206" s="157"/>
      <c r="H206" s="158"/>
      <c r="I206" s="158"/>
      <c r="J206" s="158"/>
      <c r="K206" s="158"/>
      <c r="L206" s="158"/>
      <c r="M206" s="158"/>
    </row>
    <row r="207" spans="1:13" s="98" customFormat="1" ht="40.5" customHeight="1" x14ac:dyDescent="0.25">
      <c r="A207" s="137"/>
      <c r="B207" s="191" t="s">
        <v>229</v>
      </c>
      <c r="C207" s="190" t="s">
        <v>250</v>
      </c>
      <c r="D207" s="192" t="s">
        <v>124</v>
      </c>
      <c r="E207" s="193"/>
      <c r="F207" s="194">
        <v>1</v>
      </c>
      <c r="G207" s="157"/>
      <c r="H207" s="158"/>
      <c r="I207" s="158"/>
      <c r="J207" s="158"/>
      <c r="K207" s="158"/>
      <c r="L207" s="158"/>
      <c r="M207" s="158"/>
    </row>
    <row r="208" spans="1:13" s="98" customFormat="1" ht="19.5" customHeight="1" x14ac:dyDescent="0.25">
      <c r="A208" s="137"/>
      <c r="B208" s="1"/>
      <c r="C208" s="1" t="s">
        <v>77</v>
      </c>
      <c r="D208" s="1"/>
      <c r="E208" s="2"/>
      <c r="F208" s="2"/>
      <c r="G208" s="3"/>
      <c r="H208" s="1"/>
      <c r="I208" s="2"/>
      <c r="J208" s="1"/>
      <c r="K208" s="1"/>
      <c r="L208" s="1"/>
      <c r="M208" s="1"/>
    </row>
    <row r="209" spans="1:13" s="98" customFormat="1" ht="19.5" customHeight="1" x14ac:dyDescent="0.25">
      <c r="A209" s="137"/>
      <c r="B209" s="1"/>
      <c r="C209" s="1" t="s">
        <v>78</v>
      </c>
      <c r="D209" s="1" t="s">
        <v>92</v>
      </c>
      <c r="E209" s="2"/>
      <c r="F209" s="2"/>
      <c r="G209" s="3"/>
      <c r="H209" s="2"/>
      <c r="I209" s="2"/>
      <c r="J209" s="2"/>
      <c r="K209" s="2"/>
      <c r="L209" s="2"/>
      <c r="M209" s="2"/>
    </row>
    <row r="210" spans="1:13" s="98" customFormat="1" ht="19.5" customHeight="1" x14ac:dyDescent="0.25">
      <c r="A210" s="137"/>
      <c r="B210" s="1"/>
      <c r="C210" s="1" t="s">
        <v>77</v>
      </c>
      <c r="D210" s="1"/>
      <c r="E210" s="2"/>
      <c r="F210" s="2"/>
      <c r="G210" s="3"/>
      <c r="H210" s="2"/>
      <c r="I210" s="2"/>
      <c r="J210" s="2"/>
      <c r="K210" s="2"/>
      <c r="L210" s="2"/>
      <c r="M210" s="1"/>
    </row>
    <row r="211" spans="1:13" s="98" customFormat="1" ht="19.5" customHeight="1" x14ac:dyDescent="0.25">
      <c r="A211" s="137"/>
      <c r="B211" s="1"/>
      <c r="C211" s="1" t="s">
        <v>79</v>
      </c>
      <c r="D211" s="1" t="s">
        <v>131</v>
      </c>
      <c r="E211" s="2"/>
      <c r="F211" s="2"/>
      <c r="G211" s="3"/>
      <c r="H211" s="2"/>
      <c r="I211" s="2"/>
      <c r="J211" s="2"/>
      <c r="K211" s="2"/>
      <c r="L211" s="2"/>
      <c r="M211" s="2"/>
    </row>
    <row r="212" spans="1:13" s="98" customFormat="1" ht="19.5" customHeight="1" x14ac:dyDescent="0.25">
      <c r="A212" s="137"/>
      <c r="B212" s="1"/>
      <c r="C212" s="1" t="s">
        <v>80</v>
      </c>
      <c r="D212" s="1"/>
      <c r="E212" s="1"/>
      <c r="F212" s="2"/>
      <c r="G212" s="3"/>
      <c r="H212" s="2"/>
      <c r="I212" s="2"/>
      <c r="J212" s="2"/>
      <c r="K212" s="2"/>
      <c r="L212" s="2"/>
      <c r="M212" s="1"/>
    </row>
    <row r="213" spans="1:13" s="98" customFormat="1" ht="19.5" customHeight="1" x14ac:dyDescent="0.25">
      <c r="A213" s="137"/>
      <c r="B213" s="1"/>
      <c r="C213" s="1"/>
      <c r="D213" s="84"/>
      <c r="E213" s="84"/>
      <c r="F213" s="50"/>
      <c r="G213" s="160"/>
      <c r="H213" s="1"/>
      <c r="I213" s="2"/>
      <c r="J213" s="2"/>
      <c r="K213" s="2"/>
      <c r="L213" s="2"/>
      <c r="M213" s="1"/>
    </row>
    <row r="214" spans="1:13" s="98" customFormat="1" ht="19.5" customHeight="1" x14ac:dyDescent="0.25">
      <c r="A214" s="137">
        <v>1</v>
      </c>
      <c r="B214" s="160" t="s">
        <v>81</v>
      </c>
      <c r="C214" s="5" t="s">
        <v>132</v>
      </c>
      <c r="D214" s="1" t="s">
        <v>62</v>
      </c>
      <c r="E214" s="2"/>
      <c r="F214" s="160">
        <f>12</f>
        <v>12</v>
      </c>
      <c r="G214" s="3"/>
      <c r="H214" s="2"/>
      <c r="I214" s="1"/>
      <c r="J214" s="1"/>
      <c r="K214" s="1"/>
      <c r="L214" s="1"/>
      <c r="M214" s="1"/>
    </row>
    <row r="215" spans="1:13" s="98" customFormat="1" ht="19.5" customHeight="1" x14ac:dyDescent="0.25">
      <c r="A215" s="137"/>
      <c r="B215" s="160"/>
      <c r="C215" s="4" t="s">
        <v>42</v>
      </c>
      <c r="D215" s="2" t="s">
        <v>43</v>
      </c>
      <c r="E215" s="2">
        <v>2.08</v>
      </c>
      <c r="F215" s="2">
        <f t="shared" ref="F215" si="5">E215*F214</f>
        <v>24.96</v>
      </c>
      <c r="G215" s="138"/>
      <c r="H215" s="138"/>
      <c r="I215" s="2"/>
      <c r="J215" s="2"/>
      <c r="K215" s="2"/>
      <c r="L215" s="2"/>
      <c r="M215" s="2"/>
    </row>
    <row r="216" spans="1:13" s="98" customFormat="1" ht="25.5" customHeight="1" x14ac:dyDescent="0.25">
      <c r="A216" s="137"/>
      <c r="B216" s="160" t="s">
        <v>44</v>
      </c>
      <c r="C216" s="88" t="s">
        <v>163</v>
      </c>
      <c r="D216" s="2" t="s">
        <v>62</v>
      </c>
      <c r="E216" s="2"/>
      <c r="F216" s="2">
        <f>F214</f>
        <v>12</v>
      </c>
      <c r="G216" s="3"/>
      <c r="H216" s="2"/>
      <c r="I216" s="2"/>
      <c r="J216" s="2"/>
      <c r="K216" s="2"/>
      <c r="L216" s="2"/>
      <c r="M216" s="2"/>
    </row>
    <row r="217" spans="1:13" s="98" customFormat="1" ht="19.5" customHeight="1" x14ac:dyDescent="0.25">
      <c r="A217" s="137"/>
      <c r="B217" s="160"/>
      <c r="C217" s="4"/>
      <c r="D217" s="2"/>
      <c r="E217" s="2"/>
      <c r="F217" s="2"/>
      <c r="G217" s="3"/>
      <c r="H217" s="2"/>
      <c r="I217" s="2"/>
      <c r="J217" s="2"/>
      <c r="K217" s="2"/>
      <c r="L217" s="2"/>
      <c r="M217" s="2"/>
    </row>
    <row r="218" spans="1:13" s="98" customFormat="1" ht="19.5" customHeight="1" x14ac:dyDescent="0.25">
      <c r="A218" s="137">
        <v>2</v>
      </c>
      <c r="B218" s="1" t="s">
        <v>82</v>
      </c>
      <c r="C218" s="5" t="s">
        <v>83</v>
      </c>
      <c r="D218" s="1" t="s">
        <v>41</v>
      </c>
      <c r="E218" s="2"/>
      <c r="F218" s="1">
        <f>F224</f>
        <v>97</v>
      </c>
      <c r="G218" s="3"/>
      <c r="H218" s="2"/>
      <c r="I218" s="2"/>
      <c r="J218" s="2"/>
      <c r="K218" s="2"/>
      <c r="L218" s="2"/>
      <c r="M218" s="2"/>
    </row>
    <row r="219" spans="1:13" s="98" customFormat="1" ht="19.5" customHeight="1" x14ac:dyDescent="0.25">
      <c r="A219" s="137"/>
      <c r="B219" s="139"/>
      <c r="C219" s="4" t="s">
        <v>52</v>
      </c>
      <c r="D219" s="3" t="s">
        <v>43</v>
      </c>
      <c r="E219" s="3">
        <v>0.42</v>
      </c>
      <c r="F219" s="3">
        <f>E219*F218</f>
        <v>40.74</v>
      </c>
      <c r="G219" s="138"/>
      <c r="H219" s="138"/>
      <c r="I219" s="3"/>
      <c r="J219" s="2"/>
      <c r="K219" s="3"/>
      <c r="L219" s="2"/>
      <c r="M219" s="2"/>
    </row>
    <row r="220" spans="1:13" s="98" customFormat="1" ht="19.5" customHeight="1" x14ac:dyDescent="0.25">
      <c r="A220" s="137"/>
      <c r="B220" s="139"/>
      <c r="C220" s="6" t="s">
        <v>165</v>
      </c>
      <c r="D220" s="3" t="s">
        <v>41</v>
      </c>
      <c r="E220" s="3">
        <v>1</v>
      </c>
      <c r="F220" s="3">
        <f>E220*F218</f>
        <v>97</v>
      </c>
      <c r="G220" s="3"/>
      <c r="H220" s="2"/>
      <c r="I220" s="3"/>
      <c r="J220" s="2"/>
      <c r="K220" s="3"/>
      <c r="L220" s="2"/>
      <c r="M220" s="2"/>
    </row>
    <row r="221" spans="1:13" s="98" customFormat="1" ht="19.5" customHeight="1" x14ac:dyDescent="0.25">
      <c r="A221" s="137"/>
      <c r="B221" s="139"/>
      <c r="C221" s="6"/>
      <c r="D221" s="3"/>
      <c r="E221" s="3"/>
      <c r="F221" s="3"/>
      <c r="G221" s="160"/>
      <c r="H221" s="1"/>
      <c r="I221" s="3"/>
      <c r="J221" s="2"/>
      <c r="K221" s="3"/>
      <c r="L221" s="2"/>
      <c r="M221" s="2"/>
    </row>
    <row r="222" spans="1:13" s="98" customFormat="1" ht="19.5" customHeight="1" x14ac:dyDescent="0.25">
      <c r="A222" s="137">
        <v>3</v>
      </c>
      <c r="B222" s="160" t="s">
        <v>84</v>
      </c>
      <c r="C222" s="5" t="s">
        <v>186</v>
      </c>
      <c r="D222" s="1" t="s">
        <v>41</v>
      </c>
      <c r="E222" s="2"/>
      <c r="F222" s="160">
        <f>F224+F225</f>
        <v>109</v>
      </c>
      <c r="G222" s="3"/>
      <c r="H222" s="2"/>
      <c r="I222" s="1"/>
      <c r="J222" s="1"/>
      <c r="K222" s="1"/>
      <c r="L222" s="1"/>
      <c r="M222" s="1"/>
    </row>
    <row r="223" spans="1:13" s="98" customFormat="1" ht="19.5" customHeight="1" x14ac:dyDescent="0.25">
      <c r="A223" s="137"/>
      <c r="B223" s="160"/>
      <c r="C223" s="4" t="s">
        <v>42</v>
      </c>
      <c r="D223" s="2" t="s">
        <v>43</v>
      </c>
      <c r="E223" s="2">
        <v>0.15</v>
      </c>
      <c r="F223" s="2">
        <f t="shared" ref="F223" si="6">E223*F222</f>
        <v>16.349999999999998</v>
      </c>
      <c r="G223" s="138"/>
      <c r="H223" s="138"/>
      <c r="I223" s="2"/>
      <c r="J223" s="2"/>
      <c r="K223" s="2"/>
      <c r="L223" s="2"/>
      <c r="M223" s="2"/>
    </row>
    <row r="224" spans="1:13" s="98" customFormat="1" ht="19.5" customHeight="1" x14ac:dyDescent="0.25">
      <c r="A224" s="137"/>
      <c r="B224" s="160"/>
      <c r="C224" s="4" t="s">
        <v>185</v>
      </c>
      <c r="D224" s="2" t="s">
        <v>85</v>
      </c>
      <c r="E224" s="2"/>
      <c r="F224" s="2">
        <v>97</v>
      </c>
      <c r="G224" s="3"/>
      <c r="H224" s="2"/>
      <c r="I224" s="2"/>
      <c r="J224" s="2"/>
      <c r="K224" s="2"/>
      <c r="L224" s="2"/>
      <c r="M224" s="2"/>
    </row>
    <row r="225" spans="1:14" s="98" customFormat="1" ht="19.5" customHeight="1" x14ac:dyDescent="0.25">
      <c r="A225" s="137"/>
      <c r="B225" s="160"/>
      <c r="C225" s="4" t="s">
        <v>187</v>
      </c>
      <c r="D225" s="2" t="s">
        <v>85</v>
      </c>
      <c r="E225" s="2"/>
      <c r="F225" s="2">
        <f>1*F214</f>
        <v>12</v>
      </c>
      <c r="G225" s="3"/>
      <c r="H225" s="2"/>
      <c r="I225" s="2"/>
      <c r="J225" s="2"/>
      <c r="K225" s="2"/>
      <c r="L225" s="2"/>
      <c r="M225" s="2"/>
    </row>
    <row r="226" spans="1:14" s="98" customFormat="1" ht="19.5" customHeight="1" x14ac:dyDescent="0.25">
      <c r="A226" s="137"/>
      <c r="B226" s="160"/>
      <c r="C226" s="4" t="s">
        <v>50</v>
      </c>
      <c r="D226" s="2" t="s">
        <v>49</v>
      </c>
      <c r="E226" s="2">
        <f>4.88/100</f>
        <v>4.8799999999999996E-2</v>
      </c>
      <c r="F226" s="2">
        <f>F222*E226</f>
        <v>5.3191999999999995</v>
      </c>
      <c r="G226" s="160"/>
      <c r="H226" s="138"/>
      <c r="I226" s="2"/>
      <c r="J226" s="2"/>
      <c r="K226" s="2"/>
      <c r="L226" s="2"/>
      <c r="M226" s="2"/>
    </row>
    <row r="227" spans="1:14" s="98" customFormat="1" ht="16.5" customHeight="1" x14ac:dyDescent="0.25">
      <c r="A227" s="137"/>
      <c r="B227" s="160"/>
      <c r="C227" s="1" t="s">
        <v>86</v>
      </c>
      <c r="D227" s="1"/>
      <c r="E227" s="1"/>
      <c r="F227" s="1"/>
      <c r="G227" s="160"/>
      <c r="H227" s="1"/>
      <c r="I227" s="1"/>
      <c r="J227" s="1"/>
      <c r="K227" s="1"/>
      <c r="L227" s="1"/>
      <c r="M227" s="1"/>
    </row>
    <row r="228" spans="1:14" s="98" customFormat="1" ht="16.5" customHeight="1" x14ac:dyDescent="0.25">
      <c r="A228" s="137"/>
      <c r="B228" s="139"/>
      <c r="C228" s="1" t="s">
        <v>87</v>
      </c>
      <c r="D228" s="1" t="s">
        <v>88</v>
      </c>
      <c r="E228" s="84"/>
      <c r="F228" s="51"/>
      <c r="G228" s="160"/>
      <c r="H228" s="52"/>
      <c r="I228" s="52"/>
      <c r="J228" s="52"/>
      <c r="K228" s="52"/>
      <c r="L228" s="52"/>
      <c r="M228" s="2"/>
    </row>
    <row r="229" spans="1:14" s="98" customFormat="1" ht="16.5" customHeight="1" x14ac:dyDescent="0.25">
      <c r="A229" s="137"/>
      <c r="B229" s="139"/>
      <c r="C229" s="1" t="s">
        <v>77</v>
      </c>
      <c r="D229" s="84"/>
      <c r="E229" s="84"/>
      <c r="F229" s="51"/>
      <c r="G229" s="160"/>
      <c r="H229" s="52"/>
      <c r="I229" s="52"/>
      <c r="J229" s="52"/>
      <c r="K229" s="52"/>
      <c r="L229" s="52"/>
      <c r="M229" s="1"/>
    </row>
    <row r="230" spans="1:14" s="98" customFormat="1" ht="16.5" customHeight="1" x14ac:dyDescent="0.25">
      <c r="A230" s="137"/>
      <c r="B230" s="1"/>
      <c r="C230" s="1" t="s">
        <v>79</v>
      </c>
      <c r="D230" s="1" t="s">
        <v>89</v>
      </c>
      <c r="E230" s="84"/>
      <c r="F230" s="51"/>
      <c r="G230" s="160"/>
      <c r="H230" s="52"/>
      <c r="I230" s="52"/>
      <c r="J230" s="52"/>
      <c r="K230" s="52"/>
      <c r="L230" s="52"/>
      <c r="M230" s="2"/>
    </row>
    <row r="231" spans="1:14" s="98" customFormat="1" ht="16.5" customHeight="1" x14ac:dyDescent="0.25">
      <c r="A231" s="137"/>
      <c r="B231" s="139"/>
      <c r="C231" s="1" t="s">
        <v>80</v>
      </c>
      <c r="D231" s="84"/>
      <c r="E231" s="84"/>
      <c r="F231" s="51"/>
      <c r="G231" s="160"/>
      <c r="H231" s="52"/>
      <c r="I231" s="52"/>
      <c r="J231" s="52"/>
      <c r="K231" s="52"/>
      <c r="L231" s="52"/>
      <c r="M231" s="1"/>
    </row>
    <row r="232" spans="1:14" s="98" customFormat="1" ht="16.5" customHeight="1" x14ac:dyDescent="0.25">
      <c r="A232" s="137"/>
      <c r="B232" s="139"/>
      <c r="C232" s="1" t="s">
        <v>133</v>
      </c>
      <c r="D232" s="84"/>
      <c r="E232" s="84"/>
      <c r="F232" s="51"/>
      <c r="G232" s="3"/>
      <c r="H232" s="1"/>
      <c r="I232" s="52"/>
      <c r="J232" s="52"/>
      <c r="K232" s="52"/>
      <c r="L232" s="52"/>
      <c r="M232" s="1"/>
    </row>
    <row r="233" spans="1:14" s="98" customFormat="1" ht="16.5" customHeight="1" x14ac:dyDescent="0.25">
      <c r="A233" s="137"/>
      <c r="B233" s="139"/>
      <c r="C233" s="1" t="s">
        <v>11</v>
      </c>
      <c r="D233" s="1" t="s">
        <v>102</v>
      </c>
      <c r="E233" s="2"/>
      <c r="F233" s="2"/>
      <c r="G233" s="3"/>
      <c r="H233" s="2"/>
      <c r="I233" s="2"/>
      <c r="J233" s="2"/>
      <c r="K233" s="2"/>
      <c r="L233" s="2"/>
      <c r="M233" s="2"/>
    </row>
    <row r="234" spans="1:14" s="98" customFormat="1" ht="16.5" customHeight="1" x14ac:dyDescent="0.25">
      <c r="A234" s="137"/>
      <c r="B234" s="139"/>
      <c r="C234" s="1" t="s">
        <v>6</v>
      </c>
      <c r="D234" s="1"/>
      <c r="E234" s="2"/>
      <c r="F234" s="2"/>
      <c r="G234" s="3"/>
      <c r="H234" s="2"/>
      <c r="I234" s="2"/>
      <c r="J234" s="2"/>
      <c r="K234" s="2"/>
      <c r="L234" s="2"/>
      <c r="M234" s="1"/>
    </row>
    <row r="235" spans="1:14" s="98" customFormat="1" ht="16.5" customHeight="1" x14ac:dyDescent="0.25">
      <c r="A235" s="137"/>
      <c r="B235" s="139"/>
      <c r="C235" s="1" t="s">
        <v>13</v>
      </c>
      <c r="D235" s="1" t="s">
        <v>90</v>
      </c>
      <c r="E235" s="139"/>
      <c r="F235" s="2"/>
      <c r="G235" s="53"/>
      <c r="H235" s="2"/>
      <c r="I235" s="2"/>
      <c r="J235" s="2"/>
      <c r="K235" s="2"/>
      <c r="L235" s="2"/>
      <c r="M235" s="2"/>
    </row>
    <row r="236" spans="1:14" s="98" customFormat="1" ht="16.5" customHeight="1" x14ac:dyDescent="0.25">
      <c r="A236" s="137"/>
      <c r="B236" s="139"/>
      <c r="C236" s="1" t="s">
        <v>6</v>
      </c>
      <c r="D236" s="1"/>
      <c r="E236" s="2"/>
      <c r="F236" s="7"/>
      <c r="G236" s="3"/>
      <c r="H236" s="2"/>
      <c r="I236" s="2"/>
      <c r="J236" s="7"/>
      <c r="K236" s="2"/>
      <c r="L236" s="2"/>
      <c r="M236" s="1"/>
    </row>
    <row r="237" spans="1:14" s="98" customFormat="1" ht="16.5" customHeight="1" x14ac:dyDescent="0.25">
      <c r="A237" s="137"/>
      <c r="B237" s="139"/>
      <c r="C237" s="1" t="s">
        <v>12</v>
      </c>
      <c r="D237" s="1" t="s">
        <v>91</v>
      </c>
      <c r="E237" s="2"/>
      <c r="F237" s="2"/>
      <c r="G237" s="160"/>
      <c r="H237" s="2"/>
      <c r="I237" s="2"/>
      <c r="J237" s="2"/>
      <c r="K237" s="2"/>
      <c r="L237" s="2"/>
      <c r="M237" s="2"/>
    </row>
    <row r="238" spans="1:14" s="98" customFormat="1" ht="16.5" customHeight="1" x14ac:dyDescent="0.25">
      <c r="A238" s="137"/>
      <c r="B238" s="139"/>
      <c r="C238" s="1" t="s">
        <v>6</v>
      </c>
      <c r="D238" s="1"/>
      <c r="E238" s="2"/>
      <c r="F238" s="2"/>
      <c r="G238" s="3"/>
      <c r="H238" s="2"/>
      <c r="I238" s="2"/>
      <c r="J238" s="2"/>
      <c r="K238" s="2"/>
      <c r="L238" s="2"/>
      <c r="M238" s="1"/>
    </row>
    <row r="239" spans="1:14" s="141" customFormat="1" x14ac:dyDescent="0.25">
      <c r="A239" s="140"/>
      <c r="B239" s="162"/>
      <c r="C239" s="89"/>
      <c r="D239" s="54"/>
      <c r="E239" s="162"/>
      <c r="F239" s="54"/>
      <c r="G239" s="55"/>
      <c r="H239" s="54"/>
      <c r="I239" s="54"/>
      <c r="J239" s="54"/>
      <c r="K239" s="54"/>
      <c r="L239" s="54"/>
      <c r="M239" s="54"/>
      <c r="N239" s="165"/>
    </row>
    <row r="240" spans="1:14" s="98" customFormat="1" ht="18" customHeight="1" x14ac:dyDescent="0.25">
      <c r="A240" s="142"/>
      <c r="B240" s="162"/>
      <c r="G240" s="55"/>
      <c r="H240" s="54"/>
      <c r="I240" s="54"/>
      <c r="J240" s="54"/>
      <c r="K240" s="54"/>
      <c r="L240" s="54"/>
      <c r="M240" s="54"/>
    </row>
    <row r="242" spans="3:6" x14ac:dyDescent="0.25">
      <c r="C242" s="199"/>
      <c r="D242" s="199"/>
      <c r="E242" s="199"/>
      <c r="F242" s="199"/>
    </row>
  </sheetData>
  <mergeCells count="14">
    <mergeCell ref="I7:J7"/>
    <mergeCell ref="K7:L7"/>
    <mergeCell ref="M7:M8"/>
    <mergeCell ref="C242:F242"/>
    <mergeCell ref="B1:M1"/>
    <mergeCell ref="B2:M2"/>
    <mergeCell ref="B4:M4"/>
    <mergeCell ref="H5:J5"/>
    <mergeCell ref="G7:H7"/>
    <mergeCell ref="A7:A8"/>
    <mergeCell ref="B7:B8"/>
    <mergeCell ref="C7:C8"/>
    <mergeCell ref="D7:D8"/>
    <mergeCell ref="E7:F7"/>
  </mergeCells>
  <conditionalFormatting sqref="F65">
    <cfRule type="cellIs" dxfId="10" priority="11" stopIfTrue="1" operator="equal">
      <formula>8223.307275</formula>
    </cfRule>
  </conditionalFormatting>
  <conditionalFormatting sqref="D92:D93">
    <cfRule type="cellIs" dxfId="9" priority="10" stopIfTrue="1" operator="equal">
      <formula>8223.307275</formula>
    </cfRule>
  </conditionalFormatting>
  <conditionalFormatting sqref="G22">
    <cfRule type="cellIs" dxfId="8" priority="6" stopIfTrue="1" operator="equal">
      <formula>8223.307275</formula>
    </cfRule>
  </conditionalFormatting>
  <conditionalFormatting sqref="E16:F16">
    <cfRule type="cellIs" dxfId="7" priority="5" stopIfTrue="1" operator="equal">
      <formula>8223.307275</formula>
    </cfRule>
  </conditionalFormatting>
  <conditionalFormatting sqref="E17 E19:E22">
    <cfRule type="cellIs" dxfId="6" priority="9" stopIfTrue="1" operator="equal">
      <formula>8223.307275</formula>
    </cfRule>
  </conditionalFormatting>
  <conditionalFormatting sqref="B21:C21">
    <cfRule type="cellIs" dxfId="5" priority="8" stopIfTrue="1" operator="equal">
      <formula>8223.307275</formula>
    </cfRule>
  </conditionalFormatting>
  <conditionalFormatting sqref="B22">
    <cfRule type="cellIs" dxfId="4" priority="7" stopIfTrue="1" operator="equal">
      <formula>8223.307275</formula>
    </cfRule>
  </conditionalFormatting>
  <conditionalFormatting sqref="E18">
    <cfRule type="cellIs" dxfId="3" priority="4" stopIfTrue="1" operator="equal">
      <formula>8223.307275</formula>
    </cfRule>
  </conditionalFormatting>
  <conditionalFormatting sqref="E85:E86 D83:D84 E82">
    <cfRule type="cellIs" dxfId="2" priority="3" stopIfTrue="1" operator="equal">
      <formula>8223.307275</formula>
    </cfRule>
  </conditionalFormatting>
  <conditionalFormatting sqref="F123">
    <cfRule type="cellIs" dxfId="1" priority="2" stopIfTrue="1" operator="equal">
      <formula>8223.307275</formula>
    </cfRule>
  </conditionalFormatting>
  <conditionalFormatting sqref="C113:G116 E112:I112 K112:L112 C111:M111 I108:L110 C108:G110 H108 B107:B116 C107:M107 I113:L116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75" fitToHeight="0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          </vt:lpstr>
      <vt:lpstr>'სამშენებლო          '!Заголовки_для_печати</vt:lpstr>
      <vt:lpstr>'სამშენებლო        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2022-01-20T07:03:43Z</dcterms:modified>
</cp:coreProperties>
</file>