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15" windowHeight="11985"/>
  </bookViews>
  <sheets>
    <sheet name="სანაკრებო" sheetId="4" r:id="rId1"/>
    <sheet name="კოტეჯის სამშენებლო " sheetId="9" r:id="rId2"/>
    <sheet name="წყალ-კანალი " sheetId="10" r:id="rId3"/>
    <sheet name="ელექტრობა-სუსტი დენები " sheetId="11" r:id="rId4"/>
    <sheet name="კეთილმოწყობა" sheetId="7" r:id="rId5"/>
  </sheets>
  <definedNames>
    <definedName name="_xlnm._FilterDatabase" localSheetId="3" hidden="1">'ელექტრობა-სუსტი დენები '!$A$9:$M$171</definedName>
    <definedName name="_xlnm._FilterDatabase" localSheetId="4" hidden="1">კეთილმოწყობა!$A$10:$M$269</definedName>
    <definedName name="_xlnm._FilterDatabase" localSheetId="1" hidden="1">'კოტეჯის სამშენებლო '!$A$10:$M$125</definedName>
    <definedName name="_xlnm._FilterDatabase" localSheetId="2" hidden="1">'წყალ-კანალი '!$A$10:$M$97</definedName>
    <definedName name="_xlnm.Print_Area" localSheetId="3">'ელექტრობა-სუსტი დენები '!$A$1:$M$171</definedName>
    <definedName name="_xlnm.Print_Area" localSheetId="4">კეთილმოწყობა!$A$1:$M$269</definedName>
    <definedName name="_xlnm.Print_Area" localSheetId="1">'კოტეჯის სამშენებლო '!$A$1:$M$125</definedName>
    <definedName name="_xlnm.Print_Area" localSheetId="0">სანაკრებო!$A$1:$H$25</definedName>
    <definedName name="_xlnm.Print_Area" localSheetId="2">'წყალ-კანალი '!$A$1:$M$97</definedName>
    <definedName name="_xlnm.Print_Titles" localSheetId="0">სანაკრებო!$8:$8</definedName>
    <definedName name="tcost" localSheetId="3">#REF!</definedName>
    <definedName name="tcost" localSheetId="1">#REF!</definedName>
    <definedName name="tcost" localSheetId="2">#REF!</definedName>
    <definedName name="tcost">#REF!</definedName>
    <definedName name="Total" localSheetId="3">#REF!</definedName>
    <definedName name="Total" localSheetId="1">#REF!</definedName>
    <definedName name="Total" localSheetId="2">#REF!</definedName>
    <definedName name="Total">#REF!</definedName>
    <definedName name="Total1" localSheetId="3">#REF!</definedName>
    <definedName name="Total1" localSheetId="1">#REF!</definedName>
    <definedName name="Total1" localSheetId="2">#REF!</definedName>
    <definedName name="Total1">#REF!</definedName>
    <definedName name="Total2" localSheetId="3">#REF!</definedName>
    <definedName name="Total2" localSheetId="1">#REF!</definedName>
    <definedName name="Total2" localSheetId="2">#REF!</definedName>
    <definedName name="Total2">#REF!</definedName>
    <definedName name="Total3" localSheetId="3">#REF!</definedName>
    <definedName name="Total3" localSheetId="1">#REF!</definedName>
    <definedName name="Total3" localSheetId="2">#REF!</definedName>
    <definedName name="Total3">#REF!</definedName>
    <definedName name="Total4" localSheetId="3">#REF!</definedName>
    <definedName name="Total4" localSheetId="1">#REF!</definedName>
    <definedName name="Total4" localSheetId="2">#REF!</definedName>
    <definedName name="Total4">#REF!</definedName>
  </definedNames>
  <calcPr calcId="152511"/>
</workbook>
</file>

<file path=xl/calcChain.xml><?xml version="1.0" encoding="utf-8"?>
<calcChain xmlns="http://schemas.openxmlformats.org/spreadsheetml/2006/main">
  <c r="F162" i="7" l="1"/>
  <c r="F164" i="7" s="1"/>
  <c r="J164" i="7" s="1"/>
  <c r="M164" i="7" s="1"/>
  <c r="F159" i="7"/>
  <c r="F161" i="7" s="1"/>
  <c r="J161" i="7" s="1"/>
  <c r="M161" i="7" s="1"/>
  <c r="F150" i="7"/>
  <c r="F158" i="7" s="1"/>
  <c r="J158" i="7" s="1"/>
  <c r="M158" i="7" s="1"/>
  <c r="J147" i="7"/>
  <c r="M147" i="7" s="1"/>
  <c r="F145" i="7"/>
  <c r="L145" i="7" s="1"/>
  <c r="M145" i="7" s="1"/>
  <c r="F142" i="7"/>
  <c r="F149" i="7" s="1"/>
  <c r="J149" i="7" s="1"/>
  <c r="M149" i="7" s="1"/>
  <c r="F140" i="7"/>
  <c r="J140" i="7" s="1"/>
  <c r="M140" i="7" s="1"/>
  <c r="F139" i="7"/>
  <c r="J139" i="7" s="1"/>
  <c r="M139" i="7" s="1"/>
  <c r="J138" i="7"/>
  <c r="M138" i="7" s="1"/>
  <c r="F137" i="7"/>
  <c r="L137" i="7" s="1"/>
  <c r="M137" i="7" s="1"/>
  <c r="E137" i="7"/>
  <c r="F136" i="7"/>
  <c r="H136" i="7" s="1"/>
  <c r="M136" i="7" s="1"/>
  <c r="F134" i="7"/>
  <c r="J134" i="7" s="1"/>
  <c r="M134" i="7" s="1"/>
  <c r="F133" i="7"/>
  <c r="J133" i="7" s="1"/>
  <c r="M133" i="7" s="1"/>
  <c r="F132" i="7"/>
  <c r="J132" i="7" s="1"/>
  <c r="M132" i="7" s="1"/>
  <c r="F131" i="7"/>
  <c r="L131" i="7" s="1"/>
  <c r="M131" i="7" s="1"/>
  <c r="F130" i="7"/>
  <c r="H130" i="7" s="1"/>
  <c r="M130" i="7" s="1"/>
  <c r="F127" i="7"/>
  <c r="J127" i="7" s="1"/>
  <c r="M127" i="7" s="1"/>
  <c r="F126" i="7"/>
  <c r="J126" i="7" s="1"/>
  <c r="M126" i="7" s="1"/>
  <c r="F125" i="7"/>
  <c r="J125" i="7" s="1"/>
  <c r="M125" i="7" s="1"/>
  <c r="F124" i="7"/>
  <c r="L124" i="7" s="1"/>
  <c r="M124" i="7" s="1"/>
  <c r="F123" i="7"/>
  <c r="H123" i="7" s="1"/>
  <c r="M123" i="7" s="1"/>
  <c r="F119" i="7"/>
  <c r="J119" i="7" s="1"/>
  <c r="M119" i="7" s="1"/>
  <c r="F118" i="7"/>
  <c r="J118" i="7" s="1"/>
  <c r="M118" i="7" s="1"/>
  <c r="F117" i="7"/>
  <c r="J117" i="7" s="1"/>
  <c r="M117" i="7" s="1"/>
  <c r="J116" i="7"/>
  <c r="M116" i="7" s="1"/>
  <c r="F116" i="7"/>
  <c r="F112" i="7" s="1"/>
  <c r="J110" i="7"/>
  <c r="M110" i="7" s="1"/>
  <c r="F104" i="7"/>
  <c r="F109" i="7" s="1"/>
  <c r="J109" i="7" s="1"/>
  <c r="M109" i="7" s="1"/>
  <c r="M101" i="7"/>
  <c r="F92" i="7"/>
  <c r="J92" i="7" s="1"/>
  <c r="E92" i="7"/>
  <c r="E91" i="7"/>
  <c r="F91" i="7" s="1"/>
  <c r="L91" i="7" s="1"/>
  <c r="M91" i="7" s="1"/>
  <c r="F90" i="7"/>
  <c r="L90" i="7" s="1"/>
  <c r="E90" i="7"/>
  <c r="E89" i="7"/>
  <c r="F89" i="7" s="1"/>
  <c r="H89" i="7" s="1"/>
  <c r="F88" i="7"/>
  <c r="F93" i="7" s="1"/>
  <c r="F258" i="7"/>
  <c r="F260" i="7" s="1"/>
  <c r="J260" i="7" s="1"/>
  <c r="M260" i="7" s="1"/>
  <c r="F255" i="7"/>
  <c r="F257" i="7" s="1"/>
  <c r="J257" i="7" s="1"/>
  <c r="M257" i="7" s="1"/>
  <c r="F254" i="7"/>
  <c r="J254" i="7" s="1"/>
  <c r="M254" i="7" s="1"/>
  <c r="F251" i="7"/>
  <c r="L251" i="7" s="1"/>
  <c r="M251" i="7" s="1"/>
  <c r="F250" i="7"/>
  <c r="L250" i="7" s="1"/>
  <c r="M250" i="7" s="1"/>
  <c r="F246" i="7"/>
  <c r="F248" i="7" s="1"/>
  <c r="L248" i="7" s="1"/>
  <c r="M248" i="7" s="1"/>
  <c r="F244" i="7"/>
  <c r="J244" i="7" s="1"/>
  <c r="M244" i="7" s="1"/>
  <c r="J243" i="7"/>
  <c r="M243" i="7" s="1"/>
  <c r="F242" i="7"/>
  <c r="J242" i="7" s="1"/>
  <c r="M242" i="7" s="1"/>
  <c r="F241" i="7"/>
  <c r="L241" i="7" s="1"/>
  <c r="M241" i="7" s="1"/>
  <c r="F239" i="7"/>
  <c r="H239" i="7" s="1"/>
  <c r="M239" i="7" s="1"/>
  <c r="F238" i="7"/>
  <c r="F240" i="7" s="1"/>
  <c r="L240" i="7" s="1"/>
  <c r="M240" i="7" s="1"/>
  <c r="F236" i="7"/>
  <c r="J236" i="7" s="1"/>
  <c r="M236" i="7" s="1"/>
  <c r="F235" i="7"/>
  <c r="J235" i="7" s="1"/>
  <c r="M235" i="7" s="1"/>
  <c r="F234" i="7"/>
  <c r="J234" i="7" s="1"/>
  <c r="M234" i="7" s="1"/>
  <c r="F233" i="7"/>
  <c r="L233" i="7" s="1"/>
  <c r="M233" i="7" s="1"/>
  <c r="F232" i="7"/>
  <c r="H232" i="7" s="1"/>
  <c r="M232" i="7" s="1"/>
  <c r="F230" i="7"/>
  <c r="J230" i="7" s="1"/>
  <c r="M230" i="7" s="1"/>
  <c r="F229" i="7"/>
  <c r="J229" i="7" s="1"/>
  <c r="M229" i="7" s="1"/>
  <c r="F228" i="7"/>
  <c r="J228" i="7" s="1"/>
  <c r="M228" i="7" s="1"/>
  <c r="E227" i="7"/>
  <c r="F227" i="7" s="1"/>
  <c r="L227" i="7" s="1"/>
  <c r="M227" i="7" s="1"/>
  <c r="F226" i="7"/>
  <c r="H226" i="7" s="1"/>
  <c r="M226" i="7" s="1"/>
  <c r="F223" i="7"/>
  <c r="J223" i="7" s="1"/>
  <c r="M223" i="7" s="1"/>
  <c r="F222" i="7"/>
  <c r="J222" i="7" s="1"/>
  <c r="M222" i="7" s="1"/>
  <c r="F221" i="7"/>
  <c r="J221" i="7" s="1"/>
  <c r="M221" i="7" s="1"/>
  <c r="F220" i="7"/>
  <c r="L220" i="7" s="1"/>
  <c r="M220" i="7" s="1"/>
  <c r="F219" i="7"/>
  <c r="H219" i="7" s="1"/>
  <c r="M219" i="7" s="1"/>
  <c r="F215" i="7"/>
  <c r="J215" i="7" s="1"/>
  <c r="M215" i="7" s="1"/>
  <c r="F214" i="7"/>
  <c r="J214" i="7" s="1"/>
  <c r="M214" i="7" s="1"/>
  <c r="F213" i="7"/>
  <c r="J213" i="7" s="1"/>
  <c r="M213" i="7" s="1"/>
  <c r="J206" i="7"/>
  <c r="M206" i="7" s="1"/>
  <c r="F200" i="7"/>
  <c r="F202" i="7" s="1"/>
  <c r="L202" i="7" s="1"/>
  <c r="M202" i="7" s="1"/>
  <c r="F199" i="7"/>
  <c r="L199" i="7" s="1"/>
  <c r="M199" i="7" s="1"/>
  <c r="F198" i="7"/>
  <c r="L198" i="7" s="1"/>
  <c r="M198" i="7" s="1"/>
  <c r="M197" i="7"/>
  <c r="F197" i="7"/>
  <c r="H197" i="7" s="1"/>
  <c r="F195" i="7"/>
  <c r="J195" i="7" s="1"/>
  <c r="M195" i="7" s="1"/>
  <c r="F194" i="7"/>
  <c r="L194" i="7" s="1"/>
  <c r="M194" i="7" s="1"/>
  <c r="F193" i="7"/>
  <c r="L193" i="7" s="1"/>
  <c r="M193" i="7" s="1"/>
  <c r="F192" i="7"/>
  <c r="L192" i="7" s="1"/>
  <c r="M192" i="7" s="1"/>
  <c r="F191" i="7"/>
  <c r="J191" i="7" s="1"/>
  <c r="M191" i="7" s="1"/>
  <c r="F190" i="7"/>
  <c r="H190" i="7" s="1"/>
  <c r="M190" i="7" s="1"/>
  <c r="E188" i="7"/>
  <c r="F188" i="7" s="1"/>
  <c r="J188" i="7" s="1"/>
  <c r="M188" i="7" s="1"/>
  <c r="E187" i="7"/>
  <c r="F187" i="7" s="1"/>
  <c r="L187" i="7" s="1"/>
  <c r="M187" i="7" s="1"/>
  <c r="F186" i="7"/>
  <c r="L186" i="7" s="1"/>
  <c r="M186" i="7" s="1"/>
  <c r="E186" i="7"/>
  <c r="E185" i="7"/>
  <c r="F185" i="7" s="1"/>
  <c r="H185" i="7" s="1"/>
  <c r="M185" i="7" s="1"/>
  <c r="F183" i="7"/>
  <c r="J183" i="7" s="1"/>
  <c r="M183" i="7" s="1"/>
  <c r="F182" i="7"/>
  <c r="L182" i="7" s="1"/>
  <c r="M182" i="7" s="1"/>
  <c r="F181" i="7"/>
  <c r="H181" i="7" s="1"/>
  <c r="M181" i="7" s="1"/>
  <c r="F179" i="7"/>
  <c r="L179" i="7" s="1"/>
  <c r="M179" i="7" s="1"/>
  <c r="F178" i="7"/>
  <c r="J178" i="7" s="1"/>
  <c r="M178" i="7" s="1"/>
  <c r="F177" i="7"/>
  <c r="H177" i="7" s="1"/>
  <c r="M177" i="7" s="1"/>
  <c r="F175" i="7"/>
  <c r="J175" i="7" s="1"/>
  <c r="M175" i="7" s="1"/>
  <c r="J174" i="7"/>
  <c r="M174" i="7" s="1"/>
  <c r="F173" i="7"/>
  <c r="L173" i="7" s="1"/>
  <c r="M173" i="7" s="1"/>
  <c r="F172" i="7"/>
  <c r="H172" i="7" s="1"/>
  <c r="M172" i="7" s="1"/>
  <c r="F169" i="7"/>
  <c r="F170" i="7" s="1"/>
  <c r="H170" i="7" s="1"/>
  <c r="M170" i="7" s="1"/>
  <c r="F168" i="7"/>
  <c r="H168" i="7" s="1"/>
  <c r="M168" i="7" s="1"/>
  <c r="F144" i="7" l="1"/>
  <c r="L144" i="7" s="1"/>
  <c r="M144" i="7" s="1"/>
  <c r="F205" i="7"/>
  <c r="J205" i="7" s="1"/>
  <c r="M205" i="7" s="1"/>
  <c r="F256" i="7"/>
  <c r="H256" i="7" s="1"/>
  <c r="M256" i="7" s="1"/>
  <c r="F148" i="7"/>
  <c r="J148" i="7" s="1"/>
  <c r="M148" i="7" s="1"/>
  <c r="F208" i="7"/>
  <c r="J208" i="7" s="1"/>
  <c r="M208" i="7" s="1"/>
  <c r="F245" i="7"/>
  <c r="J245" i="7" s="1"/>
  <c r="M245" i="7" s="1"/>
  <c r="F209" i="7"/>
  <c r="F211" i="7" s="1"/>
  <c r="L211" i="7" s="1"/>
  <c r="M211" i="7" s="1"/>
  <c r="F113" i="7"/>
  <c r="H113" i="7" s="1"/>
  <c r="M113" i="7" s="1"/>
  <c r="F115" i="7"/>
  <c r="L115" i="7" s="1"/>
  <c r="M115" i="7" s="1"/>
  <c r="F114" i="7"/>
  <c r="L114" i="7" s="1"/>
  <c r="M114" i="7" s="1"/>
  <c r="F121" i="7"/>
  <c r="J121" i="7" s="1"/>
  <c r="M121" i="7" s="1"/>
  <c r="F120" i="7"/>
  <c r="J120" i="7" s="1"/>
  <c r="M120" i="7" s="1"/>
  <c r="M90" i="7"/>
  <c r="M89" i="7"/>
  <c r="M92" i="7"/>
  <c r="F100" i="7"/>
  <c r="F97" i="7"/>
  <c r="L97" i="7" s="1"/>
  <c r="M97" i="7" s="1"/>
  <c r="F94" i="7"/>
  <c r="H94" i="7" s="1"/>
  <c r="M94" i="7" s="1"/>
  <c r="F98" i="7"/>
  <c r="L98" i="7" s="1"/>
  <c r="M98" i="7" s="1"/>
  <c r="F99" i="7"/>
  <c r="J99" i="7" s="1"/>
  <c r="M99" i="7" s="1"/>
  <c r="F96" i="7"/>
  <c r="L96" i="7" s="1"/>
  <c r="M96" i="7" s="1"/>
  <c r="F95" i="7"/>
  <c r="J95" i="7" s="1"/>
  <c r="M95" i="7" s="1"/>
  <c r="F107" i="7"/>
  <c r="J107" i="7" s="1"/>
  <c r="M107" i="7" s="1"/>
  <c r="F153" i="7"/>
  <c r="L153" i="7" s="1"/>
  <c r="M153" i="7" s="1"/>
  <c r="F156" i="7"/>
  <c r="J156" i="7" s="1"/>
  <c r="M156" i="7" s="1"/>
  <c r="F108" i="7"/>
  <c r="J108" i="7" s="1"/>
  <c r="M108" i="7" s="1"/>
  <c r="F111" i="7"/>
  <c r="J111" i="7" s="1"/>
  <c r="M111" i="7" s="1"/>
  <c r="F154" i="7"/>
  <c r="L154" i="7" s="1"/>
  <c r="M154" i="7" s="1"/>
  <c r="F160" i="7"/>
  <c r="H160" i="7" s="1"/>
  <c r="M160" i="7" s="1"/>
  <c r="F105" i="7"/>
  <c r="H105" i="7" s="1"/>
  <c r="M105" i="7" s="1"/>
  <c r="F151" i="7"/>
  <c r="H151" i="7" s="1"/>
  <c r="M151" i="7" s="1"/>
  <c r="F163" i="7"/>
  <c r="H163" i="7" s="1"/>
  <c r="M163" i="7" s="1"/>
  <c r="F157" i="7"/>
  <c r="J157" i="7" s="1"/>
  <c r="M157" i="7" s="1"/>
  <c r="F106" i="7"/>
  <c r="L106" i="7" s="1"/>
  <c r="M106" i="7" s="1"/>
  <c r="F143" i="7"/>
  <c r="H143" i="7" s="1"/>
  <c r="M143" i="7" s="1"/>
  <c r="F152" i="7"/>
  <c r="L152" i="7" s="1"/>
  <c r="M152" i="7" s="1"/>
  <c r="F146" i="7"/>
  <c r="J146" i="7" s="1"/>
  <c r="M146" i="7" s="1"/>
  <c r="F155" i="7"/>
  <c r="L155" i="7" s="1"/>
  <c r="M155" i="7" s="1"/>
  <c r="F216" i="7"/>
  <c r="J216" i="7" s="1"/>
  <c r="M216" i="7" s="1"/>
  <c r="F203" i="7"/>
  <c r="J203" i="7" s="1"/>
  <c r="M203" i="7" s="1"/>
  <c r="F249" i="7"/>
  <c r="L249" i="7" s="1"/>
  <c r="M249" i="7" s="1"/>
  <c r="F252" i="7"/>
  <c r="J252" i="7" s="1"/>
  <c r="M252" i="7" s="1"/>
  <c r="F201" i="7"/>
  <c r="H201" i="7" s="1"/>
  <c r="M201" i="7" s="1"/>
  <c r="F247" i="7"/>
  <c r="H247" i="7" s="1"/>
  <c r="M247" i="7" s="1"/>
  <c r="F259" i="7"/>
  <c r="H259" i="7" s="1"/>
  <c r="M259" i="7" s="1"/>
  <c r="F207" i="7"/>
  <c r="J207" i="7" s="1"/>
  <c r="M207" i="7" s="1"/>
  <c r="F204" i="7"/>
  <c r="J204" i="7" s="1"/>
  <c r="M204" i="7" s="1"/>
  <c r="F253" i="7"/>
  <c r="J253" i="7" s="1"/>
  <c r="M253" i="7" s="1"/>
  <c r="F210" i="7" l="1"/>
  <c r="H210" i="7" s="1"/>
  <c r="M210" i="7" s="1"/>
  <c r="F217" i="7"/>
  <c r="J217" i="7" s="1"/>
  <c r="M217" i="7" s="1"/>
  <c r="F212" i="7"/>
  <c r="L212" i="7" s="1"/>
  <c r="M212" i="7" s="1"/>
  <c r="F103" i="7"/>
  <c r="L103" i="7" s="1"/>
  <c r="M103" i="7" s="1"/>
  <c r="F102" i="7"/>
  <c r="L102" i="7" s="1"/>
  <c r="M102" i="7" s="1"/>
  <c r="F101" i="7"/>
  <c r="H101" i="7" s="1"/>
  <c r="F60" i="7" l="1"/>
  <c r="J60" i="7"/>
  <c r="M60" i="7" s="1"/>
  <c r="E37" i="9"/>
  <c r="E36" i="9"/>
  <c r="E35" i="9"/>
  <c r="F37" i="9"/>
  <c r="J37" i="9" s="1"/>
  <c r="M37" i="9" s="1"/>
  <c r="F61" i="7"/>
  <c r="F59" i="7"/>
  <c r="J61" i="7"/>
  <c r="M61" i="7" s="1"/>
  <c r="J59" i="7"/>
  <c r="M59" i="7" s="1"/>
  <c r="F62" i="7"/>
  <c r="J62" i="7" s="1"/>
  <c r="M62" i="7" s="1"/>
  <c r="F36" i="9" l="1"/>
  <c r="L36" i="9" s="1"/>
  <c r="M36" i="9" s="1"/>
  <c r="F35" i="9"/>
  <c r="H35" i="9" s="1"/>
  <c r="M35" i="9" s="1"/>
  <c r="F57" i="7"/>
  <c r="H57" i="7" s="1"/>
  <c r="M57" i="7" s="1"/>
  <c r="F58" i="7"/>
  <c r="L58" i="7" s="1"/>
  <c r="M58" i="7" s="1"/>
  <c r="F34" i="7" l="1"/>
  <c r="A5" i="11" l="1"/>
  <c r="A5" i="10"/>
  <c r="A5" i="9"/>
  <c r="F78" i="7" l="1"/>
  <c r="F77" i="7"/>
  <c r="F75" i="7"/>
  <c r="F68" i="7"/>
  <c r="F66" i="7"/>
  <c r="F64" i="7"/>
  <c r="F36" i="7"/>
  <c r="F42" i="11"/>
  <c r="F143" i="11" l="1"/>
  <c r="F38" i="11" l="1"/>
  <c r="F33" i="11"/>
  <c r="J41" i="11"/>
  <c r="M41" i="11" s="1"/>
  <c r="F32" i="11"/>
  <c r="J32" i="11" s="1"/>
  <c r="M32" i="11" s="1"/>
  <c r="J31" i="11"/>
  <c r="M31" i="11" s="1"/>
  <c r="J30" i="11"/>
  <c r="M30" i="11" s="1"/>
  <c r="F29" i="11"/>
  <c r="L29" i="11" s="1"/>
  <c r="M29" i="11" s="1"/>
  <c r="F28" i="11"/>
  <c r="H28" i="11" s="1"/>
  <c r="M28" i="11" s="1"/>
  <c r="F23" i="11"/>
  <c r="H23" i="11" s="1"/>
  <c r="M23" i="11" s="1"/>
  <c r="F24" i="11"/>
  <c r="L24" i="11" s="1"/>
  <c r="M24" i="11" s="1"/>
  <c r="J25" i="11"/>
  <c r="M25" i="11" s="1"/>
  <c r="F26" i="11"/>
  <c r="J26" i="11" s="1"/>
  <c r="M26" i="11" s="1"/>
  <c r="F40" i="7" l="1"/>
  <c r="J40" i="7" s="1"/>
  <c r="M40" i="7" s="1"/>
  <c r="F159" i="11" l="1"/>
  <c r="J159" i="11" s="1"/>
  <c r="M159" i="11" s="1"/>
  <c r="F158" i="11"/>
  <c r="J158" i="11" s="1"/>
  <c r="M158" i="11" s="1"/>
  <c r="F157" i="11"/>
  <c r="L157" i="11" s="1"/>
  <c r="M157" i="11" s="1"/>
  <c r="F156" i="11"/>
  <c r="H156" i="11" s="1"/>
  <c r="M156" i="11" s="1"/>
  <c r="F154" i="11"/>
  <c r="J154" i="11" s="1"/>
  <c r="M154" i="11" s="1"/>
  <c r="F153" i="11"/>
  <c r="J153" i="11" s="1"/>
  <c r="M153" i="11" s="1"/>
  <c r="F152" i="11"/>
  <c r="L152" i="11" s="1"/>
  <c r="M152" i="11" s="1"/>
  <c r="F151" i="11"/>
  <c r="H151" i="11" s="1"/>
  <c r="M151" i="11" s="1"/>
  <c r="F145" i="11"/>
  <c r="F147" i="11" s="1"/>
  <c r="J147" i="11" s="1"/>
  <c r="M147" i="11" s="1"/>
  <c r="F144" i="11"/>
  <c r="J144" i="11" s="1"/>
  <c r="M144" i="11" s="1"/>
  <c r="F142" i="11"/>
  <c r="L142" i="11" s="1"/>
  <c r="F141" i="11"/>
  <c r="H141" i="11" s="1"/>
  <c r="M141" i="11" s="1"/>
  <c r="F139" i="11"/>
  <c r="J139" i="11" s="1"/>
  <c r="M139" i="11" s="1"/>
  <c r="F138" i="11"/>
  <c r="J138" i="11" s="1"/>
  <c r="M138" i="11" s="1"/>
  <c r="F137" i="11"/>
  <c r="H137" i="11" s="1"/>
  <c r="M137" i="11" s="1"/>
  <c r="F135" i="11"/>
  <c r="J135" i="11" s="1"/>
  <c r="M135" i="11" s="1"/>
  <c r="F134" i="11"/>
  <c r="J134" i="11" s="1"/>
  <c r="M134" i="11" s="1"/>
  <c r="F133" i="11"/>
  <c r="H133" i="11" s="1"/>
  <c r="M133" i="11" s="1"/>
  <c r="F131" i="11"/>
  <c r="J131" i="11" s="1"/>
  <c r="M131" i="11" s="1"/>
  <c r="F130" i="11"/>
  <c r="J130" i="11" s="1"/>
  <c r="M130" i="11" s="1"/>
  <c r="F129" i="11"/>
  <c r="H129" i="11" s="1"/>
  <c r="M129" i="11" s="1"/>
  <c r="F127" i="11"/>
  <c r="J127" i="11" s="1"/>
  <c r="F126" i="11"/>
  <c r="J126" i="11" s="1"/>
  <c r="M126" i="11" s="1"/>
  <c r="F125" i="11"/>
  <c r="H125" i="11" s="1"/>
  <c r="M125" i="11" s="1"/>
  <c r="F123" i="11"/>
  <c r="J123" i="11" s="1"/>
  <c r="M123" i="11" s="1"/>
  <c r="M161" i="11" s="1"/>
  <c r="M168" i="11" s="1"/>
  <c r="F121" i="11"/>
  <c r="H121" i="11" s="1"/>
  <c r="M121" i="11" s="1"/>
  <c r="F112" i="11"/>
  <c r="J112" i="11" s="1"/>
  <c r="M112" i="11" s="1"/>
  <c r="F111" i="11"/>
  <c r="J111" i="11" s="1"/>
  <c r="M111" i="11" s="1"/>
  <c r="F110" i="11"/>
  <c r="L110" i="11" s="1"/>
  <c r="M110" i="11" s="1"/>
  <c r="F109" i="11"/>
  <c r="H109" i="11" s="1"/>
  <c r="M109" i="11" s="1"/>
  <c r="J107" i="11"/>
  <c r="M107" i="11" s="1"/>
  <c r="F106" i="11"/>
  <c r="J106" i="11" s="1"/>
  <c r="M106" i="11" s="1"/>
  <c r="F105" i="11"/>
  <c r="J105" i="11" s="1"/>
  <c r="M105" i="11" s="1"/>
  <c r="F104" i="11"/>
  <c r="L104" i="11" s="1"/>
  <c r="M104" i="11" s="1"/>
  <c r="F103" i="11"/>
  <c r="H103" i="11" s="1"/>
  <c r="M103" i="11" s="1"/>
  <c r="F101" i="11"/>
  <c r="J101" i="11" s="1"/>
  <c r="M101" i="11" s="1"/>
  <c r="F100" i="11"/>
  <c r="J100" i="11" s="1"/>
  <c r="M100" i="11" s="1"/>
  <c r="F99" i="11"/>
  <c r="L99" i="11" s="1"/>
  <c r="M99" i="11" s="1"/>
  <c r="F98" i="11"/>
  <c r="H98" i="11" s="1"/>
  <c r="M98" i="11" s="1"/>
  <c r="F96" i="11"/>
  <c r="J96" i="11" s="1"/>
  <c r="M96" i="11" s="1"/>
  <c r="F95" i="11"/>
  <c r="J95" i="11" s="1"/>
  <c r="M95" i="11" s="1"/>
  <c r="F94" i="11"/>
  <c r="L94" i="11" s="1"/>
  <c r="M94" i="11" s="1"/>
  <c r="F93" i="11"/>
  <c r="H93" i="11" s="1"/>
  <c r="M93" i="11" s="1"/>
  <c r="F91" i="11"/>
  <c r="J91" i="11" s="1"/>
  <c r="M91" i="11" s="1"/>
  <c r="F90" i="11"/>
  <c r="J90" i="11" s="1"/>
  <c r="M90" i="11" s="1"/>
  <c r="F88" i="11"/>
  <c r="L88" i="11" s="1"/>
  <c r="M88" i="11" s="1"/>
  <c r="F87" i="11"/>
  <c r="H87" i="11" s="1"/>
  <c r="M87" i="11" s="1"/>
  <c r="F85" i="11"/>
  <c r="J85" i="11" s="1"/>
  <c r="M85" i="11" s="1"/>
  <c r="F84" i="11"/>
  <c r="J84" i="11" s="1"/>
  <c r="M84" i="11" s="1"/>
  <c r="F82" i="11"/>
  <c r="L82" i="11" s="1"/>
  <c r="M82" i="11" s="1"/>
  <c r="F81" i="11"/>
  <c r="H81" i="11" s="1"/>
  <c r="M81" i="11" s="1"/>
  <c r="F79" i="11"/>
  <c r="J79" i="11" s="1"/>
  <c r="M79" i="11" s="1"/>
  <c r="F78" i="11"/>
  <c r="J78" i="11" s="1"/>
  <c r="M78" i="11" s="1"/>
  <c r="F76" i="11"/>
  <c r="L76" i="11" s="1"/>
  <c r="M76" i="11" s="1"/>
  <c r="F75" i="11"/>
  <c r="H75" i="11" s="1"/>
  <c r="M75" i="11" s="1"/>
  <c r="F73" i="11"/>
  <c r="J73" i="11" s="1"/>
  <c r="M73" i="11" s="1"/>
  <c r="F72" i="11"/>
  <c r="J72" i="11" s="1"/>
  <c r="M72" i="11" s="1"/>
  <c r="E71" i="11"/>
  <c r="F71" i="11" s="1"/>
  <c r="L71" i="11" s="1"/>
  <c r="M71" i="11" s="1"/>
  <c r="F70" i="11"/>
  <c r="H70" i="11" s="1"/>
  <c r="M70" i="11" s="1"/>
  <c r="F68" i="11"/>
  <c r="J68" i="11" s="1"/>
  <c r="M68" i="11" s="1"/>
  <c r="F67" i="11"/>
  <c r="J67" i="11" s="1"/>
  <c r="M67" i="11" s="1"/>
  <c r="E66" i="11"/>
  <c r="F66" i="11" s="1"/>
  <c r="L66" i="11" s="1"/>
  <c r="M66" i="11" s="1"/>
  <c r="F65" i="11"/>
  <c r="H65" i="11" s="1"/>
  <c r="M65" i="11" s="1"/>
  <c r="F63" i="11"/>
  <c r="J63" i="11" s="1"/>
  <c r="M63" i="11" s="1"/>
  <c r="F62" i="11"/>
  <c r="J62" i="11" s="1"/>
  <c r="M62" i="11" s="1"/>
  <c r="F61" i="11"/>
  <c r="L61" i="11" s="1"/>
  <c r="M61" i="11" s="1"/>
  <c r="F60" i="11"/>
  <c r="H60" i="11" s="1"/>
  <c r="M60" i="11" s="1"/>
  <c r="F58" i="11"/>
  <c r="J58" i="11" s="1"/>
  <c r="M58" i="11" s="1"/>
  <c r="F57" i="11"/>
  <c r="J57" i="11" s="1"/>
  <c r="M57" i="11" s="1"/>
  <c r="F56" i="11"/>
  <c r="L56" i="11" s="1"/>
  <c r="M56" i="11" s="1"/>
  <c r="F55" i="11"/>
  <c r="H55" i="11" s="1"/>
  <c r="M55" i="11" s="1"/>
  <c r="J47" i="11"/>
  <c r="M47" i="11" s="1"/>
  <c r="F44" i="11"/>
  <c r="J42" i="11"/>
  <c r="M42" i="11" s="1"/>
  <c r="F40" i="11"/>
  <c r="L40" i="11" s="1"/>
  <c r="M40" i="11" s="1"/>
  <c r="J36" i="11"/>
  <c r="M36" i="11" s="1"/>
  <c r="F21" i="11"/>
  <c r="J21" i="11" s="1"/>
  <c r="M21" i="11" s="1"/>
  <c r="J20" i="11"/>
  <c r="M20" i="11" s="1"/>
  <c r="J19" i="11"/>
  <c r="M19" i="11" s="1"/>
  <c r="J18" i="11"/>
  <c r="M18" i="11" s="1"/>
  <c r="J17" i="11"/>
  <c r="M17" i="11" s="1"/>
  <c r="J16" i="11"/>
  <c r="M16" i="11" s="1"/>
  <c r="J15" i="11"/>
  <c r="M15" i="11" s="1"/>
  <c r="J14" i="11"/>
  <c r="M14" i="11" s="1"/>
  <c r="J13" i="11"/>
  <c r="M13" i="11" s="1"/>
  <c r="F12" i="11"/>
  <c r="L12" i="11" s="1"/>
  <c r="F11" i="11"/>
  <c r="H11" i="11" s="1"/>
  <c r="F88" i="10"/>
  <c r="J88" i="10" s="1"/>
  <c r="M88" i="10" s="1"/>
  <c r="J87" i="10"/>
  <c r="M87" i="10" s="1"/>
  <c r="J86" i="10"/>
  <c r="M86" i="10" s="1"/>
  <c r="F84" i="10"/>
  <c r="L84" i="10" s="1"/>
  <c r="M84" i="10" s="1"/>
  <c r="F83" i="10"/>
  <c r="H83" i="10" s="1"/>
  <c r="M83" i="10" s="1"/>
  <c r="F81" i="10"/>
  <c r="J81" i="10" s="1"/>
  <c r="M81" i="10" s="1"/>
  <c r="F80" i="10"/>
  <c r="J80" i="10" s="1"/>
  <c r="M80" i="10" s="1"/>
  <c r="F79" i="10"/>
  <c r="L79" i="10" s="1"/>
  <c r="M79" i="10" s="1"/>
  <c r="F78" i="10"/>
  <c r="H78" i="10" s="1"/>
  <c r="M78" i="10" s="1"/>
  <c r="F76" i="10"/>
  <c r="J76" i="10" s="1"/>
  <c r="M76" i="10" s="1"/>
  <c r="F75" i="10"/>
  <c r="J75" i="10" s="1"/>
  <c r="M75" i="10" s="1"/>
  <c r="F74" i="10"/>
  <c r="J74" i="10" s="1"/>
  <c r="M74" i="10" s="1"/>
  <c r="F73" i="10"/>
  <c r="L73" i="10" s="1"/>
  <c r="M73" i="10" s="1"/>
  <c r="F72" i="10"/>
  <c r="H72" i="10" s="1"/>
  <c r="M72" i="10" s="1"/>
  <c r="F70" i="10"/>
  <c r="J70" i="10" s="1"/>
  <c r="M70" i="10" s="1"/>
  <c r="F69" i="10"/>
  <c r="L69" i="10" s="1"/>
  <c r="M69" i="10" s="1"/>
  <c r="F68" i="10"/>
  <c r="J68" i="10" s="1"/>
  <c r="M68" i="10" s="1"/>
  <c r="F67" i="10"/>
  <c r="H67" i="10" s="1"/>
  <c r="M67" i="10" s="1"/>
  <c r="F65" i="10"/>
  <c r="J65" i="10" s="1"/>
  <c r="M65" i="10" s="1"/>
  <c r="F64" i="10"/>
  <c r="J64" i="10" s="1"/>
  <c r="M64" i="10" s="1"/>
  <c r="F63" i="10"/>
  <c r="L63" i="10" s="1"/>
  <c r="M63" i="10" s="1"/>
  <c r="F62" i="10"/>
  <c r="H62" i="10" s="1"/>
  <c r="M62" i="10" s="1"/>
  <c r="F60" i="10"/>
  <c r="J60" i="10" s="1"/>
  <c r="M60" i="10" s="1"/>
  <c r="F59" i="10"/>
  <c r="J59" i="10" s="1"/>
  <c r="M59" i="10" s="1"/>
  <c r="F58" i="10"/>
  <c r="J58" i="10" s="1"/>
  <c r="M58" i="10" s="1"/>
  <c r="J57" i="10"/>
  <c r="M57" i="10" s="1"/>
  <c r="J56" i="10"/>
  <c r="M56" i="10" s="1"/>
  <c r="F54" i="10"/>
  <c r="L54" i="10" s="1"/>
  <c r="M54" i="10" s="1"/>
  <c r="F53" i="10"/>
  <c r="H53" i="10" s="1"/>
  <c r="M53" i="10" s="1"/>
  <c r="F51" i="10"/>
  <c r="J51" i="10" s="1"/>
  <c r="M51" i="10" s="1"/>
  <c r="F50" i="10"/>
  <c r="J50" i="10" s="1"/>
  <c r="M50" i="10" s="1"/>
  <c r="F49" i="10"/>
  <c r="J49" i="10" s="1"/>
  <c r="M49" i="10" s="1"/>
  <c r="J48" i="10"/>
  <c r="M48" i="10" s="1"/>
  <c r="J47" i="10"/>
  <c r="M47" i="10" s="1"/>
  <c r="F45" i="10"/>
  <c r="L45" i="10" s="1"/>
  <c r="M45" i="10" s="1"/>
  <c r="F44" i="10"/>
  <c r="H44" i="10" s="1"/>
  <c r="M44" i="10" s="1"/>
  <c r="F42" i="10"/>
  <c r="J42" i="10" s="1"/>
  <c r="M42" i="10" s="1"/>
  <c r="F41" i="10"/>
  <c r="J41" i="10" s="1"/>
  <c r="M41" i="10" s="1"/>
  <c r="F39" i="10"/>
  <c r="L39" i="10" s="1"/>
  <c r="M39" i="10" s="1"/>
  <c r="F38" i="10"/>
  <c r="H38" i="10" s="1"/>
  <c r="M38" i="10" s="1"/>
  <c r="F36" i="10"/>
  <c r="J36" i="10" s="1"/>
  <c r="M36" i="10" s="1"/>
  <c r="F35" i="10"/>
  <c r="J35" i="10" s="1"/>
  <c r="M35" i="10" s="1"/>
  <c r="F33" i="10"/>
  <c r="L33" i="10" s="1"/>
  <c r="M33" i="10" s="1"/>
  <c r="F32" i="10"/>
  <c r="H32" i="10" s="1"/>
  <c r="M32" i="10" s="1"/>
  <c r="F30" i="10"/>
  <c r="J30" i="10" s="1"/>
  <c r="M30" i="10" s="1"/>
  <c r="F29" i="10"/>
  <c r="J29" i="10" s="1"/>
  <c r="M29" i="10" s="1"/>
  <c r="F28" i="10"/>
  <c r="H28" i="10" s="1"/>
  <c r="M28" i="10" s="1"/>
  <c r="F26" i="10"/>
  <c r="J26" i="10" s="1"/>
  <c r="M26" i="10" s="1"/>
  <c r="F25" i="10"/>
  <c r="J25" i="10" s="1"/>
  <c r="M25" i="10" s="1"/>
  <c r="F24" i="10"/>
  <c r="L24" i="10" s="1"/>
  <c r="M24" i="10" s="1"/>
  <c r="F23" i="10"/>
  <c r="H23" i="10" s="1"/>
  <c r="M23" i="10" s="1"/>
  <c r="F21" i="10"/>
  <c r="J21" i="10" s="1"/>
  <c r="M21" i="10" s="1"/>
  <c r="F20" i="10"/>
  <c r="J20" i="10" s="1"/>
  <c r="F19" i="10"/>
  <c r="L19" i="10" s="1"/>
  <c r="M19" i="10" s="1"/>
  <c r="F18" i="10"/>
  <c r="H18" i="10" s="1"/>
  <c r="M18" i="10" s="1"/>
  <c r="F16" i="10"/>
  <c r="J16" i="10" s="1"/>
  <c r="M16" i="10" s="1"/>
  <c r="F15" i="10"/>
  <c r="J15" i="10" s="1"/>
  <c r="M15" i="10" s="1"/>
  <c r="F13" i="10"/>
  <c r="L13" i="10" s="1"/>
  <c r="M13" i="10" s="1"/>
  <c r="F12" i="10"/>
  <c r="H12" i="10" s="1"/>
  <c r="F116" i="9"/>
  <c r="J116" i="9" s="1"/>
  <c r="M116" i="9" s="1"/>
  <c r="F114" i="9"/>
  <c r="H114" i="9" s="1"/>
  <c r="M114" i="9" s="1"/>
  <c r="F110" i="9"/>
  <c r="F111" i="9" s="1"/>
  <c r="H111" i="9" s="1"/>
  <c r="M111" i="9" s="1"/>
  <c r="F109" i="9"/>
  <c r="J109" i="9" s="1"/>
  <c r="M109" i="9" s="1"/>
  <c r="F108" i="9"/>
  <c r="J108" i="9" s="1"/>
  <c r="M108" i="9" s="1"/>
  <c r="F107" i="9"/>
  <c r="J107" i="9" s="1"/>
  <c r="M107" i="9" s="1"/>
  <c r="F106" i="9"/>
  <c r="L106" i="9" s="1"/>
  <c r="M106" i="9" s="1"/>
  <c r="F105" i="9"/>
  <c r="H105" i="9" s="1"/>
  <c r="M105" i="9" s="1"/>
  <c r="F103" i="9"/>
  <c r="J103" i="9" s="1"/>
  <c r="M103" i="9" s="1"/>
  <c r="F102" i="9"/>
  <c r="J102" i="9" s="1"/>
  <c r="M102" i="9" s="1"/>
  <c r="F101" i="9"/>
  <c r="J101" i="9" s="1"/>
  <c r="M101" i="9" s="1"/>
  <c r="F100" i="9"/>
  <c r="J100" i="9" s="1"/>
  <c r="M100" i="9" s="1"/>
  <c r="F99" i="9"/>
  <c r="L99" i="9" s="1"/>
  <c r="M99" i="9" s="1"/>
  <c r="F98" i="9"/>
  <c r="H98" i="9" s="1"/>
  <c r="M98" i="9" s="1"/>
  <c r="F96" i="9"/>
  <c r="J96" i="9" s="1"/>
  <c r="M96" i="9" s="1"/>
  <c r="F95" i="9"/>
  <c r="J95" i="9" s="1"/>
  <c r="M95" i="9" s="1"/>
  <c r="F94" i="9"/>
  <c r="J94" i="9" s="1"/>
  <c r="M94" i="9" s="1"/>
  <c r="F93" i="9"/>
  <c r="F91" i="9"/>
  <c r="J91" i="9" s="1"/>
  <c r="M91" i="9" s="1"/>
  <c r="F90" i="9"/>
  <c r="H90" i="9" s="1"/>
  <c r="M90" i="9" s="1"/>
  <c r="J83" i="9"/>
  <c r="M83" i="9" s="1"/>
  <c r="F77" i="9"/>
  <c r="F85" i="9" s="1"/>
  <c r="F75" i="9"/>
  <c r="J75" i="9" s="1"/>
  <c r="M75" i="9" s="1"/>
  <c r="F74" i="9"/>
  <c r="J74" i="9" s="1"/>
  <c r="M74" i="9" s="1"/>
  <c r="E73" i="9"/>
  <c r="F73" i="9" s="1"/>
  <c r="L73" i="9" s="1"/>
  <c r="M73" i="9" s="1"/>
  <c r="E72" i="9"/>
  <c r="F72" i="9" s="1"/>
  <c r="H72" i="9" s="1"/>
  <c r="M72" i="9" s="1"/>
  <c r="F70" i="9"/>
  <c r="J70" i="9" s="1"/>
  <c r="M70" i="9" s="1"/>
  <c r="F69" i="9"/>
  <c r="J69" i="9" s="1"/>
  <c r="M69" i="9" s="1"/>
  <c r="F68" i="9"/>
  <c r="L68" i="9" s="1"/>
  <c r="M68" i="9" s="1"/>
  <c r="F67" i="9"/>
  <c r="H67" i="9" s="1"/>
  <c r="M67" i="9" s="1"/>
  <c r="F65" i="9"/>
  <c r="J65" i="9" s="1"/>
  <c r="M65" i="9" s="1"/>
  <c r="E64" i="9"/>
  <c r="F64" i="9" s="1"/>
  <c r="J64" i="9" s="1"/>
  <c r="M64" i="9" s="1"/>
  <c r="F63" i="9"/>
  <c r="L63" i="9" s="1"/>
  <c r="M63" i="9" s="1"/>
  <c r="F62" i="9"/>
  <c r="H62" i="9" s="1"/>
  <c r="M62" i="9" s="1"/>
  <c r="F59" i="9"/>
  <c r="J59" i="9" s="1"/>
  <c r="M59" i="9" s="1"/>
  <c r="F58" i="9"/>
  <c r="J58" i="9" s="1"/>
  <c r="M58" i="9" s="1"/>
  <c r="F57" i="9"/>
  <c r="H57" i="9" s="1"/>
  <c r="M57" i="9" s="1"/>
  <c r="F55" i="9"/>
  <c r="J55" i="9" s="1"/>
  <c r="M55" i="9" s="1"/>
  <c r="F54" i="9"/>
  <c r="J54" i="9" s="1"/>
  <c r="M54" i="9" s="1"/>
  <c r="F53" i="9"/>
  <c r="L53" i="9" s="1"/>
  <c r="M53" i="9" s="1"/>
  <c r="F52" i="9"/>
  <c r="H52" i="9" s="1"/>
  <c r="M52" i="9" s="1"/>
  <c r="F50" i="9"/>
  <c r="J50" i="9" s="1"/>
  <c r="M50" i="9" s="1"/>
  <c r="F49" i="9"/>
  <c r="J49" i="9" s="1"/>
  <c r="M49" i="9" s="1"/>
  <c r="E48" i="9"/>
  <c r="F48" i="9" s="1"/>
  <c r="J48" i="9" s="1"/>
  <c r="M48" i="9" s="1"/>
  <c r="F47" i="9"/>
  <c r="L47" i="9" s="1"/>
  <c r="M47" i="9" s="1"/>
  <c r="F46" i="9"/>
  <c r="H46" i="9" s="1"/>
  <c r="M46" i="9" s="1"/>
  <c r="F44" i="9"/>
  <c r="J44" i="9" s="1"/>
  <c r="M44" i="9" s="1"/>
  <c r="F43" i="9"/>
  <c r="J43" i="9" s="1"/>
  <c r="M43" i="9" s="1"/>
  <c r="F42" i="9"/>
  <c r="J42" i="9" s="1"/>
  <c r="M42" i="9" s="1"/>
  <c r="F41" i="9"/>
  <c r="J41" i="9" s="1"/>
  <c r="M41" i="9" s="1"/>
  <c r="F40" i="9"/>
  <c r="L40" i="9" s="1"/>
  <c r="M40" i="9" s="1"/>
  <c r="F39" i="9"/>
  <c r="H39" i="9" s="1"/>
  <c r="M39" i="9" s="1"/>
  <c r="F32" i="9"/>
  <c r="J32" i="9" s="1"/>
  <c r="M32" i="9" s="1"/>
  <c r="F31" i="9"/>
  <c r="J31" i="9" s="1"/>
  <c r="M31" i="9" s="1"/>
  <c r="F30" i="9"/>
  <c r="J30" i="9" s="1"/>
  <c r="M30" i="9" s="1"/>
  <c r="F29" i="9"/>
  <c r="L29" i="9" s="1"/>
  <c r="M29" i="9" s="1"/>
  <c r="F28" i="9"/>
  <c r="H28" i="9" s="1"/>
  <c r="M28" i="9" s="1"/>
  <c r="E23" i="9"/>
  <c r="F21" i="9"/>
  <c r="F20" i="9"/>
  <c r="J20" i="9" s="1"/>
  <c r="M20" i="9" s="1"/>
  <c r="F19" i="9"/>
  <c r="J19" i="9" s="1"/>
  <c r="M19" i="9" s="1"/>
  <c r="F18" i="9"/>
  <c r="J18" i="9" s="1"/>
  <c r="M18" i="9" s="1"/>
  <c r="J17" i="9"/>
  <c r="M17" i="9" s="1"/>
  <c r="F16" i="9"/>
  <c r="J16" i="9" s="1"/>
  <c r="M16" i="9" s="1"/>
  <c r="F15" i="9"/>
  <c r="J15" i="9" s="1"/>
  <c r="M15" i="9" s="1"/>
  <c r="F14" i="9"/>
  <c r="L14" i="9" s="1"/>
  <c r="M14" i="9" s="1"/>
  <c r="F13" i="9"/>
  <c r="H13" i="9" s="1"/>
  <c r="M13" i="9" s="1"/>
  <c r="H93" i="9" l="1"/>
  <c r="M93" i="9" s="1"/>
  <c r="F79" i="9"/>
  <c r="L79" i="9" s="1"/>
  <c r="M79" i="9" s="1"/>
  <c r="F81" i="9"/>
  <c r="J81" i="9" s="1"/>
  <c r="M81" i="9" s="1"/>
  <c r="F84" i="9"/>
  <c r="J84" i="9" s="1"/>
  <c r="M84" i="9" s="1"/>
  <c r="F112" i="9"/>
  <c r="J112" i="9" s="1"/>
  <c r="M112" i="9" s="1"/>
  <c r="F39" i="11"/>
  <c r="H39" i="11" s="1"/>
  <c r="M39" i="11" s="1"/>
  <c r="F148" i="11"/>
  <c r="L148" i="11" s="1"/>
  <c r="M148" i="11" s="1"/>
  <c r="F43" i="11"/>
  <c r="J43" i="11" s="1"/>
  <c r="M43" i="11" s="1"/>
  <c r="F49" i="11"/>
  <c r="F53" i="11" s="1"/>
  <c r="J53" i="11" s="1"/>
  <c r="M53" i="11" s="1"/>
  <c r="J143" i="11"/>
  <c r="M143" i="11" s="1"/>
  <c r="L89" i="10"/>
  <c r="J89" i="10"/>
  <c r="M90" i="10" s="1"/>
  <c r="M127" i="11"/>
  <c r="M20" i="10"/>
  <c r="M11" i="11"/>
  <c r="M142" i="11"/>
  <c r="F86" i="9"/>
  <c r="H86" i="9" s="1"/>
  <c r="M86" i="9" s="1"/>
  <c r="F88" i="9"/>
  <c r="J88" i="9" s="1"/>
  <c r="M88" i="9" s="1"/>
  <c r="F87" i="9"/>
  <c r="J87" i="9" s="1"/>
  <c r="M87" i="9" s="1"/>
  <c r="H89" i="10"/>
  <c r="M96" i="10" s="1"/>
  <c r="M12" i="10"/>
  <c r="F35" i="11"/>
  <c r="L35" i="11" s="1"/>
  <c r="M35" i="11" s="1"/>
  <c r="F37" i="11"/>
  <c r="J37" i="11" s="1"/>
  <c r="M37" i="11" s="1"/>
  <c r="F34" i="11"/>
  <c r="H34" i="11" s="1"/>
  <c r="M34" i="11" s="1"/>
  <c r="F23" i="9"/>
  <c r="L23" i="9" s="1"/>
  <c r="M23" i="9" s="1"/>
  <c r="F25" i="9"/>
  <c r="J25" i="9" s="1"/>
  <c r="M25" i="9" s="1"/>
  <c r="F26" i="9"/>
  <c r="J26" i="9" s="1"/>
  <c r="M26" i="9" s="1"/>
  <c r="F22" i="9"/>
  <c r="H22" i="9" s="1"/>
  <c r="M22" i="9" s="1"/>
  <c r="M12" i="11"/>
  <c r="F24" i="9"/>
  <c r="J24" i="9" s="1"/>
  <c r="M24" i="9" s="1"/>
  <c r="F45" i="11"/>
  <c r="H45" i="11" s="1"/>
  <c r="M45" i="11" s="1"/>
  <c r="F48" i="11"/>
  <c r="J48" i="11" s="1"/>
  <c r="M48" i="11" s="1"/>
  <c r="F146" i="11"/>
  <c r="H146" i="11" s="1"/>
  <c r="M146" i="11" s="1"/>
  <c r="F78" i="9"/>
  <c r="H78" i="9" s="1"/>
  <c r="M78" i="9" s="1"/>
  <c r="F149" i="11"/>
  <c r="J149" i="11" s="1"/>
  <c r="M149" i="11" s="1"/>
  <c r="F82" i="9"/>
  <c r="J82" i="9" s="1"/>
  <c r="M82" i="9" s="1"/>
  <c r="F46" i="11"/>
  <c r="L46" i="11" s="1"/>
  <c r="M46" i="11" s="1"/>
  <c r="F49" i="7"/>
  <c r="J49" i="7" s="1"/>
  <c r="M49" i="7" s="1"/>
  <c r="F48" i="7"/>
  <c r="J48" i="7" s="1"/>
  <c r="M48" i="7" s="1"/>
  <c r="F47" i="7"/>
  <c r="J47" i="7" s="1"/>
  <c r="M47" i="7" s="1"/>
  <c r="F46" i="7"/>
  <c r="L46" i="7" s="1"/>
  <c r="M46" i="7" s="1"/>
  <c r="F45" i="7"/>
  <c r="H45" i="7" s="1"/>
  <c r="M45" i="7" s="1"/>
  <c r="L160" i="11" l="1"/>
  <c r="F51" i="11"/>
  <c r="J51" i="11" s="1"/>
  <c r="M51" i="11" s="1"/>
  <c r="F52" i="11"/>
  <c r="L52" i="11" s="1"/>
  <c r="M52" i="11" s="1"/>
  <c r="M160" i="11"/>
  <c r="F50" i="11"/>
  <c r="H50" i="11" s="1"/>
  <c r="M50" i="11" s="1"/>
  <c r="M117" i="9"/>
  <c r="J160" i="11"/>
  <c r="M162" i="11" s="1"/>
  <c r="L117" i="9"/>
  <c r="J117" i="9"/>
  <c r="M118" i="9" s="1"/>
  <c r="M89" i="10"/>
  <c r="M91" i="10" s="1"/>
  <c r="H160" i="11"/>
  <c r="H117" i="9"/>
  <c r="M124" i="9" s="1"/>
  <c r="H113" i="11" l="1"/>
  <c r="M116" i="11" s="1"/>
  <c r="M164" i="11"/>
  <c r="M163" i="11"/>
  <c r="M165" i="11" s="1"/>
  <c r="J113" i="11"/>
  <c r="M114" i="11" s="1"/>
  <c r="M113" i="11"/>
  <c r="L113" i="11"/>
  <c r="M119" i="9"/>
  <c r="M120" i="9" s="1"/>
  <c r="M92" i="10"/>
  <c r="M93" i="10" s="1"/>
  <c r="M170" i="11" l="1"/>
  <c r="M166" i="11"/>
  <c r="M167" i="11" s="1"/>
  <c r="M115" i="11"/>
  <c r="M117" i="11" s="1"/>
  <c r="M121" i="9"/>
  <c r="M122" i="9" s="1"/>
  <c r="M123" i="9" s="1"/>
  <c r="M125" i="9" s="1"/>
  <c r="H11" i="4" s="1"/>
  <c r="M94" i="10"/>
  <c r="M95" i="10" s="1"/>
  <c r="M97" i="10" s="1"/>
  <c r="H12" i="4" s="1"/>
  <c r="M118" i="11" l="1"/>
  <c r="M119" i="11" s="1"/>
  <c r="M169" i="11" s="1"/>
  <c r="M171" i="11" l="1"/>
  <c r="H13" i="4" s="1"/>
  <c r="F53" i="7" l="1"/>
  <c r="L53" i="7" l="1"/>
  <c r="F54" i="7"/>
  <c r="F52" i="7"/>
  <c r="L52" i="7" s="1"/>
  <c r="F51" i="7"/>
  <c r="E25" i="7" l="1"/>
  <c r="E24" i="7"/>
  <c r="E23" i="7"/>
  <c r="E22" i="7"/>
  <c r="F31" i="7" l="1"/>
  <c r="L31" i="7" s="1"/>
  <c r="M31" i="7" s="1"/>
  <c r="F32" i="7"/>
  <c r="J32" i="7" s="1"/>
  <c r="M32" i="7" s="1"/>
  <c r="F25" i="7"/>
  <c r="F22" i="7"/>
  <c r="F24" i="7"/>
  <c r="L24" i="7" s="1"/>
  <c r="M24" i="7" s="1"/>
  <c r="F23" i="7"/>
  <c r="F28" i="7"/>
  <c r="J28" i="7" s="1"/>
  <c r="H22" i="7" l="1"/>
  <c r="J25" i="7"/>
  <c r="M25" i="7" s="1"/>
  <c r="L23" i="7"/>
  <c r="M23" i="7" s="1"/>
  <c r="M28" i="7"/>
  <c r="F27" i="7"/>
  <c r="H27" i="7" s="1"/>
  <c r="F29" i="7"/>
  <c r="L29" i="7" s="1"/>
  <c r="M29" i="7" s="1"/>
  <c r="F30" i="7"/>
  <c r="L30" i="7" s="1"/>
  <c r="M30" i="7" s="1"/>
  <c r="M22" i="7" l="1"/>
  <c r="M27" i="7"/>
  <c r="F72" i="7"/>
  <c r="J72" i="7" s="1"/>
  <c r="M72" i="7" s="1"/>
  <c r="F86" i="7" l="1"/>
  <c r="F85" i="7"/>
  <c r="F84" i="7"/>
  <c r="F83" i="7"/>
  <c r="L83" i="7" s="1"/>
  <c r="M83" i="7" s="1"/>
  <c r="F82" i="7"/>
  <c r="M75" i="7"/>
  <c r="F80" i="7"/>
  <c r="L80" i="7" s="1"/>
  <c r="M80" i="7" s="1"/>
  <c r="F71" i="7"/>
  <c r="J71" i="7" s="1"/>
  <c r="F67" i="7"/>
  <c r="F65" i="7"/>
  <c r="F55" i="7"/>
  <c r="F41" i="7"/>
  <c r="F35" i="7"/>
  <c r="H35" i="7" s="1"/>
  <c r="M53" i="7" l="1"/>
  <c r="H51" i="7"/>
  <c r="M51" i="7" s="1"/>
  <c r="M52" i="7"/>
  <c r="J86" i="7"/>
  <c r="M86" i="7" s="1"/>
  <c r="J77" i="7"/>
  <c r="M77" i="7" s="1"/>
  <c r="J54" i="7"/>
  <c r="M54" i="7" s="1"/>
  <c r="J55" i="7"/>
  <c r="M55" i="7" s="1"/>
  <c r="J78" i="7"/>
  <c r="M78" i="7" s="1"/>
  <c r="J85" i="7"/>
  <c r="M85" i="7" s="1"/>
  <c r="J41" i="7"/>
  <c r="M41" i="7" s="1"/>
  <c r="H82" i="7"/>
  <c r="M82" i="7" s="1"/>
  <c r="H67" i="7"/>
  <c r="M67" i="7" s="1"/>
  <c r="H65" i="7"/>
  <c r="M65" i="7" s="1"/>
  <c r="J84" i="7"/>
  <c r="M84" i="7" s="1"/>
  <c r="M35" i="7"/>
  <c r="F42" i="7"/>
  <c r="F37" i="7"/>
  <c r="F38" i="7"/>
  <c r="L38" i="7" s="1"/>
  <c r="M38" i="7" s="1"/>
  <c r="F39" i="7"/>
  <c r="J39" i="7" s="1"/>
  <c r="F79" i="7"/>
  <c r="F69" i="7"/>
  <c r="F76" i="7"/>
  <c r="F70" i="7"/>
  <c r="L70" i="7" s="1"/>
  <c r="M70" i="7" s="1"/>
  <c r="F73" i="7"/>
  <c r="F74" i="7"/>
  <c r="J42" i="7" l="1"/>
  <c r="M42" i="7" s="1"/>
  <c r="J74" i="7"/>
  <c r="M74" i="7" s="1"/>
  <c r="J73" i="7"/>
  <c r="M73" i="7" s="1"/>
  <c r="H37" i="7"/>
  <c r="M37" i="7" s="1"/>
  <c r="H76" i="7"/>
  <c r="M76" i="7" s="1"/>
  <c r="H69" i="7"/>
  <c r="M69" i="7" s="1"/>
  <c r="J79" i="7"/>
  <c r="M79" i="7" s="1"/>
  <c r="M71" i="7"/>
  <c r="M39" i="7" l="1"/>
  <c r="F15" i="7" l="1"/>
  <c r="L15" i="7" s="1"/>
  <c r="F14" i="7"/>
  <c r="J14" i="7" s="1"/>
  <c r="F13" i="7"/>
  <c r="M15" i="7" l="1"/>
  <c r="H13" i="7"/>
  <c r="M14" i="7"/>
  <c r="F19" i="7"/>
  <c r="F18" i="7"/>
  <c r="L18" i="7" s="1"/>
  <c r="M18" i="7" s="1"/>
  <c r="F17" i="7"/>
  <c r="M13" i="7" l="1"/>
  <c r="L261" i="7"/>
  <c r="H17" i="7"/>
  <c r="M17" i="7" s="1"/>
  <c r="J19" i="7"/>
  <c r="M19" i="7" l="1"/>
  <c r="M261" i="7" s="1"/>
  <c r="J261" i="7"/>
  <c r="M262" i="7" s="1"/>
  <c r="H261" i="7"/>
  <c r="M268" i="7" s="1"/>
  <c r="M263" i="7" l="1"/>
  <c r="M264" i="7" s="1"/>
  <c r="M265" i="7" l="1"/>
  <c r="M266" i="7" l="1"/>
  <c r="M267" i="7" s="1"/>
  <c r="M269" i="7" s="1"/>
  <c r="H14" i="4" s="1"/>
  <c r="H15" i="4" l="1"/>
  <c r="H16" i="4" s="1"/>
  <c r="H17" i="4" l="1"/>
  <c r="H18" i="4" s="1"/>
  <c r="H19" i="4" s="1"/>
  <c r="H20" i="4" s="1"/>
  <c r="H22" i="4"/>
  <c r="H21" i="4" l="1"/>
</calcChain>
</file>

<file path=xl/sharedStrings.xml><?xml version="1.0" encoding="utf-8"?>
<sst xmlns="http://schemas.openxmlformats.org/spreadsheetml/2006/main" count="1409" uniqueCount="454">
  <si>
    <t>#</t>
  </si>
  <si>
    <t>safuZveli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</si>
  <si>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</si>
  <si>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</si>
  <si>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</si>
  <si>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</si>
  <si>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</si>
  <si>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</si>
  <si>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</si>
  <si>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</si>
  <si>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</si>
  <si>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m3</t>
  </si>
  <si>
    <t>Sromis danaxarji</t>
  </si>
  <si>
    <t>t</t>
  </si>
  <si>
    <t>kac.sT.</t>
  </si>
  <si>
    <t>manqanebi</t>
  </si>
  <si>
    <t>lari</t>
  </si>
  <si>
    <t>sxva masalebi</t>
  </si>
  <si>
    <t>m2</t>
  </si>
  <si>
    <t>10-4-1</t>
  </si>
  <si>
    <t xml:space="preserve">SromiTi resursebi </t>
  </si>
  <si>
    <t xml:space="preserve">manqanebi </t>
  </si>
  <si>
    <t>kg</t>
  </si>
  <si>
    <t>antiseptikuri  xsnari</t>
  </si>
  <si>
    <t>sxvadasxva masalebi</t>
  </si>
  <si>
    <t>100m2</t>
  </si>
  <si>
    <t>lursmani</t>
  </si>
  <si>
    <t>saxelS.</t>
  </si>
  <si>
    <t>SromiTi danaxarji</t>
  </si>
  <si>
    <t>cali</t>
  </si>
  <si>
    <t>c</t>
  </si>
  <si>
    <t>10-6-1</t>
  </si>
  <si>
    <t>orTlsaizolacio membrana</t>
  </si>
  <si>
    <t>10_6_1</t>
  </si>
  <si>
    <t>Sida kedlebis mosaxva xis lamfiT</t>
  </si>
  <si>
    <t>Sromis redursebi</t>
  </si>
  <si>
    <t>vzer 5-52</t>
  </si>
  <si>
    <t xml:space="preserve">gare da Sida dekoratiuli sapireebis mowyoba </t>
  </si>
  <si>
    <t>g.m.</t>
  </si>
  <si>
    <t>muSaTa xelfasi</t>
  </si>
  <si>
    <t>grZ.m.</t>
  </si>
  <si>
    <t>xis sapireebi</t>
  </si>
  <si>
    <t>TviTmWreli xraxnebi</t>
  </si>
  <si>
    <t>gare da Sida xis mopirkeTebis damuSaveba zumfariT da dafarva antiseptikuri xsnariT</t>
  </si>
  <si>
    <t xml:space="preserve">zumfara </t>
  </si>
  <si>
    <t>_manqanebi</t>
  </si>
  <si>
    <t>10-10-1</t>
  </si>
  <si>
    <t>Weris mosaxva xis lamfiT</t>
  </si>
  <si>
    <t xml:space="preserve">Weris plintusebis mowyoba </t>
  </si>
  <si>
    <t>kompl</t>
  </si>
  <si>
    <t>avzis sadgari 3m simaRlis liTonis konstruqciaze</t>
  </si>
  <si>
    <t>100m3</t>
  </si>
  <si>
    <t xml:space="preserve">Sromis danaxarji  </t>
  </si>
  <si>
    <t>k/sT</t>
  </si>
  <si>
    <r>
      <t>m</t>
    </r>
    <r>
      <rPr>
        <b/>
        <vertAlign val="superscript"/>
        <sz val="10"/>
        <rFont val="AcadNusx"/>
      </rPr>
      <t>3</t>
    </r>
  </si>
  <si>
    <t>kac-sT</t>
  </si>
  <si>
    <t>sxva manqanebi</t>
  </si>
  <si>
    <r>
      <t>m</t>
    </r>
    <r>
      <rPr>
        <vertAlign val="superscript"/>
        <sz val="10"/>
        <rFont val="AcadNusx"/>
      </rPr>
      <t>3</t>
    </r>
  </si>
  <si>
    <t xml:space="preserve">manqanebi    </t>
  </si>
  <si>
    <t>man</t>
  </si>
  <si>
    <t>m</t>
  </si>
  <si>
    <t>fari ficris yalibis sisq. 25 mm</t>
  </si>
  <si>
    <t>ficari Camoganuli III ხარისხის sisq. 40 mm</t>
  </si>
  <si>
    <t xml:space="preserve">armatura d-10-12 mm </t>
  </si>
  <si>
    <t>betoni m-250</t>
  </si>
  <si>
    <t xml:space="preserve">Sromis danaxarjebi     </t>
  </si>
  <si>
    <t xml:space="preserve">xis koWebi </t>
  </si>
  <si>
    <t>9-14-5</t>
  </si>
  <si>
    <t>metaloplastmasis fanjrebis montaJi</t>
  </si>
  <si>
    <t xml:space="preserve">Sromis danaxarjebi </t>
  </si>
  <si>
    <t>kac/sT</t>
  </si>
  <si>
    <t>Weris mosaxvis lamfa - 12 mm sisqis</t>
  </si>
  <si>
    <t>10-38-3         k=2</t>
  </si>
  <si>
    <t>მანქანები</t>
  </si>
  <si>
    <t>საღებავი ანტისეპტიკური</t>
  </si>
  <si>
    <t>xis Seficvrisa da xis lamfis damuSaveba zumfariT da dafarva antiseptikuri xsnariT 2-jer</t>
  </si>
  <si>
    <t>17-1-5</t>
  </si>
  <si>
    <t>kompl.</t>
  </si>
  <si>
    <t xml:space="preserve">sxva manqana </t>
  </si>
  <si>
    <t>masala:</t>
  </si>
  <si>
    <t>sxva masala</t>
  </si>
  <si>
    <t>16-24-2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</si>
  <si>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</si>
  <si>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</si>
  <si>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</si>
  <si>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8-591-3</t>
  </si>
  <si>
    <t>Sromis danaxarjebi</t>
  </si>
  <si>
    <t>erTklaviSiani CamrTveli 10a. 250v.</t>
  </si>
  <si>
    <t>8-414-1</t>
  </si>
  <si>
    <t>sxva manqana</t>
  </si>
  <si>
    <r>
      <t xml:space="preserve">kabeli </t>
    </r>
    <r>
      <rPr>
        <sz val="10"/>
        <rFont val="Arial"/>
        <family val="2"/>
        <charset val="204"/>
      </rPr>
      <t xml:space="preserve"> NYM-J</t>
    </r>
    <r>
      <rPr>
        <sz val="10"/>
        <rFont val="AcadNusx"/>
      </rPr>
      <t xml:space="preserve"> 3X1,5mm2</t>
    </r>
  </si>
  <si>
    <t xml:space="preserve">8-418-1 </t>
  </si>
  <si>
    <t xml:space="preserve">kedlebis mopirkeTeba keramikuli filebiT </t>
  </si>
  <si>
    <t>webo-cementi</t>
  </si>
  <si>
    <t>keramikuli filebi</t>
  </si>
  <si>
    <t>10-20-3</t>
  </si>
  <si>
    <t>xis karebi</t>
  </si>
  <si>
    <t>xis ficari 3x.25-32mm</t>
  </si>
  <si>
    <t>karis saketi mowyobiloba</t>
  </si>
  <si>
    <t>k-ti</t>
  </si>
  <si>
    <t>15-165-6</t>
  </si>
  <si>
    <t>xis karebis maRalxarisxovani SeRebva laqiT orjer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</si>
  <si>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</si>
  <si>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</si>
  <si>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8-591-8</t>
  </si>
  <si>
    <t>16-6-1</t>
  </si>
  <si>
    <t>samagri</t>
  </si>
  <si>
    <t>komp.</t>
  </si>
  <si>
    <t>16-12-1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</si>
  <si>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</si>
  <si>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</si>
  <si>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</si>
  <si>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</si>
  <si>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</si>
  <si>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t>metaloplastmasis fanjara ყავისფერი</t>
  </si>
  <si>
    <t>სააბაზანოს xelsabani SemreviT, sruli kompleqtaciiT (Camketi ventilebiT “arko”, drekadi SlangebiT, sifoniT, samagri elementebiT  da sxva saWiro fitingebiT da masalebiT)</t>
  </si>
  <si>
    <t>სამზარულოს xelsabani SemreviT, sruli kompleqtaciiT (Camketi ventilebiT “arko”, drekadi SlangebiT, sifoniT, samagri elementebiT  da sxva saWiro fitingebiT da masalebiT)</t>
  </si>
  <si>
    <t>Sida kedlis mosaxvis lamfa -12 მმ სისქით</t>
  </si>
  <si>
    <t>gare mosaxvis ხის lamfa სისქით 18-32mm -ბლოკჰაუსი antiseptirebuli</t>
  </si>
  <si>
    <t>xis sapireebi, kuTxovanebi</t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</si>
  <si>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</si>
  <si>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 sarqveli da tivtiva sarqveli wylis temperaturis 0-100º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</si>
  <si>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</si>
  <si>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</si>
  <si>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t xml:space="preserve">keramogranitis filebis  dageba </t>
  </si>
  <si>
    <t>17-1-10</t>
  </si>
  <si>
    <t>keramograniti</t>
  </si>
  <si>
    <t>sarkis montaJi</t>
  </si>
  <si>
    <t xml:space="preserve">სარკe ზომებიT </t>
  </si>
  <si>
    <t>trapi Tujis d=100mm</t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</si>
  <si>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</si>
  <si>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</si>
  <si>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gamanawilebeli kolofi gare montaJis</t>
  </si>
  <si>
    <t>8-599-2</t>
  </si>
  <si>
    <t>8-612-10</t>
  </si>
  <si>
    <t>karada avtomaturi amomrTvelebiT</t>
  </si>
  <si>
    <t xml:space="preserve">zednadebi xarji </t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</si>
  <si>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</si>
  <si>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</si>
  <si>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</si>
  <si>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</si>
  <si>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</si>
  <si>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</si>
  <si>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</si>
  <si>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</si>
  <si>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</si>
  <si>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</si>
  <si>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</si>
  <si>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</si>
  <si>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</si>
  <si>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</si>
  <si>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</si>
  <si>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</si>
  <si>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</si>
  <si>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</si>
  <si>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</si>
  <si>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</si>
  <si>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</si>
  <si>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</si>
  <si>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</si>
  <si>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</si>
  <si>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</si>
  <si>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</si>
  <si>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</si>
  <si>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</si>
  <si>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</si>
  <si>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</si>
  <si>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</si>
  <si>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</si>
  <si>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r>
      <t xml:space="preserve">წყლის რეზინის mili </t>
    </r>
    <r>
      <rPr>
        <sz val="10"/>
        <rFont val="Arial"/>
        <family val="2"/>
        <charset val="204"/>
      </rPr>
      <t>Ø25</t>
    </r>
  </si>
  <si>
    <t>el.qselis mowyobis samuSaoebi</t>
  </si>
  <si>
    <t>xarjTaRricxva #1-2</t>
  </si>
  <si>
    <t>xarjTaRricxva #1-1</t>
  </si>
  <si>
    <t>xarjTaRricxva #1-3</t>
  </si>
  <si>
    <t>xarjT. #1-3</t>
  </si>
  <si>
    <t>17-8-1</t>
  </si>
  <si>
    <t>antiseptikuri ლაქი</t>
  </si>
  <si>
    <t>laqi xis k=2</t>
  </si>
  <si>
    <t>sxva masala k=2</t>
  </si>
  <si>
    <t>15-14-2</t>
  </si>
  <si>
    <t>bade</t>
  </si>
  <si>
    <t>sabazro</t>
  </si>
  <si>
    <t>xarjT. #1-4</t>
  </si>
  <si>
    <t>კაც.სთ</t>
  </si>
  <si>
    <t>ლარი</t>
  </si>
  <si>
    <t>კგ</t>
  </si>
  <si>
    <t>23-23</t>
  </si>
  <si>
    <t>ც</t>
  </si>
  <si>
    <t>შრომის დანახარჯი 1,54*1,2*1.15=</t>
  </si>
  <si>
    <t>მანქანები  0,09X1,2*1.25</t>
  </si>
  <si>
    <t>ცალი</t>
  </si>
  <si>
    <t>gofrirebuli kanalizaciis mili d-150 mm mowyoba</t>
  </si>
  <si>
    <t>gofrirebuli kanalizaciis mili d-150 mm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</si>
  <si>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</si>
  <si>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</si>
  <si>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wylis 500 ლ. plastmasis avzi daTbunebiTa da montaJiT</t>
  </si>
  <si>
    <t>მ2</t>
  </si>
  <si>
    <t xml:space="preserve">შრომის დანახარჯი </t>
  </si>
  <si>
    <t>ხრახნი</t>
  </si>
  <si>
    <t>nakerebis Semavsebeli lenta</t>
  </si>
  <si>
    <t>კედლების მოპირკეთება თაბაშირმუყაოს ფილებით კედლების ხის კარკასზე</t>
  </si>
  <si>
    <t>21-10-1 გამო.</t>
  </si>
  <si>
    <t>kedlis eleqtro radiatori TermostatiT, simZlavre 1.5 kvt</t>
  </si>
  <si>
    <t xml:space="preserve">led proJeqtoris mowyoba </t>
  </si>
  <si>
    <r>
      <t xml:space="preserve">led proJeqtoruli sanaTi 100 vt; </t>
    </r>
    <r>
      <rPr>
        <sz val="10"/>
        <rFont val="Cambria"/>
        <family val="2"/>
        <scheme val="major"/>
      </rPr>
      <t>IP</t>
    </r>
    <r>
      <rPr>
        <sz val="10"/>
        <rFont val="AcadNusx"/>
      </rPr>
      <t>66;</t>
    </r>
  </si>
  <si>
    <t>8-417-1</t>
  </si>
  <si>
    <t>SromiTi resursebi</t>
  </si>
  <si>
    <t>materialuri resursi</t>
  </si>
  <si>
    <t>Robis saZirkvlebi</t>
  </si>
  <si>
    <t>1_80_3</t>
  </si>
  <si>
    <t>wertilovani saZirkvlebisTvis gruntis damuSaveba da adgilze mosworeba 40X60X40 sm</t>
  </si>
  <si>
    <t>_</t>
  </si>
  <si>
    <t>_Sromis danaxarji</t>
  </si>
  <si>
    <t>_betoni b15</t>
  </si>
  <si>
    <t>_xis masala</t>
  </si>
  <si>
    <t>kb.m</t>
  </si>
  <si>
    <t>_sxva masalebi</t>
  </si>
  <si>
    <t>Robis mowyoba</t>
  </si>
  <si>
    <t>kvadratuli mili 80X80X3 mm</t>
  </si>
  <si>
    <t>eleqtrodi</t>
  </si>
  <si>
    <t>15-164-7</t>
  </si>
  <si>
    <t>liTonis SeRebva antikoroziuli saRebaviT 2-jer</t>
  </si>
  <si>
    <t>საღებავი ანტიკოროზიული</t>
  </si>
  <si>
    <t>ოლიფა</t>
  </si>
  <si>
    <t>100m</t>
  </si>
  <si>
    <t>ganaTebis svetebis saZirkvlebi</t>
  </si>
  <si>
    <t>wertilovani saZirkvlebisTvis gruntis damuSaveba da adgilze mosworeba 40X80X40 sm</t>
  </si>
  <si>
    <t>gruntis damuSaveba xeliT kabelis Casadebad</t>
  </si>
  <si>
    <t>kr. 6-1-2</t>
  </si>
  <si>
    <t>liTon boZis montaJi simaRliT 5.0m</t>
  </si>
  <si>
    <t xml:space="preserve">Sromis danaxarjebi    </t>
  </si>
  <si>
    <t>armatura d-10 mm a-III</t>
  </si>
  <si>
    <t xml:space="preserve">manqanebi   </t>
  </si>
  <si>
    <t xml:space="preserve">Tburi deteqtori </t>
  </si>
  <si>
    <t xml:space="preserve">kvamlis  deteqtori </t>
  </si>
  <si>
    <t xml:space="preserve">xelis sagangaSo Rilaki </t>
  </si>
  <si>
    <t>saxanZro  kabeli 4X0,5mm2</t>
  </si>
  <si>
    <t>maT Soris: mowyobiloba</t>
  </si>
  <si>
    <t>zednadebi xarjebi  - 60% xelfasidan</t>
  </si>
  <si>
    <t>mogeba- 8%</t>
  </si>
  <si>
    <t>წყალ-კანალიზაციის mowyobis samuSaoebi</t>
  </si>
  <si>
    <t>ტერიტორიის კეთილმოწყობის samuSaoebi</t>
  </si>
  <si>
    <t>xis kotejis samSeneblo samuSaoebi</t>
  </si>
  <si>
    <t>qviSa-xreSis safuZvlis mowyoba</t>
  </si>
  <si>
    <t>sakanalizacio Webis Tujis luki Ø700 anakrebi rkina/betonis filiT d=1500,</t>
  </si>
  <si>
    <t>qviSa-xreSi</t>
  </si>
  <si>
    <t>თაბაშირმუყაოს ფილები ნესტგამძლე</t>
  </si>
  <si>
    <t>avzis daTbuneba da montaJi</t>
  </si>
  <si>
    <t>wylis 500 ლ. plastmasis avzi</t>
  </si>
  <si>
    <r>
      <t xml:space="preserve">წყლის რეზინის mili </t>
    </r>
    <r>
      <rPr>
        <b/>
        <sz val="10"/>
        <rFont val="Arial"/>
        <family val="2"/>
        <charset val="204"/>
      </rPr>
      <t>Ø25</t>
    </r>
  </si>
  <si>
    <t>srf 12.1-59</t>
  </si>
  <si>
    <t>srf 12.1-68</t>
  </si>
  <si>
    <t xml:space="preserve">gamwovi ventilatori, warmadoba -- 60 m3/sT, </t>
  </si>
  <si>
    <t>sirena</t>
  </si>
  <si>
    <t>xarjTaRricxva #1-4</t>
  </si>
  <si>
    <t>metalis Robe 2.3 m simaRlis Robe (kompleqti: samagri ZelakebiT-SeRebili, uJangavi mavTulxlarTiT da damWeri aqsesuarebiT-ix. proeqti)</t>
  </si>
  <si>
    <t>_metalis mza Robe (kompleqti-ix.proeqti)</t>
  </si>
  <si>
    <t>teritoriaze balastis safaris mowyoba</t>
  </si>
  <si>
    <t>27-7-2.</t>
  </si>
  <si>
    <t>kub.m.</t>
  </si>
  <si>
    <t>avtogreideri 79kvt.</t>
  </si>
  <si>
    <t>m/sT</t>
  </si>
  <si>
    <t>sagzao mtkep. TviTm. pnev.svlaze 18t.</t>
  </si>
  <si>
    <t>-</t>
  </si>
  <si>
    <r>
      <t>eqskavatori 0,65 m</t>
    </r>
    <r>
      <rPr>
        <vertAlign val="superscript"/>
        <sz val="10"/>
        <rFont val="AcadNusx"/>
      </rPr>
      <t>3</t>
    </r>
  </si>
  <si>
    <t>manq./sT.</t>
  </si>
  <si>
    <t>sxvadasxva meqanizmebi</t>
  </si>
  <si>
    <t>RorRi</t>
  </si>
  <si>
    <t>balasti</t>
  </si>
  <si>
    <t xml:space="preserve"> safuZvelis fenis mowyoba balastis safariT sisqiT 30sm</t>
  </si>
  <si>
    <t>gruntis damuSaveba adgilze mosworebiT</t>
  </si>
  <si>
    <t>sndaw
IV-2-82
1-22-9</t>
  </si>
  <si>
    <t>rezervi gauTvaliswinebel samuSaoebze - 5%</t>
  </si>
  <si>
    <t>sul jami (ელექტრობა+სუსტი დენი):</t>
  </si>
  <si>
    <t>naWedi</t>
  </si>
  <si>
    <t>xis Zelakebi (reika) 4X4sm</t>
  </si>
  <si>
    <t>22-8-1</t>
  </si>
  <si>
    <t>17-3-4</t>
  </si>
  <si>
    <t>17-4-4</t>
  </si>
  <si>
    <t>16-6-2</t>
  </si>
  <si>
    <t>17-9-1</t>
  </si>
  <si>
    <t>8-609-1</t>
  </si>
  <si>
    <t>20-22-1.</t>
  </si>
  <si>
    <t>10-744-6</t>
  </si>
  <si>
    <t>10-54-1</t>
  </si>
  <si>
    <t>23-1-3</t>
  </si>
  <si>
    <t>სარწყავი მანქანა</t>
  </si>
  <si>
    <t>სხვა მასალა</t>
  </si>
  <si>
    <t>7_21_9</t>
  </si>
  <si>
    <t>ამწე საავტომობილო 10 ტ</t>
  </si>
  <si>
    <t>სხვა მანქანები</t>
  </si>
  <si>
    <t>ყალიბის ფარი 25 მმ</t>
  </si>
  <si>
    <t>_xis masala III ხარ. 40მმ.</t>
  </si>
  <si>
    <t>6-16-8</t>
  </si>
  <si>
    <t>1-118-11</t>
  </si>
  <si>
    <t>RorRis datkepna pnevmosatkepniT</t>
  </si>
  <si>
    <t>pnevmaturi damtkepni</t>
  </si>
  <si>
    <t>manq.sT</t>
  </si>
  <si>
    <t>yalibis fari 40 mm</t>
  </si>
  <si>
    <t>profilebi, polirebuli furclisagan</t>
  </si>
  <si>
    <t>kv.m.</t>
  </si>
  <si>
    <t>sxva xarjebi</t>
  </si>
  <si>
    <t>samontaJo elementebi</t>
  </si>
  <si>
    <t>9-32-12</t>
  </si>
  <si>
    <t xml:space="preserve">liTonis elementebis montaJi da Rirebuleba </t>
  </si>
  <si>
    <t>gruntis moWra damuSaveba eqskavatoriT da adgilze mosworebiT</t>
  </si>
  <si>
    <t>11-27-4</t>
  </si>
  <si>
    <t>laminirebuli parketis iatakis mowyoba plintusiT</t>
  </si>
  <si>
    <t>laminirebuli mdf plintusi 7 sm</t>
  </si>
  <si>
    <t>11-8-1,2</t>
  </si>
  <si>
    <t xml:space="preserve">badeze cementis moWimvis mowyoba sisqiT 20mm </t>
  </si>
  <si>
    <t xml:space="preserve">cementis xsnari m100 </t>
  </si>
  <si>
    <t xml:space="preserve">pvc bade d=3mm </t>
  </si>
  <si>
    <r>
      <t>m</t>
    </r>
    <r>
      <rPr>
        <vertAlign val="superscript"/>
        <sz val="10"/>
        <rFont val="AcadNusx"/>
      </rPr>
      <t>2</t>
    </r>
  </si>
  <si>
    <t>karada 12 adgiliani gare montaJis liTonis, gasaRebiT</t>
  </si>
  <si>
    <t>avtomaturi amomrTveli 10a 1 polusa (susti denebis)</t>
  </si>
  <si>
    <t>avtomaturi amomrTveli 16a 1 polusa (Sida ganaTeba)</t>
  </si>
  <si>
    <r>
      <t>avtomaturi amomrTveli</t>
    </r>
    <r>
      <rPr>
        <sz val="10"/>
        <rFont val="Cambria"/>
        <family val="1"/>
        <scheme val="major"/>
      </rPr>
      <t xml:space="preserve"> MCB C 25A</t>
    </r>
    <r>
      <rPr>
        <sz val="10"/>
        <rFont val="AcadNusx"/>
      </rPr>
      <t xml:space="preserve"> 1 polusa (gare ganaTebis)</t>
    </r>
  </si>
  <si>
    <r>
      <t xml:space="preserve">avtomaturi amomrTveli </t>
    </r>
    <r>
      <rPr>
        <sz val="10"/>
        <rFont val="Cambria"/>
        <family val="1"/>
        <scheme val="major"/>
      </rPr>
      <t xml:space="preserve"> MCB C 32A</t>
    </r>
    <r>
      <rPr>
        <sz val="10"/>
        <rFont val="AcadNusx"/>
      </rPr>
      <t xml:space="preserve"> 1 polusa (gaTbobis radiatorebisTvis)</t>
    </r>
  </si>
  <si>
    <r>
      <t>avtomaturi amomrTveli</t>
    </r>
    <r>
      <rPr>
        <sz val="10"/>
        <rFont val="Cambria"/>
        <family val="1"/>
        <scheme val="major"/>
      </rPr>
      <t xml:space="preserve">  MCB C 32a</t>
    </r>
    <r>
      <rPr>
        <sz val="10"/>
        <rFont val="AcadNusx"/>
      </rPr>
      <t xml:space="preserve"> 1 polusa (Sida rozetebisTvis)</t>
    </r>
  </si>
  <si>
    <r>
      <t xml:space="preserve">avtomaturi amomrTveli </t>
    </r>
    <r>
      <rPr>
        <sz val="10"/>
        <rFont val="Cambria"/>
        <family val="1"/>
        <scheme val="major"/>
      </rPr>
      <t xml:space="preserve"> MCB C 32a</t>
    </r>
    <r>
      <rPr>
        <sz val="10"/>
        <rFont val="AcadNusx"/>
      </rPr>
      <t xml:space="preserve"> 2 polusa (wyalgamacxeleblisTvis da kondicionerisTvis)-gare garsacmiT</t>
    </r>
  </si>
  <si>
    <r>
      <t xml:space="preserve">avtomaturi amomrTveli </t>
    </r>
    <r>
      <rPr>
        <sz val="10"/>
        <rFont val="Cambria"/>
        <family val="1"/>
        <scheme val="major"/>
      </rPr>
      <t xml:space="preserve"> MCB C 63a</t>
    </r>
    <r>
      <rPr>
        <sz val="10"/>
        <rFont val="AcadNusx"/>
      </rPr>
      <t xml:space="preserve"> 2 polusa (kotejSi Semomavali centraluri)</t>
    </r>
  </si>
  <si>
    <t>komp</t>
  </si>
  <si>
    <t>damiwebis glinula 18mm galvanizirebuli</t>
  </si>
  <si>
    <t>zolovana</t>
  </si>
  <si>
    <t>WanWiki qanCiT da sayeluriT</t>
  </si>
  <si>
    <t>8-409-2</t>
  </si>
  <si>
    <t>spilenZis kabelebi</t>
  </si>
  <si>
    <r>
      <t>spilenZis  mSrali erTZarRva ormagizolaciani kabeli kveTiT</t>
    </r>
    <r>
      <rPr>
        <sz val="10"/>
        <rFont val="Cambria"/>
        <family val="1"/>
        <scheme val="major"/>
      </rPr>
      <t xml:space="preserve"> NYM-J </t>
    </r>
    <r>
      <rPr>
        <sz val="10"/>
        <rFont val="AcadNusx"/>
      </rPr>
      <t>3X2.5mm2</t>
    </r>
  </si>
  <si>
    <r>
      <t>spilenZis  mSrali erTZarRva ormagizolaciani kabeli kveTiT</t>
    </r>
    <r>
      <rPr>
        <sz val="10"/>
        <rFont val="Cambria"/>
        <family val="1"/>
        <scheme val="major"/>
      </rPr>
      <t xml:space="preserve"> NYM-J </t>
    </r>
    <r>
      <rPr>
        <sz val="10"/>
        <rFont val="AcadNusx"/>
      </rPr>
      <t>3X4mm2</t>
    </r>
  </si>
  <si>
    <t>gofrirebuli mili d-16 cecxlgamZle</t>
  </si>
  <si>
    <r>
      <t xml:space="preserve">plastmasis sakabelo arxi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16mm. samagriT. susti denebisTvis</t>
    </r>
  </si>
  <si>
    <r>
      <t xml:space="preserve">sakabelo arxi </t>
    </r>
    <r>
      <rPr>
        <sz val="10"/>
        <rFont val="Arial"/>
        <family val="2"/>
        <charset val="204"/>
      </rPr>
      <t>16-16</t>
    </r>
    <r>
      <rPr>
        <sz val="10"/>
        <rFont val="AcadNusx"/>
      </rPr>
      <t>mm. samagriT.</t>
    </r>
  </si>
  <si>
    <r>
      <t xml:space="preserve">plastmasis sakabelo arxi </t>
    </r>
    <r>
      <rPr>
        <b/>
        <sz val="10"/>
        <rFont val="Arial"/>
        <family val="2"/>
        <charset val="204"/>
      </rPr>
      <t>16-</t>
    </r>
    <r>
      <rPr>
        <b/>
        <sz val="10"/>
        <rFont val="AcadNusx"/>
      </rPr>
      <t>25mm. samagriT.</t>
    </r>
  </si>
  <si>
    <r>
      <t xml:space="preserve">sakabelo arxi </t>
    </r>
    <r>
      <rPr>
        <sz val="10"/>
        <rFont val="Arial"/>
        <family val="2"/>
        <charset val="204"/>
      </rPr>
      <t>16-25</t>
    </r>
    <r>
      <rPr>
        <sz val="10"/>
        <rFont val="AcadNusx"/>
      </rPr>
      <t>mm. samagriT.</t>
    </r>
  </si>
  <si>
    <r>
      <t xml:space="preserve">plastmasis sakabelo arxi </t>
    </r>
    <r>
      <rPr>
        <b/>
        <sz val="10"/>
        <rFont val="Arial"/>
        <family val="2"/>
        <charset val="204"/>
      </rPr>
      <t>40-</t>
    </r>
    <r>
      <rPr>
        <b/>
        <sz val="10"/>
        <rFont val="AcadNusx"/>
      </rPr>
      <t>25mm. samagriT.</t>
    </r>
  </si>
  <si>
    <r>
      <t xml:space="preserve">sakabelo arxi </t>
    </r>
    <r>
      <rPr>
        <sz val="10"/>
        <rFont val="Arial"/>
        <family val="2"/>
        <charset val="204"/>
      </rPr>
      <t>40-25</t>
    </r>
    <r>
      <rPr>
        <sz val="10"/>
        <rFont val="AcadNusx"/>
      </rPr>
      <t>mm. samagriT.</t>
    </r>
  </si>
  <si>
    <t>eleqtro rozeti damiwebis kontaqtiT 250v.</t>
  </si>
  <si>
    <t xml:space="preserve">saxanZro/dacvis paneli. </t>
  </si>
  <si>
    <t>ელექტრო წყალgamacxelebeli 50l (Termeqsi)</t>
  </si>
  <si>
    <t>unitazi avziT, sruli kompleqtaciiT (Camketi ventiliT “arko”, drekadi SlangiT, samagri elementebiT  da sxva saWiro fitingebiT da masalebiT)</t>
  </si>
  <si>
    <t>liTonis SeRebva antikoroziuli 
saRebaviT 2-jer</t>
  </si>
  <si>
    <t>gamanawilebeli kolofi gare ganaTebis lampionebisTvis</t>
  </si>
  <si>
    <r>
      <t xml:space="preserve">gamanawilebeli kolofi gare montaJis </t>
    </r>
    <r>
      <rPr>
        <sz val="10"/>
        <rFont val="Cambria"/>
        <family val="1"/>
        <scheme val="major"/>
      </rPr>
      <t>IP 65-66</t>
    </r>
  </si>
  <si>
    <t>internetis miwisqveSa optikuri kabelis mowyoba</t>
  </si>
  <si>
    <t>GYTY-4B1 Multi Tube სტრუქტურის 4 წვერიან ოპტიკურ კაბელი. განკუთვნილი საკომუნიკაციო ჭაში და გოფრეში გატარებისთვის.</t>
  </si>
  <si>
    <t>IP67 არის კარადა</t>
  </si>
  <si>
    <t>liTonis WiSkris SeRebva antikoroziuli saRebaviT 2-jer</t>
  </si>
  <si>
    <r>
      <t>gegmiuri mogeba</t>
    </r>
    <r>
      <rPr>
        <sz val="10"/>
        <rFont val="Calibri"/>
        <family val="2"/>
        <charset val="204"/>
        <scheme val="minor"/>
      </rPr>
      <t xml:space="preserve"> </t>
    </r>
  </si>
  <si>
    <t>9-5-4.</t>
  </si>
  <si>
    <t>vertikaluri farda Jaluzis mowyoba -yavisferi feris</t>
  </si>
  <si>
    <t>vertikaluri farda-Jaluzi (kompleqtSi) -yavisferi feris</t>
  </si>
  <si>
    <t>8-418-3</t>
  </si>
  <si>
    <t>manaTobeli abra logoTi</t>
  </si>
  <si>
    <t>srf 12.1-60</t>
  </si>
  <si>
    <t>liTonis karebi aqsesuarebiT da montaJiT</t>
  </si>
  <si>
    <t>droebiTi Senoba-nagebobebi - 1.5%</t>
  </si>
  <si>
    <t>kompresori</t>
  </si>
  <si>
    <t>9-4-8</t>
  </si>
  <si>
    <t>15-164-8</t>
  </si>
  <si>
    <t>liTonis kari (saketiT)</t>
  </si>
  <si>
    <t>6_1_2</t>
  </si>
  <si>
    <t>11-01-047-01</t>
  </si>
  <si>
    <t>kotejis damiwebis mowyoba (damiwebis glinula)</t>
  </si>
  <si>
    <t>8-472-9</t>
  </si>
  <si>
    <t>kotejis damiwebis mowyoba (damiwebis zolovana)</t>
  </si>
  <si>
    <t>8-472-7</t>
  </si>
  <si>
    <t>8-409-3</t>
  </si>
  <si>
    <t>8-409-4</t>
  </si>
  <si>
    <t>srf 8.14-354</t>
  </si>
  <si>
    <t>10-743-3</t>
  </si>
  <si>
    <t>10-744-5</t>
  </si>
  <si>
    <t>srf 12.1-67</t>
  </si>
  <si>
    <t>obieqtis dasaxeleba: qalaq CoxataurSi, miwis nakveTze (sak.kodi 28.01.22.578) სსიპ ეროვნული სატყეო სააგენტოს საქმიანი ეზოს მოწყობa</t>
  </si>
  <si>
    <t>balastis fenis mowyoba saSualo sisqiT 30sm</t>
  </si>
  <si>
    <t>Robis betonis wertilovani saZirkvlebi 40X60X40 sm (188 cali)</t>
  </si>
  <si>
    <t>liTonis ganaTebis boZis Cabetoneba 40X80X40 sm (9 cali)</t>
  </si>
  <si>
    <t xml:space="preserve"> ასენიზაციის ორმოს მოწყობის samSeneblo samuSaoebi</t>
  </si>
  <si>
    <t>უკუბრუნი დროებით შენობა-ნაგებობებიდან 15%</t>
  </si>
  <si>
    <t>ამწე მუხლ. 25 ტ.</t>
  </si>
  <si>
    <t>9-4-4</t>
  </si>
  <si>
    <t>ელექტროდი</t>
  </si>
  <si>
    <t>9-8-1</t>
  </si>
  <si>
    <t>xis კიბის montaJi</t>
  </si>
  <si>
    <t>არსებულ ლითონის დგარებზე ღობის ბადის მოწყობა (kompleqti: ბადე damWeri aqsesuarebiT)</t>
  </si>
  <si>
    <r>
      <t xml:space="preserve">ლითონის ბადე 3,5(2,5)მმ - 40X40 უჯრედით, სამაგრებით, დაფარული </t>
    </r>
    <r>
      <rPr>
        <sz val="10"/>
        <rFont val="Calibri"/>
        <family val="2"/>
        <scheme val="minor"/>
      </rPr>
      <t>PVC მასალით;</t>
    </r>
  </si>
  <si>
    <t>ქრომირებული გვარგლი (ბაგირი) დ=5მმ</t>
  </si>
  <si>
    <t>10-39-2</t>
  </si>
  <si>
    <t>xis konstruqciebis damuSaveba antiseptikuri xsnariT</t>
  </si>
  <si>
    <r>
      <t>m</t>
    </r>
    <r>
      <rPr>
        <b/>
        <vertAlign val="superscript"/>
        <sz val="9"/>
        <rFont val="AcadNusx"/>
      </rPr>
      <t>2</t>
    </r>
  </si>
  <si>
    <t>man/sT</t>
  </si>
  <si>
    <t>sapensio fondis danamati danaxarji xelfasebidan</t>
  </si>
  <si>
    <r>
      <t xml:space="preserve">gare mosaxvis lamfa სისქით 22-32mm - ბლოკჰაუსი antiseptirebuli </t>
    </r>
    <r>
      <rPr>
        <sz val="10"/>
        <rFont val="Cambria"/>
        <family val="1"/>
        <scheme val="major"/>
      </rPr>
      <t>AB</t>
    </r>
  </si>
  <si>
    <t>antiseptikuri xsnari</t>
  </si>
  <si>
    <r>
      <t xml:space="preserve">laminirebuli parketi </t>
    </r>
    <r>
      <rPr>
        <sz val="10"/>
        <rFont val="Cambria"/>
        <family val="1"/>
        <scheme val="major"/>
      </rPr>
      <t>ac5 a33</t>
    </r>
    <r>
      <rPr>
        <sz val="10"/>
        <rFont val="AcadNusx"/>
      </rPr>
      <t xml:space="preserve"> klasi</t>
    </r>
  </si>
  <si>
    <r>
      <rPr>
        <b/>
        <sz val="10"/>
        <rFont val="Calibri"/>
        <family val="2"/>
        <charset val="204"/>
        <scheme val="minor"/>
      </rPr>
      <t>1</t>
    </r>
    <r>
      <rPr>
        <b/>
        <sz val="10"/>
        <rFont val="AcadNusx"/>
      </rPr>
      <t>. iatakis da kibis mowyoba</t>
    </r>
  </si>
  <si>
    <r>
      <rPr>
        <b/>
        <sz val="10"/>
        <rFont val="Calibri"/>
        <family val="2"/>
        <charset val="204"/>
        <scheme val="minor"/>
      </rPr>
      <t>2.</t>
    </r>
    <r>
      <rPr>
        <b/>
        <sz val="10"/>
        <rFont val="AcadNusx"/>
      </rPr>
      <t xml:space="preserve"> kedlebis mowyoba</t>
    </r>
  </si>
  <si>
    <r>
      <rPr>
        <b/>
        <sz val="10"/>
        <rFont val="Calibri"/>
        <family val="2"/>
        <charset val="204"/>
        <scheme val="minor"/>
      </rPr>
      <t>3.</t>
    </r>
    <r>
      <rPr>
        <b/>
        <sz val="10"/>
        <rFont val="AcadNusx"/>
      </rPr>
      <t xml:space="preserve"> Werisa da saxuravis mowyoba</t>
    </r>
  </si>
  <si>
    <r>
      <rPr>
        <b/>
        <sz val="10"/>
        <rFont val="Calibri"/>
        <family val="2"/>
        <charset val="204"/>
        <scheme val="minor"/>
      </rPr>
      <t>4</t>
    </r>
    <r>
      <rPr>
        <b/>
        <sz val="10"/>
        <rFont val="AcadNusx"/>
      </rPr>
      <t>. aqsesuarebis mowyoba</t>
    </r>
  </si>
  <si>
    <r>
      <t>spilenZis  mSrali erTZarRva ormagizolaciani kabeli kveTiT</t>
    </r>
    <r>
      <rPr>
        <sz val="10"/>
        <rFont val="Cambria"/>
        <family val="1"/>
        <scheme val="major"/>
      </rPr>
      <t xml:space="preserve"> NYM </t>
    </r>
    <r>
      <rPr>
        <sz val="10"/>
        <rFont val="AcadNusx"/>
      </rPr>
      <t>3X6mm2</t>
    </r>
  </si>
  <si>
    <t>Sekiduli Weris gare montaJis dioduri sanaTi simZlavre 12vt</t>
  </si>
  <si>
    <t>Sekiduli Weris gare montaJis led sanaTi wertilovani  12vt</t>
  </si>
  <si>
    <t>uJangavi ekal mavrTuli დ=3-4მმ</t>
  </si>
  <si>
    <r>
      <t xml:space="preserve">sakanalizacio Webis Tujis luki </t>
    </r>
    <r>
      <rPr>
        <b/>
        <sz val="9"/>
        <rFont val="Times New Roman"/>
        <family val="1"/>
      </rPr>
      <t>Ø</t>
    </r>
    <r>
      <rPr>
        <b/>
        <sz val="9"/>
        <rFont val="AcadNusx"/>
      </rPr>
      <t>700 anakrebi rkina/betonis filiT d=1500,</t>
    </r>
  </si>
  <si>
    <t>ხარჯთაღრიცხვა მომზადებულია 2021 წლის IV kvartlis fasebiT</t>
  </si>
  <si>
    <t>გარე საპირფარეშოს  მოწყობა</t>
  </si>
  <si>
    <t xml:space="preserve">1-78-3 </t>
  </si>
  <si>
    <t xml:space="preserve">III ჯგუფის გრუნტის დამუშავება ჭის მოსაწყობად ხელით </t>
  </si>
  <si>
    <t>მ3</t>
  </si>
  <si>
    <t>შრომის დანახარჯი 2.78*1.2*1.15</t>
  </si>
  <si>
    <t>ვზერ 1-76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</si>
  <si>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</si>
  <si>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</si>
  <si>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23-12-1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</si>
  <si>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</si>
  <si>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შრომის დანახარჯი (6.42+1.97)X1,2*1.15=</t>
  </si>
  <si>
    <t>მანქანები 0.385X1,2*1.25=</t>
  </si>
  <si>
    <t>სხვადასხვა მასალა</t>
  </si>
  <si>
    <r>
      <t xml:space="preserve">sakanalizacio Webis Tujis luki </t>
    </r>
    <r>
      <rPr>
        <sz val="9"/>
        <rFont val="Times New Roman"/>
        <family val="1"/>
      </rPr>
      <t>Ø</t>
    </r>
    <r>
      <rPr>
        <sz val="9"/>
        <rFont val="AcadNusx"/>
      </rPr>
      <t xml:space="preserve">700 anakrebi rkina/betonis filiT </t>
    </r>
    <r>
      <rPr>
        <b/>
        <sz val="9"/>
        <rFont val="AcadNusx"/>
      </rPr>
      <t>d=1500,</t>
    </r>
  </si>
  <si>
    <t>sapirfareSos monoliTuri rk/betonis  filis mowyoba kldovan gruntze h=0,1m</t>
  </si>
  <si>
    <t xml:space="preserve">sapirfareSos kabinis liTonis elementebis montaJi da Rirebuleba </t>
  </si>
  <si>
    <t>amwe saavtomobilo 16 t.</t>
  </si>
  <si>
    <t>milkvadrati 30X20X2 mm</t>
  </si>
  <si>
    <t>milkvadrati 100X100X3 mm</t>
  </si>
  <si>
    <t>Sveleri #10</t>
  </si>
  <si>
    <r>
      <rPr>
        <b/>
        <sz val="10"/>
        <rFont val="Calibri"/>
        <family val="2"/>
        <charset val="204"/>
        <scheme val="minor"/>
      </rPr>
      <t>1.</t>
    </r>
    <r>
      <rPr>
        <b/>
        <sz val="10"/>
        <rFont val="AcadNusx"/>
      </rPr>
      <t xml:space="preserve"> iatakis mowyoba</t>
    </r>
  </si>
  <si>
    <t xml:space="preserve">armirebuli badeze cementis moWimvis mowyoba sisqiT 50mm </t>
  </si>
  <si>
    <t>armirebuli bade d=3mm ujriT araumetes 70X70 mm</t>
  </si>
  <si>
    <r>
      <rPr>
        <b/>
        <sz val="10"/>
        <rFont val="Calibri"/>
        <family val="2"/>
        <charset val="204"/>
        <scheme val="minor"/>
      </rPr>
      <t>3.</t>
    </r>
    <r>
      <rPr>
        <b/>
        <sz val="10"/>
        <rFont val="AcadNusx"/>
      </rPr>
      <t xml:space="preserve"> kedlebis mowyoba</t>
    </r>
  </si>
  <si>
    <t xml:space="preserve">kedlebze ormagad sendviC-panelebis mowyoba </t>
  </si>
  <si>
    <t xml:space="preserve">kedlis sendviC paneli sisqiT 40 mm </t>
  </si>
  <si>
    <t xml:space="preserve">gadaxurvis mowyoba ormagad sendviC-panelebiT </t>
  </si>
  <si>
    <t>ამწე მუხლ. 63ტ.</t>
  </si>
  <si>
    <t>amwe saavtomobilo 5 t.</t>
  </si>
  <si>
    <t>amwe jojgina 50 t.</t>
  </si>
  <si>
    <t xml:space="preserve">saxuravis sendviC paneli sisqiT 40 mm </t>
  </si>
  <si>
    <t>metaloplastmasis karis montaJi</t>
  </si>
  <si>
    <t>srf 10.3-7</t>
  </si>
  <si>
    <t>metaloplastmasis kari</t>
  </si>
  <si>
    <t>metaloplastmasis fanjara -  (გაღება გადმოკიდების კომპლექტით)</t>
  </si>
  <si>
    <t>დაცვის ჯიხურის მოწყობა</t>
  </si>
  <si>
    <t xml:space="preserve"> safuZvelis fenis mowyoba balastis safariT sisqiT 20sm</t>
  </si>
  <si>
    <t>6-16-16</t>
  </si>
  <si>
    <t>monoliTuri rk/betonis  filis mowyoba kldovan gruntze h=0,15m</t>
  </si>
  <si>
    <t>13 პ.46</t>
  </si>
  <si>
    <t>ამწე საავტომობილო 16ტ</t>
  </si>
  <si>
    <t>liTonis furceli 3 mm</t>
  </si>
  <si>
    <t>11-27-3</t>
  </si>
  <si>
    <t>samSeneblo laminatis mowyoba iatakze</t>
  </si>
  <si>
    <r>
      <t>samSeneblo laminati</t>
    </r>
    <r>
      <rPr>
        <sz val="10"/>
        <rFont val="Cambria"/>
        <family val="1"/>
        <scheme val="major"/>
      </rPr>
      <t xml:space="preserve"> F/F</t>
    </r>
    <r>
      <rPr>
        <sz val="10"/>
        <rFont val="AcadNusx"/>
      </rPr>
      <t xml:space="preserve"> sisqiT  18 mm F</t>
    </r>
  </si>
  <si>
    <t>ლინოლიუმის iatakis mowyoba plintusiT</t>
  </si>
  <si>
    <t>mdf plintusi 7 sm</t>
  </si>
  <si>
    <t>ლინოლიუმი რეზინის საფუძველზე</t>
  </si>
  <si>
    <t>metaloplastmasis fanjara - (გაღება გადმოკიდების კომპლექტით)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</si>
</sst>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10"/>
      <name val="Helv"/>
    </font>
    <font>
      <sz val="8"/>
      <name val="AcadNusx"/>
    </font>
    <font>
      <b/>
      <sz val="8"/>
      <name val="Arial"/>
      <family val="2"/>
    </font>
    <font>
      <b/>
      <sz val="9"/>
      <name val="Arial"/>
      <family val="2"/>
    </font>
    <font>
      <sz val="7"/>
      <name val="AcadNusx"/>
    </font>
    <font>
      <sz val="11"/>
      <name val="Helv"/>
    </font>
    <font>
      <sz val="16"/>
      <name val="AcadNusx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mbria"/>
      <family val="2"/>
      <scheme val="major"/>
    </font>
    <font>
      <b/>
      <sz val="11"/>
      <name val="Calibri"/>
      <family val="2"/>
      <scheme val="minor"/>
    </font>
    <font>
      <sz val="12"/>
      <name val="Arachveulebrivi Thin"/>
      <family val="2"/>
    </font>
    <font>
      <b/>
      <sz val="12"/>
      <name val="Arachveulebrivi Thin"/>
      <family val="2"/>
    </font>
    <font>
      <b/>
      <sz val="11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b/>
      <sz val="10"/>
      <name val="Arachveulebrivi Thin"/>
      <family val="2"/>
    </font>
    <font>
      <b/>
      <sz val="10"/>
      <name val="Arial Cyr"/>
      <family val="2"/>
      <charset val="204"/>
    </font>
    <font>
      <sz val="10"/>
      <name val="Cambria"/>
      <family val="1"/>
      <scheme val="major"/>
    </font>
    <font>
      <sz val="12"/>
      <name val="AcadNusx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Arial"/>
      <family val="2"/>
      <charset val="204"/>
    </font>
    <font>
      <b/>
      <sz val="10"/>
      <name val="Cambria"/>
      <family val="1"/>
      <scheme val="major"/>
    </font>
    <font>
      <b/>
      <sz val="9"/>
      <name val="Calibri"/>
      <family val="2"/>
      <scheme val="minor"/>
    </font>
    <font>
      <b/>
      <vertAlign val="superscript"/>
      <sz val="9"/>
      <name val="AcadNusx"/>
    </font>
    <font>
      <sz val="10"/>
      <color rgb="FFFF0000"/>
      <name val="Arial Cyr"/>
      <family val="2"/>
      <charset val="204"/>
    </font>
    <font>
      <b/>
      <sz val="9"/>
      <name val="Times New Roman"/>
      <family val="1"/>
    </font>
    <font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Times New Roman"/>
      <family val="1"/>
    </font>
    <font>
      <i/>
      <sz val="9"/>
      <name val="Calibri"/>
      <family val="2"/>
      <charset val="204"/>
      <scheme val="minor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7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168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714">
    <xf numFmtId="0" fontId="0" fillId="0" borderId="0" xfId="0"/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quotePrefix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5" fillId="0" borderId="6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66" fontId="8" fillId="0" borderId="6" xfId="8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quotePrefix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top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12" fillId="0" borderId="6" xfId="8" applyFont="1" applyFill="1" applyBorder="1" applyAlignment="1">
      <alignment horizontal="center" vertical="center" wrapText="1"/>
    </xf>
    <xf numFmtId="0" fontId="15" fillId="0" borderId="6" xfId="8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2" fontId="12" fillId="0" borderId="6" xfId="8" applyNumberFormat="1" applyFont="1" applyFill="1" applyBorder="1" applyAlignment="1">
      <alignment horizontal="center" vertical="center" wrapText="1"/>
    </xf>
    <xf numFmtId="0" fontId="15" fillId="0" borderId="6" xfId="10" applyFont="1" applyFill="1" applyBorder="1" applyAlignment="1">
      <alignment horizontal="center" vertical="center" wrapText="1"/>
    </xf>
    <xf numFmtId="164" fontId="12" fillId="0" borderId="6" xfId="10" applyNumberFormat="1" applyFont="1" applyFill="1" applyBorder="1" applyAlignment="1">
      <alignment horizontal="center" vertical="center" wrapText="1"/>
    </xf>
    <xf numFmtId="2" fontId="12" fillId="0" borderId="6" xfId="10" applyNumberFormat="1" applyFont="1" applyFill="1" applyBorder="1" applyAlignment="1">
      <alignment horizontal="center" vertical="center" wrapText="1"/>
    </xf>
    <xf numFmtId="0" fontId="15" fillId="0" borderId="6" xfId="10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/>
    </xf>
    <xf numFmtId="164" fontId="12" fillId="0" borderId="6" xfId="10" applyNumberFormat="1" applyFont="1" applyFill="1" applyBorder="1" applyAlignment="1">
      <alignment horizontal="center" vertical="center"/>
    </xf>
    <xf numFmtId="167" fontId="12" fillId="0" borderId="6" xfId="10" applyNumberFormat="1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2" fontId="12" fillId="0" borderId="6" xfId="2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15" fillId="0" borderId="6" xfId="0" applyFont="1" applyFill="1" applyBorder="1" applyAlignment="1">
      <alignment horizontal="center"/>
    </xf>
    <xf numFmtId="0" fontId="15" fillId="0" borderId="0" xfId="0" applyFont="1" applyFill="1"/>
    <xf numFmtId="0" fontId="15" fillId="0" borderId="6" xfId="0" applyFont="1" applyFill="1" applyBorder="1" applyAlignment="1"/>
    <xf numFmtId="2" fontId="15" fillId="0" borderId="6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2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8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/>
    <xf numFmtId="0" fontId="3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6" xfId="0" quotePrefix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4" fillId="0" borderId="0" xfId="0" applyFont="1" applyFill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4" fillId="0" borderId="6" xfId="0" quotePrefix="1" applyFont="1" applyFill="1" applyBorder="1" applyAlignment="1">
      <alignment horizontal="center" vertical="center" wrapText="1"/>
    </xf>
    <xf numFmtId="0" fontId="32" fillId="0" borderId="6" xfId="0" quotePrefix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6" fillId="0" borderId="0" xfId="8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15" fillId="0" borderId="0" xfId="1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/>
    </xf>
    <xf numFmtId="0" fontId="34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top" wrapText="1"/>
    </xf>
    <xf numFmtId="0" fontId="15" fillId="0" borderId="0" xfId="10" applyFont="1" applyFill="1" applyAlignment="1">
      <alignment horizontal="center" vertical="center"/>
    </xf>
    <xf numFmtId="0" fontId="15" fillId="0" borderId="0" xfId="12" applyFont="1" applyFill="1" applyBorder="1" applyAlignment="1">
      <alignment horizontal="center" vertical="center"/>
    </xf>
    <xf numFmtId="0" fontId="15" fillId="0" borderId="0" xfId="12" applyFont="1" applyFill="1" applyAlignment="1">
      <alignment horizontal="center" vertical="center"/>
    </xf>
    <xf numFmtId="0" fontId="15" fillId="0" borderId="0" xfId="13" applyFont="1" applyFill="1" applyAlignment="1">
      <alignment vertical="center"/>
    </xf>
    <xf numFmtId="0" fontId="15" fillId="0" borderId="0" xfId="13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8" fillId="0" borderId="0" xfId="14" quotePrefix="1" applyFont="1" applyFill="1" applyBorder="1" applyAlignment="1">
      <alignment horizontal="left" wrapText="1"/>
    </xf>
    <xf numFmtId="0" fontId="8" fillId="0" borderId="0" xfId="14" applyFont="1" applyFill="1" applyBorder="1" applyAlignment="1">
      <alignment horizontal="left" wrapText="1"/>
    </xf>
    <xf numFmtId="0" fontId="24" fillId="0" borderId="0" xfId="14" applyFont="1" applyFill="1" applyAlignment="1">
      <alignment wrapText="1"/>
    </xf>
    <xf numFmtId="0" fontId="32" fillId="0" borderId="6" xfId="14" quotePrefix="1" applyFont="1" applyFill="1" applyBorder="1" applyAlignment="1">
      <alignment horizontal="center" wrapText="1"/>
    </xf>
    <xf numFmtId="0" fontId="8" fillId="0" borderId="6" xfId="14" applyFont="1" applyFill="1" applyBorder="1" applyAlignment="1">
      <alignment horizontal="left" vertical="center" wrapText="1"/>
    </xf>
    <xf numFmtId="2" fontId="8" fillId="0" borderId="6" xfId="14" applyNumberFormat="1" applyFont="1" applyFill="1" applyBorder="1" applyAlignment="1">
      <alignment horizontal="center" vertical="center" wrapText="1"/>
    </xf>
    <xf numFmtId="2" fontId="24" fillId="0" borderId="0" xfId="14" applyNumberFormat="1" applyFont="1" applyFill="1" applyAlignment="1">
      <alignment wrapText="1"/>
    </xf>
    <xf numFmtId="1" fontId="8" fillId="0" borderId="6" xfId="14" applyNumberFormat="1" applyFont="1" applyFill="1" applyBorder="1" applyAlignment="1">
      <alignment horizontal="center" vertical="center" wrapText="1"/>
    </xf>
    <xf numFmtId="0" fontId="8" fillId="0" borderId="0" xfId="14" applyFont="1" applyFill="1" applyBorder="1" applyAlignment="1">
      <alignment wrapText="1"/>
    </xf>
    <xf numFmtId="0" fontId="8" fillId="0" borderId="0" xfId="14" applyFont="1" applyFill="1" applyBorder="1" applyAlignment="1">
      <alignment vertical="center" wrapText="1"/>
    </xf>
    <xf numFmtId="2" fontId="5" fillId="0" borderId="6" xfId="14" applyNumberFormat="1" applyFont="1" applyFill="1" applyBorder="1" applyAlignment="1">
      <alignment horizontal="center" vertical="center" wrapText="1"/>
    </xf>
    <xf numFmtId="0" fontId="8" fillId="0" borderId="6" xfId="14" applyFont="1" applyFill="1" applyBorder="1" applyAlignment="1">
      <alignment horizontal="center" vertical="top" wrapText="1"/>
    </xf>
    <xf numFmtId="2" fontId="8" fillId="0" borderId="6" xfId="14" applyNumberFormat="1" applyFont="1" applyFill="1" applyBorder="1" applyAlignment="1">
      <alignment horizontal="center" vertical="top" wrapText="1"/>
    </xf>
    <xf numFmtId="0" fontId="8" fillId="0" borderId="6" xfId="14" quotePrefix="1" applyFont="1" applyFill="1" applyBorder="1" applyAlignment="1">
      <alignment horizontal="center" vertical="top" wrapText="1"/>
    </xf>
    <xf numFmtId="0" fontId="8" fillId="0" borderId="2" xfId="14" applyFont="1" applyFill="1" applyBorder="1" applyAlignment="1">
      <alignment horizontal="left" vertical="center" wrapText="1"/>
    </xf>
    <xf numFmtId="1" fontId="8" fillId="0" borderId="6" xfId="14" applyNumberFormat="1" applyFont="1" applyFill="1" applyBorder="1" applyAlignment="1">
      <alignment horizontal="center" vertical="top" wrapText="1"/>
    </xf>
    <xf numFmtId="165" fontId="8" fillId="0" borderId="6" xfId="14" applyNumberFormat="1" applyFont="1" applyFill="1" applyBorder="1" applyAlignment="1">
      <alignment horizontal="center" vertical="top" wrapText="1"/>
    </xf>
    <xf numFmtId="0" fontId="11" fillId="0" borderId="0" xfId="14" applyFont="1" applyFill="1" applyAlignment="1">
      <alignment horizontal="center"/>
    </xf>
    <xf numFmtId="0" fontId="31" fillId="0" borderId="0" xfId="14" applyFont="1" applyFill="1"/>
    <xf numFmtId="0" fontId="8" fillId="0" borderId="6" xfId="14" applyFont="1" applyFill="1" applyBorder="1" applyAlignment="1">
      <alignment vertical="top" wrapText="1"/>
    </xf>
    <xf numFmtId="0" fontId="17" fillId="0" borderId="0" xfId="14" applyFont="1" applyFill="1"/>
    <xf numFmtId="2" fontId="5" fillId="0" borderId="6" xfId="14" applyNumberFormat="1" applyFont="1" applyFill="1" applyBorder="1" applyAlignment="1">
      <alignment horizontal="center" vertical="top" wrapText="1"/>
    </xf>
    <xf numFmtId="0" fontId="5" fillId="0" borderId="6" xfId="14" applyFont="1" applyFill="1" applyBorder="1" applyAlignment="1">
      <alignment horizontal="center" vertical="top" wrapText="1"/>
    </xf>
    <xf numFmtId="0" fontId="8" fillId="0" borderId="6" xfId="14" applyFont="1" applyFill="1" applyBorder="1" applyAlignment="1">
      <alignment horizontal="left" vertical="top" wrapText="1"/>
    </xf>
    <xf numFmtId="0" fontId="11" fillId="0" borderId="6" xfId="14" applyNumberFormat="1" applyFont="1" applyFill="1" applyBorder="1" applyAlignment="1">
      <alignment horizontal="center" vertical="top" wrapText="1"/>
    </xf>
    <xf numFmtId="1" fontId="11" fillId="0" borderId="0" xfId="14" applyNumberFormat="1" applyFont="1" applyFill="1" applyBorder="1" applyAlignment="1">
      <alignment horizontal="center"/>
    </xf>
    <xf numFmtId="0" fontId="24" fillId="0" borderId="0" xfId="14" applyFont="1" applyFill="1" applyBorder="1"/>
    <xf numFmtId="0" fontId="8" fillId="0" borderId="6" xfId="14" applyNumberFormat="1" applyFont="1" applyFill="1" applyBorder="1" applyAlignment="1">
      <alignment horizontal="center" vertical="center" wrapText="1"/>
    </xf>
    <xf numFmtId="0" fontId="8" fillId="0" borderId="0" xfId="14" applyFont="1" applyFill="1" applyAlignment="1">
      <alignment horizontal="center"/>
    </xf>
    <xf numFmtId="0" fontId="8" fillId="0" borderId="0" xfId="14" applyFont="1" applyFill="1"/>
    <xf numFmtId="0" fontId="24" fillId="0" borderId="0" xfId="14" applyFont="1" applyFill="1"/>
    <xf numFmtId="0" fontId="40" fillId="0" borderId="0" xfId="0" applyFont="1" applyFill="1" applyAlignment="1">
      <alignment vertical="center"/>
    </xf>
    <xf numFmtId="0" fontId="40" fillId="0" borderId="0" xfId="0" applyFont="1" applyFill="1"/>
    <xf numFmtId="0" fontId="5" fillId="0" borderId="6" xfId="14" applyNumberFormat="1" applyFont="1" applyFill="1" applyBorder="1" applyAlignment="1">
      <alignment horizontal="center" vertical="top" wrapText="1"/>
    </xf>
    <xf numFmtId="0" fontId="5" fillId="0" borderId="6" xfId="14" applyFont="1" applyFill="1" applyBorder="1" applyAlignment="1">
      <alignment horizontal="center" vertical="center" wrapText="1"/>
    </xf>
    <xf numFmtId="0" fontId="5" fillId="0" borderId="6" xfId="14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/>
    </xf>
    <xf numFmtId="0" fontId="15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5" fillId="0" borderId="10" xfId="0" applyFont="1" applyFill="1" applyBorder="1"/>
    <xf numFmtId="165" fontId="46" fillId="0" borderId="6" xfId="0" applyNumberFormat="1" applyFont="1" applyFill="1" applyBorder="1" applyAlignment="1">
      <alignment horizontal="center" vertical="center" wrapText="1"/>
    </xf>
    <xf numFmtId="2" fontId="47" fillId="0" borderId="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7" fillId="0" borderId="6" xfId="0" applyFont="1" applyFill="1" applyBorder="1" applyAlignment="1">
      <alignment horizontal="center" vertical="top" wrapText="1"/>
    </xf>
    <xf numFmtId="0" fontId="47" fillId="0" borderId="6" xfId="0" applyFont="1" applyFill="1" applyBorder="1" applyAlignment="1">
      <alignment horizontal="center" vertical="center" wrapText="1"/>
    </xf>
    <xf numFmtId="49" fontId="46" fillId="0" borderId="6" xfId="0" applyNumberFormat="1" applyFont="1" applyFill="1" applyBorder="1" applyAlignment="1">
      <alignment horizontal="center" vertical="top" wrapText="1"/>
    </xf>
    <xf numFmtId="0" fontId="47" fillId="0" borderId="6" xfId="0" applyFont="1" applyFill="1" applyBorder="1" applyAlignment="1">
      <alignment vertical="top" wrapText="1"/>
    </xf>
    <xf numFmtId="167" fontId="47" fillId="0" borderId="6" xfId="0" applyNumberFormat="1" applyFont="1" applyFill="1" applyBorder="1" applyAlignment="1">
      <alignment horizontal="center" vertical="center" wrapText="1"/>
    </xf>
    <xf numFmtId="0" fontId="46" fillId="0" borderId="6" xfId="0" quotePrefix="1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/>
    </xf>
    <xf numFmtId="14" fontId="46" fillId="0" borderId="6" xfId="0" quotePrefix="1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wrapText="1"/>
    </xf>
    <xf numFmtId="0" fontId="5" fillId="0" borderId="6" xfId="16" applyFont="1" applyFill="1" applyBorder="1" applyAlignment="1">
      <alignment horizontal="center" vertical="center"/>
    </xf>
    <xf numFmtId="0" fontId="5" fillId="0" borderId="6" xfId="16" applyFont="1" applyFill="1" applyBorder="1" applyAlignment="1">
      <alignment horizontal="left" vertical="center" wrapText="1"/>
    </xf>
    <xf numFmtId="164" fontId="5" fillId="0" borderId="6" xfId="16" applyNumberFormat="1" applyFont="1" applyFill="1" applyBorder="1" applyAlignment="1">
      <alignment horizontal="center" vertical="center"/>
    </xf>
    <xf numFmtId="164" fontId="29" fillId="0" borderId="6" xfId="16" applyNumberFormat="1" applyFont="1" applyFill="1" applyBorder="1" applyAlignment="1">
      <alignment horizontal="center" vertical="center"/>
    </xf>
    <xf numFmtId="2" fontId="11" fillId="0" borderId="6" xfId="16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8" fillId="0" borderId="6" xfId="16" applyFont="1" applyFill="1" applyBorder="1" applyAlignment="1">
      <alignment horizontal="center" vertical="center"/>
    </xf>
    <xf numFmtId="0" fontId="8" fillId="0" borderId="6" xfId="16" applyFont="1" applyFill="1" applyBorder="1" applyAlignment="1">
      <alignment horizontal="left" vertical="center"/>
    </xf>
    <xf numFmtId="2" fontId="8" fillId="0" borderId="6" xfId="16" applyNumberFormat="1" applyFont="1" applyFill="1" applyBorder="1" applyAlignment="1">
      <alignment horizontal="center" vertical="center"/>
    </xf>
    <xf numFmtId="164" fontId="11" fillId="0" borderId="6" xfId="16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5" fillId="0" borderId="6" xfId="0" applyFont="1" applyFill="1" applyBorder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2" fontId="12" fillId="0" borderId="0" xfId="0" applyNumberFormat="1" applyFont="1" applyFill="1"/>
    <xf numFmtId="0" fontId="42" fillId="0" borderId="0" xfId="0" applyFont="1" applyFill="1"/>
    <xf numFmtId="2" fontId="15" fillId="0" borderId="0" xfId="0" applyNumberFormat="1" applyFont="1" applyFill="1"/>
    <xf numFmtId="164" fontId="15" fillId="0" borderId="6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 vertical="center" wrapText="1"/>
    </xf>
    <xf numFmtId="49" fontId="8" fillId="0" borderId="6" xfId="5" applyNumberFormat="1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166" fontId="11" fillId="0" borderId="6" xfId="5" applyNumberFormat="1" applyFont="1" applyFill="1" applyBorder="1" applyAlignment="1">
      <alignment horizontal="center" vertical="center" wrapText="1"/>
    </xf>
    <xf numFmtId="166" fontId="29" fillId="0" borderId="6" xfId="5" applyNumberFormat="1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vertical="center"/>
    </xf>
    <xf numFmtId="0" fontId="8" fillId="0" borderId="6" xfId="5" applyFont="1" applyFill="1" applyBorder="1" applyAlignment="1">
      <alignment vertical="center" wrapText="1"/>
    </xf>
    <xf numFmtId="169" fontId="11" fillId="0" borderId="6" xfId="5" applyNumberFormat="1" applyFont="1" applyFill="1" applyBorder="1" applyAlignment="1">
      <alignment horizontal="center" vertical="center" wrapText="1"/>
    </xf>
    <xf numFmtId="171" fontId="11" fillId="0" borderId="6" xfId="5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0" borderId="0" xfId="0" applyFont="1" applyFill="1"/>
    <xf numFmtId="0" fontId="29" fillId="0" borderId="6" xfId="5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170" fontId="5" fillId="0" borderId="6" xfId="20" applyNumberFormat="1" applyFont="1" applyFill="1" applyBorder="1" applyAlignment="1">
      <alignment horizontal="left" vertical="center" wrapText="1"/>
    </xf>
    <xf numFmtId="0" fontId="5" fillId="0" borderId="6" xfId="5" applyFont="1" applyFill="1" applyBorder="1" applyAlignment="1">
      <alignment horizontal="center" vertical="center" wrapText="1"/>
    </xf>
    <xf numFmtId="4" fontId="50" fillId="0" borderId="6" xfId="0" applyNumberFormat="1" applyFont="1" applyFill="1" applyBorder="1" applyAlignment="1">
      <alignment horizontal="center" vertical="center" wrapText="1"/>
    </xf>
    <xf numFmtId="0" fontId="34" fillId="0" borderId="0" xfId="5" applyFont="1" applyFill="1" applyBorder="1" applyAlignment="1">
      <alignment vertical="center"/>
    </xf>
    <xf numFmtId="0" fontId="50" fillId="0" borderId="6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" fontId="49" fillId="0" borderId="6" xfId="0" applyNumberFormat="1" applyFont="1" applyFill="1" applyBorder="1" applyAlignment="1">
      <alignment horizontal="center"/>
    </xf>
    <xf numFmtId="169" fontId="49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/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top"/>
    </xf>
    <xf numFmtId="0" fontId="24" fillId="0" borderId="0" xfId="0" applyFont="1" applyFill="1" applyAlignment="1">
      <alignment vertical="center"/>
    </xf>
    <xf numFmtId="0" fontId="31" fillId="0" borderId="0" xfId="0" applyFont="1" applyFill="1" applyAlignment="1">
      <alignment vertical="top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2" xfId="14" applyFont="1" applyFill="1" applyBorder="1" applyAlignment="1">
      <alignment horizontal="left" vertical="center" wrapText="1"/>
    </xf>
    <xf numFmtId="0" fontId="45" fillId="0" borderId="0" xfId="14" applyFont="1" applyFill="1" applyAlignment="1">
      <alignment vertical="center" wrapText="1"/>
    </xf>
    <xf numFmtId="0" fontId="5" fillId="0" borderId="6" xfId="14" applyFont="1" applyFill="1" applyBorder="1" applyAlignment="1">
      <alignment horizontal="left" vertical="top" wrapText="1"/>
    </xf>
    <xf numFmtId="164" fontId="5" fillId="0" borderId="0" xfId="14" applyNumberFormat="1" applyFont="1" applyFill="1" applyAlignment="1">
      <alignment horizontal="left"/>
    </xf>
    <xf numFmtId="0" fontId="5" fillId="0" borderId="0" xfId="14" applyFont="1" applyFill="1"/>
    <xf numFmtId="0" fontId="29" fillId="0" borderId="0" xfId="14" applyFont="1" applyFill="1" applyAlignment="1">
      <alignment horizontal="center"/>
    </xf>
    <xf numFmtId="0" fontId="30" fillId="0" borderId="0" xfId="14" applyFont="1" applyFill="1"/>
    <xf numFmtId="0" fontId="32" fillId="0" borderId="6" xfId="14" quotePrefix="1" applyFont="1" applyFill="1" applyBorder="1" applyAlignment="1">
      <alignment horizontal="center" vertical="top" wrapText="1"/>
    </xf>
    <xf numFmtId="0" fontId="5" fillId="0" borderId="6" xfId="14" applyFont="1" applyFill="1" applyBorder="1" applyAlignment="1">
      <alignment vertical="top" wrapText="1"/>
    </xf>
    <xf numFmtId="1" fontId="17" fillId="0" borderId="0" xfId="14" applyNumberFormat="1" applyFont="1" applyFill="1"/>
    <xf numFmtId="0" fontId="12" fillId="0" borderId="6" xfId="1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2" fontId="10" fillId="0" borderId="6" xfId="0" applyNumberFormat="1" applyFont="1" applyFill="1" applyBorder="1" applyAlignment="1">
      <alignment horizontal="center" vertical="center" wrapText="1"/>
    </xf>
    <xf numFmtId="49" fontId="5" fillId="0" borderId="6" xfId="16" applyNumberFormat="1" applyFont="1" applyFill="1" applyBorder="1" applyAlignment="1">
      <alignment horizontal="center" vertical="center"/>
    </xf>
    <xf numFmtId="167" fontId="8" fillId="0" borderId="6" xfId="16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8" fillId="0" borderId="6" xfId="16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6" xfId="14" quotePrefix="1" applyFont="1" applyFill="1" applyBorder="1" applyAlignment="1">
      <alignment horizontal="center" vertical="top" wrapText="1"/>
    </xf>
    <xf numFmtId="167" fontId="15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49" fontId="12" fillId="0" borderId="6" xfId="6" applyNumberFormat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13" fillId="0" borderId="6" xfId="6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left" vertical="center" wrapText="1"/>
    </xf>
    <xf numFmtId="0" fontId="8" fillId="0" borderId="6" xfId="6" applyFont="1" applyFill="1" applyBorder="1" applyAlignment="1">
      <alignment horizontal="center" vertical="center" wrapText="1"/>
    </xf>
    <xf numFmtId="165" fontId="10" fillId="0" borderId="6" xfId="6" applyNumberFormat="1" applyFont="1" applyFill="1" applyBorder="1" applyAlignment="1">
      <alignment horizontal="center" vertical="center" wrapText="1"/>
    </xf>
    <xf numFmtId="2" fontId="10" fillId="0" borderId="6" xfId="6" applyNumberFormat="1" applyFont="1" applyFill="1" applyBorder="1" applyAlignment="1">
      <alignment horizontal="center" vertical="center" wrapText="1"/>
    </xf>
    <xf numFmtId="164" fontId="10" fillId="0" borderId="6" xfId="6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6" fillId="0" borderId="0" xfId="1" applyFont="1" applyFill="1" applyBorder="1"/>
    <xf numFmtId="0" fontId="53" fillId="0" borderId="0" xfId="2" applyFont="1" applyFill="1" applyAlignment="1">
      <alignment horizontal="center" vertical="center" wrapText="1"/>
    </xf>
    <xf numFmtId="0" fontId="53" fillId="0" borderId="0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4" fillId="0" borderId="0" xfId="2" applyFont="1" applyFill="1" applyAlignment="1">
      <alignment vertical="center" wrapText="1"/>
    </xf>
    <xf numFmtId="2" fontId="16" fillId="0" borderId="0" xfId="3" applyNumberFormat="1" applyFont="1" applyFill="1" applyAlignment="1">
      <alignment horizontal="center" vertical="center" wrapText="1"/>
    </xf>
    <xf numFmtId="2" fontId="16" fillId="0" borderId="0" xfId="4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45" fillId="0" borderId="0" xfId="14" applyFont="1" applyFill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31" fillId="0" borderId="0" xfId="14" applyFont="1" applyFill="1" applyAlignment="1">
      <alignment horizontal="center"/>
    </xf>
    <xf numFmtId="0" fontId="5" fillId="0" borderId="0" xfId="14" applyFont="1" applyFill="1" applyAlignment="1">
      <alignment horizontal="center"/>
    </xf>
    <xf numFmtId="0" fontId="30" fillId="0" borderId="0" xfId="14" applyFont="1" applyFill="1" applyAlignment="1">
      <alignment horizontal="center"/>
    </xf>
    <xf numFmtId="0" fontId="24" fillId="0" borderId="0" xfId="14" applyFont="1" applyFill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4" fontId="54" fillId="0" borderId="6" xfId="0" applyNumberFormat="1" applyFont="1" applyFill="1" applyBorder="1" applyAlignment="1">
      <alignment horizontal="right" vertical="center" wrapText="1"/>
    </xf>
    <xf numFmtId="4" fontId="54" fillId="0" borderId="6" xfId="0" applyNumberFormat="1" applyFont="1" applyFill="1" applyBorder="1" applyAlignment="1">
      <alignment horizontal="center" vertical="center" wrapText="1"/>
    </xf>
    <xf numFmtId="2" fontId="54" fillId="0" borderId="6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center" vertical="center" wrapText="1"/>
    </xf>
    <xf numFmtId="4" fontId="54" fillId="0" borderId="0" xfId="0" applyNumberFormat="1" applyFont="1" applyFill="1" applyAlignment="1">
      <alignment horizontal="right" vertical="center" wrapText="1"/>
    </xf>
    <xf numFmtId="4" fontId="54" fillId="0" borderId="0" xfId="0" applyNumberFormat="1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2" fontId="55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center" vertical="center" wrapText="1"/>
    </xf>
    <xf numFmtId="2" fontId="56" fillId="0" borderId="6" xfId="6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2" fillId="0" borderId="6" xfId="14" applyFont="1" applyFill="1" applyBorder="1" applyAlignment="1">
      <alignment horizontal="left" vertical="center" wrapText="1"/>
    </xf>
    <xf numFmtId="165" fontId="8" fillId="0" borderId="6" xfId="14" applyNumberFormat="1" applyFont="1" applyFill="1" applyBorder="1" applyAlignment="1">
      <alignment horizontal="center" vertical="center" wrapText="1"/>
    </xf>
    <xf numFmtId="0" fontId="11" fillId="0" borderId="0" xfId="14" applyFont="1" applyFill="1" applyAlignment="1">
      <alignment horizontal="center" vertical="center"/>
    </xf>
    <xf numFmtId="0" fontId="31" fillId="0" borderId="0" xfId="14" applyFont="1" applyFill="1" applyAlignment="1">
      <alignment horizontal="center" vertical="center"/>
    </xf>
    <xf numFmtId="0" fontId="31" fillId="0" borderId="0" xfId="14" applyFont="1" applyFill="1" applyAlignment="1">
      <alignment vertical="center"/>
    </xf>
    <xf numFmtId="0" fontId="57" fillId="0" borderId="6" xfId="0" applyFont="1" applyFill="1" applyBorder="1" applyAlignment="1">
      <alignment horizontal="left" vertical="top" wrapText="1"/>
    </xf>
    <xf numFmtId="0" fontId="52" fillId="0" borderId="6" xfId="0" applyFont="1" applyFill="1" applyBorder="1" applyAlignment="1">
      <alignment horizontal="left" vertical="center" wrapText="1"/>
    </xf>
    <xf numFmtId="2" fontId="16" fillId="0" borderId="0" xfId="1" applyNumberFormat="1" applyFont="1" applyFill="1" applyAlignment="1">
      <alignment horizontal="center"/>
    </xf>
    <xf numFmtId="2" fontId="53" fillId="0" borderId="0" xfId="2" applyNumberFormat="1" applyFont="1" applyFill="1" applyAlignment="1">
      <alignment horizontal="center" vertical="center" wrapText="1"/>
    </xf>
    <xf numFmtId="4" fontId="54" fillId="0" borderId="0" xfId="0" applyNumberFormat="1" applyFont="1" applyFill="1" applyAlignment="1">
      <alignment horizontal="center" vertical="center"/>
    </xf>
    <xf numFmtId="2" fontId="54" fillId="0" borderId="0" xfId="0" applyNumberFormat="1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4" fontId="42" fillId="0" borderId="0" xfId="0" applyNumberFormat="1" applyFont="1" applyFill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right" vertical="center" wrapText="1"/>
    </xf>
    <xf numFmtId="2" fontId="58" fillId="0" borderId="6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54" fillId="0" borderId="5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0" fontId="54" fillId="0" borderId="4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2" fontId="54" fillId="0" borderId="0" xfId="0" applyNumberFormat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8" fillId="0" borderId="6" xfId="16" quotePrefix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top" wrapText="1"/>
    </xf>
    <xf numFmtId="0" fontId="34" fillId="0" borderId="0" xfId="5" applyFont="1" applyFill="1" applyBorder="1" applyAlignment="1">
      <alignment horizontal="center" vertical="center"/>
    </xf>
    <xf numFmtId="166" fontId="31" fillId="0" borderId="0" xfId="5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2" fontId="48" fillId="0" borderId="6" xfId="0" applyNumberFormat="1" applyFont="1" applyFill="1" applyBorder="1" applyAlignment="1">
      <alignment horizontal="center" vertical="top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164" fontId="12" fillId="0" borderId="6" xfId="2" applyNumberFormat="1" applyFont="1" applyFill="1" applyBorder="1" applyAlignment="1">
      <alignment horizontal="center" vertical="center" wrapText="1"/>
    </xf>
    <xf numFmtId="165" fontId="12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165" fontId="12" fillId="0" borderId="15" xfId="2" applyNumberFormat="1" applyFont="1" applyFill="1" applyBorder="1" applyAlignment="1">
      <alignment horizontal="center" vertical="center"/>
    </xf>
    <xf numFmtId="1" fontId="12" fillId="0" borderId="15" xfId="2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right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2" fontId="48" fillId="0" borderId="6" xfId="0" applyNumberFormat="1" applyFont="1" applyFill="1" applyBorder="1" applyAlignment="1">
      <alignment horizontal="center" vertical="center" wrapText="1"/>
    </xf>
    <xf numFmtId="2" fontId="62" fillId="0" borderId="6" xfId="0" applyNumberFormat="1" applyFont="1" applyFill="1" applyBorder="1" applyAlignment="1">
      <alignment horizontal="center" vertical="center" wrapText="1"/>
    </xf>
    <xf numFmtId="2" fontId="58" fillId="0" borderId="6" xfId="0" applyNumberFormat="1" applyFont="1" applyFill="1" applyBorder="1" applyAlignment="1">
      <alignment horizontal="center"/>
    </xf>
    <xf numFmtId="2" fontId="48" fillId="0" borderId="6" xfId="0" applyNumberFormat="1" applyFont="1" applyFill="1" applyBorder="1" applyAlignment="1">
      <alignment horizontal="center"/>
    </xf>
    <xf numFmtId="2" fontId="54" fillId="0" borderId="6" xfId="16" applyNumberFormat="1" applyFont="1" applyFill="1" applyBorder="1" applyAlignment="1">
      <alignment horizontal="center" vertical="center"/>
    </xf>
    <xf numFmtId="2" fontId="54" fillId="0" borderId="6" xfId="3" applyNumberFormat="1" applyFont="1" applyFill="1" applyBorder="1" applyAlignment="1">
      <alignment horizontal="center" vertical="center"/>
    </xf>
    <xf numFmtId="2" fontId="48" fillId="0" borderId="6" xfId="0" applyNumberFormat="1" applyFont="1" applyFill="1" applyBorder="1" applyAlignment="1">
      <alignment horizontal="center" vertical="center"/>
    </xf>
    <xf numFmtId="2" fontId="58" fillId="0" borderId="6" xfId="8" applyNumberFormat="1" applyFont="1" applyFill="1" applyBorder="1" applyAlignment="1">
      <alignment horizontal="center" vertical="center" wrapText="1"/>
    </xf>
    <xf numFmtId="2" fontId="58" fillId="0" borderId="6" xfId="10" applyNumberFormat="1" applyFont="1" applyFill="1" applyBorder="1" applyAlignment="1">
      <alignment horizontal="center" vertical="center" wrapText="1"/>
    </xf>
    <xf numFmtId="4" fontId="55" fillId="0" borderId="6" xfId="0" applyNumberFormat="1" applyFont="1" applyFill="1" applyBorder="1" applyAlignment="1">
      <alignment horizontal="center" vertical="top" wrapText="1"/>
    </xf>
    <xf numFmtId="2" fontId="55" fillId="0" borderId="6" xfId="0" applyNumberFormat="1" applyFont="1" applyFill="1" applyBorder="1" applyAlignment="1">
      <alignment vertical="top" wrapText="1"/>
    </xf>
    <xf numFmtId="2" fontId="55" fillId="0" borderId="6" xfId="0" applyNumberFormat="1" applyFont="1" applyFill="1" applyBorder="1" applyAlignment="1">
      <alignment horizontal="center" vertical="top" wrapText="1"/>
    </xf>
    <xf numFmtId="165" fontId="58" fillId="0" borderId="15" xfId="2" applyNumberFormat="1" applyFont="1" applyFill="1" applyBorder="1" applyAlignment="1">
      <alignment horizontal="center" vertical="center"/>
    </xf>
    <xf numFmtId="1" fontId="58" fillId="0" borderId="15" xfId="2" applyNumberFormat="1" applyFont="1" applyFill="1" applyBorder="1" applyAlignment="1">
      <alignment horizontal="center" vertical="center"/>
    </xf>
    <xf numFmtId="0" fontId="58" fillId="0" borderId="15" xfId="2" applyFont="1" applyFill="1" applyBorder="1" applyAlignment="1">
      <alignment horizontal="center" vertical="center"/>
    </xf>
    <xf numFmtId="4" fontId="58" fillId="0" borderId="16" xfId="0" applyNumberFormat="1" applyFont="1" applyFill="1" applyBorder="1" applyAlignment="1">
      <alignment horizontal="right" vertical="center" wrapText="1"/>
    </xf>
    <xf numFmtId="2" fontId="48" fillId="0" borderId="2" xfId="0" applyNumberFormat="1" applyFont="1" applyFill="1" applyBorder="1"/>
    <xf numFmtId="2" fontId="48" fillId="0" borderId="11" xfId="0" applyNumberFormat="1" applyFont="1" applyFill="1" applyBorder="1"/>
    <xf numFmtId="2" fontId="55" fillId="0" borderId="6" xfId="5" applyNumberFormat="1" applyFont="1" applyFill="1" applyBorder="1" applyAlignment="1">
      <alignment horizontal="center" vertical="center" wrapText="1"/>
    </xf>
    <xf numFmtId="2" fontId="63" fillId="0" borderId="6" xfId="5" applyNumberFormat="1" applyFont="1" applyFill="1" applyBorder="1" applyAlignment="1">
      <alignment horizontal="center" vertical="center" wrapText="1"/>
    </xf>
    <xf numFmtId="2" fontId="55" fillId="0" borderId="6" xfId="5" applyNumberFormat="1" applyFont="1" applyFill="1" applyBorder="1" applyAlignment="1">
      <alignment horizontal="center" vertical="center"/>
    </xf>
    <xf numFmtId="2" fontId="54" fillId="0" borderId="6" xfId="5" applyNumberFormat="1" applyFont="1" applyFill="1" applyBorder="1" applyAlignment="1">
      <alignment horizontal="center" vertical="center" wrapText="1"/>
    </xf>
    <xf numFmtId="2" fontId="54" fillId="0" borderId="6" xfId="5" applyNumberFormat="1" applyFont="1" applyFill="1" applyBorder="1" applyAlignment="1">
      <alignment horizontal="center" vertical="center"/>
    </xf>
    <xf numFmtId="2" fontId="55" fillId="0" borderId="6" xfId="19" applyNumberFormat="1" applyFont="1" applyFill="1" applyBorder="1" applyAlignment="1">
      <alignment horizontal="center" vertical="center" wrapText="1"/>
    </xf>
    <xf numFmtId="2" fontId="55" fillId="0" borderId="6" xfId="0" applyNumberFormat="1" applyFont="1" applyFill="1" applyBorder="1" applyAlignment="1">
      <alignment horizontal="center"/>
    </xf>
    <xf numFmtId="2" fontId="54" fillId="0" borderId="6" xfId="0" applyNumberFormat="1" applyFont="1" applyFill="1" applyBorder="1" applyAlignment="1">
      <alignment horizontal="center"/>
    </xf>
    <xf numFmtId="2" fontId="54" fillId="0" borderId="6" xfId="19" applyNumberFormat="1" applyFont="1" applyFill="1" applyBorder="1" applyAlignment="1">
      <alignment horizontal="center"/>
    </xf>
    <xf numFmtId="2" fontId="48" fillId="0" borderId="6" xfId="0" applyNumberFormat="1" applyFont="1" applyFill="1" applyBorder="1"/>
    <xf numFmtId="0" fontId="15" fillId="0" borderId="6" xfId="2" applyFont="1" applyFill="1" applyBorder="1" applyAlignment="1">
      <alignment horizontal="center" vertical="center" wrapText="1"/>
    </xf>
    <xf numFmtId="164" fontId="15" fillId="0" borderId="6" xfId="2" applyNumberFormat="1" applyFont="1" applyFill="1" applyBorder="1" applyAlignment="1">
      <alignment horizontal="center" vertical="center" wrapText="1"/>
    </xf>
    <xf numFmtId="165" fontId="48" fillId="0" borderId="6" xfId="2" applyNumberFormat="1" applyFont="1" applyFill="1" applyBorder="1" applyAlignment="1">
      <alignment horizontal="center" vertical="center" wrapText="1"/>
    </xf>
    <xf numFmtId="2" fontId="48" fillId="0" borderId="6" xfId="2" applyNumberFormat="1" applyFont="1" applyFill="1" applyBorder="1" applyAlignment="1">
      <alignment horizontal="center" vertical="center" wrapText="1"/>
    </xf>
    <xf numFmtId="1" fontId="48" fillId="0" borderId="6" xfId="2" applyNumberFormat="1" applyFont="1" applyFill="1" applyBorder="1" applyAlignment="1">
      <alignment horizontal="center" vertical="center" wrapText="1"/>
    </xf>
    <xf numFmtId="4" fontId="48" fillId="0" borderId="13" xfId="0" applyNumberFormat="1" applyFont="1" applyFill="1" applyBorder="1" applyAlignment="1">
      <alignment horizontal="right" vertical="center" wrapText="1"/>
    </xf>
    <xf numFmtId="0" fontId="8" fillId="0" borderId="0" xfId="14" applyFont="1" applyFill="1" applyBorder="1" applyAlignment="1">
      <alignment horizontal="left" vertical="center" wrapText="1"/>
    </xf>
    <xf numFmtId="0" fontId="8" fillId="0" borderId="6" xfId="14" applyFont="1" applyFill="1" applyBorder="1" applyAlignment="1">
      <alignment horizontal="center" vertical="center" wrapText="1"/>
    </xf>
    <xf numFmtId="0" fontId="8" fillId="0" borderId="6" xfId="14" quotePrefix="1" applyFont="1" applyFill="1" applyBorder="1" applyAlignment="1">
      <alignment horizontal="center" vertical="center" wrapText="1"/>
    </xf>
    <xf numFmtId="0" fontId="8" fillId="0" borderId="6" xfId="14" applyFont="1" applyFill="1" applyBorder="1" applyAlignment="1">
      <alignment horizontal="center" wrapText="1"/>
    </xf>
    <xf numFmtId="2" fontId="16" fillId="0" borderId="0" xfId="1" applyNumberFormat="1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46" fillId="0" borderId="6" xfId="0" applyFont="1" applyFill="1" applyBorder="1" applyAlignment="1">
      <alignment horizontal="left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46" fillId="0" borderId="6" xfId="0" applyFont="1" applyFill="1" applyBorder="1" applyAlignment="1">
      <alignment vertical="top" wrapText="1"/>
    </xf>
    <xf numFmtId="0" fontId="47" fillId="0" borderId="6" xfId="0" applyFont="1" applyFill="1" applyBorder="1" applyAlignment="1">
      <alignment horizontal="left" vertical="top" wrapText="1"/>
    </xf>
    <xf numFmtId="167" fontId="47" fillId="0" borderId="6" xfId="0" applyNumberFormat="1" applyFont="1" applyFill="1" applyBorder="1" applyAlignment="1">
      <alignment horizontal="center" vertical="top" wrapText="1"/>
    </xf>
    <xf numFmtId="2" fontId="47" fillId="0" borderId="6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40" fillId="0" borderId="0" xfId="0" applyFont="1" applyFill="1" applyBorder="1"/>
    <xf numFmtId="0" fontId="46" fillId="0" borderId="6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left"/>
    </xf>
    <xf numFmtId="0" fontId="47" fillId="0" borderId="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9" fontId="46" fillId="0" borderId="6" xfId="0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vertical="center" wrapText="1"/>
    </xf>
    <xf numFmtId="164" fontId="46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46" fillId="0" borderId="6" xfId="0" quotePrefix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vertical="center" wrapText="1"/>
    </xf>
    <xf numFmtId="2" fontId="65" fillId="0" borderId="6" xfId="0" applyNumberFormat="1" applyFont="1" applyFill="1" applyBorder="1" applyAlignment="1">
      <alignment horizontal="center" vertical="center" wrapText="1"/>
    </xf>
    <xf numFmtId="166" fontId="66" fillId="0" borderId="6" xfId="5" applyNumberFormat="1" applyFont="1" applyFill="1" applyBorder="1" applyAlignment="1">
      <alignment horizontal="center" vertical="center" wrapText="1"/>
    </xf>
    <xf numFmtId="166" fontId="29" fillId="0" borderId="6" xfId="5" applyNumberFormat="1" applyFont="1" applyFill="1" applyBorder="1" applyAlignment="1">
      <alignment horizontal="center" vertical="center"/>
    </xf>
    <xf numFmtId="166" fontId="11" fillId="0" borderId="6" xfId="5" applyNumberFormat="1" applyFont="1" applyFill="1" applyBorder="1" applyAlignment="1">
      <alignment horizontal="center" vertical="center"/>
    </xf>
    <xf numFmtId="4" fontId="50" fillId="0" borderId="6" xfId="19" applyNumberFormat="1" applyFont="1" applyFill="1" applyBorder="1" applyAlignment="1">
      <alignment horizontal="center" vertical="center" wrapText="1"/>
    </xf>
    <xf numFmtId="4" fontId="50" fillId="0" borderId="6" xfId="0" applyNumberFormat="1" applyFont="1" applyFill="1" applyBorder="1" applyAlignment="1">
      <alignment horizontal="center"/>
    </xf>
    <xf numFmtId="4" fontId="49" fillId="0" borderId="6" xfId="19" applyNumberFormat="1" applyFont="1" applyFill="1" applyBorder="1" applyAlignment="1">
      <alignment horizontal="center"/>
    </xf>
    <xf numFmtId="0" fontId="15" fillId="0" borderId="6" xfId="9" applyFont="1" applyFill="1" applyBorder="1" applyAlignment="1">
      <alignment horizontal="center" vertical="center" wrapText="1"/>
    </xf>
    <xf numFmtId="167" fontId="8" fillId="0" borderId="6" xfId="0" applyNumberFormat="1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8" fillId="0" borderId="6" xfId="9" applyFont="1" applyFill="1" applyBorder="1" applyAlignment="1">
      <alignment horizontal="center" vertical="center" wrapText="1"/>
    </xf>
    <xf numFmtId="166" fontId="8" fillId="0" borderId="6" xfId="9" applyNumberFormat="1" applyFont="1" applyFill="1" applyBorder="1" applyAlignment="1">
      <alignment horizontal="center" vertical="center"/>
    </xf>
    <xf numFmtId="4" fontId="8" fillId="0" borderId="6" xfId="9" applyNumberFormat="1" applyFont="1" applyFill="1" applyBorder="1" applyAlignment="1">
      <alignment horizontal="center" vertical="center" wrapText="1"/>
    </xf>
    <xf numFmtId="2" fontId="8" fillId="0" borderId="6" xfId="9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2" fontId="29" fillId="0" borderId="6" xfId="3" applyNumberFormat="1" applyFont="1" applyFill="1" applyBorder="1" applyAlignment="1">
      <alignment horizontal="center" vertical="center"/>
    </xf>
    <xf numFmtId="2" fontId="29" fillId="0" borderId="6" xfId="16" applyNumberFormat="1" applyFont="1" applyFill="1" applyBorder="1" applyAlignment="1">
      <alignment horizontal="center" vertical="center"/>
    </xf>
    <xf numFmtId="2" fontId="11" fillId="0" borderId="6" xfId="3" applyNumberFormat="1" applyFont="1" applyFill="1" applyBorder="1" applyAlignment="1">
      <alignment horizontal="center" vertical="center"/>
    </xf>
    <xf numFmtId="164" fontId="8" fillId="0" borderId="6" xfId="16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5" fillId="0" borderId="6" xfId="0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7" fillId="0" borderId="6" xfId="6" applyNumberFormat="1" applyFont="1" applyFill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6" xfId="2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8" fillId="0" borderId="6" xfId="14" applyFont="1" applyFill="1" applyBorder="1" applyAlignment="1">
      <alignment vertical="center" wrapText="1"/>
    </xf>
    <xf numFmtId="0" fontId="2" fillId="0" borderId="0" xfId="0" applyFont="1" applyFill="1"/>
    <xf numFmtId="0" fontId="5" fillId="0" borderId="6" xfId="14" applyFont="1" applyFill="1" applyBorder="1" applyAlignment="1">
      <alignment vertical="center" wrapText="1"/>
    </xf>
    <xf numFmtId="0" fontId="8" fillId="0" borderId="6" xfId="21" applyFont="1" applyFill="1" applyBorder="1" applyAlignment="1">
      <alignment horizontal="center" vertical="center" wrapText="1"/>
    </xf>
    <xf numFmtId="0" fontId="5" fillId="0" borderId="6" xfId="21" applyNumberFormat="1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/>
    </xf>
    <xf numFmtId="0" fontId="8" fillId="0" borderId="6" xfId="2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4" fillId="0" borderId="0" xfId="0" applyFont="1" applyFill="1" applyBorder="1"/>
    <xf numFmtId="0" fontId="24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0" fontId="34" fillId="0" borderId="0" xfId="0" applyFont="1" applyFill="1" applyBorder="1"/>
    <xf numFmtId="0" fontId="34" fillId="0" borderId="0" xfId="0" applyFont="1" applyFill="1"/>
    <xf numFmtId="0" fontId="8" fillId="0" borderId="6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quotePrefix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 vertical="top" wrapText="1"/>
    </xf>
    <xf numFmtId="164" fontId="49" fillId="0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9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48" fillId="0" borderId="6" xfId="0" applyFont="1" applyFill="1" applyBorder="1" applyAlignment="1">
      <alignment horizontal="center" vertical="top" wrapText="1"/>
    </xf>
    <xf numFmtId="0" fontId="48" fillId="0" borderId="6" xfId="0" applyNumberFormat="1" applyFont="1" applyFill="1" applyBorder="1" applyAlignment="1">
      <alignment horizontal="center" vertical="top" wrapText="1"/>
    </xf>
    <xf numFmtId="2" fontId="48" fillId="0" borderId="13" xfId="0" applyNumberFormat="1" applyFont="1" applyFill="1" applyBorder="1" applyAlignment="1">
      <alignment horizontal="center" vertical="top" wrapText="1"/>
    </xf>
    <xf numFmtId="0" fontId="60" fillId="0" borderId="0" xfId="0" applyFont="1" applyFill="1"/>
    <xf numFmtId="0" fontId="15" fillId="0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center" vertical="top" wrapText="1"/>
    </xf>
    <xf numFmtId="2" fontId="15" fillId="0" borderId="6" xfId="0" applyNumberFormat="1" applyFont="1" applyFill="1" applyBorder="1" applyAlignment="1">
      <alignment horizontal="center" vertical="top" wrapText="1"/>
    </xf>
    <xf numFmtId="165" fontId="13" fillId="0" borderId="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18" fillId="0" borderId="6" xfId="6" applyNumberFormat="1" applyFont="1" applyFill="1" applyBorder="1" applyAlignment="1">
      <alignment horizontal="center" vertical="center" wrapText="1"/>
    </xf>
    <xf numFmtId="2" fontId="49" fillId="0" borderId="6" xfId="6" applyNumberFormat="1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  <xf numFmtId="16" fontId="18" fillId="0" borderId="6" xfId="7" applyNumberFormat="1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left" vertical="center" wrapText="1"/>
    </xf>
    <xf numFmtId="0" fontId="9" fillId="0" borderId="6" xfId="7" applyFont="1" applyFill="1" applyBorder="1" applyAlignment="1">
      <alignment horizontal="center" vertical="center"/>
    </xf>
    <xf numFmtId="2" fontId="19" fillId="0" borderId="6" xfId="7" applyNumberFormat="1" applyFont="1" applyFill="1" applyBorder="1" applyAlignment="1">
      <alignment horizontal="center" vertical="center" wrapText="1"/>
    </xf>
    <xf numFmtId="2" fontId="20" fillId="0" borderId="6" xfId="7" applyNumberFormat="1" applyFont="1" applyFill="1" applyBorder="1" applyAlignment="1">
      <alignment horizontal="center" vertical="center" wrapText="1"/>
    </xf>
    <xf numFmtId="0" fontId="17" fillId="0" borderId="0" xfId="7" applyFont="1" applyFill="1" applyAlignment="1">
      <alignment vertical="center"/>
    </xf>
    <xf numFmtId="0" fontId="17" fillId="0" borderId="0" xfId="7" applyFont="1" applyFill="1" applyBorder="1" applyAlignment="1">
      <alignment vertical="center"/>
    </xf>
    <xf numFmtId="2" fontId="21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7" fontId="10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9" fillId="0" borderId="7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left" vertical="center" wrapText="1"/>
    </xf>
    <xf numFmtId="0" fontId="5" fillId="0" borderId="7" xfId="7" applyFont="1" applyFill="1" applyBorder="1" applyAlignment="1">
      <alignment horizontal="center" vertical="center"/>
    </xf>
    <xf numFmtId="2" fontId="20" fillId="0" borderId="7" xfId="7" applyNumberFormat="1" applyFont="1" applyFill="1" applyBorder="1" applyAlignment="1">
      <alignment horizontal="center" vertical="center" wrapText="1"/>
    </xf>
    <xf numFmtId="0" fontId="23" fillId="0" borderId="0" xfId="7" applyFont="1" applyFill="1" applyAlignment="1">
      <alignment vertical="center"/>
    </xf>
    <xf numFmtId="0" fontId="23" fillId="0" borderId="0" xfId="7" applyFont="1" applyFill="1" applyBorder="1" applyAlignment="1">
      <alignment vertical="center"/>
    </xf>
    <xf numFmtId="0" fontId="12" fillId="0" borderId="6" xfId="7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32" fillId="0" borderId="6" xfId="0" quotePrefix="1" applyFont="1" applyFill="1" applyBorder="1" applyAlignment="1">
      <alignment horizontal="center" vertical="top" wrapText="1"/>
    </xf>
    <xf numFmtId="16" fontId="32" fillId="0" borderId="6" xfId="0" applyNumberFormat="1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15" fillId="0" borderId="6" xfId="0" quotePrefix="1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left" vertical="center" wrapText="1"/>
    </xf>
    <xf numFmtId="165" fontId="37" fillId="0" borderId="6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left" wrapText="1"/>
    </xf>
    <xf numFmtId="0" fontId="39" fillId="0" borderId="6" xfId="0" applyFont="1" applyFill="1" applyBorder="1" applyAlignment="1">
      <alignment horizontal="center"/>
    </xf>
    <xf numFmtId="2" fontId="39" fillId="0" borderId="6" xfId="0" applyNumberFormat="1" applyFont="1" applyFill="1" applyBorder="1" applyAlignment="1">
      <alignment horizontal="center" wrapText="1"/>
    </xf>
    <xf numFmtId="0" fontId="38" fillId="0" borderId="6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left" vertical="top" wrapText="1"/>
    </xf>
    <xf numFmtId="0" fontId="39" fillId="0" borderId="6" xfId="0" applyFont="1" applyFill="1" applyBorder="1" applyAlignment="1">
      <alignment horizontal="center" vertical="top" wrapText="1"/>
    </xf>
    <xf numFmtId="2" fontId="39" fillId="0" borderId="6" xfId="0" applyNumberFormat="1" applyFont="1" applyFill="1" applyBorder="1" applyAlignment="1">
      <alignment horizontal="center" vertical="top" wrapText="1"/>
    </xf>
    <xf numFmtId="165" fontId="39" fillId="0" borderId="6" xfId="0" applyNumberFormat="1" applyFont="1" applyFill="1" applyBorder="1" applyAlignment="1">
      <alignment horizontal="center" vertical="top" wrapText="1"/>
    </xf>
    <xf numFmtId="0" fontId="16" fillId="0" borderId="6" xfId="15" applyFont="1" applyFill="1" applyBorder="1" applyAlignment="1">
      <alignment horizontal="left" vertical="center" wrapText="1"/>
    </xf>
    <xf numFmtId="0" fontId="16" fillId="0" borderId="6" xfId="15" applyFont="1" applyFill="1" applyBorder="1" applyAlignment="1">
      <alignment horizontal="center" vertical="center" wrapText="1"/>
    </xf>
    <xf numFmtId="2" fontId="16" fillId="0" borderId="6" xfId="15" applyNumberFormat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49" fontId="4" fillId="0" borderId="6" xfId="0" quotePrefix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8" fillId="0" borderId="0" xfId="14" applyFont="1" applyFill="1" applyBorder="1" applyAlignment="1">
      <alignment horizontal="left" vertical="center" wrapText="1"/>
    </xf>
    <xf numFmtId="0" fontId="5" fillId="0" borderId="0" xfId="14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left" wrapText="1"/>
    </xf>
    <xf numFmtId="0" fontId="8" fillId="0" borderId="6" xfId="14" applyFont="1" applyFill="1" applyBorder="1" applyAlignment="1">
      <alignment horizontal="center" vertical="center" wrapText="1"/>
    </xf>
    <xf numFmtId="0" fontId="24" fillId="0" borderId="6" xfId="14" applyFont="1" applyFill="1" applyBorder="1" applyAlignment="1">
      <alignment wrapText="1"/>
    </xf>
    <xf numFmtId="0" fontId="8" fillId="0" borderId="6" xfId="14" quotePrefix="1" applyFont="1" applyFill="1" applyBorder="1" applyAlignment="1">
      <alignment horizontal="center" vertical="center" wrapText="1"/>
    </xf>
    <xf numFmtId="0" fontId="8" fillId="0" borderId="6" xfId="14" applyFont="1" applyFill="1" applyBorder="1" applyAlignment="1">
      <alignment horizontal="center" wrapText="1"/>
    </xf>
    <xf numFmtId="0" fontId="8" fillId="0" borderId="2" xfId="14" applyFont="1" applyFill="1" applyBorder="1" applyAlignment="1">
      <alignment horizontal="center" vertical="center" wrapText="1"/>
    </xf>
    <xf numFmtId="0" fontId="24" fillId="0" borderId="5" xfId="14" applyFont="1" applyFill="1" applyBorder="1" applyAlignment="1">
      <alignment wrapText="1"/>
    </xf>
    <xf numFmtId="2" fontId="8" fillId="0" borderId="3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2" fontId="16" fillId="0" borderId="0" xfId="1" applyNumberFormat="1" applyFont="1" applyFill="1" applyAlignment="1">
      <alignment horizontal="center" vertical="center" wrapText="1"/>
    </xf>
    <xf numFmtId="0" fontId="14" fillId="0" borderId="0" xfId="2" applyFont="1" applyFill="1" applyAlignment="1">
      <alignment horizontal="left" vertical="center" wrapText="1"/>
    </xf>
    <xf numFmtId="2" fontId="16" fillId="0" borderId="0" xfId="1" applyNumberFormat="1" applyFont="1" applyFill="1" applyAlignment="1">
      <alignment horizontal="right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left"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49" fontId="46" fillId="0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48" fillId="2" borderId="6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top" wrapText="1"/>
    </xf>
    <xf numFmtId="2" fontId="54" fillId="2" borderId="6" xfId="0" applyNumberFormat="1" applyFont="1" applyFill="1" applyBorder="1" applyAlignment="1">
      <alignment horizontal="center" wrapText="1"/>
    </xf>
    <xf numFmtId="2" fontId="54" fillId="0" borderId="6" xfId="0" applyNumberFormat="1" applyFont="1" applyFill="1" applyBorder="1" applyAlignment="1">
      <alignment horizontal="center" wrapText="1"/>
    </xf>
    <xf numFmtId="2" fontId="54" fillId="0" borderId="6" xfId="0" applyNumberFormat="1" applyFont="1" applyFill="1" applyBorder="1"/>
    <xf numFmtId="2" fontId="40" fillId="0" borderId="6" xfId="0" applyNumberFormat="1" applyFont="1" applyFill="1" applyBorder="1" applyAlignment="1">
      <alignment horizontal="center" vertical="top" wrapText="1"/>
    </xf>
    <xf numFmtId="2" fontId="54" fillId="0" borderId="6" xfId="0" applyNumberFormat="1" applyFont="1" applyFill="1" applyBorder="1" applyAlignment="1">
      <alignment horizontal="center" vertical="top" wrapText="1"/>
    </xf>
    <xf numFmtId="2" fontId="54" fillId="2" borderId="6" xfId="0" applyNumberFormat="1" applyFont="1" applyFill="1" applyBorder="1" applyAlignment="1">
      <alignment horizontal="center" vertical="top" wrapText="1"/>
    </xf>
    <xf numFmtId="2" fontId="58" fillId="0" borderId="6" xfId="0" applyNumberFormat="1" applyFont="1" applyFill="1" applyBorder="1" applyAlignment="1">
      <alignment horizontal="right" vertical="center" wrapText="1"/>
    </xf>
    <xf numFmtId="2" fontId="48" fillId="2" borderId="6" xfId="0" applyNumberFormat="1" applyFont="1" applyFill="1" applyBorder="1" applyAlignment="1">
      <alignment horizontal="center" vertical="center" wrapText="1"/>
    </xf>
    <xf numFmtId="0" fontId="55" fillId="0" borderId="6" xfId="0" applyNumberFormat="1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0" borderId="6" xfId="0" applyNumberFormat="1" applyFont="1" applyFill="1" applyBorder="1" applyAlignment="1">
      <alignment horizontal="center" vertical="center" wrapText="1"/>
    </xf>
    <xf numFmtId="2" fontId="54" fillId="2" borderId="6" xfId="0" applyNumberFormat="1" applyFont="1" applyFill="1" applyBorder="1" applyAlignment="1">
      <alignment horizontal="center" vertical="center" wrapText="1"/>
    </xf>
    <xf numFmtId="4" fontId="55" fillId="0" borderId="6" xfId="0" applyNumberFormat="1" applyFont="1" applyFill="1" applyBorder="1" applyAlignment="1">
      <alignment horizontal="center" vertical="center" wrapText="1"/>
    </xf>
    <xf numFmtId="4" fontId="54" fillId="2" borderId="6" xfId="0" applyNumberFormat="1" applyFont="1" applyFill="1" applyBorder="1" applyAlignment="1">
      <alignment horizontal="center" vertical="center" wrapText="1"/>
    </xf>
    <xf numFmtId="4" fontId="54" fillId="0" borderId="6" xfId="9" applyNumberFormat="1" applyFont="1" applyFill="1" applyBorder="1" applyAlignment="1">
      <alignment horizontal="center" vertical="center" wrapText="1"/>
    </xf>
    <xf numFmtId="4" fontId="54" fillId="2" borderId="6" xfId="9" applyNumberFormat="1" applyFont="1" applyFill="1" applyBorder="1" applyAlignment="1">
      <alignment horizontal="center" vertical="center" wrapText="1"/>
    </xf>
    <xf numFmtId="2" fontId="54" fillId="0" borderId="6" xfId="9" applyNumberFormat="1" applyFont="1" applyFill="1" applyBorder="1" applyAlignment="1">
      <alignment horizontal="center" vertical="center" wrapText="1"/>
    </xf>
    <xf numFmtId="0" fontId="54" fillId="0" borderId="6" xfId="0" applyFont="1" applyFill="1" applyBorder="1"/>
    <xf numFmtId="2" fontId="48" fillId="0" borderId="6" xfId="0" applyNumberFormat="1" applyFont="1" applyFill="1" applyBorder="1" applyAlignment="1">
      <alignment horizontal="right" vertical="center" wrapText="1"/>
    </xf>
    <xf numFmtId="2" fontId="48" fillId="0" borderId="6" xfId="7" applyNumberFormat="1" applyFont="1" applyFill="1" applyBorder="1" applyAlignment="1">
      <alignment horizontal="center" vertical="center" wrapText="1"/>
    </xf>
    <xf numFmtId="2" fontId="58" fillId="0" borderId="6" xfId="7" applyNumberFormat="1" applyFont="1" applyFill="1" applyBorder="1" applyAlignment="1">
      <alignment vertical="center" wrapText="1"/>
    </xf>
    <xf numFmtId="2" fontId="48" fillId="0" borderId="6" xfId="0" applyNumberFormat="1" applyFont="1" applyFill="1" applyBorder="1" applyAlignment="1">
      <alignment vertical="center" wrapText="1"/>
    </xf>
    <xf numFmtId="2" fontId="48" fillId="0" borderId="7" xfId="7" applyNumberFormat="1" applyFont="1" applyFill="1" applyBorder="1" applyAlignment="1">
      <alignment horizontal="center" vertical="center" wrapText="1"/>
    </xf>
    <xf numFmtId="2" fontId="58" fillId="0" borderId="7" xfId="7" applyNumberFormat="1" applyFont="1" applyFill="1" applyBorder="1" applyAlignment="1">
      <alignment vertical="center" wrapText="1"/>
    </xf>
    <xf numFmtId="2" fontId="48" fillId="2" borderId="0" xfId="0" applyNumberFormat="1" applyFont="1" applyFill="1" applyBorder="1" applyAlignment="1">
      <alignment horizontal="center"/>
    </xf>
    <xf numFmtId="2" fontId="48" fillId="0" borderId="9" xfId="0" applyNumberFormat="1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 vertical="top" wrapText="1"/>
    </xf>
    <xf numFmtId="0" fontId="54" fillId="0" borderId="6" xfId="0" applyNumberFormat="1" applyFont="1" applyFill="1" applyBorder="1" applyAlignment="1">
      <alignment horizontal="center" vertical="top" wrapText="1"/>
    </xf>
    <xf numFmtId="0" fontId="54" fillId="2" borderId="6" xfId="0" applyNumberFormat="1" applyFont="1" applyFill="1" applyBorder="1" applyAlignment="1">
      <alignment horizontal="center" vertical="top" wrapText="1"/>
    </xf>
    <xf numFmtId="4" fontId="54" fillId="0" borderId="6" xfId="0" applyNumberFormat="1" applyFont="1" applyFill="1" applyBorder="1" applyAlignment="1">
      <alignment horizontal="center" vertical="top" wrapText="1"/>
    </xf>
    <xf numFmtId="2" fontId="40" fillId="0" borderId="6" xfId="2" applyNumberFormat="1" applyFont="1" applyFill="1" applyBorder="1" applyAlignment="1">
      <alignment horizontal="center" vertical="center" wrapText="1"/>
    </xf>
    <xf numFmtId="2" fontId="40" fillId="2" borderId="6" xfId="2" applyNumberFormat="1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top" wrapText="1"/>
    </xf>
    <xf numFmtId="0" fontId="55" fillId="0" borderId="6" xfId="0" applyNumberFormat="1" applyFont="1" applyFill="1" applyBorder="1" applyAlignment="1">
      <alignment horizontal="center" vertical="top" wrapText="1"/>
    </xf>
    <xf numFmtId="0" fontId="54" fillId="2" borderId="6" xfId="0" applyFont="1" applyFill="1" applyBorder="1" applyAlignment="1">
      <alignment horizontal="center" vertical="top" wrapText="1"/>
    </xf>
    <xf numFmtId="9" fontId="7" fillId="2" borderId="6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/>
    </xf>
    <xf numFmtId="2" fontId="48" fillId="2" borderId="6" xfId="0" applyNumberFormat="1" applyFont="1" applyFill="1" applyBorder="1" applyAlignment="1">
      <alignment horizontal="center"/>
    </xf>
    <xf numFmtId="165" fontId="48" fillId="0" borderId="6" xfId="0" applyNumberFormat="1" applyFont="1" applyFill="1" applyBorder="1" applyAlignment="1">
      <alignment horizontal="center" vertical="top" wrapText="1"/>
    </xf>
    <xf numFmtId="165" fontId="48" fillId="0" borderId="6" xfId="0" applyNumberFormat="1" applyFont="1" applyFill="1" applyBorder="1" applyAlignment="1">
      <alignment horizontal="center" vertical="center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48" fillId="0" borderId="6" xfId="0" applyFont="1" applyFill="1" applyBorder="1"/>
    <xf numFmtId="0" fontId="48" fillId="0" borderId="6" xfId="0" applyFont="1" applyFill="1" applyBorder="1" applyAlignment="1">
      <alignment vertical="center"/>
    </xf>
    <xf numFmtId="0" fontId="62" fillId="0" borderId="6" xfId="0" applyFont="1" applyFill="1" applyBorder="1" applyAlignment="1">
      <alignment horizontal="center" vertical="center" wrapText="1"/>
    </xf>
    <xf numFmtId="4" fontId="58" fillId="0" borderId="6" xfId="0" applyNumberFormat="1" applyFont="1" applyFill="1" applyBorder="1" applyAlignment="1">
      <alignment horizontal="center" vertical="top" wrapText="1"/>
    </xf>
    <xf numFmtId="2" fontId="58" fillId="0" borderId="6" xfId="0" applyNumberFormat="1" applyFont="1" applyFill="1" applyBorder="1" applyAlignment="1">
      <alignment horizontal="center" vertical="top" wrapText="1"/>
    </xf>
    <xf numFmtId="4" fontId="48" fillId="0" borderId="6" xfId="0" applyNumberFormat="1" applyFont="1" applyFill="1" applyBorder="1" applyAlignment="1">
      <alignment horizontal="center" vertical="top" wrapText="1"/>
    </xf>
    <xf numFmtId="4" fontId="58" fillId="0" borderId="6" xfId="0" applyNumberFormat="1" applyFont="1" applyFill="1" applyBorder="1" applyAlignment="1">
      <alignment horizontal="center" vertical="center" wrapText="1"/>
    </xf>
    <xf numFmtId="9" fontId="12" fillId="2" borderId="6" xfId="11" applyFont="1" applyFill="1" applyBorder="1" applyAlignment="1">
      <alignment horizontal="center" vertical="center" wrapText="1"/>
    </xf>
    <xf numFmtId="2" fontId="27" fillId="2" borderId="6" xfId="0" applyNumberFormat="1" applyFont="1" applyFill="1" applyBorder="1" applyAlignment="1">
      <alignment horizontal="center" vertical="center"/>
    </xf>
    <xf numFmtId="2" fontId="54" fillId="2" borderId="6" xfId="0" applyNumberFormat="1" applyFont="1" applyFill="1" applyBorder="1" applyAlignment="1">
      <alignment horizontal="center"/>
    </xf>
    <xf numFmtId="2" fontId="58" fillId="0" borderId="6" xfId="10" applyNumberFormat="1" applyFont="1" applyFill="1" applyBorder="1" applyAlignment="1">
      <alignment horizontal="center" vertical="center"/>
    </xf>
    <xf numFmtId="2" fontId="58" fillId="0" borderId="6" xfId="2" applyNumberFormat="1" applyFont="1" applyFill="1" applyBorder="1" applyAlignment="1">
      <alignment horizontal="center" vertical="center"/>
    </xf>
    <xf numFmtId="2" fontId="58" fillId="0" borderId="6" xfId="2" applyNumberFormat="1" applyFont="1" applyFill="1" applyBorder="1" applyAlignment="1">
      <alignment horizontal="center" vertical="center" wrapText="1"/>
    </xf>
    <xf numFmtId="165" fontId="58" fillId="0" borderId="6" xfId="2" applyNumberFormat="1" applyFont="1" applyFill="1" applyBorder="1" applyAlignment="1">
      <alignment horizontal="center" vertical="center" wrapText="1"/>
    </xf>
    <xf numFmtId="1" fontId="58" fillId="0" borderId="6" xfId="2" applyNumberFormat="1" applyFont="1" applyFill="1" applyBorder="1" applyAlignment="1">
      <alignment horizontal="center" vertical="center" wrapText="1"/>
    </xf>
    <xf numFmtId="4" fontId="58" fillId="0" borderId="13" xfId="0" applyNumberFormat="1" applyFont="1" applyFill="1" applyBorder="1" applyAlignment="1">
      <alignment horizontal="right" vertical="center" wrapText="1"/>
    </xf>
    <xf numFmtId="2" fontId="48" fillId="0" borderId="6" xfId="8" applyNumberFormat="1" applyFont="1" applyFill="1" applyBorder="1" applyAlignment="1">
      <alignment horizontal="center" vertical="center" wrapText="1"/>
    </xf>
    <xf numFmtId="2" fontId="48" fillId="2" borderId="6" xfId="0" applyNumberFormat="1" applyFont="1" applyFill="1" applyBorder="1" applyAlignment="1">
      <alignment horizontal="center" vertical="center"/>
    </xf>
    <xf numFmtId="0" fontId="48" fillId="0" borderId="6" xfId="14" applyFont="1" applyFill="1" applyBorder="1" applyAlignment="1">
      <alignment horizontal="center" vertical="center" wrapText="1"/>
    </xf>
    <xf numFmtId="2" fontId="48" fillId="0" borderId="6" xfId="14" applyNumberFormat="1" applyFont="1" applyFill="1" applyBorder="1" applyAlignment="1">
      <alignment horizontal="center" vertical="center" wrapText="1"/>
    </xf>
    <xf numFmtId="2" fontId="48" fillId="2" borderId="6" xfId="14" applyNumberFormat="1" applyFont="1" applyFill="1" applyBorder="1" applyAlignment="1">
      <alignment horizontal="center" vertical="center"/>
    </xf>
    <xf numFmtId="0" fontId="48" fillId="0" borderId="6" xfId="14" applyNumberFormat="1" applyFont="1" applyFill="1" applyBorder="1" applyAlignment="1">
      <alignment horizontal="center" vertical="center" wrapText="1"/>
    </xf>
    <xf numFmtId="2" fontId="48" fillId="0" borderId="6" xfId="22" applyNumberFormat="1" applyFont="1" applyFill="1" applyBorder="1" applyAlignment="1">
      <alignment vertical="center" wrapText="1"/>
    </xf>
    <xf numFmtId="2" fontId="48" fillId="0" borderId="6" xfId="21" applyNumberFormat="1" applyFont="1" applyFill="1" applyBorder="1" applyAlignment="1">
      <alignment horizontal="center" vertical="center"/>
    </xf>
    <xf numFmtId="2" fontId="48" fillId="2" borderId="6" xfId="21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top" wrapText="1"/>
    </xf>
    <xf numFmtId="0" fontId="58" fillId="0" borderId="6" xfId="0" applyNumberFormat="1" applyFont="1" applyFill="1" applyBorder="1" applyAlignment="1">
      <alignment horizontal="center" vertical="top" wrapText="1"/>
    </xf>
    <xf numFmtId="0" fontId="58" fillId="0" borderId="6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top" wrapText="1"/>
    </xf>
    <xf numFmtId="2" fontId="48" fillId="0" borderId="2" xfId="0" applyNumberFormat="1" applyFont="1" applyFill="1" applyBorder="1" applyAlignment="1">
      <alignment horizontal="center" vertical="top" wrapText="1"/>
    </xf>
    <xf numFmtId="2" fontId="48" fillId="2" borderId="2" xfId="0" applyNumberFormat="1" applyFont="1" applyFill="1" applyBorder="1" applyAlignment="1">
      <alignment horizontal="center" vertical="top" wrapText="1"/>
    </xf>
    <xf numFmtId="165" fontId="58" fillId="0" borderId="6" xfId="0" applyNumberFormat="1" applyFont="1" applyFill="1" applyBorder="1" applyAlignment="1">
      <alignment horizontal="center" vertical="center" wrapText="1"/>
    </xf>
    <xf numFmtId="165" fontId="48" fillId="0" borderId="6" xfId="0" applyNumberFormat="1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4" fontId="48" fillId="0" borderId="6" xfId="0" applyNumberFormat="1" applyFont="1" applyFill="1" applyBorder="1" applyAlignment="1">
      <alignment horizontal="center" vertical="center" wrapText="1"/>
    </xf>
    <xf numFmtId="0" fontId="58" fillId="0" borderId="6" xfId="14" applyNumberFormat="1" applyFont="1" applyFill="1" applyBorder="1" applyAlignment="1">
      <alignment horizontal="center" vertical="center" wrapText="1"/>
    </xf>
    <xf numFmtId="2" fontId="58" fillId="0" borderId="6" xfId="14" applyNumberFormat="1" applyFont="1" applyFill="1" applyBorder="1" applyAlignment="1">
      <alignment horizontal="center" vertical="center" wrapText="1"/>
    </xf>
    <xf numFmtId="0" fontId="58" fillId="0" borderId="6" xfId="14" applyFont="1" applyFill="1" applyBorder="1" applyAlignment="1">
      <alignment horizontal="center" vertical="center" wrapText="1"/>
    </xf>
    <xf numFmtId="2" fontId="48" fillId="2" borderId="6" xfId="14" applyNumberFormat="1" applyFont="1" applyFill="1" applyBorder="1" applyAlignment="1">
      <alignment horizontal="center" vertical="top" wrapText="1"/>
    </xf>
    <xf numFmtId="2" fontId="48" fillId="0" borderId="6" xfId="14" applyNumberFormat="1" applyFont="1" applyFill="1" applyBorder="1" applyAlignment="1">
      <alignment horizontal="center" vertical="top" wrapText="1"/>
    </xf>
    <xf numFmtId="0" fontId="48" fillId="0" borderId="6" xfId="14" applyNumberFormat="1" applyFont="1" applyFill="1" applyBorder="1" applyAlignment="1">
      <alignment horizontal="center" vertical="top" wrapText="1"/>
    </xf>
    <xf numFmtId="0" fontId="48" fillId="0" borderId="6" xfId="14" applyFont="1" applyFill="1" applyBorder="1" applyAlignment="1">
      <alignment horizontal="center" vertical="top" wrapText="1"/>
    </xf>
    <xf numFmtId="165" fontId="48" fillId="0" borderId="6" xfId="14" applyNumberFormat="1" applyFont="1" applyFill="1" applyBorder="1" applyAlignment="1">
      <alignment horizontal="center" vertical="top" wrapText="1"/>
    </xf>
    <xf numFmtId="0" fontId="58" fillId="0" borderId="6" xfId="14" applyFont="1" applyFill="1" applyBorder="1" applyAlignment="1">
      <alignment horizontal="center" vertical="top" wrapText="1"/>
    </xf>
    <xf numFmtId="2" fontId="58" fillId="0" borderId="6" xfId="14" applyNumberFormat="1" applyFont="1" applyFill="1" applyBorder="1" applyAlignment="1">
      <alignment horizontal="center" vertical="top" wrapText="1"/>
    </xf>
    <xf numFmtId="0" fontId="58" fillId="0" borderId="6" xfId="14" applyNumberFormat="1" applyFont="1" applyFill="1" applyBorder="1" applyAlignment="1">
      <alignment horizontal="center" vertical="top" wrapText="1"/>
    </xf>
    <xf numFmtId="2" fontId="48" fillId="2" borderId="6" xfId="14" applyNumberFormat="1" applyFont="1" applyFill="1" applyBorder="1" applyAlignment="1">
      <alignment horizontal="center" vertical="center" wrapText="1"/>
    </xf>
    <xf numFmtId="1" fontId="58" fillId="0" borderId="6" xfId="14" applyNumberFormat="1" applyFont="1" applyFill="1" applyBorder="1" applyAlignment="1">
      <alignment horizontal="center" vertical="top" wrapText="1"/>
    </xf>
    <xf numFmtId="0" fontId="48" fillId="0" borderId="0" xfId="14" applyFont="1" applyFill="1" applyBorder="1"/>
    <xf numFmtId="1" fontId="48" fillId="0" borderId="6" xfId="14" applyNumberFormat="1" applyFont="1" applyFill="1" applyBorder="1" applyAlignment="1">
      <alignment horizontal="center" vertical="top" wrapText="1"/>
    </xf>
    <xf numFmtId="9" fontId="12" fillId="2" borderId="6" xfId="11" applyFont="1" applyFill="1" applyBorder="1" applyAlignment="1">
      <alignment horizontal="center" vertical="center"/>
    </xf>
    <xf numFmtId="9" fontId="5" fillId="2" borderId="6" xfId="14" applyNumberFormat="1" applyFont="1" applyFill="1" applyBorder="1" applyAlignment="1">
      <alignment horizontal="center" vertical="top" wrapText="1"/>
    </xf>
    <xf numFmtId="9" fontId="8" fillId="2" borderId="6" xfId="14" applyNumberFormat="1" applyFont="1" applyFill="1" applyBorder="1" applyAlignment="1">
      <alignment horizontal="center" vertical="center" wrapText="1"/>
    </xf>
    <xf numFmtId="2" fontId="54" fillId="2" borderId="6" xfId="5" applyNumberFormat="1" applyFont="1" applyFill="1" applyBorder="1" applyAlignment="1">
      <alignment horizontal="center" vertical="center" wrapText="1"/>
    </xf>
    <xf numFmtId="2" fontId="54" fillId="2" borderId="6" xfId="3" applyNumberFormat="1" applyFont="1" applyFill="1" applyBorder="1" applyAlignment="1">
      <alignment horizontal="center" vertical="center"/>
    </xf>
    <xf numFmtId="2" fontId="11" fillId="2" borderId="6" xfId="5" applyNumberFormat="1" applyFont="1" applyFill="1" applyBorder="1" applyAlignment="1">
      <alignment horizontal="center" vertical="center" wrapText="1"/>
    </xf>
    <xf numFmtId="2" fontId="49" fillId="2" borderId="6" xfId="0" applyNumberFormat="1" applyFont="1" applyFill="1" applyBorder="1" applyAlignment="1">
      <alignment horizontal="center"/>
    </xf>
    <xf numFmtId="2" fontId="11" fillId="2" borderId="6" xfId="16" applyNumberFormat="1" applyFont="1" applyFill="1" applyBorder="1" applyAlignment="1">
      <alignment horizontal="center" vertical="center"/>
    </xf>
    <xf numFmtId="2" fontId="47" fillId="2" borderId="6" xfId="0" applyNumberFormat="1" applyFont="1" applyFill="1" applyBorder="1" applyAlignment="1">
      <alignment horizontal="center" vertical="top" wrapText="1"/>
    </xf>
    <xf numFmtId="2" fontId="54" fillId="2" borderId="6" xfId="5" applyNumberFormat="1" applyFont="1" applyFill="1" applyBorder="1" applyAlignment="1">
      <alignment horizontal="center" vertical="center"/>
    </xf>
    <xf numFmtId="2" fontId="54" fillId="2" borderId="6" xfId="16" applyNumberFormat="1" applyFont="1" applyFill="1" applyBorder="1" applyAlignment="1">
      <alignment horizontal="center" vertical="center"/>
    </xf>
    <xf numFmtId="2" fontId="11" fillId="2" borderId="6" xfId="5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1" fillId="2" borderId="6" xfId="3" applyNumberFormat="1" applyFont="1" applyFill="1" applyBorder="1" applyAlignment="1">
      <alignment horizontal="center" vertical="center"/>
    </xf>
    <xf numFmtId="2" fontId="47" fillId="2" borderId="6" xfId="0" applyNumberFormat="1" applyFont="1" applyFill="1" applyBorder="1" applyAlignment="1">
      <alignment horizontal="center" vertical="center" wrapText="1"/>
    </xf>
  </cellXfs>
  <cellStyles count="25">
    <cellStyle name="Comma 2" xfId="17"/>
    <cellStyle name="Normal" xfId="0" builtinId="0"/>
    <cellStyle name="Normal 10" xfId="2"/>
    <cellStyle name="Normal 11 2" xfId="24"/>
    <cellStyle name="Normal 13 5" xfId="1"/>
    <cellStyle name="Normal 14 3" xfId="22"/>
    <cellStyle name="Normal 14_anakia II etapi.xls sm. defeqturi" xfId="16"/>
    <cellStyle name="Normal 2 2" xfId="15"/>
    <cellStyle name="Normal 29" xfId="12"/>
    <cellStyle name="Normal 3" xfId="14"/>
    <cellStyle name="Normal 3 2" xfId="18"/>
    <cellStyle name="Normal 38 2" xfId="23"/>
    <cellStyle name="Normal 47 4" xfId="13"/>
    <cellStyle name="Normal_2-1-1" xfId="20"/>
    <cellStyle name="Normal_gare wyalsadfenigagarini 10" xfId="19"/>
    <cellStyle name="Normal_gare wyalsadfenigagarini 2_SMSH2008-IIkv ." xfId="3"/>
    <cellStyle name="Normal_sida wyalsadeni 2_SMSH2008-IIkv ." xfId="4"/>
    <cellStyle name="Normal_stadion-1" xfId="5"/>
    <cellStyle name="Percent 2" xfId="11"/>
    <cellStyle name="Style 1" xfId="7"/>
    <cellStyle name="Обычный 5 2 2" xfId="6"/>
    <cellStyle name="Обычный_SAN2008-I" xfId="10"/>
    <cellStyle name="Обычный_Лист1 2 2" xfId="21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110" zoomScaleNormal="110" zoomScaleSheetLayoutView="110" workbookViewId="0">
      <selection activeCell="I32" sqref="G27:I32"/>
    </sheetView>
  </sheetViews>
  <sheetFormatPr defaultRowHeight="12.75" x14ac:dyDescent="0.2"/>
  <cols>
    <col min="1" max="1" width="7.7109375" style="111" customWidth="1"/>
    <col min="2" max="2" width="13" style="111" customWidth="1"/>
    <col min="3" max="3" width="47.28515625" style="111" customWidth="1"/>
    <col min="4" max="4" width="12.140625" style="111" customWidth="1"/>
    <col min="5" max="5" width="11.5703125" style="111" customWidth="1"/>
    <col min="6" max="7" width="12.140625" style="111" customWidth="1"/>
    <col min="8" max="8" width="17.5703125" style="111" customWidth="1"/>
    <col min="9" max="9" width="11.5703125" style="111" bestFit="1" customWidth="1"/>
    <col min="10" max="10" width="10.5703125" style="111" bestFit="1" customWidth="1"/>
    <col min="11" max="256" width="9.140625" style="111"/>
    <col min="257" max="257" width="7.42578125" style="111" customWidth="1"/>
    <col min="258" max="258" width="13.85546875" style="111" customWidth="1"/>
    <col min="259" max="259" width="52" style="111" customWidth="1"/>
    <col min="260" max="263" width="12.140625" style="111" customWidth="1"/>
    <col min="264" max="264" width="18.7109375" style="111" customWidth="1"/>
    <col min="265" max="265" width="11.5703125" style="111" bestFit="1" customWidth="1"/>
    <col min="266" max="266" width="10.5703125" style="111" bestFit="1" customWidth="1"/>
    <col min="267" max="512" width="9.140625" style="111"/>
    <col min="513" max="513" width="7.42578125" style="111" customWidth="1"/>
    <col min="514" max="514" width="13.85546875" style="111" customWidth="1"/>
    <col min="515" max="515" width="52" style="111" customWidth="1"/>
    <col min="516" max="519" width="12.140625" style="111" customWidth="1"/>
    <col min="520" max="520" width="18.7109375" style="111" customWidth="1"/>
    <col min="521" max="521" width="11.5703125" style="111" bestFit="1" customWidth="1"/>
    <col min="522" max="522" width="10.5703125" style="111" bestFit="1" customWidth="1"/>
    <col min="523" max="768" width="9.140625" style="111"/>
    <col min="769" max="769" width="7.42578125" style="111" customWidth="1"/>
    <col min="770" max="770" width="13.85546875" style="111" customWidth="1"/>
    <col min="771" max="771" width="52" style="111" customWidth="1"/>
    <col min="772" max="775" width="12.140625" style="111" customWidth="1"/>
    <col min="776" max="776" width="18.7109375" style="111" customWidth="1"/>
    <col min="777" max="777" width="11.5703125" style="111" bestFit="1" customWidth="1"/>
    <col min="778" max="778" width="10.5703125" style="111" bestFit="1" customWidth="1"/>
    <col min="779" max="1024" width="9.140625" style="111"/>
    <col min="1025" max="1025" width="7.42578125" style="111" customWidth="1"/>
    <col min="1026" max="1026" width="13.85546875" style="111" customWidth="1"/>
    <col min="1027" max="1027" width="52" style="111" customWidth="1"/>
    <col min="1028" max="1031" width="12.140625" style="111" customWidth="1"/>
    <col min="1032" max="1032" width="18.7109375" style="111" customWidth="1"/>
    <col min="1033" max="1033" width="11.5703125" style="111" bestFit="1" customWidth="1"/>
    <col min="1034" max="1034" width="10.5703125" style="111" bestFit="1" customWidth="1"/>
    <col min="1035" max="1280" width="9.140625" style="111"/>
    <col min="1281" max="1281" width="7.42578125" style="111" customWidth="1"/>
    <col min="1282" max="1282" width="13.85546875" style="111" customWidth="1"/>
    <col min="1283" max="1283" width="52" style="111" customWidth="1"/>
    <col min="1284" max="1287" width="12.140625" style="111" customWidth="1"/>
    <col min="1288" max="1288" width="18.7109375" style="111" customWidth="1"/>
    <col min="1289" max="1289" width="11.5703125" style="111" bestFit="1" customWidth="1"/>
    <col min="1290" max="1290" width="10.5703125" style="111" bestFit="1" customWidth="1"/>
    <col min="1291" max="1536" width="9.140625" style="111"/>
    <col min="1537" max="1537" width="7.42578125" style="111" customWidth="1"/>
    <col min="1538" max="1538" width="13.85546875" style="111" customWidth="1"/>
    <col min="1539" max="1539" width="52" style="111" customWidth="1"/>
    <col min="1540" max="1543" width="12.140625" style="111" customWidth="1"/>
    <col min="1544" max="1544" width="18.7109375" style="111" customWidth="1"/>
    <col min="1545" max="1545" width="11.5703125" style="111" bestFit="1" customWidth="1"/>
    <col min="1546" max="1546" width="10.5703125" style="111" bestFit="1" customWidth="1"/>
    <col min="1547" max="1792" width="9.140625" style="111"/>
    <col min="1793" max="1793" width="7.42578125" style="111" customWidth="1"/>
    <col min="1794" max="1794" width="13.85546875" style="111" customWidth="1"/>
    <col min="1795" max="1795" width="52" style="111" customWidth="1"/>
    <col min="1796" max="1799" width="12.140625" style="111" customWidth="1"/>
    <col min="1800" max="1800" width="18.7109375" style="111" customWidth="1"/>
    <col min="1801" max="1801" width="11.5703125" style="111" bestFit="1" customWidth="1"/>
    <col min="1802" max="1802" width="10.5703125" style="111" bestFit="1" customWidth="1"/>
    <col min="1803" max="2048" width="9.140625" style="111"/>
    <col min="2049" max="2049" width="7.42578125" style="111" customWidth="1"/>
    <col min="2050" max="2050" width="13.85546875" style="111" customWidth="1"/>
    <col min="2051" max="2051" width="52" style="111" customWidth="1"/>
    <col min="2052" max="2055" width="12.140625" style="111" customWidth="1"/>
    <col min="2056" max="2056" width="18.7109375" style="111" customWidth="1"/>
    <col min="2057" max="2057" width="11.5703125" style="111" bestFit="1" customWidth="1"/>
    <col min="2058" max="2058" width="10.5703125" style="111" bestFit="1" customWidth="1"/>
    <col min="2059" max="2304" width="9.140625" style="111"/>
    <col min="2305" max="2305" width="7.42578125" style="111" customWidth="1"/>
    <col min="2306" max="2306" width="13.85546875" style="111" customWidth="1"/>
    <col min="2307" max="2307" width="52" style="111" customWidth="1"/>
    <col min="2308" max="2311" width="12.140625" style="111" customWidth="1"/>
    <col min="2312" max="2312" width="18.7109375" style="111" customWidth="1"/>
    <col min="2313" max="2313" width="11.5703125" style="111" bestFit="1" customWidth="1"/>
    <col min="2314" max="2314" width="10.5703125" style="111" bestFit="1" customWidth="1"/>
    <col min="2315" max="2560" width="9.140625" style="111"/>
    <col min="2561" max="2561" width="7.42578125" style="111" customWidth="1"/>
    <col min="2562" max="2562" width="13.85546875" style="111" customWidth="1"/>
    <col min="2563" max="2563" width="52" style="111" customWidth="1"/>
    <col min="2564" max="2567" width="12.140625" style="111" customWidth="1"/>
    <col min="2568" max="2568" width="18.7109375" style="111" customWidth="1"/>
    <col min="2569" max="2569" width="11.5703125" style="111" bestFit="1" customWidth="1"/>
    <col min="2570" max="2570" width="10.5703125" style="111" bestFit="1" customWidth="1"/>
    <col min="2571" max="2816" width="9.140625" style="111"/>
    <col min="2817" max="2817" width="7.42578125" style="111" customWidth="1"/>
    <col min="2818" max="2818" width="13.85546875" style="111" customWidth="1"/>
    <col min="2819" max="2819" width="52" style="111" customWidth="1"/>
    <col min="2820" max="2823" width="12.140625" style="111" customWidth="1"/>
    <col min="2824" max="2824" width="18.7109375" style="111" customWidth="1"/>
    <col min="2825" max="2825" width="11.5703125" style="111" bestFit="1" customWidth="1"/>
    <col min="2826" max="2826" width="10.5703125" style="111" bestFit="1" customWidth="1"/>
    <col min="2827" max="3072" width="9.140625" style="111"/>
    <col min="3073" max="3073" width="7.42578125" style="111" customWidth="1"/>
    <col min="3074" max="3074" width="13.85546875" style="111" customWidth="1"/>
    <col min="3075" max="3075" width="52" style="111" customWidth="1"/>
    <col min="3076" max="3079" width="12.140625" style="111" customWidth="1"/>
    <col min="3080" max="3080" width="18.7109375" style="111" customWidth="1"/>
    <col min="3081" max="3081" width="11.5703125" style="111" bestFit="1" customWidth="1"/>
    <col min="3082" max="3082" width="10.5703125" style="111" bestFit="1" customWidth="1"/>
    <col min="3083" max="3328" width="9.140625" style="111"/>
    <col min="3329" max="3329" width="7.42578125" style="111" customWidth="1"/>
    <col min="3330" max="3330" width="13.85546875" style="111" customWidth="1"/>
    <col min="3331" max="3331" width="52" style="111" customWidth="1"/>
    <col min="3332" max="3335" width="12.140625" style="111" customWidth="1"/>
    <col min="3336" max="3336" width="18.7109375" style="111" customWidth="1"/>
    <col min="3337" max="3337" width="11.5703125" style="111" bestFit="1" customWidth="1"/>
    <col min="3338" max="3338" width="10.5703125" style="111" bestFit="1" customWidth="1"/>
    <col min="3339" max="3584" width="9.140625" style="111"/>
    <col min="3585" max="3585" width="7.42578125" style="111" customWidth="1"/>
    <col min="3586" max="3586" width="13.85546875" style="111" customWidth="1"/>
    <col min="3587" max="3587" width="52" style="111" customWidth="1"/>
    <col min="3588" max="3591" width="12.140625" style="111" customWidth="1"/>
    <col min="3592" max="3592" width="18.7109375" style="111" customWidth="1"/>
    <col min="3593" max="3593" width="11.5703125" style="111" bestFit="1" customWidth="1"/>
    <col min="3594" max="3594" width="10.5703125" style="111" bestFit="1" customWidth="1"/>
    <col min="3595" max="3840" width="9.140625" style="111"/>
    <col min="3841" max="3841" width="7.42578125" style="111" customWidth="1"/>
    <col min="3842" max="3842" width="13.85546875" style="111" customWidth="1"/>
    <col min="3843" max="3843" width="52" style="111" customWidth="1"/>
    <col min="3844" max="3847" width="12.140625" style="111" customWidth="1"/>
    <col min="3848" max="3848" width="18.7109375" style="111" customWidth="1"/>
    <col min="3849" max="3849" width="11.5703125" style="111" bestFit="1" customWidth="1"/>
    <col min="3850" max="3850" width="10.5703125" style="111" bestFit="1" customWidth="1"/>
    <col min="3851" max="4096" width="9.140625" style="111"/>
    <col min="4097" max="4097" width="7.42578125" style="111" customWidth="1"/>
    <col min="4098" max="4098" width="13.85546875" style="111" customWidth="1"/>
    <col min="4099" max="4099" width="52" style="111" customWidth="1"/>
    <col min="4100" max="4103" width="12.140625" style="111" customWidth="1"/>
    <col min="4104" max="4104" width="18.7109375" style="111" customWidth="1"/>
    <col min="4105" max="4105" width="11.5703125" style="111" bestFit="1" customWidth="1"/>
    <col min="4106" max="4106" width="10.5703125" style="111" bestFit="1" customWidth="1"/>
    <col min="4107" max="4352" width="9.140625" style="111"/>
    <col min="4353" max="4353" width="7.42578125" style="111" customWidth="1"/>
    <col min="4354" max="4354" width="13.85546875" style="111" customWidth="1"/>
    <col min="4355" max="4355" width="52" style="111" customWidth="1"/>
    <col min="4356" max="4359" width="12.140625" style="111" customWidth="1"/>
    <col min="4360" max="4360" width="18.7109375" style="111" customWidth="1"/>
    <col min="4361" max="4361" width="11.5703125" style="111" bestFit="1" customWidth="1"/>
    <col min="4362" max="4362" width="10.5703125" style="111" bestFit="1" customWidth="1"/>
    <col min="4363" max="4608" width="9.140625" style="111"/>
    <col min="4609" max="4609" width="7.42578125" style="111" customWidth="1"/>
    <col min="4610" max="4610" width="13.85546875" style="111" customWidth="1"/>
    <col min="4611" max="4611" width="52" style="111" customWidth="1"/>
    <col min="4612" max="4615" width="12.140625" style="111" customWidth="1"/>
    <col min="4616" max="4616" width="18.7109375" style="111" customWidth="1"/>
    <col min="4617" max="4617" width="11.5703125" style="111" bestFit="1" customWidth="1"/>
    <col min="4618" max="4618" width="10.5703125" style="111" bestFit="1" customWidth="1"/>
    <col min="4619" max="4864" width="9.140625" style="111"/>
    <col min="4865" max="4865" width="7.42578125" style="111" customWidth="1"/>
    <col min="4866" max="4866" width="13.85546875" style="111" customWidth="1"/>
    <col min="4867" max="4867" width="52" style="111" customWidth="1"/>
    <col min="4868" max="4871" width="12.140625" style="111" customWidth="1"/>
    <col min="4872" max="4872" width="18.7109375" style="111" customWidth="1"/>
    <col min="4873" max="4873" width="11.5703125" style="111" bestFit="1" customWidth="1"/>
    <col min="4874" max="4874" width="10.5703125" style="111" bestFit="1" customWidth="1"/>
    <col min="4875" max="5120" width="9.140625" style="111"/>
    <col min="5121" max="5121" width="7.42578125" style="111" customWidth="1"/>
    <col min="5122" max="5122" width="13.85546875" style="111" customWidth="1"/>
    <col min="5123" max="5123" width="52" style="111" customWidth="1"/>
    <col min="5124" max="5127" width="12.140625" style="111" customWidth="1"/>
    <col min="5128" max="5128" width="18.7109375" style="111" customWidth="1"/>
    <col min="5129" max="5129" width="11.5703125" style="111" bestFit="1" customWidth="1"/>
    <col min="5130" max="5130" width="10.5703125" style="111" bestFit="1" customWidth="1"/>
    <col min="5131" max="5376" width="9.140625" style="111"/>
    <col min="5377" max="5377" width="7.42578125" style="111" customWidth="1"/>
    <col min="5378" max="5378" width="13.85546875" style="111" customWidth="1"/>
    <col min="5379" max="5379" width="52" style="111" customWidth="1"/>
    <col min="5380" max="5383" width="12.140625" style="111" customWidth="1"/>
    <col min="5384" max="5384" width="18.7109375" style="111" customWidth="1"/>
    <col min="5385" max="5385" width="11.5703125" style="111" bestFit="1" customWidth="1"/>
    <col min="5386" max="5386" width="10.5703125" style="111" bestFit="1" customWidth="1"/>
    <col min="5387" max="5632" width="9.140625" style="111"/>
    <col min="5633" max="5633" width="7.42578125" style="111" customWidth="1"/>
    <col min="5634" max="5634" width="13.85546875" style="111" customWidth="1"/>
    <col min="5635" max="5635" width="52" style="111" customWidth="1"/>
    <col min="5636" max="5639" width="12.140625" style="111" customWidth="1"/>
    <col min="5640" max="5640" width="18.7109375" style="111" customWidth="1"/>
    <col min="5641" max="5641" width="11.5703125" style="111" bestFit="1" customWidth="1"/>
    <col min="5642" max="5642" width="10.5703125" style="111" bestFit="1" customWidth="1"/>
    <col min="5643" max="5888" width="9.140625" style="111"/>
    <col min="5889" max="5889" width="7.42578125" style="111" customWidth="1"/>
    <col min="5890" max="5890" width="13.85546875" style="111" customWidth="1"/>
    <col min="5891" max="5891" width="52" style="111" customWidth="1"/>
    <col min="5892" max="5895" width="12.140625" style="111" customWidth="1"/>
    <col min="5896" max="5896" width="18.7109375" style="111" customWidth="1"/>
    <col min="5897" max="5897" width="11.5703125" style="111" bestFit="1" customWidth="1"/>
    <col min="5898" max="5898" width="10.5703125" style="111" bestFit="1" customWidth="1"/>
    <col min="5899" max="6144" width="9.140625" style="111"/>
    <col min="6145" max="6145" width="7.42578125" style="111" customWidth="1"/>
    <col min="6146" max="6146" width="13.85546875" style="111" customWidth="1"/>
    <col min="6147" max="6147" width="52" style="111" customWidth="1"/>
    <col min="6148" max="6151" width="12.140625" style="111" customWidth="1"/>
    <col min="6152" max="6152" width="18.7109375" style="111" customWidth="1"/>
    <col min="6153" max="6153" width="11.5703125" style="111" bestFit="1" customWidth="1"/>
    <col min="6154" max="6154" width="10.5703125" style="111" bestFit="1" customWidth="1"/>
    <col min="6155" max="6400" width="9.140625" style="111"/>
    <col min="6401" max="6401" width="7.42578125" style="111" customWidth="1"/>
    <col min="6402" max="6402" width="13.85546875" style="111" customWidth="1"/>
    <col min="6403" max="6403" width="52" style="111" customWidth="1"/>
    <col min="6404" max="6407" width="12.140625" style="111" customWidth="1"/>
    <col min="6408" max="6408" width="18.7109375" style="111" customWidth="1"/>
    <col min="6409" max="6409" width="11.5703125" style="111" bestFit="1" customWidth="1"/>
    <col min="6410" max="6410" width="10.5703125" style="111" bestFit="1" customWidth="1"/>
    <col min="6411" max="6656" width="9.140625" style="111"/>
    <col min="6657" max="6657" width="7.42578125" style="111" customWidth="1"/>
    <col min="6658" max="6658" width="13.85546875" style="111" customWidth="1"/>
    <col min="6659" max="6659" width="52" style="111" customWidth="1"/>
    <col min="6660" max="6663" width="12.140625" style="111" customWidth="1"/>
    <col min="6664" max="6664" width="18.7109375" style="111" customWidth="1"/>
    <col min="6665" max="6665" width="11.5703125" style="111" bestFit="1" customWidth="1"/>
    <col min="6666" max="6666" width="10.5703125" style="111" bestFit="1" customWidth="1"/>
    <col min="6667" max="6912" width="9.140625" style="111"/>
    <col min="6913" max="6913" width="7.42578125" style="111" customWidth="1"/>
    <col min="6914" max="6914" width="13.85546875" style="111" customWidth="1"/>
    <col min="6915" max="6915" width="52" style="111" customWidth="1"/>
    <col min="6916" max="6919" width="12.140625" style="111" customWidth="1"/>
    <col min="6920" max="6920" width="18.7109375" style="111" customWidth="1"/>
    <col min="6921" max="6921" width="11.5703125" style="111" bestFit="1" customWidth="1"/>
    <col min="6922" max="6922" width="10.5703125" style="111" bestFit="1" customWidth="1"/>
    <col min="6923" max="7168" width="9.140625" style="111"/>
    <col min="7169" max="7169" width="7.42578125" style="111" customWidth="1"/>
    <col min="7170" max="7170" width="13.85546875" style="111" customWidth="1"/>
    <col min="7171" max="7171" width="52" style="111" customWidth="1"/>
    <col min="7172" max="7175" width="12.140625" style="111" customWidth="1"/>
    <col min="7176" max="7176" width="18.7109375" style="111" customWidth="1"/>
    <col min="7177" max="7177" width="11.5703125" style="111" bestFit="1" customWidth="1"/>
    <col min="7178" max="7178" width="10.5703125" style="111" bestFit="1" customWidth="1"/>
    <col min="7179" max="7424" width="9.140625" style="111"/>
    <col min="7425" max="7425" width="7.42578125" style="111" customWidth="1"/>
    <col min="7426" max="7426" width="13.85546875" style="111" customWidth="1"/>
    <col min="7427" max="7427" width="52" style="111" customWidth="1"/>
    <col min="7428" max="7431" width="12.140625" style="111" customWidth="1"/>
    <col min="7432" max="7432" width="18.7109375" style="111" customWidth="1"/>
    <col min="7433" max="7433" width="11.5703125" style="111" bestFit="1" customWidth="1"/>
    <col min="7434" max="7434" width="10.5703125" style="111" bestFit="1" customWidth="1"/>
    <col min="7435" max="7680" width="9.140625" style="111"/>
    <col min="7681" max="7681" width="7.42578125" style="111" customWidth="1"/>
    <col min="7682" max="7682" width="13.85546875" style="111" customWidth="1"/>
    <col min="7683" max="7683" width="52" style="111" customWidth="1"/>
    <col min="7684" max="7687" width="12.140625" style="111" customWidth="1"/>
    <col min="7688" max="7688" width="18.7109375" style="111" customWidth="1"/>
    <col min="7689" max="7689" width="11.5703125" style="111" bestFit="1" customWidth="1"/>
    <col min="7690" max="7690" width="10.5703125" style="111" bestFit="1" customWidth="1"/>
    <col min="7691" max="7936" width="9.140625" style="111"/>
    <col min="7937" max="7937" width="7.42578125" style="111" customWidth="1"/>
    <col min="7938" max="7938" width="13.85546875" style="111" customWidth="1"/>
    <col min="7939" max="7939" width="52" style="111" customWidth="1"/>
    <col min="7940" max="7943" width="12.140625" style="111" customWidth="1"/>
    <col min="7944" max="7944" width="18.7109375" style="111" customWidth="1"/>
    <col min="7945" max="7945" width="11.5703125" style="111" bestFit="1" customWidth="1"/>
    <col min="7946" max="7946" width="10.5703125" style="111" bestFit="1" customWidth="1"/>
    <col min="7947" max="8192" width="9.140625" style="111"/>
    <col min="8193" max="8193" width="7.42578125" style="111" customWidth="1"/>
    <col min="8194" max="8194" width="13.85546875" style="111" customWidth="1"/>
    <col min="8195" max="8195" width="52" style="111" customWidth="1"/>
    <col min="8196" max="8199" width="12.140625" style="111" customWidth="1"/>
    <col min="8200" max="8200" width="18.7109375" style="111" customWidth="1"/>
    <col min="8201" max="8201" width="11.5703125" style="111" bestFit="1" customWidth="1"/>
    <col min="8202" max="8202" width="10.5703125" style="111" bestFit="1" customWidth="1"/>
    <col min="8203" max="8448" width="9.140625" style="111"/>
    <col min="8449" max="8449" width="7.42578125" style="111" customWidth="1"/>
    <col min="8450" max="8450" width="13.85546875" style="111" customWidth="1"/>
    <col min="8451" max="8451" width="52" style="111" customWidth="1"/>
    <col min="8452" max="8455" width="12.140625" style="111" customWidth="1"/>
    <col min="8456" max="8456" width="18.7109375" style="111" customWidth="1"/>
    <col min="8457" max="8457" width="11.5703125" style="111" bestFit="1" customWidth="1"/>
    <col min="8458" max="8458" width="10.5703125" style="111" bestFit="1" customWidth="1"/>
    <col min="8459" max="8704" width="9.140625" style="111"/>
    <col min="8705" max="8705" width="7.42578125" style="111" customWidth="1"/>
    <col min="8706" max="8706" width="13.85546875" style="111" customWidth="1"/>
    <col min="8707" max="8707" width="52" style="111" customWidth="1"/>
    <col min="8708" max="8711" width="12.140625" style="111" customWidth="1"/>
    <col min="8712" max="8712" width="18.7109375" style="111" customWidth="1"/>
    <col min="8713" max="8713" width="11.5703125" style="111" bestFit="1" customWidth="1"/>
    <col min="8714" max="8714" width="10.5703125" style="111" bestFit="1" customWidth="1"/>
    <col min="8715" max="8960" width="9.140625" style="111"/>
    <col min="8961" max="8961" width="7.42578125" style="111" customWidth="1"/>
    <col min="8962" max="8962" width="13.85546875" style="111" customWidth="1"/>
    <col min="8963" max="8963" width="52" style="111" customWidth="1"/>
    <col min="8964" max="8967" width="12.140625" style="111" customWidth="1"/>
    <col min="8968" max="8968" width="18.7109375" style="111" customWidth="1"/>
    <col min="8969" max="8969" width="11.5703125" style="111" bestFit="1" customWidth="1"/>
    <col min="8970" max="8970" width="10.5703125" style="111" bestFit="1" customWidth="1"/>
    <col min="8971" max="9216" width="9.140625" style="111"/>
    <col min="9217" max="9217" width="7.42578125" style="111" customWidth="1"/>
    <col min="9218" max="9218" width="13.85546875" style="111" customWidth="1"/>
    <col min="9219" max="9219" width="52" style="111" customWidth="1"/>
    <col min="9220" max="9223" width="12.140625" style="111" customWidth="1"/>
    <col min="9224" max="9224" width="18.7109375" style="111" customWidth="1"/>
    <col min="9225" max="9225" width="11.5703125" style="111" bestFit="1" customWidth="1"/>
    <col min="9226" max="9226" width="10.5703125" style="111" bestFit="1" customWidth="1"/>
    <col min="9227" max="9472" width="9.140625" style="111"/>
    <col min="9473" max="9473" width="7.42578125" style="111" customWidth="1"/>
    <col min="9474" max="9474" width="13.85546875" style="111" customWidth="1"/>
    <col min="9475" max="9475" width="52" style="111" customWidth="1"/>
    <col min="9476" max="9479" width="12.140625" style="111" customWidth="1"/>
    <col min="9480" max="9480" width="18.7109375" style="111" customWidth="1"/>
    <col min="9481" max="9481" width="11.5703125" style="111" bestFit="1" customWidth="1"/>
    <col min="9482" max="9482" width="10.5703125" style="111" bestFit="1" customWidth="1"/>
    <col min="9483" max="9728" width="9.140625" style="111"/>
    <col min="9729" max="9729" width="7.42578125" style="111" customWidth="1"/>
    <col min="9730" max="9730" width="13.85546875" style="111" customWidth="1"/>
    <col min="9731" max="9731" width="52" style="111" customWidth="1"/>
    <col min="9732" max="9735" width="12.140625" style="111" customWidth="1"/>
    <col min="9736" max="9736" width="18.7109375" style="111" customWidth="1"/>
    <col min="9737" max="9737" width="11.5703125" style="111" bestFit="1" customWidth="1"/>
    <col min="9738" max="9738" width="10.5703125" style="111" bestFit="1" customWidth="1"/>
    <col min="9739" max="9984" width="9.140625" style="111"/>
    <col min="9985" max="9985" width="7.42578125" style="111" customWidth="1"/>
    <col min="9986" max="9986" width="13.85546875" style="111" customWidth="1"/>
    <col min="9987" max="9987" width="52" style="111" customWidth="1"/>
    <col min="9988" max="9991" width="12.140625" style="111" customWidth="1"/>
    <col min="9992" max="9992" width="18.7109375" style="111" customWidth="1"/>
    <col min="9993" max="9993" width="11.5703125" style="111" bestFit="1" customWidth="1"/>
    <col min="9994" max="9994" width="10.5703125" style="111" bestFit="1" customWidth="1"/>
    <col min="9995" max="10240" width="9.140625" style="111"/>
    <col min="10241" max="10241" width="7.42578125" style="111" customWidth="1"/>
    <col min="10242" max="10242" width="13.85546875" style="111" customWidth="1"/>
    <col min="10243" max="10243" width="52" style="111" customWidth="1"/>
    <col min="10244" max="10247" width="12.140625" style="111" customWidth="1"/>
    <col min="10248" max="10248" width="18.7109375" style="111" customWidth="1"/>
    <col min="10249" max="10249" width="11.5703125" style="111" bestFit="1" customWidth="1"/>
    <col min="10250" max="10250" width="10.5703125" style="111" bestFit="1" customWidth="1"/>
    <col min="10251" max="10496" width="9.140625" style="111"/>
    <col min="10497" max="10497" width="7.42578125" style="111" customWidth="1"/>
    <col min="10498" max="10498" width="13.85546875" style="111" customWidth="1"/>
    <col min="10499" max="10499" width="52" style="111" customWidth="1"/>
    <col min="10500" max="10503" width="12.140625" style="111" customWidth="1"/>
    <col min="10504" max="10504" width="18.7109375" style="111" customWidth="1"/>
    <col min="10505" max="10505" width="11.5703125" style="111" bestFit="1" customWidth="1"/>
    <col min="10506" max="10506" width="10.5703125" style="111" bestFit="1" customWidth="1"/>
    <col min="10507" max="10752" width="9.140625" style="111"/>
    <col min="10753" max="10753" width="7.42578125" style="111" customWidth="1"/>
    <col min="10754" max="10754" width="13.85546875" style="111" customWidth="1"/>
    <col min="10755" max="10755" width="52" style="111" customWidth="1"/>
    <col min="10756" max="10759" width="12.140625" style="111" customWidth="1"/>
    <col min="10760" max="10760" width="18.7109375" style="111" customWidth="1"/>
    <col min="10761" max="10761" width="11.5703125" style="111" bestFit="1" customWidth="1"/>
    <col min="10762" max="10762" width="10.5703125" style="111" bestFit="1" customWidth="1"/>
    <col min="10763" max="11008" width="9.140625" style="111"/>
    <col min="11009" max="11009" width="7.42578125" style="111" customWidth="1"/>
    <col min="11010" max="11010" width="13.85546875" style="111" customWidth="1"/>
    <col min="11011" max="11011" width="52" style="111" customWidth="1"/>
    <col min="11012" max="11015" width="12.140625" style="111" customWidth="1"/>
    <col min="11016" max="11016" width="18.7109375" style="111" customWidth="1"/>
    <col min="11017" max="11017" width="11.5703125" style="111" bestFit="1" customWidth="1"/>
    <col min="11018" max="11018" width="10.5703125" style="111" bestFit="1" customWidth="1"/>
    <col min="11019" max="11264" width="9.140625" style="111"/>
    <col min="11265" max="11265" width="7.42578125" style="111" customWidth="1"/>
    <col min="11266" max="11266" width="13.85546875" style="111" customWidth="1"/>
    <col min="11267" max="11267" width="52" style="111" customWidth="1"/>
    <col min="11268" max="11271" width="12.140625" style="111" customWidth="1"/>
    <col min="11272" max="11272" width="18.7109375" style="111" customWidth="1"/>
    <col min="11273" max="11273" width="11.5703125" style="111" bestFit="1" customWidth="1"/>
    <col min="11274" max="11274" width="10.5703125" style="111" bestFit="1" customWidth="1"/>
    <col min="11275" max="11520" width="9.140625" style="111"/>
    <col min="11521" max="11521" width="7.42578125" style="111" customWidth="1"/>
    <col min="11522" max="11522" width="13.85546875" style="111" customWidth="1"/>
    <col min="11523" max="11523" width="52" style="111" customWidth="1"/>
    <col min="11524" max="11527" width="12.140625" style="111" customWidth="1"/>
    <col min="11528" max="11528" width="18.7109375" style="111" customWidth="1"/>
    <col min="11529" max="11529" width="11.5703125" style="111" bestFit="1" customWidth="1"/>
    <col min="11530" max="11530" width="10.5703125" style="111" bestFit="1" customWidth="1"/>
    <col min="11531" max="11776" width="9.140625" style="111"/>
    <col min="11777" max="11777" width="7.42578125" style="111" customWidth="1"/>
    <col min="11778" max="11778" width="13.85546875" style="111" customWidth="1"/>
    <col min="11779" max="11779" width="52" style="111" customWidth="1"/>
    <col min="11780" max="11783" width="12.140625" style="111" customWidth="1"/>
    <col min="11784" max="11784" width="18.7109375" style="111" customWidth="1"/>
    <col min="11785" max="11785" width="11.5703125" style="111" bestFit="1" customWidth="1"/>
    <col min="11786" max="11786" width="10.5703125" style="111" bestFit="1" customWidth="1"/>
    <col min="11787" max="12032" width="9.140625" style="111"/>
    <col min="12033" max="12033" width="7.42578125" style="111" customWidth="1"/>
    <col min="12034" max="12034" width="13.85546875" style="111" customWidth="1"/>
    <col min="12035" max="12035" width="52" style="111" customWidth="1"/>
    <col min="12036" max="12039" width="12.140625" style="111" customWidth="1"/>
    <col min="12040" max="12040" width="18.7109375" style="111" customWidth="1"/>
    <col min="12041" max="12041" width="11.5703125" style="111" bestFit="1" customWidth="1"/>
    <col min="12042" max="12042" width="10.5703125" style="111" bestFit="1" customWidth="1"/>
    <col min="12043" max="12288" width="9.140625" style="111"/>
    <col min="12289" max="12289" width="7.42578125" style="111" customWidth="1"/>
    <col min="12290" max="12290" width="13.85546875" style="111" customWidth="1"/>
    <col min="12291" max="12291" width="52" style="111" customWidth="1"/>
    <col min="12292" max="12295" width="12.140625" style="111" customWidth="1"/>
    <col min="12296" max="12296" width="18.7109375" style="111" customWidth="1"/>
    <col min="12297" max="12297" width="11.5703125" style="111" bestFit="1" customWidth="1"/>
    <col min="12298" max="12298" width="10.5703125" style="111" bestFit="1" customWidth="1"/>
    <col min="12299" max="12544" width="9.140625" style="111"/>
    <col min="12545" max="12545" width="7.42578125" style="111" customWidth="1"/>
    <col min="12546" max="12546" width="13.85546875" style="111" customWidth="1"/>
    <col min="12547" max="12547" width="52" style="111" customWidth="1"/>
    <col min="12548" max="12551" width="12.140625" style="111" customWidth="1"/>
    <col min="12552" max="12552" width="18.7109375" style="111" customWidth="1"/>
    <col min="12553" max="12553" width="11.5703125" style="111" bestFit="1" customWidth="1"/>
    <col min="12554" max="12554" width="10.5703125" style="111" bestFit="1" customWidth="1"/>
    <col min="12555" max="12800" width="9.140625" style="111"/>
    <col min="12801" max="12801" width="7.42578125" style="111" customWidth="1"/>
    <col min="12802" max="12802" width="13.85546875" style="111" customWidth="1"/>
    <col min="12803" max="12803" width="52" style="111" customWidth="1"/>
    <col min="12804" max="12807" width="12.140625" style="111" customWidth="1"/>
    <col min="12808" max="12808" width="18.7109375" style="111" customWidth="1"/>
    <col min="12809" max="12809" width="11.5703125" style="111" bestFit="1" customWidth="1"/>
    <col min="12810" max="12810" width="10.5703125" style="111" bestFit="1" customWidth="1"/>
    <col min="12811" max="13056" width="9.140625" style="111"/>
    <col min="13057" max="13057" width="7.42578125" style="111" customWidth="1"/>
    <col min="13058" max="13058" width="13.85546875" style="111" customWidth="1"/>
    <col min="13059" max="13059" width="52" style="111" customWidth="1"/>
    <col min="13060" max="13063" width="12.140625" style="111" customWidth="1"/>
    <col min="13064" max="13064" width="18.7109375" style="111" customWidth="1"/>
    <col min="13065" max="13065" width="11.5703125" style="111" bestFit="1" customWidth="1"/>
    <col min="13066" max="13066" width="10.5703125" style="111" bestFit="1" customWidth="1"/>
    <col min="13067" max="13312" width="9.140625" style="111"/>
    <col min="13313" max="13313" width="7.42578125" style="111" customWidth="1"/>
    <col min="13314" max="13314" width="13.85546875" style="111" customWidth="1"/>
    <col min="13315" max="13315" width="52" style="111" customWidth="1"/>
    <col min="13316" max="13319" width="12.140625" style="111" customWidth="1"/>
    <col min="13320" max="13320" width="18.7109375" style="111" customWidth="1"/>
    <col min="13321" max="13321" width="11.5703125" style="111" bestFit="1" customWidth="1"/>
    <col min="13322" max="13322" width="10.5703125" style="111" bestFit="1" customWidth="1"/>
    <col min="13323" max="13568" width="9.140625" style="111"/>
    <col min="13569" max="13569" width="7.42578125" style="111" customWidth="1"/>
    <col min="13570" max="13570" width="13.85546875" style="111" customWidth="1"/>
    <col min="13571" max="13571" width="52" style="111" customWidth="1"/>
    <col min="13572" max="13575" width="12.140625" style="111" customWidth="1"/>
    <col min="13576" max="13576" width="18.7109375" style="111" customWidth="1"/>
    <col min="13577" max="13577" width="11.5703125" style="111" bestFit="1" customWidth="1"/>
    <col min="13578" max="13578" width="10.5703125" style="111" bestFit="1" customWidth="1"/>
    <col min="13579" max="13824" width="9.140625" style="111"/>
    <col min="13825" max="13825" width="7.42578125" style="111" customWidth="1"/>
    <col min="13826" max="13826" width="13.85546875" style="111" customWidth="1"/>
    <col min="13827" max="13827" width="52" style="111" customWidth="1"/>
    <col min="13828" max="13831" width="12.140625" style="111" customWidth="1"/>
    <col min="13832" max="13832" width="18.7109375" style="111" customWidth="1"/>
    <col min="13833" max="13833" width="11.5703125" style="111" bestFit="1" customWidth="1"/>
    <col min="13834" max="13834" width="10.5703125" style="111" bestFit="1" customWidth="1"/>
    <col min="13835" max="14080" width="9.140625" style="111"/>
    <col min="14081" max="14081" width="7.42578125" style="111" customWidth="1"/>
    <col min="14082" max="14082" width="13.85546875" style="111" customWidth="1"/>
    <col min="14083" max="14083" width="52" style="111" customWidth="1"/>
    <col min="14084" max="14087" width="12.140625" style="111" customWidth="1"/>
    <col min="14088" max="14088" width="18.7109375" style="111" customWidth="1"/>
    <col min="14089" max="14089" width="11.5703125" style="111" bestFit="1" customWidth="1"/>
    <col min="14090" max="14090" width="10.5703125" style="111" bestFit="1" customWidth="1"/>
    <col min="14091" max="14336" width="9.140625" style="111"/>
    <col min="14337" max="14337" width="7.42578125" style="111" customWidth="1"/>
    <col min="14338" max="14338" width="13.85546875" style="111" customWidth="1"/>
    <col min="14339" max="14339" width="52" style="111" customWidth="1"/>
    <col min="14340" max="14343" width="12.140625" style="111" customWidth="1"/>
    <col min="14344" max="14344" width="18.7109375" style="111" customWidth="1"/>
    <col min="14345" max="14345" width="11.5703125" style="111" bestFit="1" customWidth="1"/>
    <col min="14346" max="14346" width="10.5703125" style="111" bestFit="1" customWidth="1"/>
    <col min="14347" max="14592" width="9.140625" style="111"/>
    <col min="14593" max="14593" width="7.42578125" style="111" customWidth="1"/>
    <col min="14594" max="14594" width="13.85546875" style="111" customWidth="1"/>
    <col min="14595" max="14595" width="52" style="111" customWidth="1"/>
    <col min="14596" max="14599" width="12.140625" style="111" customWidth="1"/>
    <col min="14600" max="14600" width="18.7109375" style="111" customWidth="1"/>
    <col min="14601" max="14601" width="11.5703125" style="111" bestFit="1" customWidth="1"/>
    <col min="14602" max="14602" width="10.5703125" style="111" bestFit="1" customWidth="1"/>
    <col min="14603" max="14848" width="9.140625" style="111"/>
    <col min="14849" max="14849" width="7.42578125" style="111" customWidth="1"/>
    <col min="14850" max="14850" width="13.85546875" style="111" customWidth="1"/>
    <col min="14851" max="14851" width="52" style="111" customWidth="1"/>
    <col min="14852" max="14855" width="12.140625" style="111" customWidth="1"/>
    <col min="14856" max="14856" width="18.7109375" style="111" customWidth="1"/>
    <col min="14857" max="14857" width="11.5703125" style="111" bestFit="1" customWidth="1"/>
    <col min="14858" max="14858" width="10.5703125" style="111" bestFit="1" customWidth="1"/>
    <col min="14859" max="15104" width="9.140625" style="111"/>
    <col min="15105" max="15105" width="7.42578125" style="111" customWidth="1"/>
    <col min="15106" max="15106" width="13.85546875" style="111" customWidth="1"/>
    <col min="15107" max="15107" width="52" style="111" customWidth="1"/>
    <col min="15108" max="15111" width="12.140625" style="111" customWidth="1"/>
    <col min="15112" max="15112" width="18.7109375" style="111" customWidth="1"/>
    <col min="15113" max="15113" width="11.5703125" style="111" bestFit="1" customWidth="1"/>
    <col min="15114" max="15114" width="10.5703125" style="111" bestFit="1" customWidth="1"/>
    <col min="15115" max="15360" width="9.140625" style="111"/>
    <col min="15361" max="15361" width="7.42578125" style="111" customWidth="1"/>
    <col min="15362" max="15362" width="13.85546875" style="111" customWidth="1"/>
    <col min="15363" max="15363" width="52" style="111" customWidth="1"/>
    <col min="15364" max="15367" width="12.140625" style="111" customWidth="1"/>
    <col min="15368" max="15368" width="18.7109375" style="111" customWidth="1"/>
    <col min="15369" max="15369" width="11.5703125" style="111" bestFit="1" customWidth="1"/>
    <col min="15370" max="15370" width="10.5703125" style="111" bestFit="1" customWidth="1"/>
    <col min="15371" max="15616" width="9.140625" style="111"/>
    <col min="15617" max="15617" width="7.42578125" style="111" customWidth="1"/>
    <col min="15618" max="15618" width="13.85546875" style="111" customWidth="1"/>
    <col min="15619" max="15619" width="52" style="111" customWidth="1"/>
    <col min="15620" max="15623" width="12.140625" style="111" customWidth="1"/>
    <col min="15624" max="15624" width="18.7109375" style="111" customWidth="1"/>
    <col min="15625" max="15625" width="11.5703125" style="111" bestFit="1" customWidth="1"/>
    <col min="15626" max="15626" width="10.5703125" style="111" bestFit="1" customWidth="1"/>
    <col min="15627" max="15872" width="9.140625" style="111"/>
    <col min="15873" max="15873" width="7.42578125" style="111" customWidth="1"/>
    <col min="15874" max="15874" width="13.85546875" style="111" customWidth="1"/>
    <col min="15875" max="15875" width="52" style="111" customWidth="1"/>
    <col min="15876" max="15879" width="12.140625" style="111" customWidth="1"/>
    <col min="15880" max="15880" width="18.7109375" style="111" customWidth="1"/>
    <col min="15881" max="15881" width="11.5703125" style="111" bestFit="1" customWidth="1"/>
    <col min="15882" max="15882" width="10.5703125" style="111" bestFit="1" customWidth="1"/>
    <col min="15883" max="16128" width="9.140625" style="111"/>
    <col min="16129" max="16129" width="7.42578125" style="111" customWidth="1"/>
    <col min="16130" max="16130" width="13.85546875" style="111" customWidth="1"/>
    <col min="16131" max="16131" width="52" style="111" customWidth="1"/>
    <col min="16132" max="16135" width="12.140625" style="111" customWidth="1"/>
    <col min="16136" max="16136" width="18.7109375" style="111" customWidth="1"/>
    <col min="16137" max="16137" width="11.5703125" style="111" bestFit="1" customWidth="1"/>
    <col min="16138" max="16138" width="10.5703125" style="111" bestFit="1" customWidth="1"/>
    <col min="16139" max="16384" width="9.140625" style="111"/>
  </cols>
  <sheetData>
    <row r="1" spans="1:12" ht="14.25" customHeight="1" x14ac:dyDescent="0.25">
      <c r="A1" s="109"/>
      <c r="B1" s="109"/>
      <c r="C1" s="110"/>
      <c r="D1" s="109"/>
      <c r="E1" s="109"/>
      <c r="F1" s="109"/>
      <c r="G1" s="109"/>
      <c r="H1" s="109"/>
    </row>
    <row r="2" spans="1:12" ht="33.75" customHeight="1" x14ac:dyDescent="0.25">
      <c r="A2" s="110"/>
      <c r="B2" s="571" t="s">
        <v>373</v>
      </c>
      <c r="C2" s="572"/>
      <c r="D2" s="572"/>
      <c r="E2" s="572"/>
      <c r="F2" s="572"/>
      <c r="G2" s="572"/>
      <c r="H2" s="263"/>
      <c r="I2" s="263"/>
      <c r="J2" s="263"/>
      <c r="K2" s="263"/>
      <c r="L2" s="263"/>
    </row>
    <row r="3" spans="1:12" ht="22.5" customHeight="1" x14ac:dyDescent="0.2">
      <c r="A3" s="574" t="s">
        <v>141</v>
      </c>
      <c r="B3" s="574"/>
      <c r="C3" s="574"/>
      <c r="D3" s="574"/>
      <c r="E3" s="574"/>
      <c r="F3" s="574"/>
      <c r="G3" s="574"/>
      <c r="H3" s="574"/>
    </row>
    <row r="4" spans="1:12" ht="16.5" customHeight="1" x14ac:dyDescent="0.2">
      <c r="A4" s="574"/>
      <c r="B4" s="574"/>
      <c r="C4" s="574"/>
      <c r="D4" s="574"/>
      <c r="E4" s="574"/>
      <c r="F4" s="574"/>
      <c r="G4" s="574"/>
      <c r="H4" s="574"/>
    </row>
    <row r="5" spans="1:12" ht="15.75" customHeight="1" x14ac:dyDescent="0.25">
      <c r="A5" s="575" t="s">
        <v>404</v>
      </c>
      <c r="B5" s="575"/>
      <c r="C5" s="575"/>
      <c r="D5" s="575"/>
      <c r="E5" s="575"/>
      <c r="F5" s="575"/>
      <c r="G5" s="575"/>
      <c r="H5" s="575"/>
    </row>
    <row r="6" spans="1:12" ht="23.25" customHeight="1" x14ac:dyDescent="0.25">
      <c r="A6" s="576" t="s">
        <v>142</v>
      </c>
      <c r="B6" s="578" t="s">
        <v>143</v>
      </c>
      <c r="C6" s="576" t="s">
        <v>144</v>
      </c>
      <c r="D6" s="579" t="s">
        <v>145</v>
      </c>
      <c r="E6" s="579"/>
      <c r="F6" s="579"/>
      <c r="G6" s="579"/>
      <c r="H6" s="580" t="s">
        <v>146</v>
      </c>
    </row>
    <row r="7" spans="1:12" ht="54.75" customHeight="1" x14ac:dyDescent="0.2">
      <c r="A7" s="577"/>
      <c r="B7" s="577"/>
      <c r="C7" s="577"/>
      <c r="D7" s="394" t="s">
        <v>147</v>
      </c>
      <c r="E7" s="394" t="s">
        <v>148</v>
      </c>
      <c r="F7" s="395" t="s">
        <v>149</v>
      </c>
      <c r="G7" s="394" t="s">
        <v>150</v>
      </c>
      <c r="H7" s="581"/>
    </row>
    <row r="8" spans="1:12" x14ac:dyDescent="0.2">
      <c r="A8" s="112" t="s">
        <v>151</v>
      </c>
      <c r="B8" s="112" t="s">
        <v>152</v>
      </c>
      <c r="C8" s="112" t="s">
        <v>153</v>
      </c>
      <c r="D8" s="112" t="s">
        <v>154</v>
      </c>
      <c r="E8" s="112" t="s">
        <v>155</v>
      </c>
      <c r="F8" s="112" t="s">
        <v>156</v>
      </c>
      <c r="G8" s="112" t="s">
        <v>157</v>
      </c>
      <c r="H8" s="112" t="s">
        <v>158</v>
      </c>
    </row>
    <row r="9" spans="1:12" ht="13.5" x14ac:dyDescent="0.25">
      <c r="A9" s="396"/>
      <c r="B9" s="113"/>
      <c r="C9" s="394" t="s">
        <v>159</v>
      </c>
      <c r="D9" s="396"/>
      <c r="E9" s="396"/>
      <c r="F9" s="396"/>
      <c r="G9" s="396"/>
      <c r="H9" s="396"/>
    </row>
    <row r="10" spans="1:12" ht="13.5" x14ac:dyDescent="0.25">
      <c r="A10" s="396"/>
      <c r="B10" s="113"/>
      <c r="C10" s="394" t="s">
        <v>160</v>
      </c>
      <c r="D10" s="396"/>
      <c r="E10" s="396"/>
      <c r="F10" s="396"/>
      <c r="G10" s="396"/>
      <c r="H10" s="396"/>
    </row>
    <row r="11" spans="1:12" ht="24.75" customHeight="1" x14ac:dyDescent="0.2">
      <c r="A11" s="394">
        <v>1</v>
      </c>
      <c r="B11" s="394" t="s">
        <v>161</v>
      </c>
      <c r="C11" s="113" t="s">
        <v>242</v>
      </c>
      <c r="D11" s="114"/>
      <c r="E11" s="114"/>
      <c r="F11" s="114"/>
      <c r="G11" s="394"/>
      <c r="H11" s="114">
        <f>'კოტეჯის სამშენებლო '!M125</f>
        <v>0</v>
      </c>
      <c r="I11" s="115"/>
      <c r="J11" s="115"/>
    </row>
    <row r="12" spans="1:12" ht="17.25" customHeight="1" x14ac:dyDescent="0.2">
      <c r="A12" s="394">
        <v>2</v>
      </c>
      <c r="B12" s="394" t="s">
        <v>162</v>
      </c>
      <c r="C12" s="113" t="s">
        <v>240</v>
      </c>
      <c r="D12" s="114"/>
      <c r="E12" s="114"/>
      <c r="F12" s="114"/>
      <c r="G12" s="116"/>
      <c r="H12" s="114">
        <f>'წყალ-კანალი '!M97</f>
        <v>0</v>
      </c>
      <c r="I12" s="115"/>
      <c r="J12" s="115"/>
    </row>
    <row r="13" spans="1:12" ht="19.5" customHeight="1" x14ac:dyDescent="0.2">
      <c r="A13" s="394">
        <v>3</v>
      </c>
      <c r="B13" s="394" t="s">
        <v>174</v>
      </c>
      <c r="C13" s="113" t="s">
        <v>170</v>
      </c>
      <c r="D13" s="114"/>
      <c r="E13" s="114"/>
      <c r="F13" s="114"/>
      <c r="G13" s="116"/>
      <c r="H13" s="114">
        <f>'ელექტრობა-სუსტი დენები '!M171</f>
        <v>0</v>
      </c>
      <c r="I13" s="115"/>
      <c r="J13" s="115"/>
    </row>
    <row r="14" spans="1:12" ht="17.25" customHeight="1" x14ac:dyDescent="0.2">
      <c r="A14" s="394">
        <v>4</v>
      </c>
      <c r="B14" s="394" t="s">
        <v>182</v>
      </c>
      <c r="C14" s="113" t="s">
        <v>241</v>
      </c>
      <c r="D14" s="114"/>
      <c r="E14" s="114"/>
      <c r="F14" s="114"/>
      <c r="G14" s="116"/>
      <c r="H14" s="114">
        <f>კეთილმოწყობა!M269</f>
        <v>0</v>
      </c>
      <c r="I14" s="115"/>
      <c r="J14" s="115"/>
    </row>
    <row r="15" spans="1:12" ht="18" customHeight="1" x14ac:dyDescent="0.2">
      <c r="A15" s="394">
        <v>5</v>
      </c>
      <c r="B15" s="394"/>
      <c r="C15" s="113" t="s">
        <v>163</v>
      </c>
      <c r="D15" s="114"/>
      <c r="E15" s="114"/>
      <c r="F15" s="114"/>
      <c r="G15" s="114"/>
      <c r="H15" s="114">
        <f>SUM(H9:H14)</f>
        <v>0</v>
      </c>
      <c r="I15" s="115"/>
    </row>
    <row r="16" spans="1:12" ht="18" customHeight="1" x14ac:dyDescent="0.2">
      <c r="A16" s="394">
        <v>6</v>
      </c>
      <c r="B16" s="394"/>
      <c r="C16" s="113" t="s">
        <v>356</v>
      </c>
      <c r="D16" s="114"/>
      <c r="E16" s="114"/>
      <c r="F16" s="114"/>
      <c r="G16" s="114"/>
      <c r="H16" s="114">
        <f>H15*0.015</f>
        <v>0</v>
      </c>
      <c r="I16" s="115"/>
    </row>
    <row r="17" spans="1:9" ht="18" customHeight="1" x14ac:dyDescent="0.2">
      <c r="A17" s="394">
        <v>7</v>
      </c>
      <c r="B17" s="394"/>
      <c r="C17" s="113" t="s">
        <v>163</v>
      </c>
      <c r="D17" s="114"/>
      <c r="E17" s="114"/>
      <c r="F17" s="114"/>
      <c r="G17" s="114"/>
      <c r="H17" s="114">
        <f>H15+H16</f>
        <v>0</v>
      </c>
      <c r="I17" s="115"/>
    </row>
    <row r="18" spans="1:9" ht="18" customHeight="1" x14ac:dyDescent="0.2">
      <c r="A18" s="394">
        <v>8</v>
      </c>
      <c r="B18" s="394"/>
      <c r="C18" s="113" t="s">
        <v>272</v>
      </c>
      <c r="D18" s="114"/>
      <c r="E18" s="114"/>
      <c r="F18" s="114"/>
      <c r="G18" s="114"/>
      <c r="H18" s="114">
        <f>H17*0.05</f>
        <v>0</v>
      </c>
      <c r="I18" s="115"/>
    </row>
    <row r="19" spans="1:9" ht="15.75" customHeight="1" x14ac:dyDescent="0.2">
      <c r="A19" s="394">
        <v>9</v>
      </c>
      <c r="B19" s="394"/>
      <c r="C19" s="113" t="s">
        <v>164</v>
      </c>
      <c r="D19" s="114"/>
      <c r="E19" s="114"/>
      <c r="F19" s="114"/>
      <c r="G19" s="114"/>
      <c r="H19" s="114">
        <f>H17+H18</f>
        <v>0</v>
      </c>
      <c r="I19" s="115"/>
    </row>
    <row r="20" spans="1:9" ht="16.5" customHeight="1" x14ac:dyDescent="0.2">
      <c r="A20" s="394">
        <v>10</v>
      </c>
      <c r="B20" s="394"/>
      <c r="C20" s="394" t="s">
        <v>165</v>
      </c>
      <c r="D20" s="116"/>
      <c r="E20" s="394"/>
      <c r="F20" s="394"/>
      <c r="G20" s="114"/>
      <c r="H20" s="114">
        <f>H19*0.18</f>
        <v>0</v>
      </c>
    </row>
    <row r="21" spans="1:9" ht="18.75" customHeight="1" x14ac:dyDescent="0.2">
      <c r="A21" s="394">
        <v>11</v>
      </c>
      <c r="B21" s="394"/>
      <c r="C21" s="113" t="s">
        <v>166</v>
      </c>
      <c r="D21" s="114"/>
      <c r="E21" s="114"/>
      <c r="F21" s="114"/>
      <c r="G21" s="114"/>
      <c r="H21" s="119">
        <f>H19+H20</f>
        <v>0</v>
      </c>
      <c r="I21" s="115"/>
    </row>
    <row r="22" spans="1:9" ht="18.75" customHeight="1" x14ac:dyDescent="0.2">
      <c r="A22" s="394">
        <v>12</v>
      </c>
      <c r="B22" s="394"/>
      <c r="C22" s="113" t="s">
        <v>378</v>
      </c>
      <c r="D22" s="114"/>
      <c r="E22" s="114"/>
      <c r="F22" s="114"/>
      <c r="G22" s="114"/>
      <c r="H22" s="119">
        <f>H16*0.15</f>
        <v>0</v>
      </c>
      <c r="I22" s="115"/>
    </row>
    <row r="23" spans="1:9" ht="47.25" customHeight="1" x14ac:dyDescent="0.25">
      <c r="A23" s="117"/>
      <c r="B23" s="117"/>
      <c r="D23" s="117"/>
      <c r="E23" s="117"/>
      <c r="F23" s="573"/>
      <c r="G23" s="573"/>
      <c r="H23" s="117"/>
    </row>
    <row r="24" spans="1:9" ht="21.75" customHeight="1" x14ac:dyDescent="0.25">
      <c r="A24" s="117"/>
      <c r="B24" s="117"/>
      <c r="C24" s="118"/>
      <c r="D24" s="117"/>
      <c r="E24" s="117"/>
      <c r="F24" s="393"/>
      <c r="G24" s="393"/>
      <c r="H24" s="117"/>
    </row>
    <row r="31" spans="1:9" x14ac:dyDescent="0.2">
      <c r="H31" s="115"/>
    </row>
  </sheetData>
  <mergeCells count="10">
    <mergeCell ref="B2:G2"/>
    <mergeCell ref="F23:G23"/>
    <mergeCell ref="A3:H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view="pageBreakPreview" topLeftCell="A100" zoomScaleNormal="100" zoomScaleSheetLayoutView="100" workbookViewId="0">
      <selection activeCell="C120" sqref="C120"/>
    </sheetView>
  </sheetViews>
  <sheetFormatPr defaultColWidth="9.140625" defaultRowHeight="13.5" x14ac:dyDescent="0.25"/>
  <cols>
    <col min="1" max="1" width="7" style="334" customWidth="1"/>
    <col min="2" max="2" width="10.85546875" style="293" customWidth="1"/>
    <col min="3" max="3" width="52.7109375" style="84" customWidth="1"/>
    <col min="4" max="4" width="7.7109375" style="294" customWidth="1"/>
    <col min="5" max="5" width="6.7109375" style="294" customWidth="1"/>
    <col min="6" max="6" width="7.5703125" style="293" customWidth="1"/>
    <col min="7" max="7" width="7" style="293" customWidth="1"/>
    <col min="8" max="8" width="7.5703125" style="293" customWidth="1"/>
    <col min="9" max="9" width="8.140625" style="310" customWidth="1"/>
    <col min="10" max="10" width="9" style="293" customWidth="1"/>
    <col min="11" max="11" width="7" style="293" customWidth="1"/>
    <col min="12" max="12" width="6.5703125" style="293" customWidth="1"/>
    <col min="13" max="13" width="10.5703125" style="293" customWidth="1"/>
    <col min="14" max="14" width="8.140625" style="293" customWidth="1"/>
    <col min="15" max="19" width="9.140625" style="293"/>
    <col min="20" max="20" width="16" style="293" customWidth="1"/>
    <col min="21" max="16384" width="9.140625" style="293"/>
  </cols>
  <sheetData>
    <row r="1" spans="1:26" s="257" customFormat="1" ht="15.75" x14ac:dyDescent="0.3">
      <c r="A1" s="331"/>
      <c r="B1" s="255"/>
      <c r="C1" s="256"/>
      <c r="D1" s="255"/>
      <c r="E1" s="255"/>
      <c r="G1" s="397"/>
      <c r="H1" s="258"/>
      <c r="I1" s="307"/>
      <c r="J1" s="258"/>
      <c r="K1" s="258"/>
      <c r="L1" s="593"/>
      <c r="M1" s="593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s="260" customFormat="1" ht="16.5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5"/>
      <c r="M2" s="595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260" customFormat="1" ht="16.5" x14ac:dyDescent="0.25">
      <c r="A3" s="332"/>
      <c r="B3" s="263"/>
      <c r="C3" s="263"/>
      <c r="D3" s="263"/>
      <c r="E3" s="263"/>
      <c r="F3" s="263"/>
      <c r="G3" s="398"/>
      <c r="I3" s="308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6" s="260" customFormat="1" ht="16.5" x14ac:dyDescent="0.25">
      <c r="A4" s="596" t="s">
        <v>172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s="260" customFormat="1" ht="16.5" x14ac:dyDescent="0.25">
      <c r="A5" s="596" t="str">
        <f>სანაკრებო!C11</f>
        <v>xis kotejis samSeneblo samuSaoebi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ht="15.75" x14ac:dyDescent="0.25">
      <c r="A6" s="586"/>
      <c r="B6" s="586"/>
      <c r="C6" s="586"/>
      <c r="D6" s="586"/>
      <c r="E6" s="586"/>
      <c r="F6" s="84"/>
      <c r="G6" s="309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5.75" x14ac:dyDescent="0.25">
      <c r="A7" s="586"/>
      <c r="B7" s="586"/>
      <c r="C7" s="586"/>
      <c r="D7" s="312"/>
      <c r="E7" s="312"/>
      <c r="F7" s="313"/>
      <c r="G7" s="314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</row>
    <row r="8" spans="1:26" s="255" customFormat="1" ht="29.25" customHeight="1" x14ac:dyDescent="0.25">
      <c r="A8" s="587" t="s">
        <v>0</v>
      </c>
      <c r="B8" s="589" t="s">
        <v>1</v>
      </c>
      <c r="C8" s="589" t="s">
        <v>2</v>
      </c>
      <c r="D8" s="589" t="s">
        <v>3</v>
      </c>
      <c r="E8" s="591" t="s">
        <v>4</v>
      </c>
      <c r="F8" s="592"/>
      <c r="G8" s="582" t="s">
        <v>5</v>
      </c>
      <c r="H8" s="583"/>
      <c r="I8" s="582" t="s">
        <v>6</v>
      </c>
      <c r="J8" s="583"/>
      <c r="K8" s="582" t="s">
        <v>7</v>
      </c>
      <c r="L8" s="583"/>
      <c r="M8" s="584" t="s">
        <v>8</v>
      </c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s="255" customFormat="1" ht="23.25" customHeight="1" x14ac:dyDescent="0.25">
      <c r="A9" s="588"/>
      <c r="B9" s="590"/>
      <c r="C9" s="590"/>
      <c r="D9" s="590"/>
      <c r="E9" s="269" t="s">
        <v>9</v>
      </c>
      <c r="F9" s="269" t="s">
        <v>10</v>
      </c>
      <c r="G9" s="270" t="s">
        <v>9</v>
      </c>
      <c r="H9" s="270" t="s">
        <v>10</v>
      </c>
      <c r="I9" s="270" t="s">
        <v>9</v>
      </c>
      <c r="J9" s="270" t="s">
        <v>10</v>
      </c>
      <c r="K9" s="270" t="s">
        <v>9</v>
      </c>
      <c r="L9" s="270" t="s">
        <v>10</v>
      </c>
      <c r="M9" s="585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s="254" customFormat="1" ht="17.25" customHeight="1" x14ac:dyDescent="0.25">
      <c r="A10" s="333">
        <v>1</v>
      </c>
      <c r="B10" s="271">
        <v>2</v>
      </c>
      <c r="C10" s="271">
        <v>3</v>
      </c>
      <c r="D10" s="271">
        <v>4</v>
      </c>
      <c r="E10" s="271">
        <v>5</v>
      </c>
      <c r="F10" s="271">
        <v>6</v>
      </c>
      <c r="G10" s="271">
        <v>7</v>
      </c>
      <c r="H10" s="271">
        <v>8</v>
      </c>
      <c r="I10" s="315">
        <v>9</v>
      </c>
      <c r="J10" s="271">
        <v>10</v>
      </c>
      <c r="K10" s="271">
        <v>11</v>
      </c>
      <c r="L10" s="271">
        <v>12</v>
      </c>
      <c r="M10" s="272">
        <v>13</v>
      </c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1:26" s="287" customFormat="1" ht="17.25" customHeight="1" x14ac:dyDescent="0.25">
      <c r="A11" s="355"/>
      <c r="B11" s="282"/>
      <c r="C11" s="17" t="s">
        <v>395</v>
      </c>
      <c r="D11" s="295"/>
      <c r="E11" s="316"/>
      <c r="F11" s="250"/>
      <c r="G11" s="359"/>
      <c r="H11" s="282"/>
      <c r="I11" s="286"/>
      <c r="J11" s="282"/>
      <c r="K11" s="282"/>
      <c r="L11" s="282"/>
      <c r="M11" s="282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</row>
    <row r="12" spans="1:26" s="211" customFormat="1" ht="15.75" customHeight="1" x14ac:dyDescent="0.25">
      <c r="A12" s="238">
        <v>1</v>
      </c>
      <c r="B12" s="239" t="s">
        <v>19</v>
      </c>
      <c r="C12" s="23" t="s">
        <v>383</v>
      </c>
      <c r="D12" s="240" t="s">
        <v>11</v>
      </c>
      <c r="E12" s="241"/>
      <c r="F12" s="316">
        <v>0.25</v>
      </c>
      <c r="G12" s="319"/>
      <c r="H12" s="319"/>
      <c r="I12" s="319"/>
      <c r="J12" s="319"/>
      <c r="K12" s="319"/>
      <c r="L12" s="319"/>
      <c r="M12" s="614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s="58" customFormat="1" ht="15.75" x14ac:dyDescent="0.25">
      <c r="A13" s="90"/>
      <c r="B13" s="243"/>
      <c r="C13" s="244" t="s">
        <v>20</v>
      </c>
      <c r="D13" s="245" t="s">
        <v>14</v>
      </c>
      <c r="E13" s="246">
        <v>24</v>
      </c>
      <c r="F13" s="247">
        <f>F12*E13</f>
        <v>6</v>
      </c>
      <c r="G13" s="615"/>
      <c r="H13" s="359">
        <f>G13*F13</f>
        <v>0</v>
      </c>
      <c r="I13" s="359"/>
      <c r="J13" s="359"/>
      <c r="K13" s="359"/>
      <c r="L13" s="359"/>
      <c r="M13" s="359">
        <f t="shared" ref="M13:M18" si="0">L13+J13+H13</f>
        <v>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s="58" customFormat="1" ht="15.75" x14ac:dyDescent="0.25">
      <c r="A14" s="90"/>
      <c r="B14" s="243"/>
      <c r="C14" s="244" t="s">
        <v>21</v>
      </c>
      <c r="D14" s="245" t="s">
        <v>16</v>
      </c>
      <c r="E14" s="248">
        <v>1.3</v>
      </c>
      <c r="F14" s="247">
        <f>F12*E14</f>
        <v>0.32500000000000001</v>
      </c>
      <c r="G14" s="359"/>
      <c r="H14" s="359"/>
      <c r="I14" s="359"/>
      <c r="J14" s="359"/>
      <c r="K14" s="615"/>
      <c r="L14" s="359">
        <f>K14*F14</f>
        <v>0</v>
      </c>
      <c r="M14" s="359">
        <f t="shared" si="0"/>
        <v>0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s="58" customFormat="1" ht="15.75" x14ac:dyDescent="0.25">
      <c r="A15" s="356"/>
      <c r="B15" s="33"/>
      <c r="C15" s="11" t="s">
        <v>66</v>
      </c>
      <c r="D15" s="245" t="s">
        <v>11</v>
      </c>
      <c r="E15" s="247">
        <v>1.05</v>
      </c>
      <c r="F15" s="250">
        <f>E15*F12</f>
        <v>0.26250000000000001</v>
      </c>
      <c r="G15" s="359"/>
      <c r="H15" s="359"/>
      <c r="I15" s="615"/>
      <c r="J15" s="359">
        <f t="shared" ref="J15:J20" si="1">I15*F15</f>
        <v>0</v>
      </c>
      <c r="K15" s="359"/>
      <c r="L15" s="359"/>
      <c r="M15" s="359">
        <f t="shared" si="0"/>
        <v>0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s="58" customFormat="1" ht="15.75" x14ac:dyDescent="0.25">
      <c r="A16" s="356"/>
      <c r="B16" s="33"/>
      <c r="C16" s="11" t="s">
        <v>112</v>
      </c>
      <c r="D16" s="245" t="s">
        <v>22</v>
      </c>
      <c r="E16" s="248">
        <v>7.5</v>
      </c>
      <c r="F16" s="250">
        <f>E16*F12</f>
        <v>1.875</v>
      </c>
      <c r="G16" s="359"/>
      <c r="H16" s="359"/>
      <c r="I16" s="615"/>
      <c r="J16" s="359">
        <f t="shared" si="1"/>
        <v>0</v>
      </c>
      <c r="K16" s="359"/>
      <c r="L16" s="359"/>
      <c r="M16" s="359">
        <f t="shared" si="0"/>
        <v>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s="58" customFormat="1" ht="15.75" x14ac:dyDescent="0.25">
      <c r="A17" s="356"/>
      <c r="B17" s="33"/>
      <c r="C17" s="11" t="s">
        <v>275</v>
      </c>
      <c r="D17" s="245" t="s">
        <v>11</v>
      </c>
      <c r="E17" s="247"/>
      <c r="F17" s="251">
        <v>0.05</v>
      </c>
      <c r="G17" s="359"/>
      <c r="H17" s="359"/>
      <c r="I17" s="615"/>
      <c r="J17" s="359">
        <f t="shared" si="1"/>
        <v>0</v>
      </c>
      <c r="K17" s="359"/>
      <c r="L17" s="359"/>
      <c r="M17" s="359">
        <f>L17+J17+H17</f>
        <v>0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s="58" customFormat="1" ht="15.75" x14ac:dyDescent="0.25">
      <c r="A18" s="356"/>
      <c r="B18" s="33"/>
      <c r="C18" s="11" t="s">
        <v>23</v>
      </c>
      <c r="D18" s="245" t="s">
        <v>22</v>
      </c>
      <c r="E18" s="248">
        <v>3.01</v>
      </c>
      <c r="F18" s="249">
        <f>E18*F12</f>
        <v>0.75249999999999995</v>
      </c>
      <c r="G18" s="359"/>
      <c r="H18" s="359"/>
      <c r="I18" s="615"/>
      <c r="J18" s="359">
        <f t="shared" si="1"/>
        <v>0</v>
      </c>
      <c r="K18" s="359"/>
      <c r="L18" s="359"/>
      <c r="M18" s="359">
        <f t="shared" si="0"/>
        <v>0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s="58" customFormat="1" ht="15.75" x14ac:dyDescent="0.25">
      <c r="A19" s="356"/>
      <c r="B19" s="33"/>
      <c r="C19" s="11" t="s">
        <v>274</v>
      </c>
      <c r="D19" s="245" t="s">
        <v>22</v>
      </c>
      <c r="E19" s="248">
        <v>3.08</v>
      </c>
      <c r="F19" s="249">
        <f>E19*F12</f>
        <v>0.77</v>
      </c>
      <c r="G19" s="359"/>
      <c r="H19" s="359"/>
      <c r="I19" s="615"/>
      <c r="J19" s="359">
        <f>I19*F19</f>
        <v>0</v>
      </c>
      <c r="K19" s="359"/>
      <c r="L19" s="359"/>
      <c r="M19" s="359">
        <f>L19+J19+H19</f>
        <v>0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s="58" customFormat="1" ht="15.75" x14ac:dyDescent="0.25">
      <c r="A20" s="356"/>
      <c r="B20" s="298"/>
      <c r="C20" s="11" t="s">
        <v>24</v>
      </c>
      <c r="D20" s="245" t="s">
        <v>16</v>
      </c>
      <c r="E20" s="248">
        <v>1.38</v>
      </c>
      <c r="F20" s="249">
        <f>E20*F12</f>
        <v>0.34499999999999997</v>
      </c>
      <c r="G20" s="359"/>
      <c r="H20" s="359"/>
      <c r="I20" s="615"/>
      <c r="J20" s="359">
        <f t="shared" si="1"/>
        <v>0</v>
      </c>
      <c r="K20" s="359"/>
      <c r="L20" s="359"/>
      <c r="M20" s="359">
        <f>L20+J20+H20</f>
        <v>0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s="457" customFormat="1" ht="27" x14ac:dyDescent="0.25">
      <c r="A21" s="17">
        <v>2</v>
      </c>
      <c r="B21" s="213" t="s">
        <v>306</v>
      </c>
      <c r="C21" s="23" t="s">
        <v>307</v>
      </c>
      <c r="D21" s="17" t="s">
        <v>18</v>
      </c>
      <c r="E21" s="17"/>
      <c r="F21" s="20">
        <f>9.14+8.51+16.77+4.81</f>
        <v>39.230000000000004</v>
      </c>
      <c r="G21" s="283"/>
      <c r="H21" s="295"/>
      <c r="I21" s="295"/>
      <c r="J21" s="295"/>
      <c r="K21" s="616"/>
      <c r="L21" s="295"/>
      <c r="M21" s="295"/>
      <c r="N21" s="456"/>
    </row>
    <row r="22" spans="1:26" s="53" customFormat="1" x14ac:dyDescent="0.25">
      <c r="A22" s="17"/>
      <c r="B22" s="434"/>
      <c r="C22" s="29" t="s">
        <v>69</v>
      </c>
      <c r="D22" s="24" t="s">
        <v>70</v>
      </c>
      <c r="E22" s="24">
        <v>0.53600000000000003</v>
      </c>
      <c r="F22" s="15">
        <f>F21*E22</f>
        <v>21.027280000000005</v>
      </c>
      <c r="G22" s="617"/>
      <c r="H22" s="286">
        <f>G22*F22</f>
        <v>0</v>
      </c>
      <c r="I22" s="286"/>
      <c r="J22" s="286"/>
      <c r="K22" s="618"/>
      <c r="L22" s="286"/>
      <c r="M22" s="286">
        <f t="shared" ref="M22:M26" si="2">H22+J22+L22</f>
        <v>0</v>
      </c>
    </row>
    <row r="23" spans="1:26" s="53" customFormat="1" x14ac:dyDescent="0.25">
      <c r="A23" s="17"/>
      <c r="B23" s="434"/>
      <c r="C23" s="29" t="s">
        <v>89</v>
      </c>
      <c r="D23" s="24" t="s">
        <v>16</v>
      </c>
      <c r="E23" s="24">
        <f>3.65/100</f>
        <v>3.6499999999999998E-2</v>
      </c>
      <c r="F23" s="15">
        <f>F21*E23</f>
        <v>1.4318950000000001</v>
      </c>
      <c r="G23" s="282"/>
      <c r="H23" s="286"/>
      <c r="I23" s="286"/>
      <c r="J23" s="286"/>
      <c r="K23" s="619"/>
      <c r="L23" s="286">
        <f>F23*K23</f>
        <v>0</v>
      </c>
      <c r="M23" s="286">
        <f t="shared" si="2"/>
        <v>0</v>
      </c>
    </row>
    <row r="24" spans="1:26" s="82" customFormat="1" x14ac:dyDescent="0.25">
      <c r="A24" s="17"/>
      <c r="B24" s="26"/>
      <c r="C24" s="29" t="s">
        <v>394</v>
      </c>
      <c r="D24" s="24" t="s">
        <v>18</v>
      </c>
      <c r="E24" s="24">
        <v>1.049947</v>
      </c>
      <c r="F24" s="15">
        <f>F21*E24</f>
        <v>41.189420810000001</v>
      </c>
      <c r="G24" s="282"/>
      <c r="H24" s="286"/>
      <c r="I24" s="619"/>
      <c r="J24" s="286">
        <f t="shared" ref="J24:J26" si="3">I24*F24</f>
        <v>0</v>
      </c>
      <c r="K24" s="618"/>
      <c r="L24" s="286"/>
      <c r="M24" s="286">
        <f t="shared" si="2"/>
        <v>0</v>
      </c>
      <c r="N24" s="68"/>
    </row>
    <row r="25" spans="1:26" s="66" customFormat="1" ht="13.5" customHeight="1" x14ac:dyDescent="0.25">
      <c r="A25" s="17"/>
      <c r="B25" s="26"/>
      <c r="C25" s="29" t="s">
        <v>308</v>
      </c>
      <c r="D25" s="24" t="s">
        <v>60</v>
      </c>
      <c r="E25" s="24">
        <v>1.07</v>
      </c>
      <c r="F25" s="15">
        <f>F21*E25</f>
        <v>41.97610000000001</v>
      </c>
      <c r="G25" s="282"/>
      <c r="H25" s="286"/>
      <c r="I25" s="619"/>
      <c r="J25" s="286">
        <f t="shared" si="3"/>
        <v>0</v>
      </c>
      <c r="K25" s="618"/>
      <c r="L25" s="286"/>
      <c r="M25" s="286">
        <f t="shared" si="2"/>
        <v>0</v>
      </c>
      <c r="N25" s="69"/>
    </row>
    <row r="26" spans="1:26" s="66" customFormat="1" ht="16.5" customHeight="1" x14ac:dyDescent="0.25">
      <c r="A26" s="17"/>
      <c r="B26" s="434"/>
      <c r="C26" s="29" t="s">
        <v>80</v>
      </c>
      <c r="D26" s="24" t="s">
        <v>16</v>
      </c>
      <c r="E26" s="24">
        <v>0.107</v>
      </c>
      <c r="F26" s="15">
        <f>F21*E26</f>
        <v>4.1976100000000001</v>
      </c>
      <c r="G26" s="282"/>
      <c r="H26" s="286"/>
      <c r="I26" s="619"/>
      <c r="J26" s="286">
        <f t="shared" si="3"/>
        <v>0</v>
      </c>
      <c r="K26" s="618"/>
      <c r="L26" s="286"/>
      <c r="M26" s="286">
        <f t="shared" si="2"/>
        <v>0</v>
      </c>
      <c r="N26" s="69"/>
    </row>
    <row r="27" spans="1:26" s="82" customFormat="1" ht="27" x14ac:dyDescent="0.25">
      <c r="A27" s="17">
        <v>3</v>
      </c>
      <c r="B27" s="213" t="s">
        <v>309</v>
      </c>
      <c r="C27" s="23" t="s">
        <v>310</v>
      </c>
      <c r="D27" s="17" t="s">
        <v>18</v>
      </c>
      <c r="E27" s="17"/>
      <c r="F27" s="20">
        <v>2</v>
      </c>
      <c r="G27" s="620"/>
      <c r="H27" s="620"/>
      <c r="I27" s="295"/>
      <c r="J27" s="295"/>
      <c r="K27" s="295"/>
      <c r="L27" s="295"/>
      <c r="M27" s="612"/>
      <c r="N27" s="68"/>
    </row>
    <row r="28" spans="1:26" s="66" customFormat="1" x14ac:dyDescent="0.25">
      <c r="A28" s="17"/>
      <c r="B28" s="431"/>
      <c r="C28" s="29" t="s">
        <v>69</v>
      </c>
      <c r="D28" s="24" t="s">
        <v>18</v>
      </c>
      <c r="E28" s="24">
        <v>1</v>
      </c>
      <c r="F28" s="15">
        <f>F27*E28</f>
        <v>2</v>
      </c>
      <c r="G28" s="621"/>
      <c r="H28" s="285">
        <f>F28*G28</f>
        <v>0</v>
      </c>
      <c r="I28" s="286"/>
      <c r="J28" s="286"/>
      <c r="K28" s="286"/>
      <c r="L28" s="286"/>
      <c r="M28" s="612">
        <f>H28+J28+L28</f>
        <v>0</v>
      </c>
      <c r="N28" s="69"/>
    </row>
    <row r="29" spans="1:26" s="66" customFormat="1" x14ac:dyDescent="0.25">
      <c r="A29" s="17"/>
      <c r="B29" s="431"/>
      <c r="C29" s="29" t="s">
        <v>78</v>
      </c>
      <c r="D29" s="24" t="s">
        <v>16</v>
      </c>
      <c r="E29" s="24">
        <v>9.4999999999999998E-3</v>
      </c>
      <c r="F29" s="432">
        <f>F27*E29</f>
        <v>1.9E-2</v>
      </c>
      <c r="G29" s="285"/>
      <c r="H29" s="285"/>
      <c r="I29" s="286"/>
      <c r="J29" s="286"/>
      <c r="K29" s="619"/>
      <c r="L29" s="286">
        <f>F29*K29</f>
        <v>0</v>
      </c>
      <c r="M29" s="612">
        <f>H29+J29+L29</f>
        <v>0</v>
      </c>
      <c r="N29" s="69"/>
    </row>
    <row r="30" spans="1:26" s="66" customFormat="1" x14ac:dyDescent="0.25">
      <c r="A30" s="17"/>
      <c r="B30" s="431"/>
      <c r="C30" s="29" t="s">
        <v>311</v>
      </c>
      <c r="D30" s="24" t="s">
        <v>11</v>
      </c>
      <c r="E30" s="24">
        <v>2.0400000000000001E-2</v>
      </c>
      <c r="F30" s="15">
        <f>F27*E30</f>
        <v>4.0800000000000003E-2</v>
      </c>
      <c r="G30" s="285"/>
      <c r="H30" s="285"/>
      <c r="I30" s="621"/>
      <c r="J30" s="286">
        <f t="shared" ref="J30:J32" si="4">I30*F30</f>
        <v>0</v>
      </c>
      <c r="K30" s="286"/>
      <c r="L30" s="286"/>
      <c r="M30" s="612">
        <f>H30+J30+L30</f>
        <v>0</v>
      </c>
      <c r="N30" s="69"/>
    </row>
    <row r="31" spans="1:26" s="53" customFormat="1" ht="15.75" x14ac:dyDescent="0.25">
      <c r="A31" s="433"/>
      <c r="B31" s="431"/>
      <c r="C31" s="11" t="s">
        <v>312</v>
      </c>
      <c r="D31" s="434" t="s">
        <v>313</v>
      </c>
      <c r="E31" s="435">
        <v>1.0149999999999999</v>
      </c>
      <c r="F31" s="13">
        <f>F27*E31</f>
        <v>2.0299999999999998</v>
      </c>
      <c r="G31" s="622"/>
      <c r="H31" s="622"/>
      <c r="I31" s="623"/>
      <c r="J31" s="286">
        <f t="shared" si="4"/>
        <v>0</v>
      </c>
      <c r="K31" s="624"/>
      <c r="L31" s="624"/>
      <c r="M31" s="612">
        <f>H31+J31+L31</f>
        <v>0</v>
      </c>
    </row>
    <row r="32" spans="1:26" s="66" customFormat="1" x14ac:dyDescent="0.25">
      <c r="A32" s="17"/>
      <c r="B32" s="431"/>
      <c r="C32" s="29" t="s">
        <v>80</v>
      </c>
      <c r="D32" s="24" t="s">
        <v>16</v>
      </c>
      <c r="E32" s="24">
        <v>6.3600000000000004E-2</v>
      </c>
      <c r="F32" s="15">
        <f>F27*E32</f>
        <v>0.12720000000000001</v>
      </c>
      <c r="G32" s="622"/>
      <c r="H32" s="622"/>
      <c r="I32" s="623"/>
      <c r="J32" s="286">
        <f t="shared" si="4"/>
        <v>0</v>
      </c>
      <c r="K32" s="286"/>
      <c r="L32" s="286"/>
      <c r="M32" s="612">
        <f>H32+J32+L32</f>
        <v>0</v>
      </c>
      <c r="N32" s="69"/>
    </row>
    <row r="33" spans="1:26" s="287" customFormat="1" ht="17.25" customHeight="1" x14ac:dyDescent="0.25">
      <c r="A33" s="355"/>
      <c r="B33" s="282"/>
      <c r="C33" s="17" t="s">
        <v>396</v>
      </c>
      <c r="D33" s="295"/>
      <c r="E33" s="316"/>
      <c r="F33" s="318"/>
      <c r="G33" s="359"/>
      <c r="H33" s="282"/>
      <c r="I33" s="286"/>
      <c r="J33" s="282"/>
      <c r="K33" s="282"/>
      <c r="L33" s="282"/>
      <c r="M33" s="282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</row>
    <row r="34" spans="1:26" s="515" customFormat="1" ht="25.5" x14ac:dyDescent="0.2">
      <c r="A34" s="509">
        <v>1</v>
      </c>
      <c r="B34" s="35" t="s">
        <v>387</v>
      </c>
      <c r="C34" s="340" t="s">
        <v>388</v>
      </c>
      <c r="D34" s="510" t="s">
        <v>389</v>
      </c>
      <c r="E34" s="511"/>
      <c r="F34" s="507">
        <v>77</v>
      </c>
      <c r="G34" s="512"/>
      <c r="H34" s="341"/>
      <c r="I34" s="513"/>
      <c r="J34" s="341"/>
      <c r="K34" s="513"/>
      <c r="L34" s="341"/>
      <c r="M34" s="514"/>
    </row>
    <row r="35" spans="1:26" s="515" customFormat="1" ht="12.75" x14ac:dyDescent="0.2">
      <c r="A35" s="509"/>
      <c r="B35" s="431"/>
      <c r="C35" s="516" t="s">
        <v>69</v>
      </c>
      <c r="D35" s="517" t="s">
        <v>70</v>
      </c>
      <c r="E35" s="517">
        <f>9.97/100</f>
        <v>9.9700000000000011E-2</v>
      </c>
      <c r="F35" s="518">
        <f>F34*E35</f>
        <v>7.6769000000000007</v>
      </c>
      <c r="G35" s="604"/>
      <c r="H35" s="341">
        <f>F35*G35</f>
        <v>0</v>
      </c>
      <c r="I35" s="625"/>
      <c r="J35" s="625"/>
      <c r="K35" s="513"/>
      <c r="L35" s="341"/>
      <c r="M35" s="514">
        <f t="shared" ref="M35:M37" si="5">H35+J35+L35</f>
        <v>0</v>
      </c>
    </row>
    <row r="36" spans="1:26" s="515" customFormat="1" ht="12.75" x14ac:dyDescent="0.2">
      <c r="A36" s="509"/>
      <c r="B36" s="431"/>
      <c r="C36" s="516" t="s">
        <v>89</v>
      </c>
      <c r="D36" s="517" t="s">
        <v>390</v>
      </c>
      <c r="E36" s="517">
        <f>0.3/100</f>
        <v>3.0000000000000001E-3</v>
      </c>
      <c r="F36" s="518">
        <f>F34*E36</f>
        <v>0.23100000000000001</v>
      </c>
      <c r="G36" s="512"/>
      <c r="H36" s="341"/>
      <c r="I36" s="341"/>
      <c r="J36" s="341"/>
      <c r="K36" s="604"/>
      <c r="L36" s="341">
        <f>F36*K36</f>
        <v>0</v>
      </c>
      <c r="M36" s="514">
        <f t="shared" si="5"/>
        <v>0</v>
      </c>
    </row>
    <row r="37" spans="1:26" s="515" customFormat="1" ht="12.75" x14ac:dyDescent="0.2">
      <c r="A37" s="509"/>
      <c r="B37" s="431"/>
      <c r="C37" s="516" t="s">
        <v>393</v>
      </c>
      <c r="D37" s="517" t="s">
        <v>22</v>
      </c>
      <c r="E37" s="517">
        <f>0.09/100</f>
        <v>8.9999999999999998E-4</v>
      </c>
      <c r="F37" s="518">
        <f>F34*E37</f>
        <v>6.93E-2</v>
      </c>
      <c r="G37" s="625"/>
      <c r="H37" s="625"/>
      <c r="I37" s="607"/>
      <c r="J37" s="341">
        <f>F37*I37</f>
        <v>0</v>
      </c>
      <c r="K37" s="513"/>
      <c r="L37" s="341"/>
      <c r="M37" s="514">
        <f t="shared" si="5"/>
        <v>0</v>
      </c>
    </row>
    <row r="38" spans="1:26" s="211" customFormat="1" ht="27" x14ac:dyDescent="0.25">
      <c r="A38" s="90">
        <v>2</v>
      </c>
      <c r="B38" s="239" t="s">
        <v>31</v>
      </c>
      <c r="C38" s="23" t="s">
        <v>118</v>
      </c>
      <c r="D38" s="240" t="s">
        <v>25</v>
      </c>
      <c r="E38" s="241"/>
      <c r="F38" s="452">
        <v>0.77</v>
      </c>
      <c r="G38" s="319"/>
      <c r="H38" s="319"/>
      <c r="I38" s="319"/>
      <c r="J38" s="319"/>
      <c r="K38" s="319"/>
      <c r="L38" s="319"/>
      <c r="M38" s="614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1:26" s="58" customFormat="1" ht="15.75" x14ac:dyDescent="0.25">
      <c r="A39" s="90"/>
      <c r="B39" s="243"/>
      <c r="C39" s="244" t="s">
        <v>20</v>
      </c>
      <c r="D39" s="245" t="s">
        <v>14</v>
      </c>
      <c r="E39" s="247">
        <v>39.1</v>
      </c>
      <c r="F39" s="247">
        <f>F38*E39</f>
        <v>30.107000000000003</v>
      </c>
      <c r="G39" s="615"/>
      <c r="H39" s="359">
        <f>G39*F39</f>
        <v>0</v>
      </c>
      <c r="I39" s="359"/>
      <c r="J39" s="359"/>
      <c r="K39" s="359"/>
      <c r="L39" s="359"/>
      <c r="M39" s="359">
        <f t="shared" ref="M39:M44" si="6">L39+J39+H39</f>
        <v>0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s="58" customFormat="1" ht="15.75" x14ac:dyDescent="0.25">
      <c r="A40" s="90"/>
      <c r="B40" s="243"/>
      <c r="C40" s="244" t="s">
        <v>21</v>
      </c>
      <c r="D40" s="245" t="s">
        <v>16</v>
      </c>
      <c r="E40" s="247">
        <v>2.84</v>
      </c>
      <c r="F40" s="247">
        <f>F38*E40</f>
        <v>2.1867999999999999</v>
      </c>
      <c r="G40" s="359"/>
      <c r="H40" s="359"/>
      <c r="I40" s="359"/>
      <c r="J40" s="359"/>
      <c r="K40" s="615"/>
      <c r="L40" s="359">
        <f>K40*F40</f>
        <v>0</v>
      </c>
      <c r="M40" s="359">
        <f t="shared" si="6"/>
        <v>0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s="58" customFormat="1" ht="27" x14ac:dyDescent="0.25">
      <c r="A41" s="356"/>
      <c r="B41" s="298"/>
      <c r="C41" s="11" t="s">
        <v>392</v>
      </c>
      <c r="D41" s="245" t="s">
        <v>18</v>
      </c>
      <c r="E41" s="247">
        <v>110</v>
      </c>
      <c r="F41" s="250">
        <f>E41*F38</f>
        <v>84.7</v>
      </c>
      <c r="G41" s="359"/>
      <c r="H41" s="359"/>
      <c r="I41" s="615"/>
      <c r="J41" s="359">
        <f t="shared" ref="J41:J44" si="7">I41*F41</f>
        <v>0</v>
      </c>
      <c r="K41" s="359"/>
      <c r="L41" s="359"/>
      <c r="M41" s="359">
        <f t="shared" si="6"/>
        <v>0</v>
      </c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s="58" customFormat="1" ht="15.75" x14ac:dyDescent="0.25">
      <c r="A42" s="356"/>
      <c r="B42" s="298"/>
      <c r="C42" s="11" t="s">
        <v>26</v>
      </c>
      <c r="D42" s="245" t="s">
        <v>22</v>
      </c>
      <c r="E42" s="247">
        <v>7.2</v>
      </c>
      <c r="F42" s="250">
        <f>E42*F38</f>
        <v>5.5440000000000005</v>
      </c>
      <c r="G42" s="359"/>
      <c r="H42" s="359"/>
      <c r="I42" s="615"/>
      <c r="J42" s="359">
        <f t="shared" si="7"/>
        <v>0</v>
      </c>
      <c r="K42" s="359"/>
      <c r="L42" s="359"/>
      <c r="M42" s="359">
        <f t="shared" si="6"/>
        <v>0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s="58" customFormat="1" ht="15.75" x14ac:dyDescent="0.25">
      <c r="A43" s="356"/>
      <c r="B43" s="298"/>
      <c r="C43" s="11" t="s">
        <v>32</v>
      </c>
      <c r="D43" s="245" t="s">
        <v>18</v>
      </c>
      <c r="E43" s="247">
        <v>105</v>
      </c>
      <c r="F43" s="230">
        <f>E43*F38</f>
        <v>80.850000000000009</v>
      </c>
      <c r="G43" s="359"/>
      <c r="H43" s="359"/>
      <c r="I43" s="615"/>
      <c r="J43" s="359">
        <f t="shared" si="7"/>
        <v>0</v>
      </c>
      <c r="K43" s="359"/>
      <c r="L43" s="359"/>
      <c r="M43" s="359">
        <f t="shared" si="6"/>
        <v>0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s="58" customFormat="1" ht="15.75" x14ac:dyDescent="0.25">
      <c r="A44" s="356"/>
      <c r="B44" s="298"/>
      <c r="C44" s="11" t="s">
        <v>24</v>
      </c>
      <c r="D44" s="245" t="s">
        <v>16</v>
      </c>
      <c r="E44" s="247">
        <v>0.55000000000000004</v>
      </c>
      <c r="F44" s="249">
        <f>E44*F38</f>
        <v>0.42350000000000004</v>
      </c>
      <c r="G44" s="359"/>
      <c r="H44" s="359"/>
      <c r="I44" s="615"/>
      <c r="J44" s="359">
        <f t="shared" si="7"/>
        <v>0</v>
      </c>
      <c r="K44" s="359"/>
      <c r="L44" s="359"/>
      <c r="M44" s="359">
        <f t="shared" si="6"/>
        <v>0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s="140" customFormat="1" ht="17.25" customHeight="1" x14ac:dyDescent="0.25">
      <c r="A45" s="519">
        <v>3</v>
      </c>
      <c r="B45" s="239" t="s">
        <v>33</v>
      </c>
      <c r="C45" s="23" t="s">
        <v>34</v>
      </c>
      <c r="D45" s="17" t="s">
        <v>25</v>
      </c>
      <c r="E45" s="520"/>
      <c r="F45" s="452">
        <v>0.7</v>
      </c>
      <c r="G45" s="359"/>
      <c r="H45" s="359"/>
      <c r="I45" s="359"/>
      <c r="J45" s="359"/>
      <c r="K45" s="359"/>
      <c r="L45" s="359"/>
      <c r="M45" s="614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s="58" customFormat="1" ht="17.25" customHeight="1" x14ac:dyDescent="0.25">
      <c r="A46" s="90"/>
      <c r="B46" s="243"/>
      <c r="C46" s="244" t="s">
        <v>35</v>
      </c>
      <c r="D46" s="245" t="s">
        <v>14</v>
      </c>
      <c r="E46" s="246">
        <v>39.1</v>
      </c>
      <c r="F46" s="247">
        <f>E46*F45</f>
        <v>27.37</v>
      </c>
      <c r="G46" s="615"/>
      <c r="H46" s="359">
        <f>F46*G46</f>
        <v>0</v>
      </c>
      <c r="I46" s="359"/>
      <c r="J46" s="359"/>
      <c r="K46" s="359"/>
      <c r="L46" s="359"/>
      <c r="M46" s="626">
        <f>H46+J46+L46</f>
        <v>0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58" customFormat="1" ht="17.25" customHeight="1" x14ac:dyDescent="0.25">
      <c r="A47" s="90"/>
      <c r="B47" s="243"/>
      <c r="C47" s="244" t="s">
        <v>21</v>
      </c>
      <c r="D47" s="245" t="s">
        <v>16</v>
      </c>
      <c r="E47" s="248">
        <v>2.84</v>
      </c>
      <c r="F47" s="247">
        <f>E47*F45</f>
        <v>1.9879999999999998</v>
      </c>
      <c r="G47" s="359"/>
      <c r="H47" s="359"/>
      <c r="I47" s="359"/>
      <c r="J47" s="359"/>
      <c r="K47" s="615"/>
      <c r="L47" s="359">
        <f>K47*F47</f>
        <v>0</v>
      </c>
      <c r="M47" s="626">
        <f>H47+J47+L47</f>
        <v>0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s="58" customFormat="1" ht="17.25" customHeight="1" x14ac:dyDescent="0.25">
      <c r="A48" s="356"/>
      <c r="B48" s="521"/>
      <c r="C48" s="244" t="s">
        <v>117</v>
      </c>
      <c r="D48" s="245" t="s">
        <v>18</v>
      </c>
      <c r="E48" s="246">
        <f>1.43/0.013</f>
        <v>110</v>
      </c>
      <c r="F48" s="247">
        <f>E48*F45</f>
        <v>77</v>
      </c>
      <c r="G48" s="359"/>
      <c r="H48" s="359"/>
      <c r="I48" s="615"/>
      <c r="J48" s="359">
        <f>I48*F48</f>
        <v>0</v>
      </c>
      <c r="K48" s="359"/>
      <c r="L48" s="359"/>
      <c r="M48" s="626">
        <f>H48+J48+L48</f>
        <v>0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s="58" customFormat="1" ht="17.25" customHeight="1" x14ac:dyDescent="0.25">
      <c r="A49" s="356"/>
      <c r="B49" s="298"/>
      <c r="C49" s="244" t="s">
        <v>26</v>
      </c>
      <c r="D49" s="245" t="s">
        <v>22</v>
      </c>
      <c r="E49" s="248">
        <v>7.2</v>
      </c>
      <c r="F49" s="247">
        <f>E49*F45</f>
        <v>5.04</v>
      </c>
      <c r="G49" s="359"/>
      <c r="H49" s="359"/>
      <c r="I49" s="615"/>
      <c r="J49" s="359">
        <f>I49*F49</f>
        <v>0</v>
      </c>
      <c r="K49" s="359"/>
      <c r="L49" s="359"/>
      <c r="M49" s="626">
        <f>H49+J49+L49</f>
        <v>0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s="58" customFormat="1" ht="17.25" customHeight="1" x14ac:dyDescent="0.25">
      <c r="A50" s="90"/>
      <c r="B50" s="243"/>
      <c r="C50" s="244" t="s">
        <v>24</v>
      </c>
      <c r="D50" s="245" t="s">
        <v>16</v>
      </c>
      <c r="E50" s="248">
        <v>0.55000000000000004</v>
      </c>
      <c r="F50" s="522">
        <f>E50*F45</f>
        <v>0.38500000000000001</v>
      </c>
      <c r="G50" s="359"/>
      <c r="H50" s="359"/>
      <c r="I50" s="615"/>
      <c r="J50" s="359">
        <f>I50*F50</f>
        <v>0</v>
      </c>
      <c r="K50" s="359"/>
      <c r="L50" s="359"/>
      <c r="M50" s="626">
        <f>H50+J50+L50</f>
        <v>0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s="529" customFormat="1" ht="17.25" customHeight="1" x14ac:dyDescent="0.25">
      <c r="A51" s="523">
        <v>4</v>
      </c>
      <c r="B51" s="524" t="s">
        <v>36</v>
      </c>
      <c r="C51" s="525" t="s">
        <v>37</v>
      </c>
      <c r="D51" s="526" t="s">
        <v>38</v>
      </c>
      <c r="E51" s="527"/>
      <c r="F51" s="528">
        <v>63</v>
      </c>
      <c r="G51" s="627"/>
      <c r="H51" s="627"/>
      <c r="I51" s="627"/>
      <c r="J51" s="627"/>
      <c r="K51" s="627"/>
      <c r="L51" s="627"/>
      <c r="M51" s="628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</row>
    <row r="52" spans="1:26" s="58" customFormat="1" ht="17.25" customHeight="1" x14ac:dyDescent="0.25">
      <c r="A52" s="90"/>
      <c r="B52" s="243"/>
      <c r="C52" s="244" t="s">
        <v>39</v>
      </c>
      <c r="D52" s="245" t="s">
        <v>40</v>
      </c>
      <c r="E52" s="248">
        <v>0.16200000000000001</v>
      </c>
      <c r="F52" s="247">
        <f>F51*E52</f>
        <v>10.206</v>
      </c>
      <c r="G52" s="615"/>
      <c r="H52" s="359">
        <f>F52*G52</f>
        <v>0</v>
      </c>
      <c r="I52" s="359"/>
      <c r="J52" s="359"/>
      <c r="K52" s="359"/>
      <c r="L52" s="359"/>
      <c r="M52" s="626">
        <f>H52+J52+L52</f>
        <v>0</v>
      </c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s="534" customFormat="1" ht="17.25" customHeight="1" x14ac:dyDescent="0.25">
      <c r="A53" s="90"/>
      <c r="B53" s="531"/>
      <c r="C53" s="252" t="s">
        <v>15</v>
      </c>
      <c r="D53" s="532" t="s">
        <v>16</v>
      </c>
      <c r="E53" s="533">
        <v>2.9999999999999997E-4</v>
      </c>
      <c r="F53" s="250">
        <f>E53*F51</f>
        <v>1.8899999999999997E-2</v>
      </c>
      <c r="G53" s="359"/>
      <c r="H53" s="359"/>
      <c r="I53" s="359"/>
      <c r="J53" s="359"/>
      <c r="K53" s="615"/>
      <c r="L53" s="359">
        <f>F53*K53</f>
        <v>0</v>
      </c>
      <c r="M53" s="629">
        <f>H53+J53+L53</f>
        <v>0</v>
      </c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</row>
    <row r="54" spans="1:26" s="534" customFormat="1" ht="17.25" customHeight="1" x14ac:dyDescent="0.25">
      <c r="A54" s="90"/>
      <c r="B54" s="521"/>
      <c r="C54" s="252" t="s">
        <v>119</v>
      </c>
      <c r="D54" s="532" t="s">
        <v>38</v>
      </c>
      <c r="E54" s="230">
        <v>1.05</v>
      </c>
      <c r="F54" s="250">
        <f>E54*F51</f>
        <v>66.150000000000006</v>
      </c>
      <c r="G54" s="359"/>
      <c r="H54" s="359"/>
      <c r="I54" s="615"/>
      <c r="J54" s="359">
        <f t="shared" ref="J54:J55" si="8">I54*F54</f>
        <v>0</v>
      </c>
      <c r="K54" s="359"/>
      <c r="L54" s="359"/>
      <c r="M54" s="629">
        <f t="shared" ref="M54:M55" si="9">H54+J54+L54</f>
        <v>0</v>
      </c>
      <c r="O54" s="535"/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</row>
    <row r="55" spans="1:26" s="534" customFormat="1" ht="17.25" customHeight="1" x14ac:dyDescent="0.25">
      <c r="A55" s="356"/>
      <c r="B55" s="531"/>
      <c r="C55" s="252" t="s">
        <v>42</v>
      </c>
      <c r="D55" s="532" t="s">
        <v>29</v>
      </c>
      <c r="E55" s="230">
        <v>2</v>
      </c>
      <c r="F55" s="250">
        <f>E55*F51</f>
        <v>126</v>
      </c>
      <c r="G55" s="359"/>
      <c r="H55" s="359"/>
      <c r="I55" s="615"/>
      <c r="J55" s="359">
        <f t="shared" si="8"/>
        <v>0</v>
      </c>
      <c r="K55" s="359"/>
      <c r="L55" s="359"/>
      <c r="M55" s="629">
        <f t="shared" si="9"/>
        <v>0</v>
      </c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</row>
    <row r="56" spans="1:26" s="541" customFormat="1" ht="35.25" customHeight="1" x14ac:dyDescent="0.25">
      <c r="A56" s="536">
        <v>5</v>
      </c>
      <c r="B56" s="537"/>
      <c r="C56" s="538" t="s">
        <v>43</v>
      </c>
      <c r="D56" s="539" t="s">
        <v>18</v>
      </c>
      <c r="E56" s="540"/>
      <c r="F56" s="540">
        <v>272</v>
      </c>
      <c r="G56" s="630"/>
      <c r="H56" s="630"/>
      <c r="I56" s="630"/>
      <c r="J56" s="630"/>
      <c r="K56" s="630"/>
      <c r="L56" s="630"/>
      <c r="M56" s="631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</row>
    <row r="57" spans="1:26" s="58" customFormat="1" ht="17.25" customHeight="1" x14ac:dyDescent="0.25">
      <c r="A57" s="90"/>
      <c r="B57" s="243" t="s">
        <v>27</v>
      </c>
      <c r="C57" s="244" t="s">
        <v>12</v>
      </c>
      <c r="D57" s="245" t="s">
        <v>18</v>
      </c>
      <c r="E57" s="246">
        <v>1</v>
      </c>
      <c r="F57" s="247">
        <f>F56*E57</f>
        <v>272</v>
      </c>
      <c r="G57" s="615"/>
      <c r="H57" s="359">
        <f>F57*G57</f>
        <v>0</v>
      </c>
      <c r="I57" s="359"/>
      <c r="J57" s="359"/>
      <c r="K57" s="359"/>
      <c r="L57" s="359"/>
      <c r="M57" s="626">
        <f>H57+J57+L57</f>
        <v>0</v>
      </c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s="58" customFormat="1" ht="17.25" customHeight="1" x14ac:dyDescent="0.25">
      <c r="A58" s="90"/>
      <c r="B58" s="33"/>
      <c r="C58" s="244" t="s">
        <v>44</v>
      </c>
      <c r="D58" s="245" t="s">
        <v>18</v>
      </c>
      <c r="E58" s="248">
        <v>0.05</v>
      </c>
      <c r="F58" s="454">
        <f>E58*F56</f>
        <v>13.600000000000001</v>
      </c>
      <c r="G58" s="359"/>
      <c r="H58" s="359"/>
      <c r="I58" s="615"/>
      <c r="J58" s="359">
        <f>F58*I58</f>
        <v>0</v>
      </c>
      <c r="K58" s="359"/>
      <c r="L58" s="359"/>
      <c r="M58" s="626">
        <f>H58+J58+L58</f>
        <v>0</v>
      </c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s="58" customFormat="1" ht="17.25" customHeight="1" x14ac:dyDescent="0.25">
      <c r="A59" s="356"/>
      <c r="B59" s="33"/>
      <c r="C59" s="244" t="s">
        <v>176</v>
      </c>
      <c r="D59" s="245" t="s">
        <v>22</v>
      </c>
      <c r="E59" s="248">
        <v>0.1</v>
      </c>
      <c r="F59" s="454">
        <f>E59*F56</f>
        <v>27.200000000000003</v>
      </c>
      <c r="G59" s="359"/>
      <c r="H59" s="359"/>
      <c r="I59" s="615"/>
      <c r="J59" s="359">
        <f>F59*I59</f>
        <v>0</v>
      </c>
      <c r="K59" s="359"/>
      <c r="L59" s="359"/>
      <c r="M59" s="626">
        <f>H59+J59+L59</f>
        <v>0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s="287" customFormat="1" ht="17.25" customHeight="1" x14ac:dyDescent="0.25">
      <c r="A60" s="355"/>
      <c r="B60" s="282"/>
      <c r="C60" s="17" t="s">
        <v>397</v>
      </c>
      <c r="D60" s="295"/>
      <c r="E60" s="316"/>
      <c r="F60" s="318"/>
      <c r="G60" s="359"/>
      <c r="H60" s="282"/>
      <c r="I60" s="286"/>
      <c r="J60" s="282"/>
      <c r="K60" s="282"/>
      <c r="L60" s="282"/>
      <c r="M60" s="282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</row>
    <row r="61" spans="1:26" s="211" customFormat="1" ht="17.25" customHeight="1" x14ac:dyDescent="0.25">
      <c r="A61" s="90">
        <v>1</v>
      </c>
      <c r="B61" s="239" t="s">
        <v>46</v>
      </c>
      <c r="C61" s="23" t="s">
        <v>47</v>
      </c>
      <c r="D61" s="240" t="s">
        <v>25</v>
      </c>
      <c r="E61" s="241"/>
      <c r="F61" s="452">
        <v>0.25</v>
      </c>
      <c r="G61" s="319"/>
      <c r="H61" s="319"/>
      <c r="I61" s="319"/>
      <c r="J61" s="319"/>
      <c r="K61" s="319"/>
      <c r="L61" s="319"/>
      <c r="M61" s="614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</row>
    <row r="62" spans="1:26" s="58" customFormat="1" ht="15.75" x14ac:dyDescent="0.25">
      <c r="A62" s="90"/>
      <c r="B62" s="243"/>
      <c r="C62" s="244" t="s">
        <v>20</v>
      </c>
      <c r="D62" s="245" t="s">
        <v>14</v>
      </c>
      <c r="E62" s="247">
        <v>23.6</v>
      </c>
      <c r="F62" s="247">
        <f>F61*E62</f>
        <v>5.9</v>
      </c>
      <c r="G62" s="615"/>
      <c r="H62" s="359">
        <f>G62*F62</f>
        <v>0</v>
      </c>
      <c r="I62" s="359"/>
      <c r="J62" s="359"/>
      <c r="K62" s="359"/>
      <c r="L62" s="359"/>
      <c r="M62" s="626">
        <f t="shared" ref="M62:M65" si="10">L62+J62+H62</f>
        <v>0</v>
      </c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s="58" customFormat="1" ht="15.75" x14ac:dyDescent="0.25">
      <c r="A63" s="90"/>
      <c r="B63" s="243"/>
      <c r="C63" s="244" t="s">
        <v>21</v>
      </c>
      <c r="D63" s="245" t="s">
        <v>16</v>
      </c>
      <c r="E63" s="247">
        <v>2.25</v>
      </c>
      <c r="F63" s="247">
        <f>F61*E63</f>
        <v>0.5625</v>
      </c>
      <c r="G63" s="359"/>
      <c r="H63" s="359"/>
      <c r="I63" s="359"/>
      <c r="J63" s="359"/>
      <c r="K63" s="615"/>
      <c r="L63" s="359">
        <f>K63*F63</f>
        <v>0</v>
      </c>
      <c r="M63" s="626">
        <f t="shared" si="10"/>
        <v>0</v>
      </c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s="58" customFormat="1" ht="15.75" x14ac:dyDescent="0.25">
      <c r="A64" s="356"/>
      <c r="B64" s="521"/>
      <c r="C64" s="11" t="s">
        <v>71</v>
      </c>
      <c r="D64" s="245" t="s">
        <v>18</v>
      </c>
      <c r="E64" s="247">
        <f>105</f>
        <v>105</v>
      </c>
      <c r="F64" s="250">
        <f>E64*F61</f>
        <v>26.25</v>
      </c>
      <c r="G64" s="359"/>
      <c r="H64" s="359"/>
      <c r="I64" s="615"/>
      <c r="J64" s="359">
        <f t="shared" ref="J64:J65" si="11">I64*F64</f>
        <v>0</v>
      </c>
      <c r="K64" s="359"/>
      <c r="L64" s="359"/>
      <c r="M64" s="626">
        <f t="shared" si="10"/>
        <v>0</v>
      </c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s="58" customFormat="1" ht="15.75" x14ac:dyDescent="0.25">
      <c r="A65" s="356"/>
      <c r="B65" s="298"/>
      <c r="C65" s="11" t="s">
        <v>24</v>
      </c>
      <c r="D65" s="245" t="s">
        <v>16</v>
      </c>
      <c r="E65" s="247">
        <v>1.28</v>
      </c>
      <c r="F65" s="249">
        <f>E65*F61</f>
        <v>0.32</v>
      </c>
      <c r="G65" s="359"/>
      <c r="H65" s="359"/>
      <c r="I65" s="615"/>
      <c r="J65" s="359">
        <f t="shared" si="11"/>
        <v>0</v>
      </c>
      <c r="K65" s="359"/>
      <c r="L65" s="359"/>
      <c r="M65" s="626">
        <f t="shared" si="10"/>
        <v>0</v>
      </c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s="529" customFormat="1" ht="17.25" customHeight="1" x14ac:dyDescent="0.25">
      <c r="A66" s="523">
        <v>2</v>
      </c>
      <c r="B66" s="524" t="s">
        <v>36</v>
      </c>
      <c r="C66" s="525" t="s">
        <v>48</v>
      </c>
      <c r="D66" s="543" t="s">
        <v>38</v>
      </c>
      <c r="E66" s="527"/>
      <c r="F66" s="528">
        <v>12</v>
      </c>
      <c r="G66" s="627"/>
      <c r="H66" s="627"/>
      <c r="I66" s="627"/>
      <c r="J66" s="627"/>
      <c r="K66" s="627"/>
      <c r="L66" s="627"/>
      <c r="M66" s="628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</row>
    <row r="67" spans="1:26" s="58" customFormat="1" ht="15.75" x14ac:dyDescent="0.25">
      <c r="A67" s="90"/>
      <c r="B67" s="243"/>
      <c r="C67" s="244" t="s">
        <v>39</v>
      </c>
      <c r="D67" s="245" t="s">
        <v>40</v>
      </c>
      <c r="E67" s="248">
        <v>0.16200000000000001</v>
      </c>
      <c r="F67" s="247">
        <f>F66*E67</f>
        <v>1.944</v>
      </c>
      <c r="G67" s="615"/>
      <c r="H67" s="359">
        <f>F67*G67</f>
        <v>0</v>
      </c>
      <c r="I67" s="359"/>
      <c r="J67" s="359"/>
      <c r="K67" s="359"/>
      <c r="L67" s="359"/>
      <c r="M67" s="626">
        <f>H67+J67+L67</f>
        <v>0</v>
      </c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s="534" customFormat="1" ht="12.75" x14ac:dyDescent="0.25">
      <c r="A68" s="90"/>
      <c r="B68" s="531"/>
      <c r="C68" s="252" t="s">
        <v>15</v>
      </c>
      <c r="D68" s="532" t="s">
        <v>16</v>
      </c>
      <c r="E68" s="533">
        <v>2.9999999999999997E-4</v>
      </c>
      <c r="F68" s="250">
        <f>E68*F66</f>
        <v>3.5999999999999999E-3</v>
      </c>
      <c r="G68" s="359"/>
      <c r="H68" s="359"/>
      <c r="I68" s="359"/>
      <c r="J68" s="359"/>
      <c r="K68" s="615"/>
      <c r="L68" s="359">
        <f>F68*K68</f>
        <v>0</v>
      </c>
      <c r="M68" s="629">
        <f>H68+J68+L68</f>
        <v>0</v>
      </c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</row>
    <row r="69" spans="1:26" s="534" customFormat="1" ht="12.75" x14ac:dyDescent="0.25">
      <c r="A69" s="90"/>
      <c r="B69" s="521"/>
      <c r="C69" s="252" t="s">
        <v>41</v>
      </c>
      <c r="D69" s="532" t="s">
        <v>38</v>
      </c>
      <c r="E69" s="230">
        <v>1.05</v>
      </c>
      <c r="F69" s="250">
        <f>E69*F66</f>
        <v>12.600000000000001</v>
      </c>
      <c r="G69" s="359"/>
      <c r="H69" s="359"/>
      <c r="I69" s="615"/>
      <c r="J69" s="359">
        <f t="shared" ref="J69:J70" si="12">I69*F69</f>
        <v>0</v>
      </c>
      <c r="K69" s="359"/>
      <c r="L69" s="359"/>
      <c r="M69" s="629">
        <f t="shared" ref="M69:M70" si="13">H69+J69+L69</f>
        <v>0</v>
      </c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</row>
    <row r="70" spans="1:26" s="534" customFormat="1" ht="12.75" x14ac:dyDescent="0.25">
      <c r="A70" s="90"/>
      <c r="B70" s="531"/>
      <c r="C70" s="252" t="s">
        <v>42</v>
      </c>
      <c r="D70" s="532" t="s">
        <v>29</v>
      </c>
      <c r="E70" s="230">
        <v>2</v>
      </c>
      <c r="F70" s="250">
        <f>E70*F66</f>
        <v>24</v>
      </c>
      <c r="G70" s="359"/>
      <c r="H70" s="359"/>
      <c r="I70" s="615"/>
      <c r="J70" s="359">
        <f t="shared" si="12"/>
        <v>0</v>
      </c>
      <c r="K70" s="359"/>
      <c r="L70" s="359"/>
      <c r="M70" s="629">
        <f t="shared" si="13"/>
        <v>0</v>
      </c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</row>
    <row r="71" spans="1:26" s="541" customFormat="1" ht="40.5" x14ac:dyDescent="0.25">
      <c r="A71" s="536">
        <v>3</v>
      </c>
      <c r="B71" s="544" t="s">
        <v>72</v>
      </c>
      <c r="C71" s="538" t="s">
        <v>75</v>
      </c>
      <c r="D71" s="240" t="s">
        <v>25</v>
      </c>
      <c r="E71" s="241"/>
      <c r="F71" s="452">
        <v>0.48</v>
      </c>
      <c r="G71" s="630"/>
      <c r="H71" s="630"/>
      <c r="I71" s="630"/>
      <c r="J71" s="630"/>
      <c r="K71" s="630"/>
      <c r="L71" s="630"/>
      <c r="M71" s="631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</row>
    <row r="72" spans="1:26" s="58" customFormat="1" ht="15.75" x14ac:dyDescent="0.25">
      <c r="A72" s="90"/>
      <c r="B72" s="243"/>
      <c r="C72" s="244" t="s">
        <v>28</v>
      </c>
      <c r="D72" s="245" t="s">
        <v>53</v>
      </c>
      <c r="E72" s="246">
        <f>4.24*2</f>
        <v>8.48</v>
      </c>
      <c r="F72" s="247">
        <f>F71*E72</f>
        <v>4.0704000000000002</v>
      </c>
      <c r="G72" s="615"/>
      <c r="H72" s="359">
        <f>F72*G72</f>
        <v>0</v>
      </c>
      <c r="I72" s="359"/>
      <c r="J72" s="359"/>
      <c r="K72" s="359"/>
      <c r="L72" s="359"/>
      <c r="M72" s="626">
        <f>H72+J72+L72</f>
        <v>0</v>
      </c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s="58" customFormat="1" ht="15.75" x14ac:dyDescent="0.2">
      <c r="A73" s="90"/>
      <c r="B73" s="531"/>
      <c r="C73" s="244" t="s">
        <v>73</v>
      </c>
      <c r="D73" s="177" t="s">
        <v>16</v>
      </c>
      <c r="E73" s="248">
        <f>0.21*2</f>
        <v>0.42</v>
      </c>
      <c r="F73" s="454">
        <f>E73*F71</f>
        <v>0.20159999999999997</v>
      </c>
      <c r="G73" s="359"/>
      <c r="H73" s="359"/>
      <c r="I73" s="359"/>
      <c r="J73" s="359"/>
      <c r="K73" s="632"/>
      <c r="L73" s="633">
        <f t="shared" ref="L73" si="14">F73*K73</f>
        <v>0</v>
      </c>
      <c r="M73" s="626">
        <f>H73+J73+L73</f>
        <v>0</v>
      </c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s="58" customFormat="1" ht="15.75" x14ac:dyDescent="0.25">
      <c r="A74" s="90"/>
      <c r="B74" s="33"/>
      <c r="C74" s="244" t="s">
        <v>44</v>
      </c>
      <c r="D74" s="245" t="s">
        <v>18</v>
      </c>
      <c r="E74" s="248">
        <v>0.05</v>
      </c>
      <c r="F74" s="454">
        <f>E74*F71</f>
        <v>2.4E-2</v>
      </c>
      <c r="G74" s="359"/>
      <c r="H74" s="359"/>
      <c r="I74" s="615"/>
      <c r="J74" s="359">
        <f>F74*I74</f>
        <v>0</v>
      </c>
      <c r="K74" s="359"/>
      <c r="L74" s="359"/>
      <c r="M74" s="626">
        <f>H74+J74+L74</f>
        <v>0</v>
      </c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s="58" customFormat="1" ht="15.75" x14ac:dyDescent="0.25">
      <c r="A75" s="90"/>
      <c r="B75" s="33"/>
      <c r="C75" s="244" t="s">
        <v>74</v>
      </c>
      <c r="D75" s="245" t="s">
        <v>22</v>
      </c>
      <c r="E75" s="247">
        <v>30</v>
      </c>
      <c r="F75" s="454">
        <f>E75*F71</f>
        <v>14.399999999999999</v>
      </c>
      <c r="G75" s="359"/>
      <c r="H75" s="359"/>
      <c r="I75" s="615"/>
      <c r="J75" s="359">
        <f>F75*I75</f>
        <v>0</v>
      </c>
      <c r="K75" s="359"/>
      <c r="L75" s="359"/>
      <c r="M75" s="626">
        <f>H75+J75+L75</f>
        <v>0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s="287" customFormat="1" ht="21.75" customHeight="1" x14ac:dyDescent="0.25">
      <c r="A76" s="355"/>
      <c r="B76" s="282"/>
      <c r="C76" s="17" t="s">
        <v>398</v>
      </c>
      <c r="D76" s="319"/>
      <c r="E76" s="316"/>
      <c r="F76" s="318"/>
      <c r="G76" s="282"/>
      <c r="H76" s="319"/>
      <c r="I76" s="286"/>
      <c r="J76" s="319"/>
      <c r="K76" s="282"/>
      <c r="L76" s="319"/>
      <c r="M76" s="614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</row>
    <row r="77" spans="1:26" s="63" customFormat="1" x14ac:dyDescent="0.2">
      <c r="A77" s="1">
        <v>1</v>
      </c>
      <c r="B77" s="545" t="s">
        <v>95</v>
      </c>
      <c r="C77" s="78" t="s">
        <v>96</v>
      </c>
      <c r="D77" s="6" t="s">
        <v>18</v>
      </c>
      <c r="E77" s="6"/>
      <c r="F77" s="3">
        <f>(0.9+0.7+0.85+0.85+0.85)*2.2</f>
        <v>9.1300000000000008</v>
      </c>
      <c r="G77" s="634"/>
      <c r="H77" s="612"/>
      <c r="I77" s="612"/>
      <c r="J77" s="612"/>
      <c r="K77" s="635"/>
      <c r="L77" s="612"/>
      <c r="M77" s="612"/>
      <c r="O77" s="60"/>
      <c r="P77" s="64"/>
      <c r="Q77" s="65"/>
      <c r="R77" s="60"/>
      <c r="S77" s="61"/>
      <c r="T77" s="65"/>
      <c r="U77" s="60"/>
      <c r="V77" s="61"/>
      <c r="W77" s="65"/>
      <c r="X77" s="62"/>
      <c r="Y77" s="65"/>
      <c r="Z77" s="65"/>
    </row>
    <row r="78" spans="1:26" s="63" customFormat="1" ht="15.75" customHeight="1" x14ac:dyDescent="0.2">
      <c r="A78" s="1"/>
      <c r="B78" s="546"/>
      <c r="C78" s="22" t="s">
        <v>69</v>
      </c>
      <c r="D78" s="6" t="s">
        <v>70</v>
      </c>
      <c r="E78" s="6">
        <v>1.1599999999999999</v>
      </c>
      <c r="F78" s="5">
        <f>F77*E78</f>
        <v>10.5908</v>
      </c>
      <c r="G78" s="636"/>
      <c r="H78" s="612">
        <f>F78*G78</f>
        <v>0</v>
      </c>
      <c r="I78" s="612"/>
      <c r="J78" s="612"/>
      <c r="K78" s="635"/>
      <c r="L78" s="612"/>
      <c r="M78" s="612">
        <f>H78+J78+L78</f>
        <v>0</v>
      </c>
      <c r="O78" s="60"/>
      <c r="P78" s="61"/>
      <c r="Q78" s="65"/>
      <c r="R78" s="60"/>
      <c r="S78" s="61"/>
      <c r="T78" s="65"/>
      <c r="U78" s="60"/>
      <c r="V78" s="61"/>
      <c r="W78" s="65"/>
      <c r="X78" s="62"/>
      <c r="Y78" s="65"/>
      <c r="Z78" s="65"/>
    </row>
    <row r="79" spans="1:26" s="63" customFormat="1" x14ac:dyDescent="0.2">
      <c r="A79" s="1"/>
      <c r="B79" s="547"/>
      <c r="C79" s="22" t="s">
        <v>89</v>
      </c>
      <c r="D79" s="6" t="s">
        <v>16</v>
      </c>
      <c r="E79" s="6">
        <v>0.13</v>
      </c>
      <c r="F79" s="5">
        <f>F77*E79</f>
        <v>1.1869000000000001</v>
      </c>
      <c r="G79" s="634"/>
      <c r="H79" s="612"/>
      <c r="I79" s="612"/>
      <c r="J79" s="612"/>
      <c r="K79" s="613"/>
      <c r="L79" s="612">
        <f>F79*K79</f>
        <v>0</v>
      </c>
      <c r="M79" s="612">
        <f>H79+J79+L79</f>
        <v>0</v>
      </c>
      <c r="O79" s="60"/>
      <c r="P79" s="61"/>
      <c r="Q79" s="65"/>
      <c r="R79" s="60"/>
      <c r="S79" s="61"/>
      <c r="T79" s="65"/>
      <c r="U79" s="60"/>
      <c r="V79" s="61"/>
      <c r="W79" s="65"/>
      <c r="X79" s="62"/>
      <c r="Y79" s="65"/>
      <c r="Z79" s="65"/>
    </row>
    <row r="80" spans="1:26" s="63" customFormat="1" x14ac:dyDescent="0.2">
      <c r="A80" s="1"/>
      <c r="B80" s="547"/>
      <c r="C80" s="22" t="s">
        <v>79</v>
      </c>
      <c r="D80" s="6"/>
      <c r="E80" s="6"/>
      <c r="F80" s="5"/>
      <c r="G80" s="634"/>
      <c r="H80" s="612"/>
      <c r="I80" s="612"/>
      <c r="J80" s="612"/>
      <c r="K80" s="635"/>
      <c r="L80" s="612"/>
      <c r="M80" s="612"/>
      <c r="O80" s="60"/>
      <c r="P80" s="61"/>
      <c r="Q80" s="65"/>
      <c r="R80" s="60"/>
      <c r="S80" s="61"/>
      <c r="T80" s="65"/>
      <c r="U80" s="60"/>
      <c r="V80" s="61"/>
      <c r="W80" s="65"/>
      <c r="X80" s="62"/>
      <c r="Y80" s="65"/>
      <c r="Z80" s="65"/>
    </row>
    <row r="81" spans="1:256" s="63" customFormat="1" x14ac:dyDescent="0.2">
      <c r="A81" s="1"/>
      <c r="B81" s="10"/>
      <c r="C81" s="22" t="s">
        <v>96</v>
      </c>
      <c r="D81" s="6" t="s">
        <v>18</v>
      </c>
      <c r="E81" s="6">
        <v>1</v>
      </c>
      <c r="F81" s="5">
        <f>F77*E81</f>
        <v>9.1300000000000008</v>
      </c>
      <c r="G81" s="634"/>
      <c r="H81" s="612"/>
      <c r="I81" s="613"/>
      <c r="J81" s="612">
        <f t="shared" ref="J81:J84" si="15">F81*I81</f>
        <v>0</v>
      </c>
      <c r="K81" s="635"/>
      <c r="L81" s="612"/>
      <c r="M81" s="612">
        <f>H81+J81+L81</f>
        <v>0</v>
      </c>
      <c r="O81" s="60"/>
      <c r="P81" s="61"/>
      <c r="Q81" s="65"/>
      <c r="R81" s="60"/>
      <c r="S81" s="61"/>
      <c r="T81" s="65"/>
      <c r="U81" s="60"/>
      <c r="V81" s="61"/>
      <c r="W81" s="65"/>
      <c r="X81" s="62"/>
      <c r="Y81" s="65"/>
      <c r="Z81" s="65"/>
    </row>
    <row r="82" spans="1:256" s="63" customFormat="1" x14ac:dyDescent="0.2">
      <c r="A82" s="1"/>
      <c r="B82" s="10"/>
      <c r="C82" s="22" t="s">
        <v>97</v>
      </c>
      <c r="D82" s="6" t="s">
        <v>11</v>
      </c>
      <c r="E82" s="6">
        <v>8.0000000000000004E-4</v>
      </c>
      <c r="F82" s="5">
        <f>F77*E82</f>
        <v>7.3040000000000006E-3</v>
      </c>
      <c r="G82" s="634"/>
      <c r="H82" s="612"/>
      <c r="I82" s="613"/>
      <c r="J82" s="612">
        <f t="shared" si="15"/>
        <v>0</v>
      </c>
      <c r="K82" s="635"/>
      <c r="L82" s="612"/>
      <c r="M82" s="612">
        <f>H82+J82+L82</f>
        <v>0</v>
      </c>
      <c r="O82" s="60"/>
      <c r="P82" s="61"/>
      <c r="Q82" s="65"/>
      <c r="R82" s="60"/>
      <c r="S82" s="61"/>
      <c r="T82" s="65"/>
      <c r="U82" s="60"/>
      <c r="V82" s="61"/>
      <c r="W82" s="65"/>
      <c r="X82" s="62"/>
      <c r="Y82" s="65"/>
      <c r="Z82" s="65"/>
    </row>
    <row r="83" spans="1:256" s="63" customFormat="1" x14ac:dyDescent="0.2">
      <c r="A83" s="1"/>
      <c r="B83" s="10"/>
      <c r="C83" s="22" t="s">
        <v>98</v>
      </c>
      <c r="D83" s="6" t="s">
        <v>99</v>
      </c>
      <c r="E83" s="6"/>
      <c r="F83" s="5">
        <v>5</v>
      </c>
      <c r="G83" s="634"/>
      <c r="H83" s="612"/>
      <c r="I83" s="613"/>
      <c r="J83" s="612">
        <f t="shared" si="15"/>
        <v>0</v>
      </c>
      <c r="K83" s="635"/>
      <c r="L83" s="612"/>
      <c r="M83" s="612">
        <f>H83+J83+L83</f>
        <v>0</v>
      </c>
      <c r="O83" s="60"/>
      <c r="P83" s="61"/>
      <c r="Q83" s="65"/>
      <c r="R83" s="60"/>
      <c r="S83" s="61"/>
      <c r="T83" s="65"/>
      <c r="U83" s="60"/>
      <c r="V83" s="61"/>
      <c r="W83" s="65"/>
      <c r="X83" s="62"/>
      <c r="Y83" s="65"/>
      <c r="Z83" s="65"/>
    </row>
    <row r="84" spans="1:256" s="63" customFormat="1" ht="17.25" customHeight="1" x14ac:dyDescent="0.2">
      <c r="A84" s="1"/>
      <c r="B84" s="547"/>
      <c r="C84" s="22" t="s">
        <v>80</v>
      </c>
      <c r="D84" s="6" t="s">
        <v>16</v>
      </c>
      <c r="E84" s="6">
        <v>2.06E-2</v>
      </c>
      <c r="F84" s="5">
        <f>F77*E84</f>
        <v>0.18807800000000002</v>
      </c>
      <c r="G84" s="634"/>
      <c r="H84" s="612"/>
      <c r="I84" s="613"/>
      <c r="J84" s="612">
        <f t="shared" si="15"/>
        <v>0</v>
      </c>
      <c r="K84" s="635"/>
      <c r="L84" s="612"/>
      <c r="M84" s="612">
        <f>H84+J84+L84</f>
        <v>0</v>
      </c>
      <c r="O84" s="60"/>
      <c r="P84" s="61"/>
      <c r="Q84" s="65"/>
      <c r="R84" s="60"/>
      <c r="S84" s="61"/>
      <c r="T84" s="65"/>
      <c r="U84" s="60"/>
      <c r="V84" s="61"/>
      <c r="W84" s="65"/>
      <c r="X84" s="62"/>
      <c r="Y84" s="65"/>
      <c r="Z84" s="65"/>
    </row>
    <row r="85" spans="1:256" s="63" customFormat="1" ht="29.25" customHeight="1" x14ac:dyDescent="0.2">
      <c r="A85" s="1">
        <v>2</v>
      </c>
      <c r="B85" s="545" t="s">
        <v>100</v>
      </c>
      <c r="C85" s="2" t="s">
        <v>101</v>
      </c>
      <c r="D85" s="6" t="s">
        <v>18</v>
      </c>
      <c r="E85" s="6"/>
      <c r="F85" s="3">
        <f>F77*2</f>
        <v>18.260000000000002</v>
      </c>
      <c r="G85" s="634"/>
      <c r="H85" s="612"/>
      <c r="I85" s="612"/>
      <c r="J85" s="612"/>
      <c r="K85" s="635"/>
      <c r="L85" s="612"/>
      <c r="M85" s="612"/>
      <c r="O85" s="60"/>
      <c r="P85" s="64"/>
      <c r="Q85" s="65"/>
      <c r="R85" s="60"/>
      <c r="S85" s="61"/>
      <c r="T85" s="65"/>
      <c r="U85" s="60"/>
      <c r="V85" s="61"/>
      <c r="W85" s="65"/>
      <c r="X85" s="62"/>
      <c r="Y85" s="65"/>
      <c r="Z85" s="65"/>
    </row>
    <row r="86" spans="1:256" s="63" customFormat="1" ht="15.75" customHeight="1" x14ac:dyDescent="0.2">
      <c r="A86" s="1"/>
      <c r="B86" s="545"/>
      <c r="C86" s="22" t="s">
        <v>69</v>
      </c>
      <c r="D86" s="6" t="s">
        <v>70</v>
      </c>
      <c r="E86" s="6">
        <v>1</v>
      </c>
      <c r="F86" s="5">
        <f>F85*E86</f>
        <v>18.260000000000002</v>
      </c>
      <c r="G86" s="636"/>
      <c r="H86" s="612">
        <f>F86*G86</f>
        <v>0</v>
      </c>
      <c r="I86" s="612"/>
      <c r="J86" s="612"/>
      <c r="K86" s="635"/>
      <c r="L86" s="612"/>
      <c r="M86" s="612">
        <f>H86+J86+L86</f>
        <v>0</v>
      </c>
      <c r="O86" s="60"/>
      <c r="P86" s="61"/>
      <c r="Q86" s="65"/>
      <c r="R86" s="60"/>
      <c r="S86" s="61"/>
      <c r="T86" s="65"/>
      <c r="U86" s="60"/>
      <c r="V86" s="61"/>
      <c r="W86" s="65"/>
      <c r="X86" s="62"/>
      <c r="Y86" s="65"/>
      <c r="Z86" s="65"/>
    </row>
    <row r="87" spans="1:256" s="63" customFormat="1" x14ac:dyDescent="0.2">
      <c r="A87" s="1"/>
      <c r="B87" s="10"/>
      <c r="C87" s="22" t="s">
        <v>177</v>
      </c>
      <c r="D87" s="6" t="s">
        <v>22</v>
      </c>
      <c r="E87" s="6">
        <v>0.22</v>
      </c>
      <c r="F87" s="5">
        <f>F85*E87</f>
        <v>4.0172000000000008</v>
      </c>
      <c r="G87" s="634"/>
      <c r="H87" s="612"/>
      <c r="I87" s="613"/>
      <c r="J87" s="612">
        <f t="shared" ref="J87:J88" si="16">F87*I87</f>
        <v>0</v>
      </c>
      <c r="K87" s="635"/>
      <c r="L87" s="612"/>
      <c r="M87" s="612">
        <f>H87+J87+L87</f>
        <v>0</v>
      </c>
      <c r="O87" s="60"/>
      <c r="P87" s="61"/>
      <c r="Q87" s="65"/>
      <c r="R87" s="60"/>
      <c r="S87" s="61"/>
      <c r="T87" s="65"/>
      <c r="U87" s="60"/>
      <c r="V87" s="61"/>
      <c r="W87" s="65"/>
      <c r="X87" s="62"/>
      <c r="Y87" s="65"/>
      <c r="Z87" s="65"/>
    </row>
    <row r="88" spans="1:256" s="63" customFormat="1" x14ac:dyDescent="0.2">
      <c r="A88" s="1"/>
      <c r="B88" s="547"/>
      <c r="C88" s="22" t="s">
        <v>178</v>
      </c>
      <c r="D88" s="6" t="s">
        <v>16</v>
      </c>
      <c r="E88" s="6">
        <v>1.1999999999999999E-3</v>
      </c>
      <c r="F88" s="5">
        <f>F85*E88</f>
        <v>2.1912000000000001E-2</v>
      </c>
      <c r="G88" s="634"/>
      <c r="H88" s="612"/>
      <c r="I88" s="613"/>
      <c r="J88" s="612">
        <f t="shared" si="16"/>
        <v>0</v>
      </c>
      <c r="K88" s="635"/>
      <c r="L88" s="612"/>
      <c r="M88" s="612">
        <f>H88+J88+L88</f>
        <v>0</v>
      </c>
      <c r="O88" s="60"/>
      <c r="P88" s="61"/>
      <c r="Q88" s="65"/>
      <c r="R88" s="60"/>
      <c r="S88" s="61"/>
      <c r="T88" s="65"/>
      <c r="U88" s="60"/>
      <c r="V88" s="61"/>
      <c r="W88" s="65"/>
      <c r="X88" s="62"/>
      <c r="Y88" s="65"/>
      <c r="Z88" s="65"/>
    </row>
    <row r="89" spans="1:256" s="66" customFormat="1" x14ac:dyDescent="0.25">
      <c r="A89" s="17">
        <v>3</v>
      </c>
      <c r="B89" s="213" t="s">
        <v>67</v>
      </c>
      <c r="C89" s="23" t="s">
        <v>68</v>
      </c>
      <c r="D89" s="17" t="s">
        <v>18</v>
      </c>
      <c r="E89" s="17"/>
      <c r="F89" s="20">
        <v>11.5</v>
      </c>
      <c r="G89" s="620"/>
      <c r="H89" s="620"/>
      <c r="I89" s="295"/>
      <c r="J89" s="295"/>
      <c r="K89" s="295"/>
      <c r="L89" s="295"/>
      <c r="M89" s="612"/>
      <c r="N89" s="445"/>
      <c r="O89" s="446"/>
      <c r="P89" s="446"/>
      <c r="Q89" s="446"/>
      <c r="R89" s="446"/>
      <c r="S89" s="446"/>
      <c r="T89" s="446"/>
      <c r="U89" s="446"/>
      <c r="V89" s="446"/>
      <c r="W89" s="446"/>
      <c r="X89" s="446"/>
      <c r="Y89" s="446"/>
      <c r="Z89" s="446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7"/>
      <c r="DG89" s="167"/>
      <c r="DH89" s="167"/>
      <c r="DI89" s="167"/>
      <c r="DJ89" s="167"/>
      <c r="DK89" s="167"/>
      <c r="DL89" s="167"/>
      <c r="DM89" s="167"/>
      <c r="DN89" s="167"/>
      <c r="DO89" s="167"/>
      <c r="DP89" s="167"/>
      <c r="DQ89" s="167"/>
      <c r="DR89" s="167"/>
      <c r="DS89" s="167"/>
      <c r="DT89" s="167"/>
      <c r="DU89" s="167"/>
      <c r="DV89" s="167"/>
      <c r="DW89" s="167"/>
      <c r="DX89" s="167"/>
      <c r="DY89" s="167"/>
      <c r="DZ89" s="167"/>
      <c r="EA89" s="167"/>
      <c r="EB89" s="167"/>
      <c r="EC89" s="167"/>
      <c r="ED89" s="167"/>
      <c r="EE89" s="167"/>
      <c r="EF89" s="167"/>
      <c r="EG89" s="167"/>
      <c r="EH89" s="167"/>
      <c r="EI89" s="167"/>
      <c r="EJ89" s="167"/>
      <c r="EK89" s="167"/>
      <c r="EL89" s="167"/>
      <c r="EM89" s="167"/>
      <c r="EN89" s="167"/>
      <c r="EO89" s="167"/>
      <c r="EP89" s="167"/>
      <c r="EQ89" s="167"/>
      <c r="ER89" s="167"/>
      <c r="ES89" s="167"/>
      <c r="ET89" s="167"/>
      <c r="EU89" s="167"/>
      <c r="EV89" s="167"/>
      <c r="EW89" s="167"/>
      <c r="EX89" s="167"/>
      <c r="EY89" s="167"/>
      <c r="EZ89" s="167"/>
      <c r="FA89" s="167"/>
      <c r="FB89" s="167"/>
      <c r="FC89" s="167"/>
      <c r="FD89" s="167"/>
      <c r="FE89" s="167"/>
      <c r="FF89" s="167"/>
      <c r="FG89" s="167"/>
      <c r="FH89" s="167"/>
      <c r="FI89" s="167"/>
      <c r="FJ89" s="167"/>
      <c r="FK89" s="167"/>
      <c r="FL89" s="167"/>
      <c r="FM89" s="167"/>
      <c r="FN89" s="167"/>
      <c r="FO89" s="167"/>
      <c r="FP89" s="167"/>
      <c r="FQ89" s="167"/>
      <c r="FR89" s="167"/>
      <c r="FS89" s="167"/>
      <c r="FT89" s="167"/>
      <c r="FU89" s="167"/>
      <c r="FV89" s="167"/>
      <c r="FW89" s="167"/>
      <c r="FX89" s="167"/>
      <c r="FY89" s="167"/>
      <c r="FZ89" s="167"/>
      <c r="GA89" s="167"/>
      <c r="GB89" s="167"/>
      <c r="GC89" s="167"/>
      <c r="GD89" s="167"/>
      <c r="GE89" s="167"/>
      <c r="GF89" s="167"/>
      <c r="GG89" s="167"/>
      <c r="GH89" s="167"/>
      <c r="GI89" s="167"/>
      <c r="GJ89" s="167"/>
      <c r="GK89" s="167"/>
      <c r="GL89" s="167"/>
      <c r="GM89" s="167"/>
      <c r="GN89" s="167"/>
      <c r="GO89" s="167"/>
      <c r="GP89" s="167"/>
      <c r="GQ89" s="167"/>
      <c r="GR89" s="167"/>
      <c r="GS89" s="167"/>
      <c r="GT89" s="167"/>
      <c r="GU89" s="167"/>
      <c r="GV89" s="167"/>
      <c r="GW89" s="167"/>
      <c r="GX89" s="167"/>
      <c r="GY89" s="167"/>
      <c r="GZ89" s="167"/>
      <c r="HA89" s="167"/>
      <c r="HB89" s="167"/>
      <c r="HC89" s="167"/>
      <c r="HD89" s="167"/>
      <c r="HE89" s="167"/>
      <c r="HF89" s="167"/>
      <c r="HG89" s="167"/>
      <c r="HH89" s="167"/>
      <c r="HI89" s="167"/>
      <c r="HJ89" s="167"/>
      <c r="HK89" s="167"/>
      <c r="HL89" s="167"/>
      <c r="HM89" s="167"/>
      <c r="HN89" s="167"/>
      <c r="HO89" s="167"/>
      <c r="HP89" s="167"/>
      <c r="HQ89" s="167"/>
      <c r="HR89" s="167"/>
      <c r="HS89" s="167"/>
      <c r="HT89" s="167"/>
      <c r="HU89" s="167"/>
      <c r="HV89" s="167"/>
      <c r="HW89" s="167"/>
      <c r="HX89" s="167"/>
      <c r="HY89" s="167"/>
      <c r="HZ89" s="167"/>
      <c r="IA89" s="167"/>
      <c r="IB89" s="167"/>
      <c r="IC89" s="167"/>
      <c r="ID89" s="167"/>
      <c r="IE89" s="167"/>
      <c r="IF89" s="167"/>
      <c r="IG89" s="167"/>
      <c r="IH89" s="167"/>
      <c r="II89" s="167"/>
      <c r="IJ89" s="167"/>
      <c r="IK89" s="167"/>
      <c r="IL89" s="167"/>
      <c r="IM89" s="167"/>
      <c r="IN89" s="167"/>
      <c r="IO89" s="167"/>
      <c r="IP89" s="167"/>
      <c r="IQ89" s="167"/>
      <c r="IR89" s="167"/>
      <c r="IS89" s="167"/>
      <c r="IT89" s="167"/>
      <c r="IU89" s="167"/>
      <c r="IV89" s="167"/>
    </row>
    <row r="90" spans="1:256" s="66" customFormat="1" ht="15.75" customHeight="1" x14ac:dyDescent="0.25">
      <c r="A90" s="1"/>
      <c r="B90" s="33"/>
      <c r="C90" s="8" t="s">
        <v>69</v>
      </c>
      <c r="D90" s="6" t="s">
        <v>70</v>
      </c>
      <c r="E90" s="6">
        <v>2.72</v>
      </c>
      <c r="F90" s="5">
        <f>F89*E90</f>
        <v>31.28</v>
      </c>
      <c r="G90" s="613"/>
      <c r="H90" s="612">
        <f>F90*G90</f>
        <v>0</v>
      </c>
      <c r="I90" s="612"/>
      <c r="J90" s="612"/>
      <c r="K90" s="612"/>
      <c r="L90" s="612"/>
      <c r="M90" s="612">
        <f t="shared" ref="M90:M91" si="17">H90+J90+L90</f>
        <v>0</v>
      </c>
      <c r="N90" s="6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8"/>
      <c r="AN90" s="448"/>
      <c r="AO90" s="448"/>
      <c r="AP90" s="448"/>
      <c r="AQ90" s="448"/>
      <c r="AR90" s="448"/>
      <c r="AS90" s="448"/>
      <c r="AT90" s="448"/>
      <c r="AU90" s="448"/>
      <c r="AV90" s="448"/>
      <c r="AW90" s="448"/>
      <c r="AX90" s="448"/>
      <c r="AY90" s="448"/>
      <c r="AZ90" s="448"/>
      <c r="BA90" s="448"/>
      <c r="BB90" s="448"/>
      <c r="BC90" s="448"/>
      <c r="BD90" s="448"/>
      <c r="BE90" s="448"/>
      <c r="BF90" s="448"/>
      <c r="BG90" s="448"/>
      <c r="BH90" s="448"/>
      <c r="BI90" s="448"/>
      <c r="BJ90" s="448"/>
      <c r="BK90" s="448"/>
      <c r="BL90" s="448"/>
      <c r="BM90" s="448"/>
      <c r="BN90" s="448"/>
      <c r="BO90" s="448"/>
      <c r="BP90" s="448"/>
      <c r="BQ90" s="448"/>
      <c r="BR90" s="448"/>
      <c r="BS90" s="448"/>
      <c r="BT90" s="448"/>
      <c r="BU90" s="448"/>
      <c r="BV90" s="448"/>
      <c r="BW90" s="448"/>
      <c r="BX90" s="448"/>
      <c r="BY90" s="448"/>
      <c r="BZ90" s="448"/>
      <c r="CA90" s="448"/>
      <c r="CB90" s="448"/>
      <c r="CC90" s="448"/>
      <c r="CD90" s="448"/>
      <c r="CE90" s="448"/>
      <c r="CF90" s="448"/>
      <c r="CG90" s="448"/>
      <c r="CH90" s="448"/>
      <c r="CI90" s="448"/>
      <c r="CJ90" s="448"/>
      <c r="CK90" s="448"/>
      <c r="CL90" s="448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8"/>
      <c r="DH90" s="448"/>
      <c r="DI90" s="448"/>
      <c r="DJ90" s="448"/>
      <c r="DK90" s="448"/>
      <c r="DL90" s="448"/>
      <c r="DM90" s="448"/>
      <c r="DN90" s="448"/>
      <c r="DO90" s="448"/>
      <c r="DP90" s="448"/>
      <c r="DQ90" s="448"/>
      <c r="DR90" s="448"/>
      <c r="DS90" s="448"/>
      <c r="DT90" s="448"/>
      <c r="DU90" s="448"/>
      <c r="DV90" s="448"/>
      <c r="DW90" s="448"/>
      <c r="DX90" s="448"/>
      <c r="DY90" s="448"/>
      <c r="DZ90" s="448"/>
      <c r="EA90" s="448"/>
      <c r="EB90" s="448"/>
      <c r="EC90" s="448"/>
      <c r="ED90" s="448"/>
      <c r="EE90" s="448"/>
      <c r="EF90" s="448"/>
      <c r="EG90" s="448"/>
      <c r="EH90" s="448"/>
      <c r="EI90" s="448"/>
      <c r="EJ90" s="448"/>
      <c r="EK90" s="448"/>
      <c r="EL90" s="448"/>
      <c r="EM90" s="448"/>
      <c r="EN90" s="448"/>
      <c r="EO90" s="448"/>
      <c r="EP90" s="448"/>
      <c r="EQ90" s="448"/>
      <c r="ER90" s="448"/>
      <c r="ES90" s="448"/>
      <c r="ET90" s="448"/>
      <c r="EU90" s="448"/>
      <c r="EV90" s="448"/>
      <c r="EW90" s="448"/>
      <c r="EX90" s="448"/>
      <c r="EY90" s="448"/>
      <c r="EZ90" s="448"/>
      <c r="FA90" s="448"/>
      <c r="FB90" s="448"/>
      <c r="FC90" s="448"/>
      <c r="FD90" s="448"/>
      <c r="FE90" s="448"/>
      <c r="FF90" s="448"/>
      <c r="FG90" s="448"/>
      <c r="FH90" s="448"/>
      <c r="FI90" s="448"/>
      <c r="FJ90" s="448"/>
      <c r="FK90" s="448"/>
      <c r="FL90" s="448"/>
      <c r="FM90" s="448"/>
      <c r="FN90" s="448"/>
      <c r="FO90" s="448"/>
      <c r="FP90" s="448"/>
      <c r="FQ90" s="448"/>
      <c r="FR90" s="448"/>
      <c r="FS90" s="448"/>
      <c r="FT90" s="448"/>
      <c r="FU90" s="448"/>
      <c r="FV90" s="448"/>
      <c r="FW90" s="448"/>
      <c r="FX90" s="448"/>
      <c r="FY90" s="448"/>
      <c r="FZ90" s="448"/>
      <c r="GA90" s="448"/>
      <c r="GB90" s="448"/>
      <c r="GC90" s="448"/>
      <c r="GD90" s="448"/>
      <c r="GE90" s="448"/>
      <c r="GF90" s="448"/>
      <c r="GG90" s="448"/>
      <c r="GH90" s="448"/>
      <c r="GI90" s="448"/>
      <c r="GJ90" s="448"/>
      <c r="GK90" s="448"/>
      <c r="GL90" s="448"/>
      <c r="GM90" s="448"/>
      <c r="GN90" s="448"/>
      <c r="GO90" s="448"/>
      <c r="GP90" s="448"/>
      <c r="GQ90" s="448"/>
      <c r="GR90" s="448"/>
      <c r="GS90" s="448"/>
      <c r="GT90" s="448"/>
      <c r="GU90" s="448"/>
      <c r="GV90" s="448"/>
      <c r="GW90" s="448"/>
      <c r="GX90" s="448"/>
      <c r="GY90" s="448"/>
      <c r="GZ90" s="448"/>
      <c r="HA90" s="448"/>
      <c r="HB90" s="448"/>
      <c r="HC90" s="448"/>
      <c r="HD90" s="448"/>
      <c r="HE90" s="448"/>
      <c r="HF90" s="448"/>
      <c r="HG90" s="448"/>
      <c r="HH90" s="448"/>
      <c r="HI90" s="448"/>
      <c r="HJ90" s="448"/>
      <c r="HK90" s="448"/>
      <c r="HL90" s="448"/>
      <c r="HM90" s="448"/>
      <c r="HN90" s="448"/>
      <c r="HO90" s="448"/>
      <c r="HP90" s="448"/>
      <c r="HQ90" s="448"/>
      <c r="HR90" s="448"/>
      <c r="HS90" s="448"/>
      <c r="HT90" s="448"/>
      <c r="HU90" s="448"/>
      <c r="HV90" s="448"/>
      <c r="HW90" s="448"/>
      <c r="HX90" s="448"/>
      <c r="HY90" s="448"/>
      <c r="HZ90" s="448"/>
      <c r="IA90" s="448"/>
      <c r="IB90" s="448"/>
      <c r="IC90" s="448"/>
      <c r="ID90" s="448"/>
      <c r="IE90" s="448"/>
      <c r="IF90" s="448"/>
      <c r="IG90" s="448"/>
      <c r="IH90" s="448"/>
      <c r="II90" s="448"/>
      <c r="IJ90" s="448"/>
      <c r="IK90" s="448"/>
      <c r="IL90" s="448"/>
      <c r="IM90" s="448"/>
      <c r="IN90" s="448"/>
      <c r="IO90" s="448"/>
      <c r="IP90" s="448"/>
      <c r="IQ90" s="448"/>
      <c r="IR90" s="448"/>
      <c r="IS90" s="448"/>
      <c r="IT90" s="448"/>
      <c r="IU90" s="448"/>
      <c r="IV90" s="448"/>
    </row>
    <row r="91" spans="1:256" s="66" customFormat="1" ht="15.75" customHeight="1" x14ac:dyDescent="0.25">
      <c r="A91" s="1"/>
      <c r="B91" s="548"/>
      <c r="C91" s="8" t="s">
        <v>114</v>
      </c>
      <c r="D91" s="6" t="s">
        <v>18</v>
      </c>
      <c r="E91" s="6"/>
      <c r="F91" s="5">
        <f>F89</f>
        <v>11.5</v>
      </c>
      <c r="G91" s="637"/>
      <c r="H91" s="637"/>
      <c r="I91" s="613"/>
      <c r="J91" s="637">
        <f>I91*F91</f>
        <v>0</v>
      </c>
      <c r="K91" s="612"/>
      <c r="L91" s="612"/>
      <c r="M91" s="612">
        <f t="shared" si="17"/>
        <v>0</v>
      </c>
      <c r="N91" s="67"/>
      <c r="O91" s="447"/>
      <c r="P91" s="447"/>
      <c r="Q91" s="447"/>
      <c r="R91" s="447"/>
      <c r="S91" s="447"/>
      <c r="T91" s="447"/>
      <c r="U91" s="447"/>
      <c r="V91" s="447"/>
      <c r="W91" s="447"/>
      <c r="X91" s="447"/>
      <c r="Y91" s="447"/>
      <c r="Z91" s="447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  <c r="BI91" s="448"/>
      <c r="BJ91" s="448"/>
      <c r="BK91" s="448"/>
      <c r="BL91" s="448"/>
      <c r="BM91" s="448"/>
      <c r="BN91" s="448"/>
      <c r="BO91" s="448"/>
      <c r="BP91" s="448"/>
      <c r="BQ91" s="448"/>
      <c r="BR91" s="448"/>
      <c r="BS91" s="448"/>
      <c r="BT91" s="448"/>
      <c r="BU91" s="448"/>
      <c r="BV91" s="448"/>
      <c r="BW91" s="448"/>
      <c r="BX91" s="448"/>
      <c r="BY91" s="448"/>
      <c r="BZ91" s="448"/>
      <c r="CA91" s="448"/>
      <c r="CB91" s="448"/>
      <c r="CC91" s="448"/>
      <c r="CD91" s="448"/>
      <c r="CE91" s="448"/>
      <c r="CF91" s="448"/>
      <c r="CG91" s="448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48"/>
      <c r="CU91" s="448"/>
      <c r="CV91" s="448"/>
      <c r="CW91" s="448"/>
      <c r="CX91" s="448"/>
      <c r="CY91" s="448"/>
      <c r="CZ91" s="448"/>
      <c r="DA91" s="448"/>
      <c r="DB91" s="448"/>
      <c r="DC91" s="448"/>
      <c r="DD91" s="448"/>
      <c r="DE91" s="448"/>
      <c r="DF91" s="448"/>
      <c r="DG91" s="448"/>
      <c r="DH91" s="448"/>
      <c r="DI91" s="448"/>
      <c r="DJ91" s="448"/>
      <c r="DK91" s="448"/>
      <c r="DL91" s="448"/>
      <c r="DM91" s="448"/>
      <c r="DN91" s="448"/>
      <c r="DO91" s="448"/>
      <c r="DP91" s="448"/>
      <c r="DQ91" s="448"/>
      <c r="DR91" s="448"/>
      <c r="DS91" s="448"/>
      <c r="DT91" s="448"/>
      <c r="DU91" s="448"/>
      <c r="DV91" s="448"/>
      <c r="DW91" s="448"/>
      <c r="DX91" s="448"/>
      <c r="DY91" s="448"/>
      <c r="DZ91" s="448"/>
      <c r="EA91" s="448"/>
      <c r="EB91" s="448"/>
      <c r="EC91" s="448"/>
      <c r="ED91" s="448"/>
      <c r="EE91" s="448"/>
      <c r="EF91" s="448"/>
      <c r="EG91" s="448"/>
      <c r="EH91" s="448"/>
      <c r="EI91" s="448"/>
      <c r="EJ91" s="448"/>
      <c r="EK91" s="448"/>
      <c r="EL91" s="448"/>
      <c r="EM91" s="448"/>
      <c r="EN91" s="448"/>
      <c r="EO91" s="448"/>
      <c r="EP91" s="448"/>
      <c r="EQ91" s="448"/>
      <c r="ER91" s="448"/>
      <c r="ES91" s="448"/>
      <c r="ET91" s="448"/>
      <c r="EU91" s="448"/>
      <c r="EV91" s="448"/>
      <c r="EW91" s="448"/>
      <c r="EX91" s="448"/>
      <c r="EY91" s="448"/>
      <c r="EZ91" s="448"/>
      <c r="FA91" s="448"/>
      <c r="FB91" s="448"/>
      <c r="FC91" s="448"/>
      <c r="FD91" s="448"/>
      <c r="FE91" s="448"/>
      <c r="FF91" s="448"/>
      <c r="FG91" s="448"/>
      <c r="FH91" s="448"/>
      <c r="FI91" s="448"/>
      <c r="FJ91" s="448"/>
      <c r="FK91" s="448"/>
      <c r="FL91" s="448"/>
      <c r="FM91" s="448"/>
      <c r="FN91" s="448"/>
      <c r="FO91" s="448"/>
      <c r="FP91" s="448"/>
      <c r="FQ91" s="448"/>
      <c r="FR91" s="448"/>
      <c r="FS91" s="448"/>
      <c r="FT91" s="448"/>
      <c r="FU91" s="448"/>
      <c r="FV91" s="448"/>
      <c r="FW91" s="448"/>
      <c r="FX91" s="448"/>
      <c r="FY91" s="448"/>
      <c r="FZ91" s="448"/>
      <c r="GA91" s="448"/>
      <c r="GB91" s="448"/>
      <c r="GC91" s="448"/>
      <c r="GD91" s="448"/>
      <c r="GE91" s="448"/>
      <c r="GF91" s="448"/>
      <c r="GG91" s="448"/>
      <c r="GH91" s="448"/>
      <c r="GI91" s="448"/>
      <c r="GJ91" s="448"/>
      <c r="GK91" s="448"/>
      <c r="GL91" s="448"/>
      <c r="GM91" s="448"/>
      <c r="GN91" s="448"/>
      <c r="GO91" s="448"/>
      <c r="GP91" s="448"/>
      <c r="GQ91" s="448"/>
      <c r="GR91" s="448"/>
      <c r="GS91" s="448"/>
      <c r="GT91" s="448"/>
      <c r="GU91" s="448"/>
      <c r="GV91" s="448"/>
      <c r="GW91" s="448"/>
      <c r="GX91" s="448"/>
      <c r="GY91" s="448"/>
      <c r="GZ91" s="448"/>
      <c r="HA91" s="448"/>
      <c r="HB91" s="448"/>
      <c r="HC91" s="448"/>
      <c r="HD91" s="448"/>
      <c r="HE91" s="448"/>
      <c r="HF91" s="448"/>
      <c r="HG91" s="448"/>
      <c r="HH91" s="448"/>
      <c r="HI91" s="448"/>
      <c r="HJ91" s="448"/>
      <c r="HK91" s="448"/>
      <c r="HL91" s="448"/>
      <c r="HM91" s="448"/>
      <c r="HN91" s="448"/>
      <c r="HO91" s="448"/>
      <c r="HP91" s="448"/>
      <c r="HQ91" s="448"/>
      <c r="HR91" s="448"/>
      <c r="HS91" s="448"/>
      <c r="HT91" s="448"/>
      <c r="HU91" s="448"/>
      <c r="HV91" s="448"/>
      <c r="HW91" s="448"/>
      <c r="HX91" s="448"/>
      <c r="HY91" s="448"/>
      <c r="HZ91" s="448"/>
      <c r="IA91" s="448"/>
      <c r="IB91" s="448"/>
      <c r="IC91" s="448"/>
      <c r="ID91" s="448"/>
      <c r="IE91" s="448"/>
      <c r="IF91" s="448"/>
      <c r="IG91" s="448"/>
      <c r="IH91" s="448"/>
      <c r="II91" s="448"/>
      <c r="IJ91" s="448"/>
      <c r="IK91" s="448"/>
      <c r="IL91" s="448"/>
      <c r="IM91" s="448"/>
      <c r="IN91" s="448"/>
      <c r="IO91" s="448"/>
      <c r="IP91" s="448"/>
      <c r="IQ91" s="448"/>
      <c r="IR91" s="448"/>
      <c r="IS91" s="448"/>
      <c r="IT91" s="448"/>
      <c r="IU91" s="448"/>
      <c r="IV91" s="448"/>
    </row>
    <row r="92" spans="1:256" s="51" customFormat="1" ht="32.25" customHeight="1" x14ac:dyDescent="0.25">
      <c r="A92" s="549">
        <v>4</v>
      </c>
      <c r="B92" s="549"/>
      <c r="C92" s="550" t="s">
        <v>200</v>
      </c>
      <c r="D92" s="549" t="s">
        <v>196</v>
      </c>
      <c r="E92" s="399"/>
      <c r="F92" s="551">
        <v>23</v>
      </c>
      <c r="G92" s="286"/>
      <c r="H92" s="286"/>
      <c r="I92" s="286"/>
      <c r="J92" s="286"/>
      <c r="K92" s="286"/>
      <c r="L92" s="286"/>
      <c r="M92" s="286"/>
    </row>
    <row r="93" spans="1:256" s="49" customFormat="1" ht="15" customHeight="1" x14ac:dyDescent="0.25">
      <c r="A93" s="552"/>
      <c r="B93" s="553"/>
      <c r="C93" s="554" t="s">
        <v>197</v>
      </c>
      <c r="D93" s="555" t="s">
        <v>196</v>
      </c>
      <c r="E93" s="556">
        <v>1</v>
      </c>
      <c r="F93" s="556">
        <f>E93*F92</f>
        <v>23</v>
      </c>
      <c r="G93" s="608"/>
      <c r="H93" s="609">
        <f>F93*G93</f>
        <v>0</v>
      </c>
      <c r="I93" s="384"/>
      <c r="J93" s="384"/>
      <c r="K93" s="610"/>
      <c r="L93" s="610"/>
      <c r="M93" s="611">
        <f t="shared" ref="M93:M96" si="18">H93+J93+L93</f>
        <v>0</v>
      </c>
    </row>
    <row r="94" spans="1:256" s="409" customFormat="1" ht="15" customHeight="1" x14ac:dyDescent="0.25">
      <c r="A94" s="557"/>
      <c r="B94" s="558"/>
      <c r="C94" s="559" t="s">
        <v>198</v>
      </c>
      <c r="D94" s="560" t="s">
        <v>190</v>
      </c>
      <c r="E94" s="561">
        <v>15.5</v>
      </c>
      <c r="F94" s="562">
        <f>E94*F92</f>
        <v>356.5</v>
      </c>
      <c r="G94" s="612"/>
      <c r="H94" s="612"/>
      <c r="I94" s="613"/>
      <c r="J94" s="612">
        <f t="shared" ref="J94:J96" si="19">F94*I94</f>
        <v>0</v>
      </c>
      <c r="K94" s="612"/>
      <c r="L94" s="612"/>
      <c r="M94" s="611">
        <f t="shared" si="18"/>
        <v>0</v>
      </c>
    </row>
    <row r="95" spans="1:256" s="409" customFormat="1" ht="15" customHeight="1" x14ac:dyDescent="0.25">
      <c r="A95" s="557"/>
      <c r="B95" s="548"/>
      <c r="C95" s="563" t="s">
        <v>199</v>
      </c>
      <c r="D95" s="564" t="s">
        <v>40</v>
      </c>
      <c r="E95" s="565">
        <v>0.75</v>
      </c>
      <c r="F95" s="565">
        <f>E95*F92</f>
        <v>17.25</v>
      </c>
      <c r="G95" s="638"/>
      <c r="H95" s="638"/>
      <c r="I95" s="639"/>
      <c r="J95" s="611">
        <f t="shared" si="19"/>
        <v>0</v>
      </c>
      <c r="K95" s="638"/>
      <c r="L95" s="638"/>
      <c r="M95" s="638">
        <f t="shared" ref="M95" si="20">L95+J95+H95</f>
        <v>0</v>
      </c>
    </row>
    <row r="96" spans="1:256" s="409" customFormat="1" ht="15" customHeight="1" x14ac:dyDescent="0.25">
      <c r="A96" s="557"/>
      <c r="B96" s="548"/>
      <c r="C96" s="559" t="s">
        <v>246</v>
      </c>
      <c r="D96" s="560" t="s">
        <v>196</v>
      </c>
      <c r="E96" s="561">
        <v>1.03</v>
      </c>
      <c r="F96" s="561">
        <f>E96*F92</f>
        <v>23.69</v>
      </c>
      <c r="G96" s="612"/>
      <c r="H96" s="612"/>
      <c r="I96" s="613"/>
      <c r="J96" s="612">
        <f t="shared" si="19"/>
        <v>0</v>
      </c>
      <c r="K96" s="612"/>
      <c r="L96" s="612"/>
      <c r="M96" s="611">
        <f t="shared" si="18"/>
        <v>0</v>
      </c>
    </row>
    <row r="97" spans="1:26" s="491" customFormat="1" x14ac:dyDescent="0.2">
      <c r="A97" s="1">
        <v>5</v>
      </c>
      <c r="B97" s="566" t="s">
        <v>179</v>
      </c>
      <c r="C97" s="2" t="s">
        <v>92</v>
      </c>
      <c r="D97" s="1" t="s">
        <v>18</v>
      </c>
      <c r="E97" s="1"/>
      <c r="F97" s="3">
        <v>23</v>
      </c>
      <c r="G97" s="640"/>
      <c r="H97" s="370"/>
      <c r="I97" s="370"/>
      <c r="J97" s="370"/>
      <c r="K97" s="641"/>
      <c r="L97" s="370"/>
      <c r="M97" s="370"/>
      <c r="O97" s="484"/>
      <c r="P97" s="485"/>
      <c r="Q97" s="490"/>
      <c r="R97" s="484"/>
      <c r="S97" s="567"/>
      <c r="T97" s="490"/>
      <c r="U97" s="484"/>
      <c r="V97" s="567"/>
      <c r="W97" s="490"/>
      <c r="X97" s="476"/>
      <c r="Y97" s="490"/>
      <c r="Z97" s="490"/>
    </row>
    <row r="98" spans="1:26" s="63" customFormat="1" ht="15" customHeight="1" x14ac:dyDescent="0.2">
      <c r="A98" s="568"/>
      <c r="B98" s="6"/>
      <c r="C98" s="8" t="s">
        <v>69</v>
      </c>
      <c r="D98" s="6" t="s">
        <v>70</v>
      </c>
      <c r="E98" s="6">
        <v>2.23</v>
      </c>
      <c r="F98" s="5">
        <f>F97*E98</f>
        <v>51.29</v>
      </c>
      <c r="G98" s="642"/>
      <c r="H98" s="612">
        <f>F98*G98</f>
        <v>0</v>
      </c>
      <c r="I98" s="612"/>
      <c r="J98" s="612"/>
      <c r="K98" s="635"/>
      <c r="L98" s="612"/>
      <c r="M98" s="612">
        <f t="shared" ref="M98:M103" si="21">H98+J98+L98</f>
        <v>0</v>
      </c>
      <c r="O98" s="60"/>
      <c r="P98" s="61"/>
      <c r="Q98" s="65"/>
      <c r="R98" s="60"/>
      <c r="S98" s="61"/>
      <c r="T98" s="65"/>
      <c r="U98" s="60"/>
      <c r="V98" s="61"/>
      <c r="W98" s="65"/>
      <c r="X98" s="62"/>
      <c r="Y98" s="65"/>
      <c r="Z98" s="65"/>
    </row>
    <row r="99" spans="1:26" s="63" customFormat="1" x14ac:dyDescent="0.2">
      <c r="A99" s="1"/>
      <c r="B99" s="545"/>
      <c r="C99" s="22" t="s">
        <v>89</v>
      </c>
      <c r="D99" s="6" t="s">
        <v>16</v>
      </c>
      <c r="E99" s="6">
        <v>3.1E-2</v>
      </c>
      <c r="F99" s="5">
        <f>F97*E99</f>
        <v>0.71299999999999997</v>
      </c>
      <c r="G99" s="634"/>
      <c r="H99" s="612"/>
      <c r="I99" s="612"/>
      <c r="J99" s="612"/>
      <c r="K99" s="613"/>
      <c r="L99" s="612">
        <f>F99*K99</f>
        <v>0</v>
      </c>
      <c r="M99" s="612">
        <f t="shared" si="21"/>
        <v>0</v>
      </c>
      <c r="O99" s="60"/>
      <c r="P99" s="61"/>
      <c r="Q99" s="65"/>
      <c r="R99" s="60"/>
      <c r="S99" s="61"/>
      <c r="T99" s="65"/>
      <c r="U99" s="60"/>
      <c r="V99" s="61"/>
      <c r="W99" s="65"/>
      <c r="X99" s="62"/>
      <c r="Y99" s="65"/>
      <c r="Z99" s="65"/>
    </row>
    <row r="100" spans="1:26" s="63" customFormat="1" x14ac:dyDescent="0.2">
      <c r="A100" s="1"/>
      <c r="B100" s="33"/>
      <c r="C100" s="22" t="s">
        <v>93</v>
      </c>
      <c r="D100" s="6" t="s">
        <v>22</v>
      </c>
      <c r="E100" s="6">
        <v>5</v>
      </c>
      <c r="F100" s="5">
        <f>F97*E100</f>
        <v>115</v>
      </c>
      <c r="G100" s="634"/>
      <c r="H100" s="612"/>
      <c r="I100" s="613"/>
      <c r="J100" s="612">
        <f t="shared" ref="J100:J103" si="22">F100*I100</f>
        <v>0</v>
      </c>
      <c r="K100" s="635"/>
      <c r="L100" s="612"/>
      <c r="M100" s="612">
        <f t="shared" si="21"/>
        <v>0</v>
      </c>
      <c r="O100" s="60"/>
      <c r="P100" s="61"/>
      <c r="Q100" s="65"/>
      <c r="R100" s="60"/>
      <c r="S100" s="61"/>
      <c r="T100" s="65"/>
      <c r="U100" s="60"/>
      <c r="V100" s="61"/>
      <c r="W100" s="65"/>
      <c r="X100" s="62"/>
      <c r="Y100" s="65"/>
      <c r="Z100" s="65"/>
    </row>
    <row r="101" spans="1:26" s="63" customFormat="1" x14ac:dyDescent="0.2">
      <c r="A101" s="1"/>
      <c r="B101" s="33"/>
      <c r="C101" s="22" t="s">
        <v>94</v>
      </c>
      <c r="D101" s="6" t="s">
        <v>18</v>
      </c>
      <c r="E101" s="6">
        <v>1</v>
      </c>
      <c r="F101" s="5">
        <f>F97*E101</f>
        <v>23</v>
      </c>
      <c r="G101" s="634"/>
      <c r="H101" s="612"/>
      <c r="I101" s="613"/>
      <c r="J101" s="612">
        <f t="shared" si="22"/>
        <v>0</v>
      </c>
      <c r="K101" s="635"/>
      <c r="L101" s="612"/>
      <c r="M101" s="612">
        <f t="shared" si="21"/>
        <v>0</v>
      </c>
      <c r="O101" s="60"/>
      <c r="P101" s="61"/>
      <c r="Q101" s="65"/>
      <c r="R101" s="60"/>
      <c r="S101" s="61"/>
      <c r="T101" s="65"/>
      <c r="U101" s="60"/>
      <c r="V101" s="61"/>
      <c r="W101" s="65"/>
      <c r="X101" s="62"/>
      <c r="Y101" s="65"/>
      <c r="Z101" s="65"/>
    </row>
    <row r="102" spans="1:26" s="63" customFormat="1" ht="14.25" customHeight="1" x14ac:dyDescent="0.2">
      <c r="A102" s="1"/>
      <c r="B102" s="33"/>
      <c r="C102" s="22" t="s">
        <v>180</v>
      </c>
      <c r="D102" s="6" t="s">
        <v>16</v>
      </c>
      <c r="E102" s="6">
        <v>1.05</v>
      </c>
      <c r="F102" s="5">
        <f>F97*E102</f>
        <v>24.150000000000002</v>
      </c>
      <c r="G102" s="635"/>
      <c r="H102" s="612"/>
      <c r="I102" s="613"/>
      <c r="J102" s="612">
        <f t="shared" si="22"/>
        <v>0</v>
      </c>
      <c r="K102" s="635"/>
      <c r="L102" s="612"/>
      <c r="M102" s="612">
        <f t="shared" si="21"/>
        <v>0</v>
      </c>
      <c r="O102" s="60"/>
      <c r="P102" s="61"/>
      <c r="Q102" s="65"/>
      <c r="R102" s="60"/>
      <c r="S102" s="61"/>
      <c r="T102" s="65"/>
      <c r="U102" s="60"/>
      <c r="V102" s="61"/>
      <c r="W102" s="65"/>
      <c r="X102" s="62"/>
      <c r="Y102" s="65"/>
      <c r="Z102" s="65"/>
    </row>
    <row r="103" spans="1:26" s="63" customFormat="1" ht="14.25" customHeight="1" x14ac:dyDescent="0.2">
      <c r="A103" s="1"/>
      <c r="B103" s="545"/>
      <c r="C103" s="22" t="s">
        <v>80</v>
      </c>
      <c r="D103" s="6" t="s">
        <v>16</v>
      </c>
      <c r="E103" s="6">
        <v>7.0000000000000001E-3</v>
      </c>
      <c r="F103" s="5">
        <f>F97*E103</f>
        <v>0.161</v>
      </c>
      <c r="G103" s="635"/>
      <c r="H103" s="612"/>
      <c r="I103" s="613"/>
      <c r="J103" s="612">
        <f t="shared" si="22"/>
        <v>0</v>
      </c>
      <c r="K103" s="635"/>
      <c r="L103" s="612"/>
      <c r="M103" s="612">
        <f t="shared" si="21"/>
        <v>0</v>
      </c>
      <c r="O103" s="60"/>
      <c r="P103" s="61"/>
      <c r="Q103" s="65"/>
      <c r="R103" s="60"/>
      <c r="S103" s="61"/>
      <c r="T103" s="65"/>
      <c r="U103" s="60"/>
      <c r="V103" s="61"/>
      <c r="W103" s="65"/>
      <c r="X103" s="62"/>
      <c r="Y103" s="65"/>
      <c r="Z103" s="65"/>
    </row>
    <row r="104" spans="1:26" s="438" customFormat="1" ht="24.75" customHeight="1" x14ac:dyDescent="0.25">
      <c r="A104" s="17">
        <v>6</v>
      </c>
      <c r="B104" s="213" t="s">
        <v>362</v>
      </c>
      <c r="C104" s="23" t="s">
        <v>124</v>
      </c>
      <c r="D104" s="17" t="s">
        <v>18</v>
      </c>
      <c r="E104" s="17"/>
      <c r="F104" s="20">
        <v>2</v>
      </c>
      <c r="G104" s="620"/>
      <c r="H104" s="620"/>
      <c r="I104" s="295"/>
      <c r="J104" s="295"/>
      <c r="K104" s="295"/>
      <c r="L104" s="295"/>
      <c r="M104" s="612"/>
      <c r="N104" s="68"/>
    </row>
    <row r="105" spans="1:26" s="439" customFormat="1" ht="13.5" customHeight="1" x14ac:dyDescent="0.25">
      <c r="A105" s="17"/>
      <c r="B105" s="33"/>
      <c r="C105" s="29" t="s">
        <v>69</v>
      </c>
      <c r="D105" s="24" t="s">
        <v>70</v>
      </c>
      <c r="E105" s="24">
        <v>3.1046</v>
      </c>
      <c r="F105" s="15">
        <f>F104*E105</f>
        <v>6.2092000000000001</v>
      </c>
      <c r="G105" s="621"/>
      <c r="H105" s="285">
        <f>F105*G105</f>
        <v>0</v>
      </c>
      <c r="I105" s="286"/>
      <c r="J105" s="286"/>
      <c r="K105" s="286"/>
      <c r="L105" s="286"/>
      <c r="M105" s="612">
        <f>H105+J105+L105</f>
        <v>0</v>
      </c>
      <c r="N105" s="69"/>
    </row>
    <row r="106" spans="1:26" s="439" customFormat="1" ht="13.5" customHeight="1" x14ac:dyDescent="0.25">
      <c r="A106" s="17"/>
      <c r="B106" s="33"/>
      <c r="C106" s="29" t="s">
        <v>89</v>
      </c>
      <c r="D106" s="24" t="s">
        <v>16</v>
      </c>
      <c r="E106" s="24">
        <v>4.5199999999999997E-2</v>
      </c>
      <c r="F106" s="15">
        <f>F104*E106</f>
        <v>9.0399999999999994E-2</v>
      </c>
      <c r="G106" s="285"/>
      <c r="H106" s="285"/>
      <c r="I106" s="286"/>
      <c r="J106" s="286"/>
      <c r="K106" s="619"/>
      <c r="L106" s="286">
        <f>F106*K106</f>
        <v>0</v>
      </c>
      <c r="M106" s="612">
        <f>H106+J106+L106</f>
        <v>0</v>
      </c>
      <c r="N106" s="69"/>
    </row>
    <row r="107" spans="1:26" s="439" customFormat="1" x14ac:dyDescent="0.25">
      <c r="A107" s="17"/>
      <c r="B107" s="33"/>
      <c r="C107" s="29" t="s">
        <v>93</v>
      </c>
      <c r="D107" s="24" t="s">
        <v>22</v>
      </c>
      <c r="E107" s="15">
        <v>5</v>
      </c>
      <c r="F107" s="15">
        <f>F104*E107</f>
        <v>10</v>
      </c>
      <c r="G107" s="285"/>
      <c r="H107" s="285"/>
      <c r="I107" s="619"/>
      <c r="J107" s="286">
        <f>F107*I107</f>
        <v>0</v>
      </c>
      <c r="K107" s="286"/>
      <c r="L107" s="286"/>
      <c r="M107" s="612">
        <f>H107+J107+L107</f>
        <v>0</v>
      </c>
      <c r="N107" s="69"/>
    </row>
    <row r="108" spans="1:26" s="439" customFormat="1" x14ac:dyDescent="0.25">
      <c r="A108" s="17"/>
      <c r="B108" s="33"/>
      <c r="C108" s="29" t="s">
        <v>126</v>
      </c>
      <c r="D108" s="24" t="s">
        <v>18</v>
      </c>
      <c r="E108" s="24">
        <v>1.02</v>
      </c>
      <c r="F108" s="15">
        <f>F104*E108</f>
        <v>2.04</v>
      </c>
      <c r="G108" s="285"/>
      <c r="H108" s="285"/>
      <c r="I108" s="619"/>
      <c r="J108" s="286">
        <f>F108*I108</f>
        <v>0</v>
      </c>
      <c r="K108" s="286"/>
      <c r="L108" s="286"/>
      <c r="M108" s="612">
        <f>H108+J108+L108</f>
        <v>0</v>
      </c>
      <c r="N108" s="69"/>
    </row>
    <row r="109" spans="1:26" s="439" customFormat="1" ht="13.5" customHeight="1" x14ac:dyDescent="0.25">
      <c r="A109" s="17"/>
      <c r="B109" s="33"/>
      <c r="C109" s="29" t="s">
        <v>80</v>
      </c>
      <c r="D109" s="24" t="s">
        <v>16</v>
      </c>
      <c r="E109" s="24">
        <v>4.6600000000000003E-2</v>
      </c>
      <c r="F109" s="15">
        <f>F104*E109</f>
        <v>9.3200000000000005E-2</v>
      </c>
      <c r="G109" s="285"/>
      <c r="H109" s="285"/>
      <c r="I109" s="619"/>
      <c r="J109" s="286">
        <f>F109*I109</f>
        <v>0</v>
      </c>
      <c r="K109" s="286"/>
      <c r="L109" s="286"/>
      <c r="M109" s="612">
        <f>H109+J109+L109</f>
        <v>0</v>
      </c>
      <c r="N109" s="440"/>
    </row>
    <row r="110" spans="1:26" s="438" customFormat="1" ht="28.5" customHeight="1" x14ac:dyDescent="0.25">
      <c r="A110" s="17">
        <v>7</v>
      </c>
      <c r="B110" s="569" t="s">
        <v>349</v>
      </c>
      <c r="C110" s="23" t="s">
        <v>350</v>
      </c>
      <c r="D110" s="17" t="s">
        <v>18</v>
      </c>
      <c r="E110" s="17"/>
      <c r="F110" s="20">
        <f>(1.3*F89)</f>
        <v>14.950000000000001</v>
      </c>
      <c r="G110" s="620"/>
      <c r="H110" s="620"/>
      <c r="I110" s="295"/>
      <c r="J110" s="295"/>
      <c r="K110" s="295"/>
      <c r="L110" s="295"/>
      <c r="M110" s="612"/>
      <c r="N110" s="68"/>
    </row>
    <row r="111" spans="1:26" s="439" customFormat="1" ht="13.5" customHeight="1" x14ac:dyDescent="0.25">
      <c r="A111" s="17"/>
      <c r="B111" s="33"/>
      <c r="C111" s="29" t="s">
        <v>69</v>
      </c>
      <c r="D111" s="24" t="s">
        <v>70</v>
      </c>
      <c r="E111" s="24">
        <v>1.1200000000000001</v>
      </c>
      <c r="F111" s="15">
        <f>F110*E111</f>
        <v>16.744000000000003</v>
      </c>
      <c r="G111" s="621"/>
      <c r="H111" s="285">
        <f>F111*G111</f>
        <v>0</v>
      </c>
      <c r="I111" s="286"/>
      <c r="J111" s="286"/>
      <c r="K111" s="286"/>
      <c r="L111" s="286"/>
      <c r="M111" s="612">
        <f>H111+J111+L111</f>
        <v>0</v>
      </c>
      <c r="N111" s="69"/>
    </row>
    <row r="112" spans="1:26" s="439" customFormat="1" ht="27" x14ac:dyDescent="0.25">
      <c r="A112" s="17"/>
      <c r="B112" s="33"/>
      <c r="C112" s="29" t="s">
        <v>351</v>
      </c>
      <c r="D112" s="24" t="s">
        <v>18</v>
      </c>
      <c r="E112" s="15">
        <v>1</v>
      </c>
      <c r="F112" s="15">
        <f>F110*E112</f>
        <v>14.950000000000001</v>
      </c>
      <c r="G112" s="285"/>
      <c r="H112" s="285"/>
      <c r="I112" s="619"/>
      <c r="J112" s="286">
        <f>F112*I112</f>
        <v>0</v>
      </c>
      <c r="K112" s="286"/>
      <c r="L112" s="286"/>
      <c r="M112" s="612">
        <f>H112+J112+L112</f>
        <v>0</v>
      </c>
      <c r="N112" s="69"/>
    </row>
    <row r="113" spans="1:26" s="287" customFormat="1" ht="29.25" customHeight="1" x14ac:dyDescent="0.25">
      <c r="A113" s="90">
        <v>8</v>
      </c>
      <c r="B113" s="24"/>
      <c r="C113" s="23" t="s">
        <v>50</v>
      </c>
      <c r="D113" s="507" t="s">
        <v>49</v>
      </c>
      <c r="E113" s="282">
        <v>1</v>
      </c>
      <c r="F113" s="286">
        <v>1</v>
      </c>
      <c r="G113" s="282"/>
      <c r="H113" s="282"/>
      <c r="I113" s="286"/>
      <c r="J113" s="286"/>
      <c r="K113" s="282"/>
      <c r="L113" s="282"/>
      <c r="M113" s="626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</row>
    <row r="114" spans="1:26" s="48" customFormat="1" x14ac:dyDescent="0.25">
      <c r="A114" s="1"/>
      <c r="B114" s="77" t="s">
        <v>181</v>
      </c>
      <c r="C114" s="22" t="s">
        <v>69</v>
      </c>
      <c r="D114" s="6" t="s">
        <v>70</v>
      </c>
      <c r="E114" s="24">
        <v>1</v>
      </c>
      <c r="F114" s="24">
        <f>F113*E114</f>
        <v>1</v>
      </c>
      <c r="G114" s="642"/>
      <c r="H114" s="634">
        <f>F114*G114</f>
        <v>0</v>
      </c>
      <c r="I114" s="612"/>
      <c r="J114" s="612"/>
      <c r="K114" s="635"/>
      <c r="L114" s="612"/>
      <c r="M114" s="612">
        <f>H114+J114+L114</f>
        <v>0</v>
      </c>
      <c r="N114" s="508"/>
      <c r="O114" s="71"/>
      <c r="P114" s="71"/>
      <c r="Q114" s="414"/>
      <c r="R114" s="71"/>
      <c r="S114" s="71"/>
      <c r="T114" s="49"/>
      <c r="U114" s="71"/>
      <c r="V114" s="71"/>
      <c r="W114" s="49"/>
      <c r="X114" s="62"/>
      <c r="Y114" s="49"/>
      <c r="Z114" s="49"/>
    </row>
    <row r="115" spans="1:26" s="48" customFormat="1" x14ac:dyDescent="0.25">
      <c r="A115" s="1"/>
      <c r="B115" s="72"/>
      <c r="C115" s="22" t="s">
        <v>79</v>
      </c>
      <c r="D115" s="6"/>
      <c r="E115" s="24"/>
      <c r="F115" s="24"/>
      <c r="G115" s="634"/>
      <c r="H115" s="612"/>
      <c r="I115" s="612"/>
      <c r="J115" s="612"/>
      <c r="K115" s="635"/>
      <c r="L115" s="612"/>
      <c r="M115" s="612"/>
      <c r="N115" s="508"/>
      <c r="O115" s="71"/>
      <c r="P115" s="71"/>
      <c r="Q115" s="414"/>
      <c r="R115" s="71"/>
      <c r="S115" s="71"/>
      <c r="T115" s="49"/>
      <c r="U115" s="71"/>
      <c r="V115" s="71"/>
      <c r="W115" s="49"/>
      <c r="X115" s="62"/>
      <c r="Y115" s="49"/>
      <c r="Z115" s="49"/>
    </row>
    <row r="116" spans="1:26" s="50" customFormat="1" ht="27" x14ac:dyDescent="0.25">
      <c r="A116" s="17"/>
      <c r="B116" s="26"/>
      <c r="C116" s="11" t="s">
        <v>50</v>
      </c>
      <c r="D116" s="24" t="s">
        <v>107</v>
      </c>
      <c r="E116" s="24">
        <v>1</v>
      </c>
      <c r="F116" s="15">
        <f>F113*E116</f>
        <v>1</v>
      </c>
      <c r="G116" s="282"/>
      <c r="H116" s="286"/>
      <c r="I116" s="619"/>
      <c r="J116" s="286">
        <f t="shared" ref="J116" si="23">F116*I116</f>
        <v>0</v>
      </c>
      <c r="K116" s="618"/>
      <c r="L116" s="286"/>
      <c r="M116" s="286">
        <f>H116+J116+L116</f>
        <v>0</v>
      </c>
      <c r="N116" s="84"/>
      <c r="O116" s="71"/>
      <c r="P116" s="570"/>
      <c r="Q116" s="85"/>
      <c r="R116" s="71"/>
      <c r="S116" s="570"/>
      <c r="T116" s="51"/>
      <c r="U116" s="71"/>
      <c r="V116" s="570"/>
      <c r="W116" s="51"/>
      <c r="X116" s="62"/>
      <c r="Y116" s="51"/>
      <c r="Z116" s="51"/>
    </row>
    <row r="117" spans="1:26" s="290" customFormat="1" x14ac:dyDescent="0.25">
      <c r="A117" s="355"/>
      <c r="B117" s="283"/>
      <c r="C117" s="17" t="s">
        <v>163</v>
      </c>
      <c r="D117" s="319"/>
      <c r="E117" s="316"/>
      <c r="F117" s="296"/>
      <c r="G117" s="283"/>
      <c r="H117" s="316">
        <f>SUM(H11:H116)</f>
        <v>0</v>
      </c>
      <c r="I117" s="295"/>
      <c r="J117" s="316">
        <f>SUM(J11:J116)</f>
        <v>0</v>
      </c>
      <c r="K117" s="283"/>
      <c r="L117" s="316">
        <f>SUM(L11:L116)</f>
        <v>0</v>
      </c>
      <c r="M117" s="296">
        <f>SUM(M11:M116)</f>
        <v>0</v>
      </c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</row>
    <row r="118" spans="1:26" s="287" customFormat="1" x14ac:dyDescent="0.25">
      <c r="A118" s="357"/>
      <c r="B118" s="320"/>
      <c r="C118" s="321" t="s">
        <v>137</v>
      </c>
      <c r="D118" s="643"/>
      <c r="E118" s="323"/>
      <c r="F118" s="324"/>
      <c r="G118" s="282"/>
      <c r="H118" s="320"/>
      <c r="I118" s="325"/>
      <c r="J118" s="320"/>
      <c r="K118" s="320"/>
      <c r="L118" s="320"/>
      <c r="M118" s="324">
        <f>J117*D118</f>
        <v>0</v>
      </c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</row>
    <row r="119" spans="1:26" s="290" customFormat="1" x14ac:dyDescent="0.25">
      <c r="A119" s="355"/>
      <c r="B119" s="283"/>
      <c r="C119" s="17" t="s">
        <v>8</v>
      </c>
      <c r="D119" s="319"/>
      <c r="E119" s="316"/>
      <c r="F119" s="296"/>
      <c r="G119" s="283"/>
      <c r="H119" s="326"/>
      <c r="I119" s="295"/>
      <c r="J119" s="283"/>
      <c r="K119" s="283"/>
      <c r="L119" s="283"/>
      <c r="M119" s="327">
        <f>SUM(M117:M118)</f>
        <v>0</v>
      </c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</row>
    <row r="120" spans="1:26" s="287" customFormat="1" x14ac:dyDescent="0.25">
      <c r="A120" s="355"/>
      <c r="B120" s="282"/>
      <c r="C120" s="11" t="s">
        <v>136</v>
      </c>
      <c r="D120" s="643"/>
      <c r="E120" s="322"/>
      <c r="F120" s="318"/>
      <c r="G120" s="282"/>
      <c r="H120" s="328"/>
      <c r="I120" s="286"/>
      <c r="J120" s="282"/>
      <c r="K120" s="282"/>
      <c r="L120" s="282"/>
      <c r="M120" s="329">
        <f>M119*D120</f>
        <v>0</v>
      </c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</row>
    <row r="121" spans="1:26" s="290" customFormat="1" x14ac:dyDescent="0.25">
      <c r="A121" s="355"/>
      <c r="B121" s="283"/>
      <c r="C121" s="17" t="s">
        <v>8</v>
      </c>
      <c r="D121" s="250"/>
      <c r="E121" s="250"/>
      <c r="F121" s="296"/>
      <c r="G121" s="283"/>
      <c r="H121" s="326"/>
      <c r="I121" s="295"/>
      <c r="J121" s="283"/>
      <c r="K121" s="283"/>
      <c r="L121" s="283"/>
      <c r="M121" s="327">
        <f>SUM(M119:M120)</f>
        <v>0</v>
      </c>
    </row>
    <row r="122" spans="1:26" s="287" customFormat="1" x14ac:dyDescent="0.25">
      <c r="A122" s="355"/>
      <c r="B122" s="282"/>
      <c r="C122" s="11" t="s">
        <v>348</v>
      </c>
      <c r="D122" s="643"/>
      <c r="E122" s="322"/>
      <c r="F122" s="318"/>
      <c r="G122" s="282"/>
      <c r="H122" s="328"/>
      <c r="I122" s="286"/>
      <c r="J122" s="282"/>
      <c r="K122" s="282"/>
      <c r="L122" s="282"/>
      <c r="M122" s="329">
        <f>M121*D122</f>
        <v>0</v>
      </c>
    </row>
    <row r="123" spans="1:26" s="290" customFormat="1" x14ac:dyDescent="0.25">
      <c r="A123" s="355"/>
      <c r="B123" s="283"/>
      <c r="C123" s="17" t="s">
        <v>8</v>
      </c>
      <c r="D123" s="319"/>
      <c r="E123" s="316"/>
      <c r="F123" s="296"/>
      <c r="G123" s="283"/>
      <c r="H123" s="326"/>
      <c r="I123" s="295"/>
      <c r="J123" s="283"/>
      <c r="K123" s="283"/>
      <c r="L123" s="283"/>
      <c r="M123" s="327">
        <f>SUM(M121:M122)</f>
        <v>0</v>
      </c>
    </row>
    <row r="124" spans="1:26" s="348" customFormat="1" ht="15.75" x14ac:dyDescent="0.25">
      <c r="A124" s="342"/>
      <c r="B124" s="343"/>
      <c r="C124" s="252" t="s">
        <v>391</v>
      </c>
      <c r="D124" s="643"/>
      <c r="E124" s="344"/>
      <c r="F124" s="344"/>
      <c r="G124" s="345"/>
      <c r="H124" s="345"/>
      <c r="I124" s="46"/>
      <c r="J124" s="346"/>
      <c r="K124" s="345"/>
      <c r="L124" s="345"/>
      <c r="M124" s="347">
        <f>H117*D124</f>
        <v>0</v>
      </c>
    </row>
    <row r="125" spans="1:26" s="348" customFormat="1" ht="16.5" thickBot="1" x14ac:dyDescent="0.3">
      <c r="A125" s="349"/>
      <c r="B125" s="350"/>
      <c r="C125" s="350" t="s">
        <v>8</v>
      </c>
      <c r="D125" s="350"/>
      <c r="E125" s="350"/>
      <c r="F125" s="350"/>
      <c r="G125" s="351"/>
      <c r="H125" s="352"/>
      <c r="I125" s="350"/>
      <c r="J125" s="352"/>
      <c r="K125" s="351"/>
      <c r="L125" s="351"/>
      <c r="M125" s="353">
        <f>M124+M123</f>
        <v>0</v>
      </c>
    </row>
    <row r="126" spans="1:26" s="287" customFormat="1" x14ac:dyDescent="0.25">
      <c r="A126" s="334"/>
      <c r="C126" s="289"/>
      <c r="D126" s="290"/>
      <c r="E126" s="290"/>
      <c r="F126" s="291"/>
      <c r="G126" s="292"/>
      <c r="I126" s="330"/>
    </row>
    <row r="127" spans="1:26" s="287" customFormat="1" x14ac:dyDescent="0.25">
      <c r="A127" s="334"/>
      <c r="C127" s="289"/>
      <c r="D127" s="290"/>
      <c r="E127" s="290"/>
      <c r="F127" s="291"/>
      <c r="G127" s="292"/>
      <c r="I127" s="330"/>
    </row>
    <row r="128" spans="1:26" s="287" customFormat="1" x14ac:dyDescent="0.25">
      <c r="A128" s="334"/>
      <c r="C128" s="289"/>
      <c r="D128" s="290"/>
      <c r="E128" s="290"/>
      <c r="F128" s="291"/>
      <c r="G128" s="292"/>
      <c r="I128" s="330"/>
    </row>
  </sheetData>
  <autoFilter ref="A10:M125"/>
  <mergeCells count="16"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view="pageBreakPreview" topLeftCell="A72" zoomScaleNormal="100" zoomScaleSheetLayoutView="100" workbookViewId="0">
      <selection activeCell="C101" sqref="C101:C102"/>
    </sheetView>
  </sheetViews>
  <sheetFormatPr defaultColWidth="9.140625" defaultRowHeight="13.5" x14ac:dyDescent="0.25"/>
  <cols>
    <col min="1" max="1" width="7" style="334" customWidth="1"/>
    <col min="2" max="2" width="10.85546875" style="293" customWidth="1"/>
    <col min="3" max="3" width="50.7109375" style="84" customWidth="1"/>
    <col min="4" max="4" width="7.7109375" style="294" customWidth="1"/>
    <col min="5" max="5" width="8.140625" style="294" customWidth="1"/>
    <col min="6" max="6" width="7.5703125" style="293" customWidth="1"/>
    <col min="7" max="7" width="7" style="293" customWidth="1"/>
    <col min="8" max="8" width="7.5703125" style="293" customWidth="1"/>
    <col min="9" max="9" width="8.140625" style="293" customWidth="1"/>
    <col min="10" max="10" width="9" style="293" customWidth="1"/>
    <col min="11" max="11" width="7" style="293" customWidth="1"/>
    <col min="12" max="12" width="6.5703125" style="293" customWidth="1"/>
    <col min="13" max="13" width="10.5703125" style="293" customWidth="1"/>
    <col min="14" max="14" width="8.140625" style="293" customWidth="1"/>
    <col min="15" max="19" width="9.140625" style="293"/>
    <col min="20" max="20" width="16" style="293" customWidth="1"/>
    <col min="21" max="16384" width="9.140625" style="293"/>
  </cols>
  <sheetData>
    <row r="1" spans="1:26" s="257" customFormat="1" ht="15.75" x14ac:dyDescent="0.3">
      <c r="A1" s="331"/>
      <c r="B1" s="255"/>
      <c r="C1" s="256"/>
      <c r="D1" s="255"/>
      <c r="E1" s="255"/>
      <c r="G1" s="397"/>
      <c r="H1" s="258"/>
      <c r="I1" s="258"/>
      <c r="J1" s="258"/>
      <c r="K1" s="258"/>
      <c r="L1" s="593"/>
      <c r="M1" s="593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s="260" customFormat="1" ht="16.5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5"/>
      <c r="M2" s="595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260" customFormat="1" ht="16.5" x14ac:dyDescent="0.25">
      <c r="A3" s="332"/>
      <c r="B3" s="263"/>
      <c r="C3" s="263"/>
      <c r="D3" s="263"/>
      <c r="E3" s="263"/>
      <c r="F3" s="263"/>
      <c r="G3" s="398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6" s="260" customFormat="1" ht="16.5" x14ac:dyDescent="0.25">
      <c r="A4" s="596" t="s">
        <v>171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s="260" customFormat="1" ht="16.5" x14ac:dyDescent="0.25">
      <c r="A5" s="596" t="str">
        <f>სანაკრებო!C12</f>
        <v>წყალ-კანალიზაციის mowyobis samuSaoebi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ht="15.75" x14ac:dyDescent="0.25">
      <c r="A6" s="586"/>
      <c r="B6" s="586"/>
      <c r="C6" s="586"/>
      <c r="D6" s="586"/>
      <c r="E6" s="586"/>
      <c r="F6" s="84"/>
      <c r="G6" s="309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5.75" x14ac:dyDescent="0.25">
      <c r="A7" s="586"/>
      <c r="B7" s="586"/>
      <c r="C7" s="586"/>
      <c r="D7" s="312"/>
      <c r="E7" s="312"/>
      <c r="F7" s="313"/>
      <c r="G7" s="314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</row>
    <row r="8" spans="1:26" s="255" customFormat="1" ht="29.25" customHeight="1" x14ac:dyDescent="0.25">
      <c r="A8" s="587" t="s">
        <v>0</v>
      </c>
      <c r="B8" s="589" t="s">
        <v>1</v>
      </c>
      <c r="C8" s="589" t="s">
        <v>2</v>
      </c>
      <c r="D8" s="589" t="s">
        <v>3</v>
      </c>
      <c r="E8" s="591" t="s">
        <v>4</v>
      </c>
      <c r="F8" s="592"/>
      <c r="G8" s="582" t="s">
        <v>5</v>
      </c>
      <c r="H8" s="583"/>
      <c r="I8" s="582" t="s">
        <v>6</v>
      </c>
      <c r="J8" s="583"/>
      <c r="K8" s="582" t="s">
        <v>7</v>
      </c>
      <c r="L8" s="583"/>
      <c r="M8" s="584" t="s">
        <v>8</v>
      </c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s="255" customFormat="1" ht="23.25" customHeight="1" x14ac:dyDescent="0.25">
      <c r="A9" s="588"/>
      <c r="B9" s="590"/>
      <c r="C9" s="590"/>
      <c r="D9" s="590"/>
      <c r="E9" s="269" t="s">
        <v>9</v>
      </c>
      <c r="F9" s="269" t="s">
        <v>10</v>
      </c>
      <c r="G9" s="270" t="s">
        <v>9</v>
      </c>
      <c r="H9" s="270" t="s">
        <v>10</v>
      </c>
      <c r="I9" s="270" t="s">
        <v>9</v>
      </c>
      <c r="J9" s="270" t="s">
        <v>10</v>
      </c>
      <c r="K9" s="270" t="s">
        <v>9</v>
      </c>
      <c r="L9" s="270" t="s">
        <v>10</v>
      </c>
      <c r="M9" s="585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s="254" customFormat="1" ht="17.25" customHeight="1" x14ac:dyDescent="0.25">
      <c r="A10" s="333">
        <v>1</v>
      </c>
      <c r="B10" s="271">
        <v>2</v>
      </c>
      <c r="C10" s="271">
        <v>3</v>
      </c>
      <c r="D10" s="271">
        <v>4</v>
      </c>
      <c r="E10" s="271">
        <v>5</v>
      </c>
      <c r="F10" s="271">
        <v>6</v>
      </c>
      <c r="G10" s="271">
        <v>7</v>
      </c>
      <c r="H10" s="271">
        <v>8</v>
      </c>
      <c r="I10" s="271">
        <v>9</v>
      </c>
      <c r="J10" s="271">
        <v>10</v>
      </c>
      <c r="K10" s="271">
        <v>11</v>
      </c>
      <c r="L10" s="271">
        <v>12</v>
      </c>
      <c r="M10" s="272">
        <v>13</v>
      </c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1:26" s="50" customFormat="1" ht="40.5" x14ac:dyDescent="0.25">
      <c r="A11" s="17">
        <v>1</v>
      </c>
      <c r="B11" s="73" t="s">
        <v>81</v>
      </c>
      <c r="C11" s="18" t="s">
        <v>130</v>
      </c>
      <c r="D11" s="17" t="s">
        <v>82</v>
      </c>
      <c r="E11" s="24"/>
      <c r="F11" s="17">
        <v>16</v>
      </c>
      <c r="G11" s="281"/>
      <c r="H11" s="651"/>
      <c r="I11" s="648"/>
      <c r="J11" s="359"/>
      <c r="K11" s="648"/>
      <c r="L11" s="359"/>
      <c r="M11" s="359"/>
      <c r="O11" s="71"/>
      <c r="P11" s="71"/>
      <c r="Q11" s="51"/>
      <c r="R11" s="71"/>
      <c r="S11" s="71"/>
      <c r="T11" s="51"/>
      <c r="U11" s="71"/>
      <c r="V11" s="71"/>
      <c r="W11" s="51"/>
      <c r="X11" s="62"/>
      <c r="Y11" s="51"/>
      <c r="Z11" s="51"/>
    </row>
    <row r="12" spans="1:26" s="48" customFormat="1" ht="15" customHeight="1" x14ac:dyDescent="0.25">
      <c r="A12" s="1"/>
      <c r="B12" s="70"/>
      <c r="C12" s="22" t="s">
        <v>69</v>
      </c>
      <c r="D12" s="6" t="s">
        <v>70</v>
      </c>
      <c r="E12" s="16">
        <v>1.43</v>
      </c>
      <c r="F12" s="6">
        <f>F11*E12</f>
        <v>22.88</v>
      </c>
      <c r="G12" s="604"/>
      <c r="H12" s="341">
        <f>F12*G12</f>
        <v>0</v>
      </c>
      <c r="I12" s="646"/>
      <c r="J12" s="341"/>
      <c r="K12" s="513"/>
      <c r="L12" s="341"/>
      <c r="M12" s="341">
        <f>H12+J12+L12</f>
        <v>0</v>
      </c>
      <c r="O12" s="64"/>
      <c r="P12" s="60"/>
      <c r="Q12" s="49"/>
      <c r="R12" s="64"/>
      <c r="S12" s="60"/>
      <c r="T12" s="49"/>
      <c r="U12" s="64"/>
      <c r="V12" s="60"/>
      <c r="W12" s="49"/>
      <c r="X12" s="62"/>
      <c r="Y12" s="49"/>
      <c r="Z12" s="49"/>
    </row>
    <row r="13" spans="1:26" s="48" customFormat="1" ht="14.25" customHeight="1" x14ac:dyDescent="0.25">
      <c r="A13" s="1"/>
      <c r="B13" s="72"/>
      <c r="C13" s="22" t="s">
        <v>83</v>
      </c>
      <c r="D13" s="6" t="s">
        <v>16</v>
      </c>
      <c r="E13" s="6">
        <v>2.5700000000000001E-2</v>
      </c>
      <c r="F13" s="6">
        <f>F11*E13</f>
        <v>0.41120000000000001</v>
      </c>
      <c r="G13" s="512"/>
      <c r="H13" s="341"/>
      <c r="I13" s="513"/>
      <c r="J13" s="341"/>
      <c r="K13" s="604"/>
      <c r="L13" s="341">
        <f>F13*K13</f>
        <v>0</v>
      </c>
      <c r="M13" s="341">
        <f>H13+J13+L13</f>
        <v>0</v>
      </c>
      <c r="O13" s="60"/>
      <c r="P13" s="60"/>
      <c r="Q13" s="49"/>
      <c r="R13" s="60"/>
      <c r="S13" s="60"/>
      <c r="T13" s="49"/>
      <c r="U13" s="60"/>
      <c r="V13" s="60"/>
      <c r="W13" s="49"/>
      <c r="X13" s="62"/>
      <c r="Y13" s="49"/>
      <c r="Z13" s="49"/>
    </row>
    <row r="14" spans="1:26" s="48" customFormat="1" ht="14.25" customHeight="1" x14ac:dyDescent="0.25">
      <c r="A14" s="1"/>
      <c r="B14" s="72"/>
      <c r="C14" s="22" t="s">
        <v>79</v>
      </c>
      <c r="D14" s="6"/>
      <c r="E14" s="6"/>
      <c r="F14" s="6"/>
      <c r="G14" s="512"/>
      <c r="H14" s="341"/>
      <c r="I14" s="513"/>
      <c r="J14" s="341"/>
      <c r="K14" s="513"/>
      <c r="L14" s="341"/>
      <c r="M14" s="341"/>
      <c r="O14" s="60"/>
      <c r="P14" s="60"/>
      <c r="Q14" s="49"/>
      <c r="R14" s="60"/>
      <c r="S14" s="60"/>
      <c r="T14" s="49"/>
      <c r="U14" s="60"/>
      <c r="V14" s="60"/>
      <c r="W14" s="49"/>
      <c r="X14" s="62"/>
      <c r="Y14" s="49"/>
      <c r="Z14" s="49"/>
    </row>
    <row r="15" spans="1:26" s="50" customFormat="1" ht="28.5" customHeight="1" x14ac:dyDescent="0.25">
      <c r="A15" s="17"/>
      <c r="B15" s="74"/>
      <c r="C15" s="29" t="s">
        <v>84</v>
      </c>
      <c r="D15" s="24" t="s">
        <v>82</v>
      </c>
      <c r="E15" s="75">
        <v>0.92900000000000005</v>
      </c>
      <c r="F15" s="24">
        <f>F11*E15</f>
        <v>14.864000000000001</v>
      </c>
      <c r="G15" s="281"/>
      <c r="H15" s="359"/>
      <c r="I15" s="615"/>
      <c r="J15" s="359">
        <f>F15*I15</f>
        <v>0</v>
      </c>
      <c r="K15" s="648"/>
      <c r="L15" s="359"/>
      <c r="M15" s="359">
        <f>H15+J15+L15</f>
        <v>0</v>
      </c>
      <c r="O15" s="76"/>
      <c r="P15" s="71"/>
      <c r="Q15" s="51"/>
      <c r="R15" s="76"/>
      <c r="S15" s="71"/>
      <c r="T15" s="51"/>
      <c r="U15" s="76"/>
      <c r="V15" s="71"/>
      <c r="W15" s="51"/>
      <c r="X15" s="62"/>
      <c r="Y15" s="51"/>
      <c r="Z15" s="51"/>
    </row>
    <row r="16" spans="1:26" s="48" customFormat="1" ht="13.5" customHeight="1" x14ac:dyDescent="0.25">
      <c r="A16" s="1"/>
      <c r="B16" s="72"/>
      <c r="C16" s="22" t="s">
        <v>80</v>
      </c>
      <c r="D16" s="6" t="s">
        <v>16</v>
      </c>
      <c r="E16" s="6">
        <v>4.5699999999999998E-2</v>
      </c>
      <c r="F16" s="6">
        <f>F11*E16</f>
        <v>0.73119999999999996</v>
      </c>
      <c r="G16" s="513"/>
      <c r="H16" s="341"/>
      <c r="I16" s="604"/>
      <c r="J16" s="341">
        <f>F16*I16</f>
        <v>0</v>
      </c>
      <c r="K16" s="513"/>
      <c r="L16" s="341"/>
      <c r="M16" s="341">
        <f>H16+J16+L16</f>
        <v>0</v>
      </c>
      <c r="O16" s="60"/>
      <c r="P16" s="60"/>
      <c r="Q16" s="49"/>
      <c r="R16" s="60"/>
      <c r="S16" s="60"/>
      <c r="T16" s="49"/>
      <c r="U16" s="60"/>
      <c r="V16" s="60"/>
      <c r="W16" s="49"/>
      <c r="X16" s="62"/>
      <c r="Y16" s="49"/>
      <c r="Z16" s="49"/>
    </row>
    <row r="17" spans="1:26" s="50" customFormat="1" x14ac:dyDescent="0.25">
      <c r="A17" s="17">
        <v>2</v>
      </c>
      <c r="B17" s="73" t="s">
        <v>276</v>
      </c>
      <c r="C17" s="18" t="s">
        <v>249</v>
      </c>
      <c r="D17" s="17" t="s">
        <v>82</v>
      </c>
      <c r="E17" s="24"/>
      <c r="F17" s="17">
        <v>150</v>
      </c>
      <c r="G17" s="281"/>
      <c r="H17" s="651"/>
      <c r="I17" s="648"/>
      <c r="J17" s="359"/>
      <c r="K17" s="648"/>
      <c r="L17" s="359"/>
      <c r="M17" s="359"/>
      <c r="O17" s="71"/>
      <c r="P17" s="71"/>
      <c r="Q17" s="51"/>
      <c r="R17" s="71"/>
      <c r="S17" s="71"/>
      <c r="T17" s="51"/>
      <c r="U17" s="71"/>
      <c r="V17" s="71"/>
      <c r="W17" s="51"/>
      <c r="X17" s="62"/>
      <c r="Y17" s="51"/>
      <c r="Z17" s="51"/>
    </row>
    <row r="18" spans="1:26" s="48" customFormat="1" ht="15" customHeight="1" x14ac:dyDescent="0.25">
      <c r="A18" s="1"/>
      <c r="B18" s="70"/>
      <c r="C18" s="22" t="s">
        <v>69</v>
      </c>
      <c r="D18" s="6" t="s">
        <v>70</v>
      </c>
      <c r="E18" s="16">
        <v>9.5899999999999999E-2</v>
      </c>
      <c r="F18" s="6">
        <f>F17*E18</f>
        <v>14.385</v>
      </c>
      <c r="G18" s="604"/>
      <c r="H18" s="341">
        <f>F18*G18</f>
        <v>0</v>
      </c>
      <c r="I18" s="646"/>
      <c r="J18" s="341"/>
      <c r="K18" s="513"/>
      <c r="L18" s="341"/>
      <c r="M18" s="341">
        <f>H18+J18+L18</f>
        <v>0</v>
      </c>
      <c r="O18" s="64"/>
      <c r="P18" s="60"/>
      <c r="Q18" s="49"/>
      <c r="R18" s="64"/>
      <c r="S18" s="60"/>
      <c r="T18" s="49"/>
      <c r="U18" s="64"/>
      <c r="V18" s="60"/>
      <c r="W18" s="49"/>
      <c r="X18" s="62"/>
      <c r="Y18" s="49"/>
      <c r="Z18" s="49"/>
    </row>
    <row r="19" spans="1:26" s="48" customFormat="1" ht="14.25" customHeight="1" x14ac:dyDescent="0.25">
      <c r="A19" s="1"/>
      <c r="B19" s="72"/>
      <c r="C19" s="22" t="s">
        <v>83</v>
      </c>
      <c r="D19" s="6" t="s">
        <v>16</v>
      </c>
      <c r="E19" s="6">
        <v>4.5199999999999997E-2</v>
      </c>
      <c r="F19" s="6">
        <f>F17*E19</f>
        <v>6.7799999999999994</v>
      </c>
      <c r="G19" s="512"/>
      <c r="H19" s="341"/>
      <c r="I19" s="513"/>
      <c r="J19" s="341"/>
      <c r="K19" s="604"/>
      <c r="L19" s="341">
        <f>F19*K19</f>
        <v>0</v>
      </c>
      <c r="M19" s="341">
        <f>H19+J19+L19</f>
        <v>0</v>
      </c>
      <c r="O19" s="60"/>
      <c r="P19" s="60"/>
      <c r="Q19" s="49"/>
      <c r="R19" s="60"/>
      <c r="S19" s="60"/>
      <c r="T19" s="49"/>
      <c r="U19" s="60"/>
      <c r="V19" s="60"/>
      <c r="W19" s="49"/>
      <c r="X19" s="62"/>
      <c r="Y19" s="49"/>
      <c r="Z19" s="49"/>
    </row>
    <row r="20" spans="1:26" s="50" customFormat="1" x14ac:dyDescent="0.25">
      <c r="A20" s="17"/>
      <c r="B20" s="74"/>
      <c r="C20" s="29" t="s">
        <v>169</v>
      </c>
      <c r="D20" s="24" t="s">
        <v>82</v>
      </c>
      <c r="E20" s="75">
        <v>1.01</v>
      </c>
      <c r="F20" s="24">
        <f>F17*E20</f>
        <v>151.5</v>
      </c>
      <c r="G20" s="281"/>
      <c r="H20" s="359"/>
      <c r="I20" s="615"/>
      <c r="J20" s="359">
        <f>F20*I20</f>
        <v>0</v>
      </c>
      <c r="K20" s="648"/>
      <c r="L20" s="359"/>
      <c r="M20" s="359">
        <f>H20+J20+L20</f>
        <v>0</v>
      </c>
      <c r="O20" s="76"/>
      <c r="P20" s="71"/>
      <c r="Q20" s="51"/>
      <c r="R20" s="76"/>
      <c r="S20" s="71"/>
      <c r="T20" s="51"/>
      <c r="U20" s="76"/>
      <c r="V20" s="71"/>
      <c r="W20" s="51"/>
      <c r="X20" s="62"/>
      <c r="Y20" s="51"/>
      <c r="Z20" s="51"/>
    </row>
    <row r="21" spans="1:26" s="48" customFormat="1" ht="13.5" customHeight="1" x14ac:dyDescent="0.25">
      <c r="A21" s="1"/>
      <c r="B21" s="72"/>
      <c r="C21" s="22" t="s">
        <v>80</v>
      </c>
      <c r="D21" s="6" t="s">
        <v>16</v>
      </c>
      <c r="E21" s="6">
        <v>5.9999999999999995E-4</v>
      </c>
      <c r="F21" s="6">
        <f>F17*E21</f>
        <v>0.09</v>
      </c>
      <c r="G21" s="513"/>
      <c r="H21" s="341"/>
      <c r="I21" s="604"/>
      <c r="J21" s="341">
        <f>F21*I21</f>
        <v>0</v>
      </c>
      <c r="K21" s="513"/>
      <c r="L21" s="341"/>
      <c r="M21" s="341">
        <f>H21+J21+L21</f>
        <v>0</v>
      </c>
      <c r="O21" s="60"/>
      <c r="P21" s="60"/>
      <c r="Q21" s="49"/>
      <c r="R21" s="60"/>
      <c r="S21" s="60"/>
      <c r="T21" s="49"/>
      <c r="U21" s="60"/>
      <c r="V21" s="60"/>
      <c r="W21" s="49"/>
      <c r="X21" s="62"/>
      <c r="Y21" s="49"/>
      <c r="Z21" s="49"/>
    </row>
    <row r="22" spans="1:26" s="80" customFormat="1" x14ac:dyDescent="0.25">
      <c r="A22" s="1">
        <v>3</v>
      </c>
      <c r="B22" s="77" t="s">
        <v>125</v>
      </c>
      <c r="C22" s="78" t="s">
        <v>129</v>
      </c>
      <c r="D22" s="1" t="s">
        <v>30</v>
      </c>
      <c r="E22" s="1"/>
      <c r="F22" s="30">
        <v>1</v>
      </c>
      <c r="G22" s="652"/>
      <c r="H22" s="652"/>
      <c r="I22" s="653"/>
      <c r="J22" s="653"/>
      <c r="K22" s="653"/>
      <c r="L22" s="653"/>
      <c r="M22" s="341"/>
    </row>
    <row r="23" spans="1:26" s="81" customFormat="1" x14ac:dyDescent="0.25">
      <c r="A23" s="1"/>
      <c r="B23" s="33"/>
      <c r="C23" s="22" t="s">
        <v>69</v>
      </c>
      <c r="D23" s="6" t="s">
        <v>70</v>
      </c>
      <c r="E23" s="6">
        <v>1.85</v>
      </c>
      <c r="F23" s="5">
        <f>F22*E23</f>
        <v>1.85</v>
      </c>
      <c r="G23" s="604"/>
      <c r="H23" s="341">
        <f>F23*G23</f>
        <v>0</v>
      </c>
      <c r="I23" s="341"/>
      <c r="J23" s="341"/>
      <c r="K23" s="341"/>
      <c r="L23" s="341"/>
      <c r="M23" s="341">
        <f>H23+J23+L23</f>
        <v>0</v>
      </c>
    </row>
    <row r="24" spans="1:26" s="81" customFormat="1" x14ac:dyDescent="0.25">
      <c r="A24" s="1"/>
      <c r="B24" s="72"/>
      <c r="C24" s="22" t="s">
        <v>78</v>
      </c>
      <c r="D24" s="6" t="s">
        <v>16</v>
      </c>
      <c r="E24" s="6">
        <v>0.03</v>
      </c>
      <c r="F24" s="5">
        <f>F22*E24</f>
        <v>0.03</v>
      </c>
      <c r="G24" s="654"/>
      <c r="H24" s="654"/>
      <c r="I24" s="341"/>
      <c r="J24" s="341"/>
      <c r="K24" s="604"/>
      <c r="L24" s="341">
        <f>F24*K24</f>
        <v>0</v>
      </c>
      <c r="M24" s="341">
        <f>H24+J24+L24</f>
        <v>0</v>
      </c>
    </row>
    <row r="25" spans="1:26" s="81" customFormat="1" ht="16.5" customHeight="1" x14ac:dyDescent="0.25">
      <c r="A25" s="1"/>
      <c r="B25" s="7"/>
      <c r="C25" s="22" t="s">
        <v>129</v>
      </c>
      <c r="D25" s="6" t="s">
        <v>30</v>
      </c>
      <c r="E25" s="6"/>
      <c r="F25" s="25">
        <f>F22</f>
        <v>1</v>
      </c>
      <c r="G25" s="654"/>
      <c r="H25" s="654"/>
      <c r="I25" s="604"/>
      <c r="J25" s="341">
        <f>F25*I25</f>
        <v>0</v>
      </c>
      <c r="K25" s="341"/>
      <c r="L25" s="341"/>
      <c r="M25" s="341">
        <f>H25+J25+L25</f>
        <v>0</v>
      </c>
    </row>
    <row r="26" spans="1:26" s="81" customFormat="1" x14ac:dyDescent="0.25">
      <c r="A26" s="1"/>
      <c r="B26" s="72"/>
      <c r="C26" s="22" t="s">
        <v>80</v>
      </c>
      <c r="D26" s="6" t="s">
        <v>16</v>
      </c>
      <c r="E26" s="6">
        <v>0.18</v>
      </c>
      <c r="F26" s="5">
        <f>F22*E26</f>
        <v>0.18</v>
      </c>
      <c r="G26" s="654"/>
      <c r="H26" s="654"/>
      <c r="I26" s="604"/>
      <c r="J26" s="341">
        <f>F26*I26</f>
        <v>0</v>
      </c>
      <c r="K26" s="341"/>
      <c r="L26" s="341"/>
      <c r="M26" s="341">
        <f>H26+J26+L26</f>
        <v>0</v>
      </c>
    </row>
    <row r="27" spans="1:26" s="82" customFormat="1" x14ac:dyDescent="0.25">
      <c r="A27" s="17">
        <v>4</v>
      </c>
      <c r="B27" s="17" t="s">
        <v>277</v>
      </c>
      <c r="C27" s="18" t="s">
        <v>127</v>
      </c>
      <c r="D27" s="17" t="s">
        <v>30</v>
      </c>
      <c r="E27" s="17"/>
      <c r="F27" s="19">
        <v>1</v>
      </c>
      <c r="G27" s="655"/>
      <c r="H27" s="655"/>
      <c r="I27" s="319"/>
      <c r="J27" s="319"/>
      <c r="K27" s="319"/>
      <c r="L27" s="319"/>
      <c r="M27" s="341"/>
      <c r="O27" s="68"/>
    </row>
    <row r="28" spans="1:26" s="81" customFormat="1" x14ac:dyDescent="0.25">
      <c r="A28" s="1"/>
      <c r="B28" s="10"/>
      <c r="C28" s="22" t="s">
        <v>69</v>
      </c>
      <c r="D28" s="6" t="s">
        <v>70</v>
      </c>
      <c r="E28" s="6">
        <v>0.34</v>
      </c>
      <c r="F28" s="5">
        <f>F27*E28</f>
        <v>0.34</v>
      </c>
      <c r="G28" s="604"/>
      <c r="H28" s="341">
        <f>F28*G28</f>
        <v>0</v>
      </c>
      <c r="I28" s="341"/>
      <c r="J28" s="341"/>
      <c r="K28" s="341"/>
      <c r="L28" s="341"/>
      <c r="M28" s="341">
        <f t="shared" ref="M28:M29" si="0">H28+J28+L28</f>
        <v>0</v>
      </c>
    </row>
    <row r="29" spans="1:26" s="81" customFormat="1" x14ac:dyDescent="0.25">
      <c r="A29" s="1"/>
      <c r="B29" s="7"/>
      <c r="C29" s="22" t="s">
        <v>128</v>
      </c>
      <c r="D29" s="245" t="s">
        <v>18</v>
      </c>
      <c r="E29" s="6"/>
      <c r="F29" s="25">
        <f>F27</f>
        <v>1</v>
      </c>
      <c r="G29" s="654"/>
      <c r="H29" s="654"/>
      <c r="I29" s="604"/>
      <c r="J29" s="341">
        <f t="shared" ref="J29" si="1">F29*I29</f>
        <v>0</v>
      </c>
      <c r="K29" s="341"/>
      <c r="L29" s="341"/>
      <c r="M29" s="341">
        <f t="shared" si="0"/>
        <v>0</v>
      </c>
    </row>
    <row r="30" spans="1:26" s="81" customFormat="1" x14ac:dyDescent="0.25">
      <c r="A30" s="1"/>
      <c r="B30" s="72"/>
      <c r="C30" s="22" t="s">
        <v>80</v>
      </c>
      <c r="D30" s="6" t="s">
        <v>16</v>
      </c>
      <c r="E30" s="6">
        <v>0.02</v>
      </c>
      <c r="F30" s="5">
        <f>F27*E30</f>
        <v>0.02</v>
      </c>
      <c r="G30" s="654"/>
      <c r="H30" s="654"/>
      <c r="I30" s="604"/>
      <c r="J30" s="341">
        <f>F30*I30</f>
        <v>0</v>
      </c>
      <c r="K30" s="341"/>
      <c r="L30" s="341"/>
      <c r="M30" s="341">
        <f>H30+J30+L30</f>
        <v>0</v>
      </c>
    </row>
    <row r="31" spans="1:26" s="50" customFormat="1" ht="67.5" x14ac:dyDescent="0.25">
      <c r="A31" s="17">
        <v>5</v>
      </c>
      <c r="B31" s="73" t="s">
        <v>76</v>
      </c>
      <c r="C31" s="18" t="s">
        <v>116</v>
      </c>
      <c r="D31" s="24" t="s">
        <v>77</v>
      </c>
      <c r="E31" s="24"/>
      <c r="F31" s="31">
        <v>1</v>
      </c>
      <c r="G31" s="281"/>
      <c r="H31" s="359"/>
      <c r="I31" s="648"/>
      <c r="J31" s="359"/>
      <c r="K31" s="648"/>
      <c r="L31" s="359"/>
      <c r="M31" s="359"/>
      <c r="O31" s="71"/>
      <c r="P31" s="83"/>
      <c r="Q31" s="51"/>
      <c r="R31" s="71"/>
      <c r="S31" s="83"/>
      <c r="T31" s="51"/>
      <c r="U31" s="71"/>
      <c r="V31" s="83"/>
      <c r="W31" s="51"/>
      <c r="X31" s="62"/>
      <c r="Y31" s="51"/>
      <c r="Z31" s="51"/>
    </row>
    <row r="32" spans="1:26" s="48" customFormat="1" ht="13.5" customHeight="1" x14ac:dyDescent="0.25">
      <c r="A32" s="1"/>
      <c r="B32" s="70"/>
      <c r="C32" s="22" t="s">
        <v>69</v>
      </c>
      <c r="D32" s="6" t="s">
        <v>70</v>
      </c>
      <c r="E32" s="6">
        <v>2.19</v>
      </c>
      <c r="F32" s="5">
        <f>F31*E32</f>
        <v>2.19</v>
      </c>
      <c r="G32" s="615"/>
      <c r="H32" s="359">
        <f>F32*G32</f>
        <v>0</v>
      </c>
      <c r="I32" s="513"/>
      <c r="J32" s="341"/>
      <c r="K32" s="513"/>
      <c r="L32" s="341"/>
      <c r="M32" s="341">
        <f>H32+J32+L32</f>
        <v>0</v>
      </c>
      <c r="O32" s="60"/>
      <c r="P32" s="61"/>
      <c r="Q32" s="49"/>
      <c r="R32" s="60"/>
      <c r="S32" s="61"/>
      <c r="T32" s="49"/>
      <c r="U32" s="60"/>
      <c r="V32" s="61"/>
      <c r="W32" s="49"/>
      <c r="X32" s="62"/>
      <c r="Y32" s="49"/>
      <c r="Z32" s="49"/>
    </row>
    <row r="33" spans="1:26" s="48" customFormat="1" ht="13.5" customHeight="1" x14ac:dyDescent="0.25">
      <c r="A33" s="1"/>
      <c r="B33" s="72"/>
      <c r="C33" s="22" t="s">
        <v>78</v>
      </c>
      <c r="D33" s="6" t="s">
        <v>16</v>
      </c>
      <c r="E33" s="6">
        <v>7.0000000000000007E-2</v>
      </c>
      <c r="F33" s="5">
        <f>F31*E33</f>
        <v>7.0000000000000007E-2</v>
      </c>
      <c r="G33" s="512"/>
      <c r="H33" s="341"/>
      <c r="I33" s="513"/>
      <c r="J33" s="341"/>
      <c r="K33" s="604"/>
      <c r="L33" s="341">
        <f>F33*K33</f>
        <v>0</v>
      </c>
      <c r="M33" s="341">
        <f>H33+J33+L33</f>
        <v>0</v>
      </c>
      <c r="O33" s="60"/>
      <c r="P33" s="61"/>
      <c r="Q33" s="49"/>
      <c r="R33" s="60"/>
      <c r="S33" s="61"/>
      <c r="T33" s="49"/>
      <c r="U33" s="60"/>
      <c r="V33" s="61"/>
      <c r="W33" s="49"/>
      <c r="X33" s="62"/>
      <c r="Y33" s="49"/>
      <c r="Z33" s="49"/>
    </row>
    <row r="34" spans="1:26" s="48" customFormat="1" ht="14.25" customHeight="1" x14ac:dyDescent="0.25">
      <c r="A34" s="1"/>
      <c r="B34" s="72"/>
      <c r="C34" s="22" t="s">
        <v>79</v>
      </c>
      <c r="D34" s="6"/>
      <c r="E34" s="6"/>
      <c r="F34" s="5"/>
      <c r="G34" s="512"/>
      <c r="H34" s="341"/>
      <c r="I34" s="513"/>
      <c r="J34" s="341"/>
      <c r="K34" s="513"/>
      <c r="L34" s="341"/>
      <c r="M34" s="341"/>
      <c r="O34" s="60"/>
      <c r="P34" s="61"/>
      <c r="Q34" s="49"/>
      <c r="R34" s="60"/>
      <c r="S34" s="61"/>
      <c r="T34" s="49"/>
      <c r="U34" s="60"/>
      <c r="V34" s="61"/>
      <c r="W34" s="49"/>
      <c r="X34" s="62"/>
      <c r="Y34" s="49"/>
      <c r="Z34" s="49"/>
    </row>
    <row r="35" spans="1:26" s="50" customFormat="1" ht="60" customHeight="1" x14ac:dyDescent="0.25">
      <c r="A35" s="17"/>
      <c r="B35" s="26"/>
      <c r="C35" s="29" t="s">
        <v>116</v>
      </c>
      <c r="D35" s="24" t="s">
        <v>77</v>
      </c>
      <c r="E35" s="24">
        <v>1</v>
      </c>
      <c r="F35" s="31">
        <f>F31*E35</f>
        <v>1</v>
      </c>
      <c r="G35" s="281"/>
      <c r="H35" s="359"/>
      <c r="I35" s="615"/>
      <c r="J35" s="359">
        <f t="shared" ref="J35:J36" si="2">F35*I35</f>
        <v>0</v>
      </c>
      <c r="K35" s="648"/>
      <c r="L35" s="359"/>
      <c r="M35" s="359">
        <f>H35+J35+L35</f>
        <v>0</v>
      </c>
      <c r="O35" s="71"/>
      <c r="P35" s="83"/>
      <c r="Q35" s="51"/>
      <c r="R35" s="71"/>
      <c r="S35" s="83"/>
      <c r="T35" s="51"/>
      <c r="U35" s="71"/>
      <c r="V35" s="83"/>
      <c r="W35" s="51"/>
      <c r="X35" s="62"/>
      <c r="Y35" s="51"/>
      <c r="Z35" s="51"/>
    </row>
    <row r="36" spans="1:26" s="48" customFormat="1" ht="15" customHeight="1" x14ac:dyDescent="0.25">
      <c r="A36" s="1"/>
      <c r="B36" s="72"/>
      <c r="C36" s="22" t="s">
        <v>80</v>
      </c>
      <c r="D36" s="6" t="s">
        <v>16</v>
      </c>
      <c r="E36" s="6">
        <v>0.37</v>
      </c>
      <c r="F36" s="5">
        <f>F31*E36</f>
        <v>0.37</v>
      </c>
      <c r="G36" s="513"/>
      <c r="H36" s="341"/>
      <c r="I36" s="604"/>
      <c r="J36" s="341">
        <f t="shared" si="2"/>
        <v>0</v>
      </c>
      <c r="K36" s="513"/>
      <c r="L36" s="341"/>
      <c r="M36" s="341">
        <f>H36+J36+L36</f>
        <v>0</v>
      </c>
      <c r="O36" s="60"/>
      <c r="P36" s="61"/>
      <c r="Q36" s="49"/>
      <c r="R36" s="60"/>
      <c r="S36" s="61"/>
      <c r="T36" s="49"/>
      <c r="U36" s="60"/>
      <c r="V36" s="61"/>
      <c r="W36" s="49"/>
      <c r="X36" s="62"/>
      <c r="Y36" s="49"/>
      <c r="Z36" s="49"/>
    </row>
    <row r="37" spans="1:26" s="50" customFormat="1" ht="67.5" x14ac:dyDescent="0.25">
      <c r="A37" s="17">
        <v>6</v>
      </c>
      <c r="B37" s="73" t="s">
        <v>76</v>
      </c>
      <c r="C37" s="18" t="s">
        <v>115</v>
      </c>
      <c r="D37" s="24" t="s">
        <v>77</v>
      </c>
      <c r="E37" s="24"/>
      <c r="F37" s="31">
        <v>1</v>
      </c>
      <c r="G37" s="281"/>
      <c r="H37" s="359"/>
      <c r="I37" s="648"/>
      <c r="J37" s="359"/>
      <c r="K37" s="648"/>
      <c r="L37" s="359"/>
      <c r="M37" s="359"/>
      <c r="O37" s="71"/>
      <c r="P37" s="83"/>
      <c r="Q37" s="51"/>
      <c r="R37" s="71"/>
      <c r="S37" s="83"/>
      <c r="T37" s="51"/>
      <c r="U37" s="71"/>
      <c r="V37" s="83"/>
      <c r="W37" s="51"/>
      <c r="X37" s="62"/>
      <c r="Y37" s="51"/>
      <c r="Z37" s="51"/>
    </row>
    <row r="38" spans="1:26" s="48" customFormat="1" ht="13.5" customHeight="1" x14ac:dyDescent="0.25">
      <c r="A38" s="1"/>
      <c r="B38" s="70"/>
      <c r="C38" s="22" t="s">
        <v>69</v>
      </c>
      <c r="D38" s="6" t="s">
        <v>70</v>
      </c>
      <c r="E38" s="6">
        <v>2.19</v>
      </c>
      <c r="F38" s="5">
        <f>F37*E38</f>
        <v>2.19</v>
      </c>
      <c r="G38" s="615"/>
      <c r="H38" s="359">
        <f>F38*G38</f>
        <v>0</v>
      </c>
      <c r="I38" s="513"/>
      <c r="J38" s="341"/>
      <c r="K38" s="513"/>
      <c r="L38" s="341"/>
      <c r="M38" s="341">
        <f>H38+J38+L38</f>
        <v>0</v>
      </c>
      <c r="O38" s="60"/>
      <c r="P38" s="61"/>
      <c r="Q38" s="49"/>
      <c r="R38" s="60"/>
      <c r="S38" s="61"/>
      <c r="T38" s="49"/>
      <c r="U38" s="60"/>
      <c r="V38" s="61"/>
      <c r="W38" s="49"/>
      <c r="X38" s="62"/>
      <c r="Y38" s="49"/>
      <c r="Z38" s="49"/>
    </row>
    <row r="39" spans="1:26" s="48" customFormat="1" ht="13.5" customHeight="1" x14ac:dyDescent="0.25">
      <c r="A39" s="1"/>
      <c r="B39" s="72"/>
      <c r="C39" s="22" t="s">
        <v>78</v>
      </c>
      <c r="D39" s="6" t="s">
        <v>16</v>
      </c>
      <c r="E39" s="6">
        <v>7.0000000000000007E-2</v>
      </c>
      <c r="F39" s="5">
        <f>F37*E39</f>
        <v>7.0000000000000007E-2</v>
      </c>
      <c r="G39" s="512"/>
      <c r="H39" s="341"/>
      <c r="I39" s="513"/>
      <c r="J39" s="341"/>
      <c r="K39" s="604"/>
      <c r="L39" s="341">
        <f>F39*K39</f>
        <v>0</v>
      </c>
      <c r="M39" s="341">
        <f>H39+J39+L39</f>
        <v>0</v>
      </c>
      <c r="O39" s="60"/>
      <c r="P39" s="61"/>
      <c r="Q39" s="49"/>
      <c r="R39" s="60"/>
      <c r="S39" s="61"/>
      <c r="T39" s="49"/>
      <c r="U39" s="60"/>
      <c r="V39" s="61"/>
      <c r="W39" s="49"/>
      <c r="X39" s="62"/>
      <c r="Y39" s="49"/>
      <c r="Z39" s="49"/>
    </row>
    <row r="40" spans="1:26" s="48" customFormat="1" ht="14.25" customHeight="1" x14ac:dyDescent="0.25">
      <c r="A40" s="1"/>
      <c r="B40" s="72"/>
      <c r="C40" s="22" t="s">
        <v>79</v>
      </c>
      <c r="D40" s="6"/>
      <c r="E40" s="6"/>
      <c r="F40" s="5"/>
      <c r="G40" s="512"/>
      <c r="H40" s="341"/>
      <c r="I40" s="513"/>
      <c r="J40" s="341"/>
      <c r="K40" s="513"/>
      <c r="L40" s="341"/>
      <c r="M40" s="341"/>
      <c r="O40" s="60"/>
      <c r="P40" s="61"/>
      <c r="Q40" s="49"/>
      <c r="R40" s="60"/>
      <c r="S40" s="61"/>
      <c r="T40" s="49"/>
      <c r="U40" s="60"/>
      <c r="V40" s="61"/>
      <c r="W40" s="49"/>
      <c r="X40" s="62"/>
      <c r="Y40" s="49"/>
      <c r="Z40" s="49"/>
    </row>
    <row r="41" spans="1:26" s="50" customFormat="1" ht="60" customHeight="1" x14ac:dyDescent="0.25">
      <c r="A41" s="17"/>
      <c r="B41" s="26"/>
      <c r="C41" s="29" t="s">
        <v>115</v>
      </c>
      <c r="D41" s="24" t="s">
        <v>77</v>
      </c>
      <c r="E41" s="24">
        <v>1</v>
      </c>
      <c r="F41" s="31">
        <f>F37*E41</f>
        <v>1</v>
      </c>
      <c r="G41" s="281"/>
      <c r="H41" s="359"/>
      <c r="I41" s="615"/>
      <c r="J41" s="359">
        <f t="shared" ref="J41:J42" si="3">F41*I41</f>
        <v>0</v>
      </c>
      <c r="K41" s="648"/>
      <c r="L41" s="359"/>
      <c r="M41" s="359">
        <f>H41+J41+L41</f>
        <v>0</v>
      </c>
      <c r="O41" s="71"/>
      <c r="P41" s="83"/>
      <c r="Q41" s="51"/>
      <c r="R41" s="71"/>
      <c r="S41" s="83"/>
      <c r="T41" s="51"/>
      <c r="U41" s="71"/>
      <c r="V41" s="83"/>
      <c r="W41" s="51"/>
      <c r="X41" s="62"/>
      <c r="Y41" s="51"/>
      <c r="Z41" s="51"/>
    </row>
    <row r="42" spans="1:26" s="48" customFormat="1" ht="15" customHeight="1" x14ac:dyDescent="0.25">
      <c r="A42" s="1"/>
      <c r="B42" s="72"/>
      <c r="C42" s="22" t="s">
        <v>80</v>
      </c>
      <c r="D42" s="6" t="s">
        <v>16</v>
      </c>
      <c r="E42" s="6">
        <v>0.37</v>
      </c>
      <c r="F42" s="5">
        <f>F37*E42</f>
        <v>0.37</v>
      </c>
      <c r="G42" s="513"/>
      <c r="H42" s="341"/>
      <c r="I42" s="604"/>
      <c r="J42" s="341">
        <f t="shared" si="3"/>
        <v>0</v>
      </c>
      <c r="K42" s="513"/>
      <c r="L42" s="341"/>
      <c r="M42" s="341">
        <f>H42+J42+L42</f>
        <v>0</v>
      </c>
      <c r="O42" s="60"/>
      <c r="P42" s="61"/>
      <c r="Q42" s="49"/>
      <c r="R42" s="60"/>
      <c r="S42" s="61"/>
      <c r="T42" s="49"/>
      <c r="U42" s="60"/>
      <c r="V42" s="61"/>
      <c r="W42" s="49"/>
      <c r="X42" s="62"/>
      <c r="Y42" s="49"/>
      <c r="Z42" s="49"/>
    </row>
    <row r="43" spans="1:26" s="50" customFormat="1" ht="44.25" customHeight="1" x14ac:dyDescent="0.25">
      <c r="A43" s="17">
        <v>7</v>
      </c>
      <c r="B43" s="73" t="s">
        <v>108</v>
      </c>
      <c r="C43" s="18" t="s">
        <v>194</v>
      </c>
      <c r="D43" s="27" t="s">
        <v>30</v>
      </c>
      <c r="E43" s="24"/>
      <c r="F43" s="24">
        <v>8</v>
      </c>
      <c r="G43" s="281"/>
      <c r="H43" s="651"/>
      <c r="I43" s="648"/>
      <c r="J43" s="359"/>
      <c r="K43" s="648"/>
      <c r="L43" s="359"/>
      <c r="M43" s="359"/>
      <c r="N43" s="84"/>
      <c r="O43" s="71"/>
      <c r="P43" s="71"/>
      <c r="Q43" s="85"/>
      <c r="R43" s="71"/>
      <c r="S43" s="71"/>
      <c r="T43" s="51"/>
      <c r="U43" s="71"/>
      <c r="V43" s="71"/>
      <c r="W43" s="51"/>
      <c r="X43" s="62"/>
      <c r="Y43" s="51"/>
      <c r="Z43" s="51"/>
    </row>
    <row r="44" spans="1:26" s="50" customFormat="1" ht="15.75" customHeight="1" x14ac:dyDescent="0.25">
      <c r="A44" s="17"/>
      <c r="B44" s="73"/>
      <c r="C44" s="29" t="s">
        <v>69</v>
      </c>
      <c r="D44" s="24" t="s">
        <v>70</v>
      </c>
      <c r="E44" s="24">
        <v>1.51</v>
      </c>
      <c r="F44" s="24">
        <f>F43*E44</f>
        <v>12.08</v>
      </c>
      <c r="G44" s="615"/>
      <c r="H44" s="359">
        <f>F44*G44</f>
        <v>0</v>
      </c>
      <c r="I44" s="647"/>
      <c r="J44" s="359"/>
      <c r="K44" s="648"/>
      <c r="L44" s="359"/>
      <c r="M44" s="359">
        <f>H44+J44+L44</f>
        <v>0</v>
      </c>
      <c r="N44" s="84"/>
      <c r="O44" s="71"/>
      <c r="P44" s="71"/>
      <c r="Q44" s="85"/>
      <c r="R44" s="71"/>
      <c r="S44" s="71"/>
      <c r="T44" s="51"/>
      <c r="U44" s="71"/>
      <c r="V44" s="71"/>
      <c r="W44" s="51"/>
      <c r="X44" s="62"/>
      <c r="Y44" s="51"/>
      <c r="Z44" s="51"/>
    </row>
    <row r="45" spans="1:26" s="50" customFormat="1" ht="15" customHeight="1" x14ac:dyDescent="0.25">
      <c r="A45" s="17"/>
      <c r="B45" s="74"/>
      <c r="C45" s="29" t="s">
        <v>78</v>
      </c>
      <c r="D45" s="24" t="s">
        <v>16</v>
      </c>
      <c r="E45" s="24">
        <v>0.13</v>
      </c>
      <c r="F45" s="24">
        <f>F43*E45</f>
        <v>1.04</v>
      </c>
      <c r="G45" s="281"/>
      <c r="H45" s="359"/>
      <c r="I45" s="648"/>
      <c r="J45" s="359"/>
      <c r="K45" s="615"/>
      <c r="L45" s="359">
        <f>F45*K45</f>
        <v>0</v>
      </c>
      <c r="M45" s="359">
        <f>H45+J45+L45</f>
        <v>0</v>
      </c>
      <c r="N45" s="84"/>
      <c r="O45" s="71"/>
      <c r="P45" s="71"/>
      <c r="Q45" s="85"/>
      <c r="R45" s="71"/>
      <c r="S45" s="71"/>
      <c r="T45" s="51"/>
      <c r="U45" s="71"/>
      <c r="V45" s="71"/>
      <c r="W45" s="51"/>
      <c r="X45" s="62"/>
      <c r="Y45" s="51"/>
      <c r="Z45" s="51"/>
    </row>
    <row r="46" spans="1:26" s="50" customFormat="1" ht="14.25" customHeight="1" x14ac:dyDescent="0.25">
      <c r="A46" s="17"/>
      <c r="B46" s="86"/>
      <c r="C46" s="29" t="s">
        <v>79</v>
      </c>
      <c r="D46" s="24"/>
      <c r="E46" s="24"/>
      <c r="F46" s="24"/>
      <c r="G46" s="281"/>
      <c r="H46" s="359"/>
      <c r="I46" s="648"/>
      <c r="J46" s="359"/>
      <c r="K46" s="648"/>
      <c r="L46" s="359"/>
      <c r="M46" s="359"/>
      <c r="N46" s="84"/>
      <c r="O46" s="71"/>
      <c r="P46" s="71"/>
      <c r="Q46" s="85"/>
      <c r="R46" s="71"/>
      <c r="S46" s="71"/>
      <c r="T46" s="51"/>
      <c r="U46" s="71"/>
      <c r="V46" s="71"/>
      <c r="W46" s="51"/>
      <c r="X46" s="62"/>
      <c r="Y46" s="51"/>
      <c r="Z46" s="51"/>
    </row>
    <row r="47" spans="1:26" s="50" customFormat="1" ht="15" customHeight="1" x14ac:dyDescent="0.25">
      <c r="A47" s="17"/>
      <c r="B47" s="87"/>
      <c r="C47" s="29" t="s">
        <v>109</v>
      </c>
      <c r="D47" s="24" t="s">
        <v>30</v>
      </c>
      <c r="E47" s="24"/>
      <c r="F47" s="24">
        <v>6</v>
      </c>
      <c r="G47" s="281"/>
      <c r="H47" s="359"/>
      <c r="I47" s="615"/>
      <c r="J47" s="359">
        <f t="shared" ref="J47:J51" si="4">F47*I47</f>
        <v>0</v>
      </c>
      <c r="K47" s="648"/>
      <c r="L47" s="359"/>
      <c r="M47" s="359">
        <f>H47+J47+L47</f>
        <v>0</v>
      </c>
      <c r="N47" s="84"/>
      <c r="O47" s="71"/>
      <c r="P47" s="71"/>
      <c r="Q47" s="85"/>
      <c r="R47" s="71"/>
      <c r="S47" s="71"/>
      <c r="T47" s="51"/>
      <c r="U47" s="71"/>
      <c r="V47" s="71"/>
      <c r="W47" s="51"/>
      <c r="X47" s="62"/>
      <c r="Y47" s="51"/>
      <c r="Z47" s="51"/>
    </row>
    <row r="48" spans="1:26" s="50" customFormat="1" ht="15" customHeight="1" x14ac:dyDescent="0.25">
      <c r="A48" s="17"/>
      <c r="B48" s="87"/>
      <c r="C48" s="29" t="s">
        <v>110</v>
      </c>
      <c r="D48" s="24" t="s">
        <v>30</v>
      </c>
      <c r="E48" s="24"/>
      <c r="F48" s="24">
        <v>2</v>
      </c>
      <c r="G48" s="281"/>
      <c r="H48" s="359"/>
      <c r="I48" s="615"/>
      <c r="J48" s="359">
        <f t="shared" si="4"/>
        <v>0</v>
      </c>
      <c r="K48" s="648"/>
      <c r="L48" s="359"/>
      <c r="M48" s="359">
        <f>H48+J48+L48</f>
        <v>0</v>
      </c>
      <c r="N48" s="84"/>
      <c r="O48" s="71"/>
      <c r="P48" s="71"/>
      <c r="Q48" s="85"/>
      <c r="R48" s="71"/>
      <c r="S48" s="71"/>
      <c r="T48" s="51"/>
      <c r="U48" s="71"/>
      <c r="V48" s="71"/>
      <c r="W48" s="51"/>
      <c r="X48" s="62"/>
      <c r="Y48" s="51"/>
      <c r="Z48" s="51"/>
    </row>
    <row r="49" spans="1:26" s="50" customFormat="1" ht="15" customHeight="1" x14ac:dyDescent="0.25">
      <c r="A49" s="17"/>
      <c r="B49" s="87"/>
      <c r="C49" s="29" t="s">
        <v>111</v>
      </c>
      <c r="D49" s="24" t="s">
        <v>30</v>
      </c>
      <c r="E49" s="24">
        <v>2</v>
      </c>
      <c r="F49" s="24">
        <f>F43*E49</f>
        <v>16</v>
      </c>
      <c r="G49" s="281"/>
      <c r="H49" s="359"/>
      <c r="I49" s="615"/>
      <c r="J49" s="359">
        <f t="shared" si="4"/>
        <v>0</v>
      </c>
      <c r="K49" s="648"/>
      <c r="L49" s="359"/>
      <c r="M49" s="359">
        <f>H49+J49+L49</f>
        <v>0</v>
      </c>
      <c r="N49" s="84"/>
      <c r="O49" s="71"/>
      <c r="P49" s="71"/>
      <c r="Q49" s="85"/>
      <c r="R49" s="71"/>
      <c r="S49" s="71"/>
      <c r="T49" s="51"/>
      <c r="U49" s="71"/>
      <c r="V49" s="71"/>
      <c r="W49" s="51"/>
      <c r="X49" s="62"/>
      <c r="Y49" s="51"/>
      <c r="Z49" s="51"/>
    </row>
    <row r="50" spans="1:26" s="50" customFormat="1" ht="15" customHeight="1" x14ac:dyDescent="0.25">
      <c r="A50" s="17"/>
      <c r="B50" s="87"/>
      <c r="C50" s="29" t="s">
        <v>112</v>
      </c>
      <c r="D50" s="24" t="s">
        <v>22</v>
      </c>
      <c r="E50" s="24">
        <v>1.1000000000000001</v>
      </c>
      <c r="F50" s="24">
        <f>F43*E50</f>
        <v>8.8000000000000007</v>
      </c>
      <c r="G50" s="281"/>
      <c r="H50" s="359"/>
      <c r="I50" s="615"/>
      <c r="J50" s="359">
        <f t="shared" si="4"/>
        <v>0</v>
      </c>
      <c r="K50" s="648"/>
      <c r="L50" s="359"/>
      <c r="M50" s="359">
        <f>H50+J50+L50</f>
        <v>0</v>
      </c>
      <c r="N50" s="84"/>
      <c r="O50" s="71"/>
      <c r="P50" s="71"/>
      <c r="Q50" s="85"/>
      <c r="R50" s="71"/>
      <c r="S50" s="71"/>
      <c r="T50" s="51"/>
      <c r="U50" s="71"/>
      <c r="V50" s="71"/>
      <c r="W50" s="51"/>
      <c r="X50" s="62"/>
      <c r="Y50" s="51"/>
      <c r="Z50" s="51"/>
    </row>
    <row r="51" spans="1:26" s="50" customFormat="1" ht="15" customHeight="1" x14ac:dyDescent="0.25">
      <c r="A51" s="17"/>
      <c r="B51" s="86"/>
      <c r="C51" s="29" t="s">
        <v>80</v>
      </c>
      <c r="D51" s="24" t="s">
        <v>16</v>
      </c>
      <c r="E51" s="24">
        <v>7.0000000000000007E-2</v>
      </c>
      <c r="F51" s="24">
        <f>F43*E51</f>
        <v>0.56000000000000005</v>
      </c>
      <c r="G51" s="648"/>
      <c r="H51" s="359"/>
      <c r="I51" s="604"/>
      <c r="J51" s="359">
        <f t="shared" si="4"/>
        <v>0</v>
      </c>
      <c r="K51" s="648"/>
      <c r="L51" s="359"/>
      <c r="M51" s="359">
        <f>H51+J51+L51</f>
        <v>0</v>
      </c>
      <c r="N51" s="84"/>
      <c r="O51" s="71"/>
      <c r="P51" s="71"/>
      <c r="Q51" s="85"/>
      <c r="R51" s="71"/>
      <c r="S51" s="71"/>
      <c r="T51" s="51"/>
      <c r="U51" s="71"/>
      <c r="V51" s="71"/>
      <c r="W51" s="51"/>
      <c r="X51" s="62"/>
      <c r="Y51" s="51"/>
      <c r="Z51" s="51"/>
    </row>
    <row r="52" spans="1:26" s="50" customFormat="1" ht="57" customHeight="1" x14ac:dyDescent="0.25">
      <c r="A52" s="17">
        <v>8</v>
      </c>
      <c r="B52" s="73" t="s">
        <v>108</v>
      </c>
      <c r="C52" s="18" t="s">
        <v>121</v>
      </c>
      <c r="D52" s="21" t="s">
        <v>30</v>
      </c>
      <c r="E52" s="17"/>
      <c r="F52" s="17">
        <v>2</v>
      </c>
      <c r="G52" s="281"/>
      <c r="H52" s="651"/>
      <c r="I52" s="648"/>
      <c r="J52" s="359"/>
      <c r="K52" s="648"/>
      <c r="L52" s="359"/>
      <c r="M52" s="359"/>
      <c r="N52" s="84"/>
      <c r="O52" s="71"/>
      <c r="P52" s="71"/>
      <c r="Q52" s="85"/>
      <c r="R52" s="71"/>
      <c r="S52" s="71"/>
      <c r="T52" s="51"/>
      <c r="U52" s="71"/>
      <c r="V52" s="71"/>
      <c r="W52" s="51"/>
      <c r="X52" s="62"/>
      <c r="Y52" s="51"/>
      <c r="Z52" s="51"/>
    </row>
    <row r="53" spans="1:26" s="50" customFormat="1" ht="15.75" customHeight="1" x14ac:dyDescent="0.25">
      <c r="A53" s="17"/>
      <c r="B53" s="73"/>
      <c r="C53" s="29" t="s">
        <v>69</v>
      </c>
      <c r="D53" s="24" t="s">
        <v>70</v>
      </c>
      <c r="E53" s="24">
        <v>1.51</v>
      </c>
      <c r="F53" s="24">
        <f>F52*E53</f>
        <v>3.02</v>
      </c>
      <c r="G53" s="604"/>
      <c r="H53" s="341">
        <f>F53*G53</f>
        <v>0</v>
      </c>
      <c r="I53" s="647"/>
      <c r="J53" s="359"/>
      <c r="K53" s="648"/>
      <c r="L53" s="359"/>
      <c r="M53" s="359">
        <f>H53+J53+L53</f>
        <v>0</v>
      </c>
      <c r="N53" s="84"/>
      <c r="O53" s="71"/>
      <c r="P53" s="71"/>
      <c r="Q53" s="85"/>
      <c r="R53" s="71"/>
      <c r="S53" s="71"/>
      <c r="T53" s="51"/>
      <c r="U53" s="71"/>
      <c r="V53" s="71"/>
      <c r="W53" s="51"/>
      <c r="X53" s="62"/>
      <c r="Y53" s="51"/>
      <c r="Z53" s="51"/>
    </row>
    <row r="54" spans="1:26" s="50" customFormat="1" ht="15" customHeight="1" x14ac:dyDescent="0.25">
      <c r="A54" s="17"/>
      <c r="B54" s="74"/>
      <c r="C54" s="29" t="s">
        <v>78</v>
      </c>
      <c r="D54" s="24" t="s">
        <v>16</v>
      </c>
      <c r="E54" s="24">
        <v>0.13</v>
      </c>
      <c r="F54" s="24">
        <f>F52*E54</f>
        <v>0.26</v>
      </c>
      <c r="G54" s="281"/>
      <c r="H54" s="359"/>
      <c r="I54" s="648"/>
      <c r="J54" s="359"/>
      <c r="K54" s="615"/>
      <c r="L54" s="359">
        <f>F54*K54</f>
        <v>0</v>
      </c>
      <c r="M54" s="359">
        <f>H54+J54+L54</f>
        <v>0</v>
      </c>
      <c r="N54" s="84"/>
      <c r="O54" s="71"/>
      <c r="P54" s="71"/>
      <c r="Q54" s="85"/>
      <c r="R54" s="71"/>
      <c r="S54" s="71"/>
      <c r="T54" s="51"/>
      <c r="U54" s="71"/>
      <c r="V54" s="71"/>
      <c r="W54" s="51"/>
      <c r="X54" s="62"/>
      <c r="Y54" s="51"/>
      <c r="Z54" s="51"/>
    </row>
    <row r="55" spans="1:26" s="50" customFormat="1" ht="14.25" customHeight="1" x14ac:dyDescent="0.25">
      <c r="A55" s="17"/>
      <c r="B55" s="86"/>
      <c r="C55" s="29" t="s">
        <v>79</v>
      </c>
      <c r="D55" s="24"/>
      <c r="E55" s="24"/>
      <c r="F55" s="24"/>
      <c r="G55" s="281"/>
      <c r="H55" s="359"/>
      <c r="I55" s="648"/>
      <c r="J55" s="359"/>
      <c r="K55" s="648"/>
      <c r="L55" s="359"/>
      <c r="M55" s="359"/>
      <c r="N55" s="84"/>
      <c r="O55" s="71"/>
      <c r="P55" s="71"/>
      <c r="Q55" s="85"/>
      <c r="R55" s="71"/>
      <c r="S55" s="71"/>
      <c r="T55" s="51"/>
      <c r="U55" s="71"/>
      <c r="V55" s="71"/>
      <c r="W55" s="51"/>
      <c r="X55" s="62"/>
      <c r="Y55" s="51"/>
      <c r="Z55" s="51"/>
    </row>
    <row r="56" spans="1:26" s="50" customFormat="1" ht="15" customHeight="1" x14ac:dyDescent="0.25">
      <c r="A56" s="17"/>
      <c r="B56" s="87"/>
      <c r="C56" s="29" t="s">
        <v>122</v>
      </c>
      <c r="D56" s="24" t="s">
        <v>30</v>
      </c>
      <c r="E56" s="24"/>
      <c r="F56" s="24">
        <v>1</v>
      </c>
      <c r="G56" s="281"/>
      <c r="H56" s="359"/>
      <c r="I56" s="615"/>
      <c r="J56" s="359">
        <f t="shared" ref="J56:J60" si="5">F56*I56</f>
        <v>0</v>
      </c>
      <c r="K56" s="648"/>
      <c r="L56" s="359"/>
      <c r="M56" s="359">
        <f>H56+J56+L56</f>
        <v>0</v>
      </c>
      <c r="N56" s="84"/>
      <c r="O56" s="71"/>
      <c r="P56" s="71"/>
      <c r="Q56" s="85"/>
      <c r="R56" s="71"/>
      <c r="S56" s="71"/>
      <c r="T56" s="51"/>
      <c r="U56" s="71"/>
      <c r="V56" s="71"/>
      <c r="W56" s="51"/>
      <c r="X56" s="62"/>
      <c r="Y56" s="51"/>
      <c r="Z56" s="51"/>
    </row>
    <row r="57" spans="1:26" s="50" customFormat="1" ht="15" customHeight="1" x14ac:dyDescent="0.25">
      <c r="A57" s="17"/>
      <c r="B57" s="87"/>
      <c r="C57" s="29" t="s">
        <v>123</v>
      </c>
      <c r="D57" s="24" t="s">
        <v>30</v>
      </c>
      <c r="E57" s="24"/>
      <c r="F57" s="24">
        <v>1</v>
      </c>
      <c r="G57" s="281"/>
      <c r="H57" s="359"/>
      <c r="I57" s="615"/>
      <c r="J57" s="359">
        <f t="shared" si="5"/>
        <v>0</v>
      </c>
      <c r="K57" s="648"/>
      <c r="L57" s="359"/>
      <c r="M57" s="359">
        <f>H57+J57+L57</f>
        <v>0</v>
      </c>
      <c r="N57" s="84"/>
      <c r="O57" s="71"/>
      <c r="P57" s="71"/>
      <c r="Q57" s="85"/>
      <c r="R57" s="71"/>
      <c r="S57" s="71"/>
      <c r="T57" s="51"/>
      <c r="U57" s="71"/>
      <c r="V57" s="71"/>
      <c r="W57" s="51"/>
      <c r="X57" s="62"/>
      <c r="Y57" s="51"/>
      <c r="Z57" s="51"/>
    </row>
    <row r="58" spans="1:26" s="50" customFormat="1" ht="15" customHeight="1" x14ac:dyDescent="0.25">
      <c r="A58" s="17"/>
      <c r="B58" s="87"/>
      <c r="C58" s="29" t="s">
        <v>111</v>
      </c>
      <c r="D58" s="24" t="s">
        <v>30</v>
      </c>
      <c r="E58" s="24">
        <v>2</v>
      </c>
      <c r="F58" s="24">
        <f>F52*E58</f>
        <v>4</v>
      </c>
      <c r="G58" s="281"/>
      <c r="H58" s="359"/>
      <c r="I58" s="615"/>
      <c r="J58" s="359">
        <f t="shared" si="5"/>
        <v>0</v>
      </c>
      <c r="K58" s="648"/>
      <c r="L58" s="359"/>
      <c r="M58" s="359">
        <f>H58+J58+L58</f>
        <v>0</v>
      </c>
      <c r="N58" s="84"/>
      <c r="O58" s="71"/>
      <c r="P58" s="71"/>
      <c r="Q58" s="85"/>
      <c r="R58" s="71"/>
      <c r="S58" s="71"/>
      <c r="T58" s="51"/>
      <c r="U58" s="71"/>
      <c r="V58" s="71"/>
      <c r="W58" s="51"/>
      <c r="X58" s="62"/>
      <c r="Y58" s="51"/>
      <c r="Z58" s="51"/>
    </row>
    <row r="59" spans="1:26" s="50" customFormat="1" ht="15" customHeight="1" x14ac:dyDescent="0.25">
      <c r="A59" s="17"/>
      <c r="B59" s="87"/>
      <c r="C59" s="29" t="s">
        <v>112</v>
      </c>
      <c r="D59" s="24" t="s">
        <v>22</v>
      </c>
      <c r="E59" s="24">
        <v>1.1000000000000001</v>
      </c>
      <c r="F59" s="24">
        <f>F52*E59</f>
        <v>2.2000000000000002</v>
      </c>
      <c r="G59" s="281"/>
      <c r="H59" s="359"/>
      <c r="I59" s="615"/>
      <c r="J59" s="359">
        <f t="shared" si="5"/>
        <v>0</v>
      </c>
      <c r="K59" s="648"/>
      <c r="L59" s="359"/>
      <c r="M59" s="359">
        <f>H59+J59+L59</f>
        <v>0</v>
      </c>
      <c r="N59" s="84"/>
      <c r="O59" s="71"/>
      <c r="P59" s="71"/>
      <c r="Q59" s="85"/>
      <c r="R59" s="71"/>
      <c r="S59" s="71"/>
      <c r="T59" s="51"/>
      <c r="U59" s="71"/>
      <c r="V59" s="71"/>
      <c r="W59" s="51"/>
      <c r="X59" s="62"/>
      <c r="Y59" s="51"/>
      <c r="Z59" s="51"/>
    </row>
    <row r="60" spans="1:26" s="50" customFormat="1" ht="15" customHeight="1" x14ac:dyDescent="0.25">
      <c r="A60" s="17"/>
      <c r="B60" s="86"/>
      <c r="C60" s="29" t="s">
        <v>80</v>
      </c>
      <c r="D60" s="24" t="s">
        <v>16</v>
      </c>
      <c r="E60" s="24">
        <v>7.0000000000000007E-2</v>
      </c>
      <c r="F60" s="24">
        <f>F52*E60</f>
        <v>0.14000000000000001</v>
      </c>
      <c r="G60" s="648"/>
      <c r="H60" s="359"/>
      <c r="I60" s="604"/>
      <c r="J60" s="359">
        <f t="shared" si="5"/>
        <v>0</v>
      </c>
      <c r="K60" s="648"/>
      <c r="L60" s="359"/>
      <c r="M60" s="359">
        <f>H60+J60+L60</f>
        <v>0</v>
      </c>
      <c r="N60" s="84"/>
      <c r="O60" s="71"/>
      <c r="P60" s="71"/>
      <c r="Q60" s="85"/>
      <c r="R60" s="71"/>
      <c r="S60" s="71"/>
      <c r="T60" s="51"/>
      <c r="U60" s="71"/>
      <c r="V60" s="71"/>
      <c r="W60" s="51"/>
      <c r="X60" s="62"/>
      <c r="Y60" s="51"/>
      <c r="Z60" s="51"/>
    </row>
    <row r="61" spans="1:26" s="50" customFormat="1" ht="57" customHeight="1" x14ac:dyDescent="0.25">
      <c r="A61" s="17">
        <v>9</v>
      </c>
      <c r="B61" s="73" t="s">
        <v>278</v>
      </c>
      <c r="C61" s="18" t="s">
        <v>340</v>
      </c>
      <c r="D61" s="24" t="s">
        <v>77</v>
      </c>
      <c r="E61" s="24"/>
      <c r="F61" s="24">
        <v>1</v>
      </c>
      <c r="G61" s="281"/>
      <c r="H61" s="359"/>
      <c r="I61" s="648"/>
      <c r="J61" s="359"/>
      <c r="K61" s="648"/>
      <c r="L61" s="359"/>
      <c r="M61" s="359"/>
    </row>
    <row r="62" spans="1:26" s="48" customFormat="1" ht="15" customHeight="1" x14ac:dyDescent="0.25">
      <c r="A62" s="1"/>
      <c r="B62" s="70"/>
      <c r="C62" s="22" t="s">
        <v>69</v>
      </c>
      <c r="D62" s="6" t="s">
        <v>70</v>
      </c>
      <c r="E62" s="6">
        <v>3.66</v>
      </c>
      <c r="F62" s="6">
        <f>F61*E62</f>
        <v>3.66</v>
      </c>
      <c r="G62" s="604"/>
      <c r="H62" s="341">
        <f>F62*G62</f>
        <v>0</v>
      </c>
      <c r="I62" s="513"/>
      <c r="J62" s="341"/>
      <c r="K62" s="513"/>
      <c r="L62" s="341"/>
      <c r="M62" s="341">
        <f>H62+J62+L62</f>
        <v>0</v>
      </c>
    </row>
    <row r="63" spans="1:26" s="48" customFormat="1" ht="15" customHeight="1" x14ac:dyDescent="0.25">
      <c r="A63" s="1"/>
      <c r="B63" s="72"/>
      <c r="C63" s="22" t="s">
        <v>83</v>
      </c>
      <c r="D63" s="6" t="s">
        <v>16</v>
      </c>
      <c r="E63" s="6">
        <v>0.28000000000000003</v>
      </c>
      <c r="F63" s="6">
        <f>F61*E63</f>
        <v>0.28000000000000003</v>
      </c>
      <c r="G63" s="512"/>
      <c r="H63" s="341"/>
      <c r="I63" s="513"/>
      <c r="J63" s="341"/>
      <c r="K63" s="604"/>
      <c r="L63" s="341">
        <f>F63*K63</f>
        <v>0</v>
      </c>
      <c r="M63" s="341">
        <f>H63+J63+L63</f>
        <v>0</v>
      </c>
    </row>
    <row r="64" spans="1:26" s="50" customFormat="1" ht="57" customHeight="1" x14ac:dyDescent="0.25">
      <c r="A64" s="17"/>
      <c r="B64" s="87"/>
      <c r="C64" s="11" t="s">
        <v>340</v>
      </c>
      <c r="D64" s="24" t="s">
        <v>77</v>
      </c>
      <c r="E64" s="24">
        <v>1</v>
      </c>
      <c r="F64" s="24">
        <f>F61*E64</f>
        <v>1</v>
      </c>
      <c r="G64" s="281"/>
      <c r="H64" s="359"/>
      <c r="I64" s="615"/>
      <c r="J64" s="359">
        <f>F64*I64</f>
        <v>0</v>
      </c>
      <c r="K64" s="648"/>
      <c r="L64" s="359"/>
      <c r="M64" s="359">
        <f>H64+J64+L64</f>
        <v>0</v>
      </c>
    </row>
    <row r="65" spans="1:26" s="48" customFormat="1" ht="15" customHeight="1" x14ac:dyDescent="0.25">
      <c r="A65" s="1"/>
      <c r="B65" s="72"/>
      <c r="C65" s="22" t="s">
        <v>80</v>
      </c>
      <c r="D65" s="6" t="s">
        <v>16</v>
      </c>
      <c r="E65" s="6">
        <v>1.24</v>
      </c>
      <c r="F65" s="6">
        <f>F61*E65</f>
        <v>1.24</v>
      </c>
      <c r="G65" s="649"/>
      <c r="H65" s="649"/>
      <c r="I65" s="604"/>
      <c r="J65" s="341">
        <f>F65*I65</f>
        <v>0</v>
      </c>
      <c r="K65" s="513"/>
      <c r="L65" s="341"/>
      <c r="M65" s="341">
        <f>H65+J65+L65</f>
        <v>0</v>
      </c>
    </row>
    <row r="66" spans="1:26" s="140" customFormat="1" ht="26.25" customHeight="1" x14ac:dyDescent="0.25">
      <c r="A66" s="174">
        <v>4</v>
      </c>
      <c r="B66" s="177" t="s">
        <v>279</v>
      </c>
      <c r="C66" s="175" t="s">
        <v>191</v>
      </c>
      <c r="D66" s="177" t="s">
        <v>60</v>
      </c>
      <c r="E66" s="47"/>
      <c r="F66" s="176">
        <v>12</v>
      </c>
      <c r="G66" s="365"/>
      <c r="H66" s="365"/>
      <c r="I66" s="650"/>
      <c r="J66" s="650"/>
      <c r="K66" s="650"/>
      <c r="L66" s="365"/>
      <c r="M66" s="365"/>
    </row>
    <row r="67" spans="1:26" s="141" customFormat="1" ht="15" x14ac:dyDescent="0.25">
      <c r="A67" s="34"/>
      <c r="B67" s="33"/>
      <c r="C67" s="56" t="s">
        <v>69</v>
      </c>
      <c r="D67" s="54" t="s">
        <v>53</v>
      </c>
      <c r="E67" s="57">
        <v>0.58299999999999996</v>
      </c>
      <c r="F67" s="57">
        <f>F66*E67</f>
        <v>6.9959999999999996</v>
      </c>
      <c r="G67" s="645"/>
      <c r="H67" s="362">
        <f>F67*G67</f>
        <v>0</v>
      </c>
      <c r="I67" s="362"/>
      <c r="J67" s="362"/>
      <c r="K67" s="362"/>
      <c r="L67" s="362"/>
      <c r="M67" s="362">
        <f t="shared" ref="M67:M70" si="6">H67+J67+L67</f>
        <v>0</v>
      </c>
    </row>
    <row r="68" spans="1:26" s="141" customFormat="1" ht="15" x14ac:dyDescent="0.25">
      <c r="A68" s="34"/>
      <c r="B68" s="33"/>
      <c r="C68" s="56" t="s">
        <v>192</v>
      </c>
      <c r="D68" s="54" t="s">
        <v>60</v>
      </c>
      <c r="E68" s="57">
        <v>1</v>
      </c>
      <c r="F68" s="57">
        <f>F66*E68</f>
        <v>12</v>
      </c>
      <c r="G68" s="362"/>
      <c r="H68" s="362"/>
      <c r="I68" s="645"/>
      <c r="J68" s="362">
        <f>F68*I68</f>
        <v>0</v>
      </c>
      <c r="K68" s="362"/>
      <c r="L68" s="362"/>
      <c r="M68" s="362">
        <f t="shared" si="6"/>
        <v>0</v>
      </c>
    </row>
    <row r="69" spans="1:26" s="141" customFormat="1" ht="15" x14ac:dyDescent="0.25">
      <c r="A69" s="34"/>
      <c r="B69" s="54"/>
      <c r="C69" s="210" t="s">
        <v>58</v>
      </c>
      <c r="D69" s="207" t="s">
        <v>59</v>
      </c>
      <c r="E69" s="185">
        <v>4.5999999999999999E-3</v>
      </c>
      <c r="F69" s="57">
        <f>E69*F66</f>
        <v>5.5199999999999999E-2</v>
      </c>
      <c r="G69" s="362"/>
      <c r="H69" s="362"/>
      <c r="I69" s="362"/>
      <c r="J69" s="362"/>
      <c r="K69" s="645"/>
      <c r="L69" s="362">
        <f t="shared" ref="L69" si="7">F69*K69</f>
        <v>0</v>
      </c>
      <c r="M69" s="362">
        <f t="shared" si="6"/>
        <v>0</v>
      </c>
    </row>
    <row r="70" spans="1:26" s="141" customFormat="1" ht="15" x14ac:dyDescent="0.25">
      <c r="A70" s="34"/>
      <c r="B70" s="33"/>
      <c r="C70" s="56" t="s">
        <v>17</v>
      </c>
      <c r="D70" s="54" t="s">
        <v>59</v>
      </c>
      <c r="E70" s="237">
        <v>0.20799999999999999</v>
      </c>
      <c r="F70" s="57">
        <f>E70*F66</f>
        <v>2.496</v>
      </c>
      <c r="G70" s="362"/>
      <c r="H70" s="362"/>
      <c r="I70" s="645"/>
      <c r="J70" s="362">
        <f>F70*I70</f>
        <v>0</v>
      </c>
      <c r="K70" s="362"/>
      <c r="L70" s="362"/>
      <c r="M70" s="362">
        <f t="shared" si="6"/>
        <v>0</v>
      </c>
    </row>
    <row r="71" spans="1:26" s="50" customFormat="1" ht="34.5" customHeight="1" x14ac:dyDescent="0.25">
      <c r="A71" s="17">
        <v>14</v>
      </c>
      <c r="B71" s="73" t="s">
        <v>105</v>
      </c>
      <c r="C71" s="18" t="s">
        <v>120</v>
      </c>
      <c r="D71" s="17" t="s">
        <v>82</v>
      </c>
      <c r="E71" s="17"/>
      <c r="F71" s="88">
        <v>3</v>
      </c>
      <c r="G71" s="281"/>
      <c r="H71" s="359"/>
      <c r="I71" s="648"/>
      <c r="J71" s="359"/>
      <c r="K71" s="648"/>
      <c r="L71" s="359"/>
      <c r="M71" s="359"/>
      <c r="O71" s="71"/>
      <c r="P71" s="89"/>
      <c r="Q71" s="51"/>
      <c r="R71" s="71"/>
      <c r="S71" s="89"/>
      <c r="T71" s="51"/>
      <c r="U71" s="71"/>
      <c r="V71" s="89"/>
      <c r="W71" s="51"/>
      <c r="X71" s="62"/>
      <c r="Y71" s="51"/>
      <c r="Z71" s="51"/>
    </row>
    <row r="72" spans="1:26" s="48" customFormat="1" ht="15" customHeight="1" x14ac:dyDescent="0.25">
      <c r="A72" s="1"/>
      <c r="B72" s="70"/>
      <c r="C72" s="22" t="s">
        <v>69</v>
      </c>
      <c r="D72" s="6" t="s">
        <v>70</v>
      </c>
      <c r="E72" s="6">
        <v>0.60899999999999999</v>
      </c>
      <c r="F72" s="6">
        <f>F71*E72</f>
        <v>1.827</v>
      </c>
      <c r="G72" s="604"/>
      <c r="H72" s="341">
        <f>F72*G72</f>
        <v>0</v>
      </c>
      <c r="I72" s="646"/>
      <c r="J72" s="341"/>
      <c r="K72" s="513"/>
      <c r="L72" s="341"/>
      <c r="M72" s="341">
        <f>H72+J72+L72</f>
        <v>0</v>
      </c>
      <c r="O72" s="60"/>
      <c r="P72" s="60"/>
      <c r="Q72" s="49"/>
      <c r="R72" s="60"/>
      <c r="S72" s="60"/>
      <c r="T72" s="49"/>
      <c r="U72" s="60"/>
      <c r="V72" s="60"/>
      <c r="W72" s="49"/>
      <c r="X72" s="62"/>
      <c r="Y72" s="49"/>
      <c r="Z72" s="49"/>
    </row>
    <row r="73" spans="1:26" s="48" customFormat="1" ht="15" customHeight="1" x14ac:dyDescent="0.25">
      <c r="A73" s="1"/>
      <c r="B73" s="72"/>
      <c r="C73" s="22" t="s">
        <v>89</v>
      </c>
      <c r="D73" s="6" t="s">
        <v>16</v>
      </c>
      <c r="E73" s="6">
        <v>2.0999999999999999E-3</v>
      </c>
      <c r="F73" s="6">
        <f>F71*E73</f>
        <v>6.3E-3</v>
      </c>
      <c r="G73" s="512"/>
      <c r="H73" s="341"/>
      <c r="I73" s="513"/>
      <c r="J73" s="341"/>
      <c r="K73" s="604"/>
      <c r="L73" s="341">
        <f>F73*K73</f>
        <v>0</v>
      </c>
      <c r="M73" s="341">
        <f>H73+J73+L73</f>
        <v>0</v>
      </c>
      <c r="O73" s="60"/>
      <c r="P73" s="60"/>
      <c r="Q73" s="49"/>
      <c r="R73" s="60"/>
      <c r="S73" s="60"/>
      <c r="T73" s="49"/>
      <c r="U73" s="60"/>
      <c r="V73" s="60"/>
      <c r="W73" s="49"/>
      <c r="X73" s="62"/>
      <c r="Y73" s="49"/>
      <c r="Z73" s="49"/>
    </row>
    <row r="74" spans="1:26" s="50" customFormat="1" ht="27" x14ac:dyDescent="0.25">
      <c r="A74" s="17"/>
      <c r="B74" s="298"/>
      <c r="C74" s="29" t="s">
        <v>113</v>
      </c>
      <c r="D74" s="24" t="s">
        <v>82</v>
      </c>
      <c r="E74" s="24">
        <v>0.998</v>
      </c>
      <c r="F74" s="24">
        <f>F71*E74</f>
        <v>2.9939999999999998</v>
      </c>
      <c r="G74" s="281"/>
      <c r="H74" s="359"/>
      <c r="I74" s="615"/>
      <c r="J74" s="359">
        <f t="shared" ref="J74:J76" si="8">F74*I74</f>
        <v>0</v>
      </c>
      <c r="K74" s="648"/>
      <c r="L74" s="359"/>
      <c r="M74" s="359">
        <f>H74+J74+L74</f>
        <v>0</v>
      </c>
      <c r="O74" s="71"/>
      <c r="P74" s="71"/>
      <c r="Q74" s="51"/>
      <c r="R74" s="71"/>
      <c r="S74" s="71"/>
      <c r="T74" s="51"/>
      <c r="U74" s="71"/>
      <c r="V74" s="71"/>
      <c r="W74" s="51"/>
      <c r="X74" s="62"/>
      <c r="Y74" s="51"/>
      <c r="Z74" s="51"/>
    </row>
    <row r="75" spans="1:26" s="48" customFormat="1" ht="15" customHeight="1" x14ac:dyDescent="0.25">
      <c r="A75" s="1"/>
      <c r="B75" s="1"/>
      <c r="C75" s="22" t="s">
        <v>106</v>
      </c>
      <c r="D75" s="6" t="s">
        <v>22</v>
      </c>
      <c r="E75" s="6">
        <v>0.14000000000000001</v>
      </c>
      <c r="F75" s="6">
        <f>F71*E75</f>
        <v>0.42000000000000004</v>
      </c>
      <c r="G75" s="512"/>
      <c r="H75" s="341"/>
      <c r="I75" s="604"/>
      <c r="J75" s="341">
        <f t="shared" si="8"/>
        <v>0</v>
      </c>
      <c r="K75" s="513"/>
      <c r="L75" s="341"/>
      <c r="M75" s="341">
        <f>H75+J75+L75</f>
        <v>0</v>
      </c>
      <c r="O75" s="60"/>
      <c r="P75" s="60"/>
      <c r="Q75" s="49"/>
      <c r="R75" s="60"/>
      <c r="S75" s="60"/>
      <c r="T75" s="49"/>
      <c r="U75" s="60"/>
      <c r="V75" s="60"/>
      <c r="W75" s="49"/>
      <c r="X75" s="62"/>
      <c r="Y75" s="49"/>
      <c r="Z75" s="49"/>
    </row>
    <row r="76" spans="1:26" s="48" customFormat="1" ht="15" customHeight="1" x14ac:dyDescent="0.25">
      <c r="A76" s="1"/>
      <c r="B76" s="72"/>
      <c r="C76" s="22" t="s">
        <v>80</v>
      </c>
      <c r="D76" s="6" t="s">
        <v>70</v>
      </c>
      <c r="E76" s="6">
        <v>0.156</v>
      </c>
      <c r="F76" s="5">
        <f>F71*E76</f>
        <v>0.46799999999999997</v>
      </c>
      <c r="G76" s="512"/>
      <c r="H76" s="341"/>
      <c r="I76" s="604"/>
      <c r="J76" s="341">
        <f t="shared" si="8"/>
        <v>0</v>
      </c>
      <c r="K76" s="513"/>
      <c r="L76" s="341"/>
      <c r="M76" s="341">
        <f>H76+J76+L76</f>
        <v>0</v>
      </c>
      <c r="O76" s="60"/>
      <c r="P76" s="61"/>
      <c r="Q76" s="49"/>
      <c r="R76" s="60"/>
      <c r="S76" s="61"/>
      <c r="T76" s="49"/>
      <c r="U76" s="60"/>
      <c r="V76" s="61"/>
      <c r="W76" s="49"/>
      <c r="X76" s="62"/>
      <c r="Y76" s="49"/>
      <c r="Z76" s="49"/>
    </row>
    <row r="77" spans="1:26" s="290" customFormat="1" ht="18" customHeight="1" x14ac:dyDescent="0.25">
      <c r="A77" s="90">
        <v>5.5</v>
      </c>
      <c r="B77" s="17" t="s">
        <v>280</v>
      </c>
      <c r="C77" s="23" t="s">
        <v>339</v>
      </c>
      <c r="D77" s="507" t="s">
        <v>49</v>
      </c>
      <c r="E77" s="283"/>
      <c r="F77" s="295">
        <v>1</v>
      </c>
      <c r="G77" s="355"/>
      <c r="H77" s="355"/>
      <c r="I77" s="355"/>
      <c r="J77" s="319"/>
      <c r="K77" s="355"/>
      <c r="L77" s="355"/>
      <c r="M77" s="614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</row>
    <row r="78" spans="1:26" s="48" customFormat="1" ht="15" customHeight="1" x14ac:dyDescent="0.25">
      <c r="A78" s="1"/>
      <c r="B78" s="70"/>
      <c r="C78" s="22" t="s">
        <v>69</v>
      </c>
      <c r="D78" s="6" t="s">
        <v>70</v>
      </c>
      <c r="E78" s="24">
        <v>8.2200000000000006</v>
      </c>
      <c r="F78" s="24">
        <f>F77*E78</f>
        <v>8.2200000000000006</v>
      </c>
      <c r="G78" s="604"/>
      <c r="H78" s="341">
        <f>F78*G78</f>
        <v>0</v>
      </c>
      <c r="I78" s="281"/>
      <c r="J78" s="341"/>
      <c r="K78" s="513"/>
      <c r="L78" s="341"/>
      <c r="M78" s="341">
        <f>H78+J78+L78</f>
        <v>0</v>
      </c>
      <c r="N78" s="508"/>
      <c r="O78" s="71"/>
      <c r="P78" s="71"/>
      <c r="Q78" s="414"/>
      <c r="R78" s="71"/>
      <c r="S78" s="71"/>
      <c r="T78" s="49"/>
      <c r="U78" s="71"/>
      <c r="V78" s="71"/>
      <c r="W78" s="49"/>
      <c r="X78" s="62"/>
      <c r="Y78" s="49"/>
      <c r="Z78" s="49"/>
    </row>
    <row r="79" spans="1:26" s="48" customFormat="1" ht="15" customHeight="1" x14ac:dyDescent="0.25">
      <c r="A79" s="1"/>
      <c r="B79" s="72"/>
      <c r="C79" s="22" t="s">
        <v>89</v>
      </c>
      <c r="D79" s="6" t="s">
        <v>16</v>
      </c>
      <c r="E79" s="6">
        <v>0.31</v>
      </c>
      <c r="F79" s="6">
        <f>F77*E79</f>
        <v>0.31</v>
      </c>
      <c r="G79" s="512"/>
      <c r="H79" s="341"/>
      <c r="I79" s="513"/>
      <c r="J79" s="341"/>
      <c r="K79" s="604"/>
      <c r="L79" s="341">
        <f>F79*K79</f>
        <v>0</v>
      </c>
      <c r="M79" s="341">
        <f>H79+J79+L79</f>
        <v>0</v>
      </c>
      <c r="O79" s="60"/>
      <c r="P79" s="60"/>
      <c r="Q79" s="49"/>
      <c r="R79" s="60"/>
      <c r="S79" s="60"/>
      <c r="T79" s="49"/>
      <c r="U79" s="60"/>
      <c r="V79" s="60"/>
      <c r="W79" s="49"/>
      <c r="X79" s="62"/>
      <c r="Y79" s="49"/>
      <c r="Z79" s="49"/>
    </row>
    <row r="80" spans="1:26" s="48" customFormat="1" ht="15.75" customHeight="1" x14ac:dyDescent="0.25">
      <c r="A80" s="1"/>
      <c r="B80" s="298"/>
      <c r="C80" s="11" t="s">
        <v>339</v>
      </c>
      <c r="D80" s="6" t="s">
        <v>107</v>
      </c>
      <c r="E80" s="6">
        <v>1</v>
      </c>
      <c r="F80" s="5">
        <f>F77*E80</f>
        <v>1</v>
      </c>
      <c r="G80" s="512"/>
      <c r="H80" s="341"/>
      <c r="I80" s="615"/>
      <c r="J80" s="341">
        <f>F80*I80</f>
        <v>0</v>
      </c>
      <c r="K80" s="513"/>
      <c r="L80" s="341"/>
      <c r="M80" s="341">
        <f>H80+J80+L80</f>
        <v>0</v>
      </c>
      <c r="N80" s="508"/>
      <c r="O80" s="60"/>
      <c r="P80" s="61"/>
      <c r="Q80" s="414"/>
      <c r="R80" s="60"/>
      <c r="S80" s="61"/>
      <c r="T80" s="49"/>
      <c r="U80" s="60"/>
      <c r="V80" s="61"/>
      <c r="W80" s="49"/>
      <c r="X80" s="62"/>
      <c r="Y80" s="49"/>
      <c r="Z80" s="49"/>
    </row>
    <row r="81" spans="1:26" s="48" customFormat="1" ht="15" customHeight="1" x14ac:dyDescent="0.25">
      <c r="A81" s="1"/>
      <c r="B81" s="72"/>
      <c r="C81" s="22" t="s">
        <v>80</v>
      </c>
      <c r="D81" s="6" t="s">
        <v>70</v>
      </c>
      <c r="E81" s="28">
        <v>0.2</v>
      </c>
      <c r="F81" s="5">
        <f>F77*E81</f>
        <v>0.2</v>
      </c>
      <c r="G81" s="512"/>
      <c r="H81" s="341"/>
      <c r="I81" s="604"/>
      <c r="J81" s="341">
        <f t="shared" ref="J81" si="9">F81*I81</f>
        <v>0</v>
      </c>
      <c r="K81" s="513"/>
      <c r="L81" s="341"/>
      <c r="M81" s="341">
        <f>H81+J81+L81</f>
        <v>0</v>
      </c>
      <c r="O81" s="60"/>
      <c r="P81" s="61"/>
      <c r="Q81" s="49"/>
      <c r="R81" s="60"/>
      <c r="S81" s="61"/>
      <c r="T81" s="49"/>
      <c r="U81" s="60"/>
      <c r="V81" s="61"/>
      <c r="W81" s="49"/>
      <c r="X81" s="62"/>
      <c r="Y81" s="49"/>
      <c r="Z81" s="49"/>
    </row>
    <row r="82" spans="1:26" s="287" customFormat="1" ht="27.75" customHeight="1" x14ac:dyDescent="0.25">
      <c r="A82" s="90">
        <v>5.6</v>
      </c>
      <c r="B82" s="24" t="s">
        <v>175</v>
      </c>
      <c r="C82" s="23" t="s">
        <v>195</v>
      </c>
      <c r="D82" s="507" t="s">
        <v>49</v>
      </c>
      <c r="E82" s="282"/>
      <c r="F82" s="295">
        <v>1</v>
      </c>
      <c r="G82" s="281"/>
      <c r="H82" s="281"/>
      <c r="I82" s="359"/>
      <c r="J82" s="359"/>
      <c r="K82" s="281"/>
      <c r="L82" s="281"/>
      <c r="M82" s="626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spans="1:26" s="48" customFormat="1" ht="15" customHeight="1" x14ac:dyDescent="0.25">
      <c r="A83" s="1"/>
      <c r="B83" s="70"/>
      <c r="C83" s="22" t="s">
        <v>69</v>
      </c>
      <c r="D83" s="6" t="s">
        <v>70</v>
      </c>
      <c r="E83" s="24">
        <v>14.2</v>
      </c>
      <c r="F83" s="24">
        <f>F82*E83</f>
        <v>14.2</v>
      </c>
      <c r="G83" s="604"/>
      <c r="H83" s="359">
        <f>F83*G83</f>
        <v>0</v>
      </c>
      <c r="I83" s="646"/>
      <c r="J83" s="341"/>
      <c r="K83" s="513"/>
      <c r="L83" s="341"/>
      <c r="M83" s="341">
        <f>H83+J83+L83</f>
        <v>0</v>
      </c>
      <c r="N83" s="508"/>
      <c r="O83" s="71"/>
      <c r="P83" s="71"/>
      <c r="Q83" s="414"/>
      <c r="R83" s="71"/>
      <c r="S83" s="71"/>
      <c r="T83" s="49"/>
      <c r="U83" s="71"/>
      <c r="V83" s="71"/>
      <c r="W83" s="49"/>
      <c r="X83" s="62"/>
      <c r="Y83" s="49"/>
      <c r="Z83" s="49"/>
    </row>
    <row r="84" spans="1:26" s="48" customFormat="1" ht="15" customHeight="1" x14ac:dyDescent="0.25">
      <c r="A84" s="1"/>
      <c r="B84" s="72"/>
      <c r="C84" s="22" t="s">
        <v>89</v>
      </c>
      <c r="D84" s="6" t="s">
        <v>16</v>
      </c>
      <c r="E84" s="6">
        <v>1.08</v>
      </c>
      <c r="F84" s="6">
        <f>F82*E84</f>
        <v>1.08</v>
      </c>
      <c r="G84" s="512"/>
      <c r="H84" s="341"/>
      <c r="I84" s="513"/>
      <c r="J84" s="341"/>
      <c r="K84" s="604"/>
      <c r="L84" s="341">
        <f>F84*K84</f>
        <v>0</v>
      </c>
      <c r="M84" s="341">
        <f>H84+J84+L84</f>
        <v>0</v>
      </c>
      <c r="O84" s="60"/>
      <c r="P84" s="60"/>
      <c r="Q84" s="49"/>
      <c r="R84" s="60"/>
      <c r="S84" s="60"/>
      <c r="T84" s="49"/>
      <c r="U84" s="60"/>
      <c r="V84" s="60"/>
      <c r="W84" s="49"/>
      <c r="X84" s="62"/>
      <c r="Y84" s="49"/>
      <c r="Z84" s="49"/>
    </row>
    <row r="85" spans="1:26" s="48" customFormat="1" ht="15.75" customHeight="1" x14ac:dyDescent="0.25">
      <c r="A85" s="1"/>
      <c r="B85" s="72"/>
      <c r="C85" s="22" t="s">
        <v>79</v>
      </c>
      <c r="D85" s="6"/>
      <c r="E85" s="24"/>
      <c r="F85" s="24"/>
      <c r="G85" s="512"/>
      <c r="H85" s="341"/>
      <c r="I85" s="513"/>
      <c r="J85" s="341"/>
      <c r="K85" s="513"/>
      <c r="L85" s="341"/>
      <c r="M85" s="341"/>
      <c r="N85" s="508"/>
      <c r="O85" s="71"/>
      <c r="P85" s="71"/>
      <c r="Q85" s="414"/>
      <c r="R85" s="71"/>
      <c r="S85" s="71"/>
      <c r="T85" s="49"/>
      <c r="U85" s="71"/>
      <c r="V85" s="71"/>
      <c r="W85" s="49"/>
      <c r="X85" s="62"/>
      <c r="Y85" s="49"/>
      <c r="Z85" s="49"/>
    </row>
    <row r="86" spans="1:26" s="48" customFormat="1" x14ac:dyDescent="0.25">
      <c r="A86" s="1"/>
      <c r="B86" s="298"/>
      <c r="C86" s="11" t="s">
        <v>248</v>
      </c>
      <c r="D86" s="6" t="s">
        <v>107</v>
      </c>
      <c r="E86" s="6"/>
      <c r="F86" s="5">
        <v>1</v>
      </c>
      <c r="G86" s="512"/>
      <c r="H86" s="341"/>
      <c r="I86" s="604"/>
      <c r="J86" s="341">
        <f t="shared" ref="J86:J88" si="10">F86*I86</f>
        <v>0</v>
      </c>
      <c r="K86" s="513"/>
      <c r="L86" s="341"/>
      <c r="M86" s="341">
        <f>H86+J86+L86</f>
        <v>0</v>
      </c>
      <c r="N86" s="508"/>
      <c r="O86" s="60"/>
      <c r="P86" s="61"/>
      <c r="Q86" s="414"/>
      <c r="R86" s="60"/>
      <c r="S86" s="61"/>
      <c r="T86" s="49"/>
      <c r="U86" s="60"/>
      <c r="V86" s="61"/>
      <c r="W86" s="49"/>
      <c r="X86" s="62"/>
      <c r="Y86" s="49"/>
      <c r="Z86" s="49"/>
    </row>
    <row r="87" spans="1:26" s="48" customFormat="1" x14ac:dyDescent="0.25">
      <c r="A87" s="1"/>
      <c r="B87" s="298"/>
      <c r="C87" s="11" t="s">
        <v>247</v>
      </c>
      <c r="D87" s="6" t="s">
        <v>107</v>
      </c>
      <c r="E87" s="6"/>
      <c r="F87" s="5">
        <v>1</v>
      </c>
      <c r="G87" s="512"/>
      <c r="H87" s="341"/>
      <c r="I87" s="604"/>
      <c r="J87" s="341">
        <f t="shared" si="10"/>
        <v>0</v>
      </c>
      <c r="K87" s="513"/>
      <c r="L87" s="341"/>
      <c r="M87" s="341">
        <f>H87+J87+L87</f>
        <v>0</v>
      </c>
      <c r="N87" s="508"/>
      <c r="O87" s="60"/>
      <c r="P87" s="61"/>
      <c r="Q87" s="414"/>
      <c r="R87" s="60"/>
      <c r="S87" s="61"/>
      <c r="T87" s="49"/>
      <c r="U87" s="60"/>
      <c r="V87" s="61"/>
      <c r="W87" s="49"/>
      <c r="X87" s="62"/>
      <c r="Y87" s="49"/>
      <c r="Z87" s="49"/>
    </row>
    <row r="88" spans="1:26" s="48" customFormat="1" ht="15" customHeight="1" x14ac:dyDescent="0.25">
      <c r="A88" s="1"/>
      <c r="B88" s="72"/>
      <c r="C88" s="22" t="s">
        <v>80</v>
      </c>
      <c r="D88" s="6" t="s">
        <v>16</v>
      </c>
      <c r="E88" s="6">
        <v>0.42</v>
      </c>
      <c r="F88" s="6">
        <f>F82*E88</f>
        <v>0.42</v>
      </c>
      <c r="G88" s="512"/>
      <c r="H88" s="341"/>
      <c r="I88" s="604"/>
      <c r="J88" s="341">
        <f t="shared" si="10"/>
        <v>0</v>
      </c>
      <c r="K88" s="513"/>
      <c r="L88" s="341"/>
      <c r="M88" s="341">
        <f>H88+J88+L88</f>
        <v>0</v>
      </c>
      <c r="O88" s="60"/>
      <c r="P88" s="60"/>
      <c r="Q88" s="49"/>
      <c r="R88" s="60"/>
      <c r="S88" s="60"/>
      <c r="T88" s="49"/>
      <c r="U88" s="60"/>
      <c r="V88" s="60"/>
      <c r="W88" s="49"/>
      <c r="X88" s="62"/>
      <c r="Y88" s="49"/>
      <c r="Z88" s="49"/>
    </row>
    <row r="89" spans="1:26" s="92" customFormat="1" ht="12.75" x14ac:dyDescent="0.25">
      <c r="A89" s="32"/>
      <c r="B89" s="33"/>
      <c r="C89" s="34" t="s">
        <v>8</v>
      </c>
      <c r="D89" s="35"/>
      <c r="E89" s="35"/>
      <c r="F89" s="36"/>
      <c r="G89" s="37"/>
      <c r="H89" s="37">
        <f>SUM(H11:H88)</f>
        <v>0</v>
      </c>
      <c r="I89" s="37"/>
      <c r="J89" s="37">
        <f>SUM(J11:J88)</f>
        <v>0</v>
      </c>
      <c r="K89" s="37"/>
      <c r="L89" s="37">
        <f>SUM(L11:L88)</f>
        <v>0</v>
      </c>
      <c r="M89" s="37">
        <f>SUM(M11:M88)</f>
        <v>0</v>
      </c>
      <c r="N89" s="91"/>
      <c r="O89" s="91"/>
      <c r="P89" s="91"/>
    </row>
    <row r="90" spans="1:26" s="93" customFormat="1" ht="12.75" x14ac:dyDescent="0.25">
      <c r="A90" s="228"/>
      <c r="B90" s="38"/>
      <c r="C90" s="34" t="s">
        <v>138</v>
      </c>
      <c r="D90" s="656"/>
      <c r="E90" s="39"/>
      <c r="F90" s="39"/>
      <c r="G90" s="40"/>
      <c r="H90" s="40"/>
      <c r="I90" s="40"/>
      <c r="J90" s="40"/>
      <c r="K90" s="40"/>
      <c r="L90" s="40"/>
      <c r="M90" s="40">
        <f xml:space="preserve"> J89*D90</f>
        <v>0</v>
      </c>
    </row>
    <row r="91" spans="1:26" s="81" customFormat="1" x14ac:dyDescent="0.25">
      <c r="A91" s="94"/>
      <c r="B91" s="33"/>
      <c r="C91" s="95" t="s">
        <v>8</v>
      </c>
      <c r="D91" s="1"/>
      <c r="E91" s="1"/>
      <c r="F91" s="4"/>
      <c r="G91" s="79"/>
      <c r="H91" s="79"/>
      <c r="I91" s="96"/>
      <c r="J91" s="96"/>
      <c r="K91" s="4"/>
      <c r="L91" s="4"/>
      <c r="M91" s="4">
        <f>SUM(M89:M90)</f>
        <v>0</v>
      </c>
    </row>
    <row r="92" spans="1:26" s="81" customFormat="1" x14ac:dyDescent="0.25">
      <c r="A92" s="94"/>
      <c r="B92" s="33"/>
      <c r="C92" s="97" t="s">
        <v>167</v>
      </c>
      <c r="D92" s="656"/>
      <c r="E92" s="1"/>
      <c r="F92" s="4"/>
      <c r="G92" s="79"/>
      <c r="H92" s="79"/>
      <c r="I92" s="96"/>
      <c r="J92" s="96"/>
      <c r="K92" s="4"/>
      <c r="L92" s="4"/>
      <c r="M92" s="4">
        <f>M91*D92</f>
        <v>0</v>
      </c>
    </row>
    <row r="93" spans="1:26" s="81" customFormat="1" x14ac:dyDescent="0.25">
      <c r="A93" s="94"/>
      <c r="B93" s="33"/>
      <c r="C93" s="97" t="s">
        <v>8</v>
      </c>
      <c r="D93" s="1"/>
      <c r="E93" s="1"/>
      <c r="F93" s="4"/>
      <c r="G93" s="79"/>
      <c r="H93" s="79"/>
      <c r="I93" s="96"/>
      <c r="J93" s="96"/>
      <c r="K93" s="4"/>
      <c r="L93" s="4"/>
      <c r="M93" s="4">
        <f>M91+M92</f>
        <v>0</v>
      </c>
    </row>
    <row r="94" spans="1:26" s="81" customFormat="1" x14ac:dyDescent="0.25">
      <c r="A94" s="94"/>
      <c r="B94" s="33"/>
      <c r="C94" s="97" t="s">
        <v>168</v>
      </c>
      <c r="D94" s="656"/>
      <c r="E94" s="1"/>
      <c r="F94" s="4"/>
      <c r="G94" s="79"/>
      <c r="H94" s="79"/>
      <c r="I94" s="96"/>
      <c r="J94" s="96"/>
      <c r="K94" s="4"/>
      <c r="L94" s="4"/>
      <c r="M94" s="4">
        <f>M93*D94</f>
        <v>0</v>
      </c>
    </row>
    <row r="95" spans="1:26" s="81" customFormat="1" x14ac:dyDescent="0.25">
      <c r="A95" s="94"/>
      <c r="B95" s="33"/>
      <c r="C95" s="97" t="s">
        <v>8</v>
      </c>
      <c r="D95" s="1"/>
      <c r="E95" s="1"/>
      <c r="F95" s="4"/>
      <c r="G95" s="79"/>
      <c r="H95" s="79"/>
      <c r="I95" s="96"/>
      <c r="J95" s="96"/>
      <c r="K95" s="4"/>
      <c r="L95" s="4"/>
      <c r="M95" s="4">
        <f>M93+M94</f>
        <v>0</v>
      </c>
    </row>
    <row r="96" spans="1:26" s="348" customFormat="1" ht="15.75" x14ac:dyDescent="0.25">
      <c r="A96" s="342"/>
      <c r="B96" s="343"/>
      <c r="C96" s="252" t="s">
        <v>391</v>
      </c>
      <c r="D96" s="643"/>
      <c r="E96" s="344"/>
      <c r="F96" s="344"/>
      <c r="G96" s="345"/>
      <c r="H96" s="345"/>
      <c r="I96" s="46"/>
      <c r="J96" s="346"/>
      <c r="K96" s="345"/>
      <c r="L96" s="345"/>
      <c r="M96" s="347">
        <f>H89*D96</f>
        <v>0</v>
      </c>
    </row>
    <row r="97" spans="1:13" s="348" customFormat="1" ht="16.5" thickBot="1" x14ac:dyDescent="0.3">
      <c r="A97" s="349"/>
      <c r="B97" s="350"/>
      <c r="C97" s="350" t="s">
        <v>8</v>
      </c>
      <c r="D97" s="350"/>
      <c r="E97" s="350"/>
      <c r="F97" s="350"/>
      <c r="G97" s="351"/>
      <c r="H97" s="352"/>
      <c r="I97" s="350"/>
      <c r="J97" s="352"/>
      <c r="K97" s="351"/>
      <c r="L97" s="351"/>
      <c r="M97" s="353">
        <f>M96+M95</f>
        <v>0</v>
      </c>
    </row>
    <row r="98" spans="1:13" s="287" customFormat="1" x14ac:dyDescent="0.25">
      <c r="A98" s="334"/>
      <c r="C98" s="289"/>
      <c r="D98" s="290"/>
      <c r="E98" s="290"/>
      <c r="F98" s="291"/>
      <c r="G98" s="292"/>
    </row>
    <row r="99" spans="1:13" s="287" customFormat="1" x14ac:dyDescent="0.25">
      <c r="A99" s="334"/>
      <c r="C99" s="289"/>
      <c r="D99" s="290"/>
      <c r="E99" s="290"/>
      <c r="F99" s="291"/>
      <c r="G99" s="292"/>
    </row>
    <row r="100" spans="1:13" s="287" customFormat="1" x14ac:dyDescent="0.25">
      <c r="A100" s="334"/>
      <c r="C100" s="289"/>
      <c r="D100" s="290"/>
      <c r="E100" s="290"/>
      <c r="F100" s="291"/>
      <c r="G100" s="292"/>
    </row>
    <row r="104" spans="1:13" x14ac:dyDescent="0.25">
      <c r="F104" s="335"/>
    </row>
  </sheetData>
  <autoFilter ref="A10:M97"/>
  <mergeCells count="16">
    <mergeCell ref="A6:E6"/>
    <mergeCell ref="L1:M1"/>
    <mergeCell ref="A2:K2"/>
    <mergeCell ref="L2:M2"/>
    <mergeCell ref="A4:M4"/>
    <mergeCell ref="A5:M5"/>
    <mergeCell ref="G8:H8"/>
    <mergeCell ref="I8:J8"/>
    <mergeCell ref="K8:L8"/>
    <mergeCell ref="M8:M9"/>
    <mergeCell ref="A7:C7"/>
    <mergeCell ref="A8:A9"/>
    <mergeCell ref="B8:B9"/>
    <mergeCell ref="C8:C9"/>
    <mergeCell ref="D8:D9"/>
    <mergeCell ref="E8:F8"/>
  </mergeCell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3"/>
  <sheetViews>
    <sheetView view="pageBreakPreview" topLeftCell="A139" zoomScale="90" zoomScaleNormal="100" zoomScaleSheetLayoutView="90" workbookViewId="0">
      <selection activeCell="E149" sqref="E149"/>
    </sheetView>
  </sheetViews>
  <sheetFormatPr defaultColWidth="9.140625" defaultRowHeight="13.5" x14ac:dyDescent="0.25"/>
  <cols>
    <col min="1" max="1" width="7" style="288" customWidth="1"/>
    <col min="2" max="2" width="14.140625" style="293" customWidth="1"/>
    <col min="3" max="3" width="53.5703125" style="84" customWidth="1"/>
    <col min="4" max="4" width="7.7109375" style="294" customWidth="1"/>
    <col min="5" max="5" width="6.7109375" style="294" customWidth="1"/>
    <col min="6" max="6" width="7.5703125" style="293" customWidth="1"/>
    <col min="7" max="7" width="7" style="293" customWidth="1"/>
    <col min="8" max="8" width="7.5703125" style="293" customWidth="1"/>
    <col min="9" max="9" width="8.140625" style="293" customWidth="1"/>
    <col min="10" max="10" width="9" style="293" customWidth="1"/>
    <col min="11" max="11" width="7" style="293" customWidth="1"/>
    <col min="12" max="12" width="7.85546875" style="293" customWidth="1"/>
    <col min="13" max="13" width="10.5703125" style="293" customWidth="1"/>
    <col min="14" max="14" width="8.140625" style="293" customWidth="1"/>
    <col min="15" max="19" width="9.140625" style="293"/>
    <col min="20" max="20" width="16" style="293" customWidth="1"/>
    <col min="21" max="16384" width="9.140625" style="293"/>
  </cols>
  <sheetData>
    <row r="1" spans="1:26" s="257" customFormat="1" ht="15.75" x14ac:dyDescent="0.3">
      <c r="A1" s="254"/>
      <c r="B1" s="255"/>
      <c r="C1" s="256"/>
      <c r="D1" s="255"/>
      <c r="E1" s="255"/>
      <c r="G1" s="397"/>
      <c r="H1" s="258"/>
      <c r="I1" s="258"/>
      <c r="J1" s="258"/>
      <c r="K1" s="258"/>
      <c r="L1" s="593"/>
      <c r="M1" s="593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s="260" customFormat="1" ht="16.5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5"/>
      <c r="M2" s="595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260" customFormat="1" ht="16.5" x14ac:dyDescent="0.25">
      <c r="A3" s="262"/>
      <c r="B3" s="263"/>
      <c r="C3" s="263"/>
      <c r="D3" s="263"/>
      <c r="E3" s="263"/>
      <c r="F3" s="263"/>
      <c r="G3" s="398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6" s="260" customFormat="1" ht="16.5" x14ac:dyDescent="0.25">
      <c r="A4" s="596" t="s">
        <v>173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s="260" customFormat="1" ht="16.5" x14ac:dyDescent="0.25">
      <c r="A5" s="596" t="str">
        <f>სანაკრებო!C13</f>
        <v>el.qselis mowyobis samuSaoebi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s="266" customFormat="1" ht="15.75" x14ac:dyDescent="0.25">
      <c r="A6" s="599"/>
      <c r="B6" s="599"/>
      <c r="C6" s="599"/>
      <c r="D6" s="599"/>
      <c r="E6" s="599"/>
      <c r="F6" s="599"/>
      <c r="G6" s="264"/>
      <c r="H6" s="265"/>
      <c r="I6" s="600"/>
      <c r="J6" s="600"/>
      <c r="K6" s="600"/>
      <c r="L6" s="600"/>
      <c r="M6" s="600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</row>
    <row r="7" spans="1:26" s="255" customFormat="1" ht="29.25" customHeight="1" x14ac:dyDescent="0.25">
      <c r="A7" s="597" t="s">
        <v>0</v>
      </c>
      <c r="B7" s="589" t="s">
        <v>1</v>
      </c>
      <c r="C7" s="589" t="s">
        <v>2</v>
      </c>
      <c r="D7" s="589" t="s">
        <v>3</v>
      </c>
      <c r="E7" s="591" t="s">
        <v>4</v>
      </c>
      <c r="F7" s="592"/>
      <c r="G7" s="582" t="s">
        <v>5</v>
      </c>
      <c r="H7" s="583"/>
      <c r="I7" s="582" t="s">
        <v>6</v>
      </c>
      <c r="J7" s="583"/>
      <c r="K7" s="582" t="s">
        <v>7</v>
      </c>
      <c r="L7" s="583"/>
      <c r="M7" s="584" t="s">
        <v>8</v>
      </c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6" s="255" customFormat="1" ht="23.25" customHeight="1" x14ac:dyDescent="0.25">
      <c r="A8" s="598"/>
      <c r="B8" s="590"/>
      <c r="C8" s="590"/>
      <c r="D8" s="590"/>
      <c r="E8" s="269" t="s">
        <v>9</v>
      </c>
      <c r="F8" s="269" t="s">
        <v>10</v>
      </c>
      <c r="G8" s="270" t="s">
        <v>9</v>
      </c>
      <c r="H8" s="270" t="s">
        <v>10</v>
      </c>
      <c r="I8" s="270" t="s">
        <v>9</v>
      </c>
      <c r="J8" s="270" t="s">
        <v>10</v>
      </c>
      <c r="K8" s="270" t="s">
        <v>9</v>
      </c>
      <c r="L8" s="270" t="s">
        <v>10</v>
      </c>
      <c r="M8" s="585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s="254" customFormat="1" ht="17.25" customHeight="1" x14ac:dyDescent="0.25">
      <c r="A9" s="271">
        <v>1</v>
      </c>
      <c r="B9" s="271">
        <v>2</v>
      </c>
      <c r="C9" s="271">
        <v>3</v>
      </c>
      <c r="D9" s="271">
        <v>4</v>
      </c>
      <c r="E9" s="271">
        <v>5</v>
      </c>
      <c r="F9" s="271">
        <v>6</v>
      </c>
      <c r="G9" s="271">
        <v>7</v>
      </c>
      <c r="H9" s="271">
        <v>8</v>
      </c>
      <c r="I9" s="271">
        <v>9</v>
      </c>
      <c r="J9" s="271">
        <v>10</v>
      </c>
      <c r="K9" s="271">
        <v>11</v>
      </c>
      <c r="L9" s="271">
        <v>12</v>
      </c>
      <c r="M9" s="272">
        <v>13</v>
      </c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1:26" s="98" customFormat="1" x14ac:dyDescent="0.25">
      <c r="A10" s="1">
        <v>1</v>
      </c>
      <c r="B10" s="1" t="s">
        <v>134</v>
      </c>
      <c r="C10" s="2" t="s">
        <v>135</v>
      </c>
      <c r="D10" s="1" t="s">
        <v>30</v>
      </c>
      <c r="E10" s="1"/>
      <c r="F10" s="3">
        <v>1</v>
      </c>
      <c r="G10" s="653"/>
      <c r="H10" s="653"/>
      <c r="I10" s="653"/>
      <c r="J10" s="653"/>
      <c r="K10" s="653"/>
      <c r="L10" s="653"/>
      <c r="M10" s="341"/>
      <c r="O10" s="99"/>
    </row>
    <row r="11" spans="1:26" s="100" customFormat="1" x14ac:dyDescent="0.25">
      <c r="A11" s="6"/>
      <c r="B11" s="7"/>
      <c r="C11" s="8" t="s">
        <v>12</v>
      </c>
      <c r="D11" s="6" t="s">
        <v>70</v>
      </c>
      <c r="E11" s="6">
        <v>3.37</v>
      </c>
      <c r="F11" s="6">
        <f>E11*F10</f>
        <v>3.37</v>
      </c>
      <c r="G11" s="604"/>
      <c r="H11" s="341">
        <f>F11*G11</f>
        <v>0</v>
      </c>
      <c r="I11" s="341"/>
      <c r="J11" s="341"/>
      <c r="K11" s="341"/>
      <c r="L11" s="341"/>
      <c r="M11" s="341">
        <f t="shared" ref="M11:M21" si="0">H11+J11+L11</f>
        <v>0</v>
      </c>
      <c r="O11" s="67"/>
    </row>
    <row r="12" spans="1:26" s="100" customFormat="1" x14ac:dyDescent="0.25">
      <c r="A12" s="6"/>
      <c r="B12" s="6"/>
      <c r="C12" s="8" t="s">
        <v>15</v>
      </c>
      <c r="D12" s="6" t="s">
        <v>16</v>
      </c>
      <c r="E12" s="6">
        <v>9.5000000000000001E-2</v>
      </c>
      <c r="F12" s="6">
        <f>E12*F10</f>
        <v>9.5000000000000001E-2</v>
      </c>
      <c r="G12" s="341"/>
      <c r="H12" s="341"/>
      <c r="I12" s="341"/>
      <c r="J12" s="341"/>
      <c r="K12" s="604"/>
      <c r="L12" s="341">
        <f>K12*F12</f>
        <v>0</v>
      </c>
      <c r="M12" s="341">
        <f t="shared" si="0"/>
        <v>0</v>
      </c>
      <c r="O12" s="67"/>
    </row>
    <row r="13" spans="1:26" s="53" customFormat="1" ht="25.5" customHeight="1" x14ac:dyDescent="0.25">
      <c r="A13" s="9"/>
      <c r="B13" s="10"/>
      <c r="C13" s="11" t="s">
        <v>314</v>
      </c>
      <c r="D13" s="10" t="s">
        <v>30</v>
      </c>
      <c r="E13" s="12"/>
      <c r="F13" s="13">
        <v>1</v>
      </c>
      <c r="G13" s="665"/>
      <c r="H13" s="665"/>
      <c r="I13" s="666"/>
      <c r="J13" s="365">
        <f t="shared" ref="J13:J21" si="1">F13*I13</f>
        <v>0</v>
      </c>
      <c r="K13" s="665"/>
      <c r="L13" s="665"/>
      <c r="M13" s="359">
        <f t="shared" si="0"/>
        <v>0</v>
      </c>
    </row>
    <row r="14" spans="1:26" s="461" customFormat="1" ht="27" x14ac:dyDescent="0.2">
      <c r="A14" s="458"/>
      <c r="B14" s="459"/>
      <c r="C14" s="460" t="s">
        <v>315</v>
      </c>
      <c r="D14" s="394" t="s">
        <v>30</v>
      </c>
      <c r="E14" s="394"/>
      <c r="F14" s="136">
        <v>1</v>
      </c>
      <c r="G14" s="667"/>
      <c r="H14" s="668"/>
      <c r="I14" s="669"/>
      <c r="J14" s="365">
        <f t="shared" si="1"/>
        <v>0</v>
      </c>
      <c r="K14" s="670"/>
      <c r="L14" s="668"/>
      <c r="M14" s="668">
        <f t="shared" si="0"/>
        <v>0</v>
      </c>
    </row>
    <row r="15" spans="1:26" s="100" customFormat="1" ht="20.25" customHeight="1" x14ac:dyDescent="0.25">
      <c r="A15" s="6"/>
      <c r="B15" s="10"/>
      <c r="C15" s="8" t="s">
        <v>316</v>
      </c>
      <c r="D15" s="6" t="s">
        <v>30</v>
      </c>
      <c r="E15" s="6"/>
      <c r="F15" s="24">
        <v>1</v>
      </c>
      <c r="G15" s="341"/>
      <c r="H15" s="341"/>
      <c r="I15" s="615"/>
      <c r="J15" s="359">
        <f>F15*I15</f>
        <v>0</v>
      </c>
      <c r="K15" s="341"/>
      <c r="L15" s="341"/>
      <c r="M15" s="341">
        <f>H15+J15+L15</f>
        <v>0</v>
      </c>
      <c r="O15" s="67"/>
    </row>
    <row r="16" spans="1:26" s="461" customFormat="1" ht="27" x14ac:dyDescent="0.2">
      <c r="A16" s="458"/>
      <c r="B16" s="10"/>
      <c r="C16" s="460" t="s">
        <v>317</v>
      </c>
      <c r="D16" s="394" t="s">
        <v>30</v>
      </c>
      <c r="E16" s="394"/>
      <c r="F16" s="136">
        <v>1</v>
      </c>
      <c r="G16" s="667"/>
      <c r="H16" s="668"/>
      <c r="I16" s="669"/>
      <c r="J16" s="365">
        <f t="shared" si="1"/>
        <v>0</v>
      </c>
      <c r="K16" s="670"/>
      <c r="L16" s="668"/>
      <c r="M16" s="668">
        <f t="shared" si="0"/>
        <v>0</v>
      </c>
    </row>
    <row r="17" spans="1:15" s="98" customFormat="1" ht="27" x14ac:dyDescent="0.25">
      <c r="A17" s="1"/>
      <c r="B17" s="10"/>
      <c r="C17" s="8" t="s">
        <v>318</v>
      </c>
      <c r="D17" s="6" t="s">
        <v>30</v>
      </c>
      <c r="E17" s="6"/>
      <c r="F17" s="27">
        <v>4</v>
      </c>
      <c r="G17" s="341"/>
      <c r="H17" s="341"/>
      <c r="I17" s="615"/>
      <c r="J17" s="359">
        <f t="shared" si="1"/>
        <v>0</v>
      </c>
      <c r="K17" s="341"/>
      <c r="L17" s="341"/>
      <c r="M17" s="341">
        <f t="shared" si="0"/>
        <v>0</v>
      </c>
      <c r="O17" s="99"/>
    </row>
    <row r="18" spans="1:15" s="98" customFormat="1" ht="27" x14ac:dyDescent="0.25">
      <c r="A18" s="1"/>
      <c r="B18" s="10"/>
      <c r="C18" s="8" t="s">
        <v>319</v>
      </c>
      <c r="D18" s="6" t="s">
        <v>30</v>
      </c>
      <c r="E18" s="6"/>
      <c r="F18" s="27">
        <v>1</v>
      </c>
      <c r="G18" s="341"/>
      <c r="H18" s="341"/>
      <c r="I18" s="615"/>
      <c r="J18" s="359">
        <f t="shared" si="1"/>
        <v>0</v>
      </c>
      <c r="K18" s="341"/>
      <c r="L18" s="341"/>
      <c r="M18" s="341">
        <f t="shared" si="0"/>
        <v>0</v>
      </c>
      <c r="O18" s="99"/>
    </row>
    <row r="19" spans="1:15" s="98" customFormat="1" ht="40.5" x14ac:dyDescent="0.25">
      <c r="A19" s="1"/>
      <c r="B19" s="10"/>
      <c r="C19" s="8" t="s">
        <v>320</v>
      </c>
      <c r="D19" s="24" t="s">
        <v>30</v>
      </c>
      <c r="E19" s="6"/>
      <c r="F19" s="27">
        <v>2</v>
      </c>
      <c r="G19" s="341"/>
      <c r="H19" s="341"/>
      <c r="I19" s="615"/>
      <c r="J19" s="359">
        <f t="shared" si="1"/>
        <v>0</v>
      </c>
      <c r="K19" s="341"/>
      <c r="L19" s="341"/>
      <c r="M19" s="341">
        <f t="shared" si="0"/>
        <v>0</v>
      </c>
      <c r="O19" s="99"/>
    </row>
    <row r="20" spans="1:15" s="100" customFormat="1" ht="27" x14ac:dyDescent="0.25">
      <c r="A20" s="6"/>
      <c r="B20" s="10"/>
      <c r="C20" s="8" t="s">
        <v>321</v>
      </c>
      <c r="D20" s="6" t="s">
        <v>30</v>
      </c>
      <c r="E20" s="6"/>
      <c r="F20" s="24">
        <v>1</v>
      </c>
      <c r="G20" s="341"/>
      <c r="H20" s="341"/>
      <c r="I20" s="615"/>
      <c r="J20" s="359">
        <f t="shared" si="1"/>
        <v>0</v>
      </c>
      <c r="K20" s="341"/>
      <c r="L20" s="341"/>
      <c r="M20" s="341">
        <f t="shared" si="0"/>
        <v>0</v>
      </c>
      <c r="O20" s="67"/>
    </row>
    <row r="21" spans="1:15" s="100" customFormat="1" x14ac:dyDescent="0.25">
      <c r="A21" s="6"/>
      <c r="B21" s="10"/>
      <c r="C21" s="8" t="s">
        <v>80</v>
      </c>
      <c r="D21" s="6" t="s">
        <v>16</v>
      </c>
      <c r="E21" s="6">
        <v>0.98499999999999999</v>
      </c>
      <c r="F21" s="6">
        <f>E21*F10</f>
        <v>0.98499999999999999</v>
      </c>
      <c r="G21" s="341"/>
      <c r="H21" s="341"/>
      <c r="I21" s="615"/>
      <c r="J21" s="359">
        <f t="shared" si="1"/>
        <v>0</v>
      </c>
      <c r="K21" s="341"/>
      <c r="L21" s="341"/>
      <c r="M21" s="341">
        <f t="shared" si="0"/>
        <v>0</v>
      </c>
      <c r="O21" s="67"/>
    </row>
    <row r="22" spans="1:15" s="461" customFormat="1" ht="27" x14ac:dyDescent="0.2">
      <c r="A22" s="458">
        <v>2</v>
      </c>
      <c r="B22" s="458" t="s">
        <v>364</v>
      </c>
      <c r="C22" s="462" t="s">
        <v>363</v>
      </c>
      <c r="D22" s="143" t="s">
        <v>60</v>
      </c>
      <c r="E22" s="463"/>
      <c r="F22" s="464">
        <v>4.5</v>
      </c>
      <c r="G22" s="671"/>
      <c r="H22" s="671"/>
      <c r="I22" s="671"/>
      <c r="J22" s="671"/>
      <c r="K22" s="671"/>
      <c r="L22" s="671"/>
      <c r="M22" s="671"/>
    </row>
    <row r="23" spans="1:15" s="461" customFormat="1" x14ac:dyDescent="0.2">
      <c r="A23" s="458"/>
      <c r="B23" s="465"/>
      <c r="C23" s="460" t="s">
        <v>12</v>
      </c>
      <c r="D23" s="394" t="s">
        <v>70</v>
      </c>
      <c r="E23" s="463">
        <v>0.26</v>
      </c>
      <c r="F23" s="466">
        <f>E23*F22</f>
        <v>1.17</v>
      </c>
      <c r="G23" s="604"/>
      <c r="H23" s="341">
        <f>F23*G23</f>
        <v>0</v>
      </c>
      <c r="I23" s="672"/>
      <c r="J23" s="672"/>
      <c r="K23" s="672"/>
      <c r="L23" s="672"/>
      <c r="M23" s="672">
        <f t="shared" ref="M23:M26" si="2">H23+J23+L23</f>
        <v>0</v>
      </c>
    </row>
    <row r="24" spans="1:15" s="461" customFormat="1" x14ac:dyDescent="0.2">
      <c r="A24" s="458"/>
      <c r="B24" s="465"/>
      <c r="C24" s="460" t="s">
        <v>15</v>
      </c>
      <c r="D24" s="394" t="s">
        <v>16</v>
      </c>
      <c r="E24" s="463">
        <v>1.7000000000000001E-2</v>
      </c>
      <c r="F24" s="466">
        <f>E24*F22</f>
        <v>7.6500000000000012E-2</v>
      </c>
      <c r="G24" s="672"/>
      <c r="H24" s="672"/>
      <c r="I24" s="672"/>
      <c r="J24" s="672"/>
      <c r="K24" s="673"/>
      <c r="L24" s="672">
        <f>F24*K24</f>
        <v>0</v>
      </c>
      <c r="M24" s="672">
        <f t="shared" si="2"/>
        <v>0</v>
      </c>
    </row>
    <row r="25" spans="1:15" s="461" customFormat="1" x14ac:dyDescent="0.2">
      <c r="A25" s="458"/>
      <c r="B25" s="431"/>
      <c r="C25" s="460" t="s">
        <v>323</v>
      </c>
      <c r="D25" s="394" t="s">
        <v>60</v>
      </c>
      <c r="E25" s="463">
        <v>1</v>
      </c>
      <c r="F25" s="466">
        <v>4.5</v>
      </c>
      <c r="G25" s="672"/>
      <c r="H25" s="672"/>
      <c r="I25" s="673"/>
      <c r="J25" s="672">
        <f t="shared" ref="J25:J26" si="3">F25*I25</f>
        <v>0</v>
      </c>
      <c r="K25" s="672"/>
      <c r="L25" s="672"/>
      <c r="M25" s="672">
        <f t="shared" si="2"/>
        <v>0</v>
      </c>
    </row>
    <row r="26" spans="1:15" s="461" customFormat="1" x14ac:dyDescent="0.2">
      <c r="A26" s="458"/>
      <c r="B26" s="465"/>
      <c r="C26" s="460" t="s">
        <v>80</v>
      </c>
      <c r="D26" s="394" t="s">
        <v>16</v>
      </c>
      <c r="E26" s="463">
        <v>0.42199999999999999</v>
      </c>
      <c r="F26" s="466">
        <f>E26*F22</f>
        <v>1.899</v>
      </c>
      <c r="G26" s="672"/>
      <c r="H26" s="672"/>
      <c r="I26" s="673"/>
      <c r="J26" s="672">
        <f t="shared" si="3"/>
        <v>0</v>
      </c>
      <c r="K26" s="672"/>
      <c r="L26" s="672"/>
      <c r="M26" s="672">
        <f t="shared" si="2"/>
        <v>0</v>
      </c>
    </row>
    <row r="27" spans="1:15" s="461" customFormat="1" ht="27" x14ac:dyDescent="0.2">
      <c r="A27" s="458">
        <v>3</v>
      </c>
      <c r="B27" s="458" t="s">
        <v>366</v>
      </c>
      <c r="C27" s="462" t="s">
        <v>365</v>
      </c>
      <c r="D27" s="143" t="s">
        <v>60</v>
      </c>
      <c r="E27" s="463"/>
      <c r="F27" s="464">
        <v>6</v>
      </c>
      <c r="G27" s="671"/>
      <c r="H27" s="671"/>
      <c r="I27" s="671"/>
      <c r="J27" s="671"/>
      <c r="K27" s="671"/>
      <c r="L27" s="671"/>
      <c r="M27" s="671"/>
    </row>
    <row r="28" spans="1:15" s="461" customFormat="1" x14ac:dyDescent="0.2">
      <c r="A28" s="458"/>
      <c r="B28" s="465"/>
      <c r="C28" s="460" t="s">
        <v>12</v>
      </c>
      <c r="D28" s="394" t="s">
        <v>70</v>
      </c>
      <c r="E28" s="463">
        <v>0.24</v>
      </c>
      <c r="F28" s="466">
        <f>E28*F27</f>
        <v>1.44</v>
      </c>
      <c r="G28" s="604"/>
      <c r="H28" s="341">
        <f>F28*G28</f>
        <v>0</v>
      </c>
      <c r="I28" s="672"/>
      <c r="J28" s="672"/>
      <c r="K28" s="672"/>
      <c r="L28" s="672"/>
      <c r="M28" s="672">
        <f t="shared" ref="M28:M32" si="4">H28+J28+L28</f>
        <v>0</v>
      </c>
    </row>
    <row r="29" spans="1:15" s="461" customFormat="1" x14ac:dyDescent="0.2">
      <c r="A29" s="458"/>
      <c r="B29" s="465"/>
      <c r="C29" s="460" t="s">
        <v>15</v>
      </c>
      <c r="D29" s="394" t="s">
        <v>16</v>
      </c>
      <c r="E29" s="463">
        <v>1.7999999999999999E-2</v>
      </c>
      <c r="F29" s="466">
        <f>E29*F27</f>
        <v>0.10799999999999998</v>
      </c>
      <c r="G29" s="672"/>
      <c r="H29" s="672"/>
      <c r="I29" s="672"/>
      <c r="J29" s="672"/>
      <c r="K29" s="673"/>
      <c r="L29" s="672">
        <f>F29*K29</f>
        <v>0</v>
      </c>
      <c r="M29" s="672">
        <f t="shared" si="4"/>
        <v>0</v>
      </c>
    </row>
    <row r="30" spans="1:15" s="461" customFormat="1" x14ac:dyDescent="0.2">
      <c r="A30" s="458"/>
      <c r="B30" s="431"/>
      <c r="C30" s="460" t="s">
        <v>324</v>
      </c>
      <c r="D30" s="394" t="s">
        <v>60</v>
      </c>
      <c r="E30" s="463">
        <v>1</v>
      </c>
      <c r="F30" s="466">
        <v>6</v>
      </c>
      <c r="G30" s="672"/>
      <c r="H30" s="672"/>
      <c r="I30" s="673"/>
      <c r="J30" s="672">
        <f t="shared" ref="J30:J32" si="5">F30*I30</f>
        <v>0</v>
      </c>
      <c r="K30" s="672"/>
      <c r="L30" s="672"/>
      <c r="M30" s="672">
        <f t="shared" si="4"/>
        <v>0</v>
      </c>
    </row>
    <row r="31" spans="1:15" s="461" customFormat="1" x14ac:dyDescent="0.2">
      <c r="A31" s="458"/>
      <c r="B31" s="458"/>
      <c r="C31" s="460" t="s">
        <v>325</v>
      </c>
      <c r="D31" s="394" t="s">
        <v>30</v>
      </c>
      <c r="E31" s="463">
        <v>1</v>
      </c>
      <c r="F31" s="466">
        <v>3</v>
      </c>
      <c r="G31" s="672"/>
      <c r="H31" s="672"/>
      <c r="I31" s="673"/>
      <c r="J31" s="672">
        <f t="shared" si="5"/>
        <v>0</v>
      </c>
      <c r="K31" s="672"/>
      <c r="L31" s="672"/>
      <c r="M31" s="672">
        <f t="shared" si="4"/>
        <v>0</v>
      </c>
    </row>
    <row r="32" spans="1:15" s="461" customFormat="1" x14ac:dyDescent="0.2">
      <c r="A32" s="458"/>
      <c r="B32" s="465"/>
      <c r="C32" s="460" t="s">
        <v>80</v>
      </c>
      <c r="D32" s="394" t="s">
        <v>16</v>
      </c>
      <c r="E32" s="463">
        <v>0.49</v>
      </c>
      <c r="F32" s="466">
        <f>E32*F27</f>
        <v>2.94</v>
      </c>
      <c r="G32" s="672"/>
      <c r="H32" s="672"/>
      <c r="I32" s="673"/>
      <c r="J32" s="672">
        <f t="shared" si="5"/>
        <v>0</v>
      </c>
      <c r="K32" s="672"/>
      <c r="L32" s="672"/>
      <c r="M32" s="672">
        <f t="shared" si="4"/>
        <v>0</v>
      </c>
    </row>
    <row r="33" spans="1:74" s="98" customFormat="1" x14ac:dyDescent="0.25">
      <c r="A33" s="1">
        <v>4</v>
      </c>
      <c r="B33" s="1" t="s">
        <v>326</v>
      </c>
      <c r="C33" s="2" t="s">
        <v>327</v>
      </c>
      <c r="D33" s="1" t="s">
        <v>82</v>
      </c>
      <c r="E33" s="1"/>
      <c r="F33" s="3">
        <f>(F36)/1.03</f>
        <v>58.252427184466015</v>
      </c>
      <c r="G33" s="653"/>
      <c r="H33" s="341"/>
      <c r="I33" s="341"/>
      <c r="J33" s="341"/>
      <c r="K33" s="341"/>
      <c r="L33" s="341"/>
      <c r="M33" s="341"/>
      <c r="N33" s="66"/>
      <c r="O33" s="66"/>
      <c r="P33" s="66"/>
      <c r="Q33" s="66"/>
    </row>
    <row r="34" spans="1:74" s="100" customFormat="1" x14ac:dyDescent="0.25">
      <c r="A34" s="6"/>
      <c r="B34" s="10"/>
      <c r="C34" s="8" t="s">
        <v>69</v>
      </c>
      <c r="D34" s="6" t="s">
        <v>70</v>
      </c>
      <c r="E34" s="6">
        <v>0.05</v>
      </c>
      <c r="F34" s="6">
        <f>F33*E34</f>
        <v>2.912621359223301</v>
      </c>
      <c r="G34" s="604"/>
      <c r="H34" s="341">
        <f>F34*G34</f>
        <v>0</v>
      </c>
      <c r="I34" s="341"/>
      <c r="J34" s="341"/>
      <c r="K34" s="341"/>
      <c r="L34" s="341"/>
      <c r="M34" s="341">
        <f t="shared" ref="M34:M35" si="6">L34+J34+H34</f>
        <v>0</v>
      </c>
      <c r="N34" s="66"/>
      <c r="O34" s="66"/>
      <c r="P34" s="66"/>
      <c r="Q34" s="66"/>
    </row>
    <row r="35" spans="1:74" s="100" customFormat="1" x14ac:dyDescent="0.25">
      <c r="A35" s="6"/>
      <c r="B35" s="6"/>
      <c r="C35" s="8" t="s">
        <v>78</v>
      </c>
      <c r="D35" s="6" t="s">
        <v>16</v>
      </c>
      <c r="E35" s="6">
        <v>2.8500000000000001E-2</v>
      </c>
      <c r="F35" s="6">
        <f>F33*E35</f>
        <v>1.6601941747572815</v>
      </c>
      <c r="G35" s="341"/>
      <c r="H35" s="341"/>
      <c r="I35" s="341"/>
      <c r="J35" s="341"/>
      <c r="K35" s="604"/>
      <c r="L35" s="341">
        <f t="shared" ref="L35" si="7">K35*F35</f>
        <v>0</v>
      </c>
      <c r="M35" s="341">
        <f t="shared" si="6"/>
        <v>0</v>
      </c>
      <c r="N35" s="66"/>
      <c r="O35" s="66"/>
      <c r="P35" s="66"/>
      <c r="Q35" s="66"/>
    </row>
    <row r="36" spans="1:74" s="66" customFormat="1" x14ac:dyDescent="0.25">
      <c r="A36" s="24"/>
      <c r="B36" s="26"/>
      <c r="C36" s="11" t="s">
        <v>90</v>
      </c>
      <c r="D36" s="24" t="s">
        <v>82</v>
      </c>
      <c r="E36" s="24">
        <v>1.03</v>
      </c>
      <c r="F36" s="24">
        <v>60</v>
      </c>
      <c r="G36" s="648"/>
      <c r="H36" s="359"/>
      <c r="I36" s="615"/>
      <c r="J36" s="359">
        <f>F36*I36</f>
        <v>0</v>
      </c>
      <c r="K36" s="648"/>
      <c r="L36" s="359"/>
      <c r="M36" s="359">
        <f>H36+J36+L36</f>
        <v>0</v>
      </c>
      <c r="N36" s="467"/>
      <c r="O36" s="71"/>
      <c r="P36" s="71"/>
      <c r="Q36" s="467"/>
      <c r="R36" s="71"/>
      <c r="S36" s="71"/>
      <c r="T36" s="468"/>
      <c r="U36" s="71"/>
      <c r="V36" s="71"/>
      <c r="W36" s="468"/>
      <c r="X36" s="62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</row>
    <row r="37" spans="1:74" s="100" customFormat="1" x14ac:dyDescent="0.25">
      <c r="A37" s="6"/>
      <c r="B37" s="10"/>
      <c r="C37" s="8" t="s">
        <v>80</v>
      </c>
      <c r="D37" s="6" t="s">
        <v>16</v>
      </c>
      <c r="E37" s="6">
        <v>2.7000000000000001E-3</v>
      </c>
      <c r="F37" s="6">
        <f>E37*F33</f>
        <v>0.15728155339805824</v>
      </c>
      <c r="G37" s="341"/>
      <c r="H37" s="341"/>
      <c r="I37" s="604"/>
      <c r="J37" s="359">
        <f t="shared" ref="J37" si="8">F37*I37</f>
        <v>0</v>
      </c>
      <c r="K37" s="341"/>
      <c r="L37" s="341"/>
      <c r="M37" s="341">
        <f t="shared" ref="M37" si="9">L37+J37+H37</f>
        <v>0</v>
      </c>
      <c r="N37" s="66"/>
      <c r="O37" s="66"/>
      <c r="P37" s="66"/>
      <c r="Q37" s="66"/>
    </row>
    <row r="38" spans="1:74" s="98" customFormat="1" x14ac:dyDescent="0.25">
      <c r="A38" s="1">
        <v>5</v>
      </c>
      <c r="B38" s="1" t="s">
        <v>367</v>
      </c>
      <c r="C38" s="2" t="s">
        <v>327</v>
      </c>
      <c r="D38" s="1" t="s">
        <v>82</v>
      </c>
      <c r="E38" s="1"/>
      <c r="F38" s="3">
        <f>(F42+F41)/1.02</f>
        <v>566.66666666666663</v>
      </c>
      <c r="G38" s="653"/>
      <c r="H38" s="341"/>
      <c r="I38" s="341"/>
      <c r="J38" s="341"/>
      <c r="K38" s="341"/>
      <c r="L38" s="341"/>
      <c r="M38" s="341"/>
      <c r="N38" s="66"/>
      <c r="O38" s="66"/>
      <c r="P38" s="66"/>
      <c r="Q38" s="66"/>
    </row>
    <row r="39" spans="1:74" s="100" customFormat="1" x14ac:dyDescent="0.25">
      <c r="A39" s="6"/>
      <c r="B39" s="10"/>
      <c r="C39" s="8" t="s">
        <v>69</v>
      </c>
      <c r="D39" s="6" t="s">
        <v>70</v>
      </c>
      <c r="E39" s="6">
        <v>7.0000000000000007E-2</v>
      </c>
      <c r="F39" s="6">
        <f>F38*E39</f>
        <v>39.666666666666664</v>
      </c>
      <c r="G39" s="604"/>
      <c r="H39" s="341">
        <f>F39*G39</f>
        <v>0</v>
      </c>
      <c r="I39" s="341"/>
      <c r="J39" s="341"/>
      <c r="K39" s="341"/>
      <c r="L39" s="341"/>
      <c r="M39" s="341">
        <f t="shared" ref="M39:M43" si="10">L39+J39+H39</f>
        <v>0</v>
      </c>
      <c r="N39" s="66"/>
      <c r="O39" s="66"/>
      <c r="P39" s="66"/>
      <c r="Q39" s="66"/>
    </row>
    <row r="40" spans="1:74" s="100" customFormat="1" x14ac:dyDescent="0.25">
      <c r="A40" s="6"/>
      <c r="B40" s="6"/>
      <c r="C40" s="8" t="s">
        <v>78</v>
      </c>
      <c r="D40" s="6" t="s">
        <v>16</v>
      </c>
      <c r="E40" s="6">
        <v>4.8399999999999999E-2</v>
      </c>
      <c r="F40" s="6">
        <f>F38*E40</f>
        <v>27.426666666666662</v>
      </c>
      <c r="G40" s="341"/>
      <c r="H40" s="341"/>
      <c r="I40" s="341"/>
      <c r="J40" s="341"/>
      <c r="K40" s="604"/>
      <c r="L40" s="341">
        <f t="shared" ref="L40" si="11">K40*F40</f>
        <v>0</v>
      </c>
      <c r="M40" s="341">
        <f t="shared" si="10"/>
        <v>0</v>
      </c>
      <c r="N40" s="66"/>
      <c r="O40" s="66"/>
      <c r="P40" s="66"/>
      <c r="Q40" s="66"/>
    </row>
    <row r="41" spans="1:74" s="469" customFormat="1" ht="27" x14ac:dyDescent="0.25">
      <c r="A41" s="24"/>
      <c r="B41" s="10"/>
      <c r="C41" s="11" t="s">
        <v>328</v>
      </c>
      <c r="D41" s="24" t="s">
        <v>82</v>
      </c>
      <c r="E41" s="24">
        <v>1.02</v>
      </c>
      <c r="F41" s="24">
        <v>210</v>
      </c>
      <c r="G41" s="359"/>
      <c r="H41" s="359"/>
      <c r="I41" s="615"/>
      <c r="J41" s="359">
        <f t="shared" ref="J41" si="12">F41*I41</f>
        <v>0</v>
      </c>
      <c r="K41" s="359"/>
      <c r="L41" s="359"/>
      <c r="M41" s="359">
        <f>L41+J41+H41</f>
        <v>0</v>
      </c>
      <c r="N41" s="66"/>
      <c r="O41" s="66"/>
      <c r="P41" s="66"/>
      <c r="Q41" s="66"/>
    </row>
    <row r="42" spans="1:74" s="469" customFormat="1" ht="27" x14ac:dyDescent="0.25">
      <c r="A42" s="24"/>
      <c r="B42" s="10"/>
      <c r="C42" s="11" t="s">
        <v>329</v>
      </c>
      <c r="D42" s="24" t="s">
        <v>82</v>
      </c>
      <c r="E42" s="24">
        <v>1.02</v>
      </c>
      <c r="F42" s="24">
        <f>149+149+40+30</f>
        <v>368</v>
      </c>
      <c r="G42" s="359"/>
      <c r="H42" s="359"/>
      <c r="I42" s="615"/>
      <c r="J42" s="359">
        <f t="shared" ref="J42:J43" si="13">F42*I42</f>
        <v>0</v>
      </c>
      <c r="K42" s="359"/>
      <c r="L42" s="359"/>
      <c r="M42" s="359">
        <f t="shared" si="10"/>
        <v>0</v>
      </c>
      <c r="N42" s="66"/>
      <c r="O42" s="66"/>
      <c r="P42" s="66"/>
      <c r="Q42" s="66"/>
    </row>
    <row r="43" spans="1:74" s="100" customFormat="1" x14ac:dyDescent="0.25">
      <c r="A43" s="6"/>
      <c r="B43" s="10"/>
      <c r="C43" s="8" t="s">
        <v>80</v>
      </c>
      <c r="D43" s="6" t="s">
        <v>16</v>
      </c>
      <c r="E43" s="6">
        <v>3.5000000000000001E-3</v>
      </c>
      <c r="F43" s="6">
        <f>E43*F38</f>
        <v>1.9833333333333332</v>
      </c>
      <c r="G43" s="341"/>
      <c r="H43" s="341"/>
      <c r="I43" s="604"/>
      <c r="J43" s="359">
        <f t="shared" si="13"/>
        <v>0</v>
      </c>
      <c r="K43" s="341"/>
      <c r="L43" s="341"/>
      <c r="M43" s="341">
        <f t="shared" si="10"/>
        <v>0</v>
      </c>
      <c r="N43" s="66"/>
      <c r="O43" s="66"/>
      <c r="P43" s="66"/>
      <c r="Q43" s="66"/>
    </row>
    <row r="44" spans="1:74" s="98" customFormat="1" x14ac:dyDescent="0.25">
      <c r="A44" s="1">
        <v>6</v>
      </c>
      <c r="B44" s="1" t="s">
        <v>368</v>
      </c>
      <c r="C44" s="2" t="s">
        <v>327</v>
      </c>
      <c r="D44" s="1" t="s">
        <v>82</v>
      </c>
      <c r="E44" s="1"/>
      <c r="F44" s="3">
        <f>F47/1.02</f>
        <v>98.039215686274503</v>
      </c>
      <c r="G44" s="653"/>
      <c r="H44" s="341"/>
      <c r="I44" s="341"/>
      <c r="J44" s="341"/>
      <c r="K44" s="341"/>
      <c r="L44" s="341"/>
      <c r="M44" s="341"/>
      <c r="N44" s="66"/>
      <c r="O44" s="66"/>
      <c r="P44" s="66"/>
      <c r="Q44" s="66"/>
    </row>
    <row r="45" spans="1:74" s="100" customFormat="1" x14ac:dyDescent="0.25">
      <c r="A45" s="6"/>
      <c r="B45" s="10"/>
      <c r="C45" s="8" t="s">
        <v>69</v>
      </c>
      <c r="D45" s="6" t="s">
        <v>70</v>
      </c>
      <c r="E45" s="6">
        <v>0.1</v>
      </c>
      <c r="F45" s="6">
        <f>F44*E45</f>
        <v>9.8039215686274517</v>
      </c>
      <c r="G45" s="604"/>
      <c r="H45" s="341">
        <f>F45*G45</f>
        <v>0</v>
      </c>
      <c r="I45" s="341"/>
      <c r="J45" s="341"/>
      <c r="K45" s="341"/>
      <c r="L45" s="341"/>
      <c r="M45" s="341">
        <f t="shared" ref="M45:M53" si="14">L45+J45+H45</f>
        <v>0</v>
      </c>
      <c r="N45" s="66"/>
      <c r="O45" s="66"/>
      <c r="P45" s="66"/>
      <c r="Q45" s="66"/>
    </row>
    <row r="46" spans="1:74" s="100" customFormat="1" x14ac:dyDescent="0.25">
      <c r="A46" s="6"/>
      <c r="B46" s="6"/>
      <c r="C46" s="8" t="s">
        <v>78</v>
      </c>
      <c r="D46" s="6" t="s">
        <v>16</v>
      </c>
      <c r="E46" s="6">
        <v>6.3E-2</v>
      </c>
      <c r="F46" s="6">
        <f>F44*E46</f>
        <v>6.1764705882352935</v>
      </c>
      <c r="G46" s="341"/>
      <c r="H46" s="341"/>
      <c r="I46" s="341"/>
      <c r="J46" s="341"/>
      <c r="K46" s="604"/>
      <c r="L46" s="341">
        <f t="shared" ref="L46:L52" si="15">K46*F46</f>
        <v>0</v>
      </c>
      <c r="M46" s="341">
        <f t="shared" si="14"/>
        <v>0</v>
      </c>
      <c r="N46" s="66"/>
      <c r="O46" s="66"/>
      <c r="P46" s="66"/>
      <c r="Q46" s="66"/>
    </row>
    <row r="47" spans="1:74" s="469" customFormat="1" ht="28.5" customHeight="1" x14ac:dyDescent="0.25">
      <c r="A47" s="24"/>
      <c r="B47" s="10"/>
      <c r="C47" s="11" t="s">
        <v>399</v>
      </c>
      <c r="D47" s="24" t="s">
        <v>82</v>
      </c>
      <c r="E47" s="24">
        <v>1.02</v>
      </c>
      <c r="F47" s="24">
        <v>100</v>
      </c>
      <c r="G47" s="359"/>
      <c r="H47" s="359"/>
      <c r="I47" s="615"/>
      <c r="J47" s="359">
        <f>F47*I47</f>
        <v>0</v>
      </c>
      <c r="K47" s="359"/>
      <c r="L47" s="359"/>
      <c r="M47" s="359">
        <f t="shared" si="14"/>
        <v>0</v>
      </c>
      <c r="N47" s="66"/>
      <c r="O47" s="66"/>
      <c r="P47" s="66"/>
      <c r="Q47" s="66"/>
    </row>
    <row r="48" spans="1:74" s="100" customFormat="1" x14ac:dyDescent="0.25">
      <c r="A48" s="6"/>
      <c r="B48" s="10"/>
      <c r="C48" s="8" t="s">
        <v>80</v>
      </c>
      <c r="D48" s="6" t="s">
        <v>16</v>
      </c>
      <c r="E48" s="6">
        <v>4.8999999999999998E-3</v>
      </c>
      <c r="F48" s="6">
        <f>E48*F44</f>
        <v>0.48039215686274506</v>
      </c>
      <c r="G48" s="341"/>
      <c r="H48" s="341"/>
      <c r="I48" s="604"/>
      <c r="J48" s="359">
        <f t="shared" ref="J48" si="16">F48*I48</f>
        <v>0</v>
      </c>
      <c r="K48" s="341"/>
      <c r="L48" s="341"/>
      <c r="M48" s="341">
        <f t="shared" si="14"/>
        <v>0</v>
      </c>
      <c r="N48" s="66"/>
      <c r="O48" s="66"/>
      <c r="P48" s="66"/>
      <c r="Q48" s="66"/>
    </row>
    <row r="49" spans="1:26" s="214" customFormat="1" x14ac:dyDescent="0.25">
      <c r="A49" s="1">
        <v>7</v>
      </c>
      <c r="B49" s="1" t="s">
        <v>205</v>
      </c>
      <c r="C49" s="2" t="s">
        <v>330</v>
      </c>
      <c r="D49" s="1" t="s">
        <v>40</v>
      </c>
      <c r="E49" s="1"/>
      <c r="F49" s="30">
        <f>F44+F38+F33</f>
        <v>722.9583095374071</v>
      </c>
      <c r="G49" s="653"/>
      <c r="H49" s="341"/>
      <c r="I49" s="341"/>
      <c r="J49" s="341"/>
      <c r="K49" s="341"/>
      <c r="L49" s="341"/>
      <c r="M49" s="341"/>
      <c r="N49" s="66"/>
      <c r="O49" s="66"/>
      <c r="P49" s="66"/>
      <c r="Q49" s="66"/>
    </row>
    <row r="50" spans="1:26" s="216" customFormat="1" x14ac:dyDescent="0.25">
      <c r="A50" s="6"/>
      <c r="B50" s="10"/>
      <c r="C50" s="22" t="s">
        <v>206</v>
      </c>
      <c r="D50" s="6" t="s">
        <v>70</v>
      </c>
      <c r="E50" s="6">
        <v>0.26</v>
      </c>
      <c r="F50" s="6">
        <f>F49*E50</f>
        <v>187.96916047972584</v>
      </c>
      <c r="G50" s="604"/>
      <c r="H50" s="341">
        <f>F50*G50</f>
        <v>0</v>
      </c>
      <c r="I50" s="341"/>
      <c r="J50" s="341"/>
      <c r="K50" s="341"/>
      <c r="L50" s="341"/>
      <c r="M50" s="341">
        <f t="shared" si="14"/>
        <v>0</v>
      </c>
      <c r="N50" s="66"/>
      <c r="O50" s="66"/>
      <c r="P50" s="66"/>
      <c r="Q50" s="66"/>
    </row>
    <row r="51" spans="1:26" s="216" customFormat="1" x14ac:dyDescent="0.25">
      <c r="A51" s="6"/>
      <c r="B51" s="6"/>
      <c r="C51" s="22" t="s">
        <v>207</v>
      </c>
      <c r="D51" s="6" t="s">
        <v>16</v>
      </c>
      <c r="E51" s="6">
        <v>8.2000000000000003E-2</v>
      </c>
      <c r="F51" s="6">
        <f>F49*E51</f>
        <v>59.282581382067384</v>
      </c>
      <c r="G51" s="341"/>
      <c r="H51" s="341"/>
      <c r="I51" s="604"/>
      <c r="J51" s="341">
        <f>F51*I51</f>
        <v>0</v>
      </c>
      <c r="K51" s="341"/>
      <c r="L51" s="341"/>
      <c r="M51" s="341">
        <f t="shared" si="14"/>
        <v>0</v>
      </c>
      <c r="N51" s="66"/>
      <c r="O51" s="66"/>
      <c r="P51" s="66"/>
      <c r="Q51" s="66"/>
    </row>
    <row r="52" spans="1:26" s="216" customFormat="1" x14ac:dyDescent="0.25">
      <c r="A52" s="6"/>
      <c r="B52" s="6"/>
      <c r="C52" s="22" t="s">
        <v>15</v>
      </c>
      <c r="D52" s="6" t="s">
        <v>16</v>
      </c>
      <c r="E52" s="6">
        <v>0.122</v>
      </c>
      <c r="F52" s="6">
        <f>F49*E52</f>
        <v>88.200913763563662</v>
      </c>
      <c r="G52" s="341"/>
      <c r="H52" s="341"/>
      <c r="I52" s="341"/>
      <c r="J52" s="341"/>
      <c r="K52" s="604"/>
      <c r="L52" s="341">
        <f t="shared" si="15"/>
        <v>0</v>
      </c>
      <c r="M52" s="341">
        <f t="shared" si="14"/>
        <v>0</v>
      </c>
      <c r="N52" s="66"/>
      <c r="O52" s="66"/>
      <c r="P52" s="66"/>
      <c r="Q52" s="66"/>
    </row>
    <row r="53" spans="1:26" s="66" customFormat="1" x14ac:dyDescent="0.25">
      <c r="A53" s="24"/>
      <c r="B53" s="10"/>
      <c r="C53" s="29" t="s">
        <v>330</v>
      </c>
      <c r="D53" s="24" t="s">
        <v>82</v>
      </c>
      <c r="E53" s="24">
        <v>1.03</v>
      </c>
      <c r="F53" s="75">
        <f>F49*E53</f>
        <v>744.64705882352939</v>
      </c>
      <c r="G53" s="359"/>
      <c r="H53" s="359"/>
      <c r="I53" s="615"/>
      <c r="J53" s="341">
        <f t="shared" ref="J53" si="17">F53*I53</f>
        <v>0</v>
      </c>
      <c r="K53" s="359"/>
      <c r="L53" s="359"/>
      <c r="M53" s="359">
        <f t="shared" si="14"/>
        <v>0</v>
      </c>
    </row>
    <row r="54" spans="1:26" s="214" customFormat="1" x14ac:dyDescent="0.25">
      <c r="A54" s="1">
        <v>8</v>
      </c>
      <c r="B54" s="17" t="s">
        <v>281</v>
      </c>
      <c r="C54" s="23" t="s">
        <v>203</v>
      </c>
      <c r="D54" s="1" t="s">
        <v>30</v>
      </c>
      <c r="E54" s="1"/>
      <c r="F54" s="30">
        <v>18</v>
      </c>
      <c r="G54" s="674"/>
      <c r="H54" s="653"/>
      <c r="I54" s="675"/>
      <c r="J54" s="653"/>
      <c r="K54" s="675"/>
      <c r="L54" s="653"/>
      <c r="M54" s="653"/>
      <c r="N54" s="66"/>
      <c r="O54" s="66"/>
      <c r="P54" s="66"/>
      <c r="Q54" s="66"/>
    </row>
    <row r="55" spans="1:26" s="470" customFormat="1" x14ac:dyDescent="0.25">
      <c r="A55" s="6"/>
      <c r="B55" s="10"/>
      <c r="C55" s="8" t="s">
        <v>69</v>
      </c>
      <c r="D55" s="6" t="s">
        <v>70</v>
      </c>
      <c r="E55" s="6">
        <v>2.5499999999999998</v>
      </c>
      <c r="F55" s="6">
        <f>F54*E55</f>
        <v>45.9</v>
      </c>
      <c r="G55" s="604"/>
      <c r="H55" s="341">
        <f>F55*G55</f>
        <v>0</v>
      </c>
      <c r="I55" s="341"/>
      <c r="J55" s="341"/>
      <c r="K55" s="341"/>
      <c r="L55" s="341"/>
      <c r="M55" s="341">
        <f>L55+J55+H55</f>
        <v>0</v>
      </c>
      <c r="N55" s="66"/>
      <c r="O55" s="66"/>
      <c r="P55" s="66"/>
      <c r="Q55" s="66"/>
    </row>
    <row r="56" spans="1:26" s="470" customFormat="1" x14ac:dyDescent="0.25">
      <c r="A56" s="6"/>
      <c r="B56" s="6"/>
      <c r="C56" s="8" t="s">
        <v>78</v>
      </c>
      <c r="D56" s="6" t="s">
        <v>16</v>
      </c>
      <c r="E56" s="6">
        <v>0.86</v>
      </c>
      <c r="F56" s="6">
        <f>F54*E56</f>
        <v>15.48</v>
      </c>
      <c r="G56" s="512"/>
      <c r="H56" s="341"/>
      <c r="I56" s="341"/>
      <c r="J56" s="341"/>
      <c r="K56" s="604"/>
      <c r="L56" s="341">
        <f t="shared" ref="L56" si="18">K56*F56</f>
        <v>0</v>
      </c>
      <c r="M56" s="341">
        <f t="shared" ref="M56:M58" si="19">L56+J56+H56</f>
        <v>0</v>
      </c>
      <c r="N56" s="66"/>
      <c r="O56" s="66"/>
      <c r="P56" s="66"/>
      <c r="Q56" s="66"/>
    </row>
    <row r="57" spans="1:26" s="215" customFormat="1" x14ac:dyDescent="0.25">
      <c r="A57" s="24"/>
      <c r="B57" s="10"/>
      <c r="C57" s="11" t="s">
        <v>204</v>
      </c>
      <c r="D57" s="24" t="s">
        <v>30</v>
      </c>
      <c r="E57" s="24">
        <v>1</v>
      </c>
      <c r="F57" s="24">
        <f>F54*E57</f>
        <v>18</v>
      </c>
      <c r="G57" s="359"/>
      <c r="H57" s="359"/>
      <c r="I57" s="615"/>
      <c r="J57" s="359">
        <f>F57*I57</f>
        <v>0</v>
      </c>
      <c r="K57" s="359"/>
      <c r="L57" s="359"/>
      <c r="M57" s="359">
        <f t="shared" si="19"/>
        <v>0</v>
      </c>
      <c r="N57" s="66"/>
      <c r="O57" s="66"/>
      <c r="P57" s="66"/>
      <c r="Q57" s="66"/>
    </row>
    <row r="58" spans="1:26" s="470" customFormat="1" x14ac:dyDescent="0.25">
      <c r="A58" s="6"/>
      <c r="B58" s="6"/>
      <c r="C58" s="29" t="s">
        <v>80</v>
      </c>
      <c r="D58" s="6" t="s">
        <v>16</v>
      </c>
      <c r="E58" s="24">
        <v>2.1</v>
      </c>
      <c r="F58" s="6">
        <f>F54*E58</f>
        <v>37.800000000000004</v>
      </c>
      <c r="G58" s="341"/>
      <c r="H58" s="341"/>
      <c r="I58" s="604"/>
      <c r="J58" s="359">
        <f>F58*I58</f>
        <v>0</v>
      </c>
      <c r="K58" s="341"/>
      <c r="L58" s="341"/>
      <c r="M58" s="341">
        <f t="shared" si="19"/>
        <v>0</v>
      </c>
      <c r="N58" s="66"/>
      <c r="O58" s="66"/>
      <c r="P58" s="66"/>
      <c r="Q58" s="66"/>
    </row>
    <row r="59" spans="1:26" s="82" customFormat="1" ht="27" x14ac:dyDescent="0.25">
      <c r="A59" s="17">
        <v>9</v>
      </c>
      <c r="B59" s="17" t="s">
        <v>133</v>
      </c>
      <c r="C59" s="18" t="s">
        <v>400</v>
      </c>
      <c r="D59" s="17" t="s">
        <v>30</v>
      </c>
      <c r="E59" s="17"/>
      <c r="F59" s="19">
        <v>13</v>
      </c>
      <c r="G59" s="355"/>
      <c r="H59" s="319"/>
      <c r="I59" s="676"/>
      <c r="J59" s="319"/>
      <c r="K59" s="676"/>
      <c r="L59" s="319"/>
      <c r="M59" s="319"/>
      <c r="O59" s="68"/>
    </row>
    <row r="60" spans="1:26" s="470" customFormat="1" x14ac:dyDescent="0.25">
      <c r="A60" s="6"/>
      <c r="B60" s="10"/>
      <c r="C60" s="22" t="s">
        <v>69</v>
      </c>
      <c r="D60" s="6" t="s">
        <v>70</v>
      </c>
      <c r="E60" s="6">
        <v>1.54</v>
      </c>
      <c r="F60" s="6">
        <f>F59*E60</f>
        <v>20.02</v>
      </c>
      <c r="G60" s="604"/>
      <c r="H60" s="341">
        <f>F60*G60</f>
        <v>0</v>
      </c>
      <c r="I60" s="341"/>
      <c r="J60" s="341"/>
      <c r="K60" s="341"/>
      <c r="L60" s="341"/>
      <c r="M60" s="341">
        <f>H60+J60+L60</f>
        <v>0</v>
      </c>
      <c r="O60" s="471"/>
    </row>
    <row r="61" spans="1:26" s="470" customFormat="1" x14ac:dyDescent="0.25">
      <c r="A61" s="6"/>
      <c r="B61" s="6"/>
      <c r="C61" s="22" t="s">
        <v>83</v>
      </c>
      <c r="D61" s="6" t="s">
        <v>16</v>
      </c>
      <c r="E61" s="6">
        <v>0.28999999999999998</v>
      </c>
      <c r="F61" s="6">
        <f>F59*E61</f>
        <v>3.7699999999999996</v>
      </c>
      <c r="G61" s="512"/>
      <c r="H61" s="341"/>
      <c r="I61" s="341"/>
      <c r="J61" s="341"/>
      <c r="K61" s="604"/>
      <c r="L61" s="341">
        <f>F61*K61</f>
        <v>0</v>
      </c>
      <c r="M61" s="341">
        <f t="shared" ref="M61:M63" si="20">H61+J61+L61</f>
        <v>0</v>
      </c>
      <c r="O61" s="471"/>
    </row>
    <row r="62" spans="1:26" s="470" customFormat="1" ht="27" x14ac:dyDescent="0.25">
      <c r="A62" s="6"/>
      <c r="B62" s="10"/>
      <c r="C62" s="8" t="s">
        <v>401</v>
      </c>
      <c r="D62" s="6" t="s">
        <v>30</v>
      </c>
      <c r="E62" s="6">
        <v>1</v>
      </c>
      <c r="F62" s="6">
        <f>F59*E62</f>
        <v>13</v>
      </c>
      <c r="G62" s="341"/>
      <c r="H62" s="341"/>
      <c r="I62" s="604"/>
      <c r="J62" s="341">
        <f t="shared" ref="J62:J63" si="21">F62*I62</f>
        <v>0</v>
      </c>
      <c r="K62" s="341"/>
      <c r="L62" s="341"/>
      <c r="M62" s="341">
        <f t="shared" si="20"/>
        <v>0</v>
      </c>
      <c r="O62" s="471"/>
    </row>
    <row r="63" spans="1:26" s="470" customFormat="1" x14ac:dyDescent="0.25">
      <c r="A63" s="6"/>
      <c r="B63" s="6"/>
      <c r="C63" s="22" t="s">
        <v>80</v>
      </c>
      <c r="D63" s="6" t="s">
        <v>16</v>
      </c>
      <c r="E63" s="6">
        <v>0.57999999999999996</v>
      </c>
      <c r="F63" s="6">
        <f>F59*E63</f>
        <v>7.5399999999999991</v>
      </c>
      <c r="G63" s="341"/>
      <c r="H63" s="341"/>
      <c r="I63" s="604"/>
      <c r="J63" s="341">
        <f t="shared" si="21"/>
        <v>0</v>
      </c>
      <c r="K63" s="341"/>
      <c r="L63" s="341"/>
      <c r="M63" s="341">
        <f t="shared" si="20"/>
        <v>0</v>
      </c>
      <c r="O63" s="471"/>
    </row>
    <row r="64" spans="1:26" s="82" customFormat="1" ht="27" x14ac:dyDescent="0.25">
      <c r="A64" s="17">
        <v>10</v>
      </c>
      <c r="B64" s="472" t="s">
        <v>88</v>
      </c>
      <c r="C64" s="23" t="s">
        <v>342</v>
      </c>
      <c r="D64" s="17" t="s">
        <v>30</v>
      </c>
      <c r="E64" s="17"/>
      <c r="F64" s="17">
        <v>10</v>
      </c>
      <c r="G64" s="355"/>
      <c r="H64" s="319"/>
      <c r="I64" s="676"/>
      <c r="J64" s="319"/>
      <c r="K64" s="676"/>
      <c r="L64" s="319"/>
      <c r="M64" s="319"/>
      <c r="N64" s="68"/>
      <c r="O64" s="473"/>
      <c r="P64" s="473"/>
      <c r="Q64" s="474"/>
      <c r="R64" s="473"/>
      <c r="S64" s="473"/>
      <c r="T64" s="475"/>
      <c r="U64" s="473"/>
      <c r="V64" s="473"/>
      <c r="W64" s="475"/>
      <c r="X64" s="476"/>
      <c r="Y64" s="475"/>
      <c r="Z64" s="475"/>
    </row>
    <row r="65" spans="1:74" s="63" customFormat="1" x14ac:dyDescent="0.2">
      <c r="A65" s="6"/>
      <c r="B65" s="7"/>
      <c r="C65" s="22" t="s">
        <v>69</v>
      </c>
      <c r="D65" s="6" t="s">
        <v>30</v>
      </c>
      <c r="E65" s="6">
        <v>1.35</v>
      </c>
      <c r="F65" s="24">
        <f>F64*E65</f>
        <v>13.5</v>
      </c>
      <c r="G65" s="604"/>
      <c r="H65" s="341">
        <f>F65*G65</f>
        <v>0</v>
      </c>
      <c r="I65" s="646"/>
      <c r="J65" s="341"/>
      <c r="K65" s="513"/>
      <c r="L65" s="341"/>
      <c r="M65" s="341">
        <f>H65+J65+L65</f>
        <v>0</v>
      </c>
      <c r="N65" s="101"/>
      <c r="O65" s="60"/>
      <c r="P65" s="71"/>
      <c r="Q65" s="101"/>
      <c r="R65" s="60"/>
      <c r="S65" s="71"/>
      <c r="T65" s="65"/>
      <c r="U65" s="60"/>
      <c r="V65" s="71"/>
      <c r="W65" s="65"/>
      <c r="X65" s="62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</row>
    <row r="66" spans="1:74" s="479" customFormat="1" ht="13.5" customHeight="1" x14ac:dyDescent="0.2">
      <c r="A66" s="6"/>
      <c r="B66" s="6"/>
      <c r="C66" s="22" t="s">
        <v>89</v>
      </c>
      <c r="D66" s="6" t="s">
        <v>16</v>
      </c>
      <c r="E66" s="6">
        <f>3.1/100</f>
        <v>3.1E-2</v>
      </c>
      <c r="F66" s="24">
        <f>F64*E66</f>
        <v>0.31</v>
      </c>
      <c r="G66" s="512"/>
      <c r="H66" s="341"/>
      <c r="I66" s="513"/>
      <c r="J66" s="341"/>
      <c r="K66" s="604"/>
      <c r="L66" s="341">
        <f>F66*K66</f>
        <v>0</v>
      </c>
      <c r="M66" s="341">
        <f>H66+J66+L66</f>
        <v>0</v>
      </c>
      <c r="N66" s="477"/>
      <c r="O66" s="60"/>
      <c r="P66" s="71"/>
      <c r="Q66" s="101"/>
      <c r="R66" s="60"/>
      <c r="S66" s="71"/>
      <c r="T66" s="478"/>
      <c r="U66" s="60"/>
      <c r="V66" s="71"/>
      <c r="W66" s="478"/>
      <c r="X66" s="62"/>
      <c r="Y66" s="478"/>
      <c r="Z66" s="478"/>
    </row>
    <row r="67" spans="1:74" s="66" customFormat="1" x14ac:dyDescent="0.25">
      <c r="A67" s="24"/>
      <c r="B67" s="26"/>
      <c r="C67" s="11" t="s">
        <v>343</v>
      </c>
      <c r="D67" s="24" t="s">
        <v>30</v>
      </c>
      <c r="E67" s="480">
        <v>1</v>
      </c>
      <c r="F67" s="24">
        <f>F64*E67</f>
        <v>10</v>
      </c>
      <c r="G67" s="648"/>
      <c r="H67" s="359"/>
      <c r="I67" s="615"/>
      <c r="J67" s="359">
        <f t="shared" ref="J67:J68" si="22">F67*I67</f>
        <v>0</v>
      </c>
      <c r="K67" s="648"/>
      <c r="L67" s="359"/>
      <c r="M67" s="359">
        <f>H67+J67+L67</f>
        <v>0</v>
      </c>
      <c r="N67" s="467"/>
      <c r="O67" s="85"/>
      <c r="P67" s="71"/>
      <c r="Q67" s="467"/>
      <c r="R67" s="85"/>
      <c r="S67" s="71"/>
      <c r="T67" s="468"/>
      <c r="U67" s="85"/>
      <c r="V67" s="71"/>
      <c r="W67" s="468"/>
      <c r="X67" s="62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BC67" s="468"/>
      <c r="BD67" s="468"/>
      <c r="BE67" s="468"/>
      <c r="BF67" s="468"/>
      <c r="BG67" s="468"/>
      <c r="BH67" s="468"/>
      <c r="BI67" s="468"/>
      <c r="BJ67" s="468"/>
      <c r="BK67" s="468"/>
      <c r="BL67" s="468"/>
      <c r="BM67" s="468"/>
      <c r="BN67" s="468"/>
      <c r="BO67" s="468"/>
      <c r="BP67" s="468"/>
      <c r="BQ67" s="468"/>
      <c r="BR67" s="468"/>
      <c r="BS67" s="468"/>
      <c r="BT67" s="468"/>
      <c r="BU67" s="468"/>
      <c r="BV67" s="468"/>
    </row>
    <row r="68" spans="1:74" s="63" customFormat="1" x14ac:dyDescent="0.2">
      <c r="A68" s="6"/>
      <c r="B68" s="7"/>
      <c r="C68" s="22" t="s">
        <v>80</v>
      </c>
      <c r="D68" s="6" t="s">
        <v>16</v>
      </c>
      <c r="E68" s="481">
        <v>0.29099999999999998</v>
      </c>
      <c r="F68" s="28">
        <f>F64*E68</f>
        <v>2.9099999999999997</v>
      </c>
      <c r="G68" s="513"/>
      <c r="H68" s="341"/>
      <c r="I68" s="604"/>
      <c r="J68" s="341">
        <f t="shared" si="22"/>
        <v>0</v>
      </c>
      <c r="K68" s="513"/>
      <c r="L68" s="341"/>
      <c r="M68" s="341">
        <f>H68+J68+L68</f>
        <v>0</v>
      </c>
      <c r="N68" s="101"/>
      <c r="O68" s="60"/>
      <c r="P68" s="102"/>
      <c r="Q68" s="101"/>
      <c r="R68" s="60"/>
      <c r="S68" s="102"/>
      <c r="T68" s="65"/>
      <c r="U68" s="60"/>
      <c r="V68" s="102"/>
      <c r="W68" s="65"/>
      <c r="X68" s="62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</row>
    <row r="69" spans="1:74" s="82" customFormat="1" x14ac:dyDescent="0.25">
      <c r="A69" s="17">
        <v>11</v>
      </c>
      <c r="B69" s="472" t="s">
        <v>88</v>
      </c>
      <c r="C69" s="23" t="s">
        <v>102</v>
      </c>
      <c r="D69" s="17" t="s">
        <v>30</v>
      </c>
      <c r="E69" s="17"/>
      <c r="F69" s="17">
        <v>8</v>
      </c>
      <c r="G69" s="355"/>
      <c r="H69" s="319"/>
      <c r="I69" s="676"/>
      <c r="J69" s="319"/>
      <c r="K69" s="676"/>
      <c r="L69" s="319"/>
      <c r="M69" s="319"/>
      <c r="N69" s="68"/>
      <c r="O69" s="473"/>
      <c r="P69" s="473"/>
      <c r="Q69" s="474"/>
      <c r="R69" s="473"/>
      <c r="S69" s="473"/>
      <c r="T69" s="475"/>
      <c r="U69" s="473"/>
      <c r="V69" s="473"/>
      <c r="W69" s="475"/>
      <c r="X69" s="476"/>
      <c r="Y69" s="475"/>
      <c r="Z69" s="475"/>
    </row>
    <row r="70" spans="1:74" s="63" customFormat="1" x14ac:dyDescent="0.2">
      <c r="A70" s="6"/>
      <c r="B70" s="7"/>
      <c r="C70" s="22" t="s">
        <v>69</v>
      </c>
      <c r="D70" s="6" t="s">
        <v>30</v>
      </c>
      <c r="E70" s="6">
        <v>1.35</v>
      </c>
      <c r="F70" s="24">
        <f>F69*E70</f>
        <v>10.8</v>
      </c>
      <c r="G70" s="604"/>
      <c r="H70" s="341">
        <f>F70*G70</f>
        <v>0</v>
      </c>
      <c r="I70" s="646"/>
      <c r="J70" s="341"/>
      <c r="K70" s="513"/>
      <c r="L70" s="341"/>
      <c r="M70" s="341">
        <f>H70+J70+L70</f>
        <v>0</v>
      </c>
      <c r="N70" s="101"/>
      <c r="O70" s="60"/>
      <c r="P70" s="71"/>
      <c r="Q70" s="101"/>
      <c r="R70" s="60"/>
      <c r="S70" s="71"/>
      <c r="T70" s="65"/>
      <c r="U70" s="60"/>
      <c r="V70" s="71"/>
      <c r="W70" s="65"/>
      <c r="X70" s="62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</row>
    <row r="71" spans="1:74" s="479" customFormat="1" ht="13.5" customHeight="1" x14ac:dyDescent="0.2">
      <c r="A71" s="6"/>
      <c r="B71" s="6"/>
      <c r="C71" s="22" t="s">
        <v>89</v>
      </c>
      <c r="D71" s="6" t="s">
        <v>16</v>
      </c>
      <c r="E71" s="6">
        <f>3.1/100</f>
        <v>3.1E-2</v>
      </c>
      <c r="F71" s="24">
        <f>F69*E71</f>
        <v>0.248</v>
      </c>
      <c r="G71" s="512"/>
      <c r="H71" s="341"/>
      <c r="I71" s="513"/>
      <c r="J71" s="341"/>
      <c r="K71" s="604"/>
      <c r="L71" s="341">
        <f>F71*K71</f>
        <v>0</v>
      </c>
      <c r="M71" s="341">
        <f>H71+J71+L71</f>
        <v>0</v>
      </c>
      <c r="N71" s="477"/>
      <c r="O71" s="60"/>
      <c r="P71" s="71"/>
      <c r="Q71" s="101"/>
      <c r="R71" s="60"/>
      <c r="S71" s="71"/>
      <c r="T71" s="478"/>
      <c r="U71" s="60"/>
      <c r="V71" s="71"/>
      <c r="W71" s="478"/>
      <c r="X71" s="62"/>
      <c r="Y71" s="478"/>
      <c r="Z71" s="478"/>
    </row>
    <row r="72" spans="1:74" s="66" customFormat="1" x14ac:dyDescent="0.25">
      <c r="A72" s="24"/>
      <c r="B72" s="26"/>
      <c r="C72" s="11" t="s">
        <v>132</v>
      </c>
      <c r="D72" s="24" t="s">
        <v>30</v>
      </c>
      <c r="E72" s="480">
        <v>1</v>
      </c>
      <c r="F72" s="24">
        <f>F69*E72</f>
        <v>8</v>
      </c>
      <c r="G72" s="648"/>
      <c r="H72" s="359"/>
      <c r="I72" s="615"/>
      <c r="J72" s="359">
        <f t="shared" ref="J72:J73" si="23">F72*I72</f>
        <v>0</v>
      </c>
      <c r="K72" s="648"/>
      <c r="L72" s="359"/>
      <c r="M72" s="359">
        <f>H72+J72+L72</f>
        <v>0</v>
      </c>
      <c r="N72" s="467"/>
      <c r="O72" s="85"/>
      <c r="P72" s="71"/>
      <c r="Q72" s="467"/>
      <c r="R72" s="85"/>
      <c r="S72" s="71"/>
      <c r="T72" s="468"/>
      <c r="U72" s="85"/>
      <c r="V72" s="71"/>
      <c r="W72" s="468"/>
      <c r="X72" s="62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8"/>
      <c r="AY72" s="468"/>
      <c r="AZ72" s="468"/>
      <c r="BA72" s="468"/>
      <c r="BB72" s="468"/>
      <c r="BC72" s="468"/>
      <c r="BD72" s="468"/>
      <c r="BE72" s="468"/>
      <c r="BF72" s="468"/>
      <c r="BG72" s="468"/>
      <c r="BH72" s="468"/>
      <c r="BI72" s="468"/>
      <c r="BJ72" s="468"/>
      <c r="BK72" s="468"/>
      <c r="BL72" s="468"/>
      <c r="BM72" s="468"/>
      <c r="BN72" s="468"/>
      <c r="BO72" s="468"/>
      <c r="BP72" s="468"/>
      <c r="BQ72" s="468"/>
      <c r="BR72" s="468"/>
      <c r="BS72" s="468"/>
      <c r="BT72" s="468"/>
      <c r="BU72" s="468"/>
      <c r="BV72" s="468"/>
    </row>
    <row r="73" spans="1:74" s="63" customFormat="1" x14ac:dyDescent="0.2">
      <c r="A73" s="6"/>
      <c r="B73" s="7"/>
      <c r="C73" s="22" t="s">
        <v>80</v>
      </c>
      <c r="D73" s="6" t="s">
        <v>16</v>
      </c>
      <c r="E73" s="481">
        <v>0.29099999999999998</v>
      </c>
      <c r="F73" s="28">
        <f>F69*E73</f>
        <v>2.3279999999999998</v>
      </c>
      <c r="G73" s="513"/>
      <c r="H73" s="341"/>
      <c r="I73" s="604"/>
      <c r="J73" s="341">
        <f t="shared" si="23"/>
        <v>0</v>
      </c>
      <c r="K73" s="513"/>
      <c r="L73" s="341"/>
      <c r="M73" s="341">
        <f>H73+J73+L73</f>
        <v>0</v>
      </c>
      <c r="N73" s="101"/>
      <c r="O73" s="60"/>
      <c r="P73" s="102"/>
      <c r="Q73" s="101"/>
      <c r="R73" s="60"/>
      <c r="S73" s="102"/>
      <c r="T73" s="65"/>
      <c r="U73" s="60"/>
      <c r="V73" s="102"/>
      <c r="W73" s="65"/>
      <c r="X73" s="62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</row>
    <row r="74" spans="1:74" s="183" customFormat="1" ht="27" x14ac:dyDescent="0.25">
      <c r="A74" s="17">
        <v>12</v>
      </c>
      <c r="B74" s="17" t="s">
        <v>91</v>
      </c>
      <c r="C74" s="482" t="s">
        <v>331</v>
      </c>
      <c r="D74" s="17" t="s">
        <v>82</v>
      </c>
      <c r="E74" s="17"/>
      <c r="F74" s="21">
        <v>60</v>
      </c>
      <c r="G74" s="355"/>
      <c r="H74" s="319"/>
      <c r="I74" s="676"/>
      <c r="J74" s="319"/>
      <c r="K74" s="676"/>
      <c r="L74" s="319"/>
      <c r="M74" s="319"/>
      <c r="N74" s="483"/>
      <c r="O74" s="484"/>
      <c r="P74" s="485"/>
      <c r="Q74" s="486"/>
      <c r="R74" s="484"/>
      <c r="S74" s="485"/>
      <c r="T74" s="487"/>
      <c r="U74" s="484"/>
      <c r="V74" s="485"/>
      <c r="W74" s="487"/>
      <c r="X74" s="476"/>
      <c r="Y74" s="487"/>
      <c r="Z74" s="487"/>
    </row>
    <row r="75" spans="1:74" s="141" customFormat="1" ht="16.5" customHeight="1" x14ac:dyDescent="0.25">
      <c r="A75" s="24"/>
      <c r="B75" s="26"/>
      <c r="C75" s="29" t="s">
        <v>69</v>
      </c>
      <c r="D75" s="24" t="s">
        <v>70</v>
      </c>
      <c r="E75" s="24">
        <v>0.15</v>
      </c>
      <c r="F75" s="15">
        <f>F74*E75</f>
        <v>9</v>
      </c>
      <c r="G75" s="615"/>
      <c r="H75" s="359">
        <f>F75*G75</f>
        <v>0</v>
      </c>
      <c r="I75" s="647"/>
      <c r="J75" s="359"/>
      <c r="K75" s="648"/>
      <c r="L75" s="359"/>
      <c r="M75" s="359">
        <f>H75+J75+L75</f>
        <v>0</v>
      </c>
      <c r="N75" s="477"/>
      <c r="O75" s="60"/>
      <c r="P75" s="61"/>
      <c r="Q75" s="101"/>
      <c r="R75" s="60"/>
      <c r="S75" s="61"/>
      <c r="T75" s="409"/>
      <c r="U75" s="60"/>
      <c r="V75" s="61"/>
      <c r="W75" s="409"/>
      <c r="X75" s="62"/>
      <c r="Y75" s="409"/>
      <c r="Z75" s="409"/>
    </row>
    <row r="76" spans="1:74" s="479" customFormat="1" ht="13.5" customHeight="1" x14ac:dyDescent="0.2">
      <c r="A76" s="24"/>
      <c r="B76" s="24"/>
      <c r="C76" s="29" t="s">
        <v>89</v>
      </c>
      <c r="D76" s="24" t="s">
        <v>16</v>
      </c>
      <c r="E76" s="24">
        <v>1.6999999999999999E-3</v>
      </c>
      <c r="F76" s="15">
        <f>F74*E76</f>
        <v>0.10199999999999999</v>
      </c>
      <c r="G76" s="281"/>
      <c r="H76" s="359"/>
      <c r="I76" s="648"/>
      <c r="J76" s="359"/>
      <c r="K76" s="615"/>
      <c r="L76" s="359">
        <f>F76*K76</f>
        <v>0</v>
      </c>
      <c r="M76" s="359">
        <f>H76+J76+L76</f>
        <v>0</v>
      </c>
      <c r="N76" s="477"/>
      <c r="O76" s="60"/>
      <c r="P76" s="61"/>
      <c r="Q76" s="101"/>
      <c r="R76" s="60"/>
      <c r="S76" s="61"/>
      <c r="T76" s="478"/>
      <c r="U76" s="60"/>
      <c r="V76" s="61"/>
      <c r="W76" s="478"/>
      <c r="X76" s="62"/>
      <c r="Y76" s="478"/>
      <c r="Z76" s="478"/>
    </row>
    <row r="77" spans="1:74" s="63" customFormat="1" ht="13.5" customHeight="1" x14ac:dyDescent="0.2">
      <c r="A77" s="24"/>
      <c r="B77" s="26"/>
      <c r="C77" s="29" t="s">
        <v>79</v>
      </c>
      <c r="D77" s="24"/>
      <c r="E77" s="24"/>
      <c r="F77" s="15"/>
      <c r="G77" s="281"/>
      <c r="H77" s="359"/>
      <c r="I77" s="648"/>
      <c r="J77" s="359"/>
      <c r="K77" s="648"/>
      <c r="L77" s="359"/>
      <c r="M77" s="359"/>
      <c r="N77" s="477"/>
      <c r="O77" s="60"/>
      <c r="P77" s="61"/>
      <c r="Q77" s="101"/>
      <c r="R77" s="60"/>
      <c r="S77" s="61"/>
      <c r="T77" s="65"/>
      <c r="U77" s="60"/>
      <c r="V77" s="61"/>
      <c r="W77" s="65"/>
      <c r="X77" s="62"/>
      <c r="Y77" s="65"/>
      <c r="Z77" s="65"/>
    </row>
    <row r="78" spans="1:74" s="63" customFormat="1" ht="14.25" customHeight="1" x14ac:dyDescent="0.2">
      <c r="A78" s="24"/>
      <c r="B78" s="26"/>
      <c r="C78" s="488" t="s">
        <v>332</v>
      </c>
      <c r="D78" s="24" t="s">
        <v>82</v>
      </c>
      <c r="E78" s="24">
        <v>1</v>
      </c>
      <c r="F78" s="15">
        <f>F74*E78</f>
        <v>60</v>
      </c>
      <c r="G78" s="647"/>
      <c r="H78" s="359"/>
      <c r="I78" s="615"/>
      <c r="J78" s="359">
        <f t="shared" ref="J78:J79" si="24">F78*I78</f>
        <v>0</v>
      </c>
      <c r="K78" s="648"/>
      <c r="L78" s="359"/>
      <c r="M78" s="359">
        <f>H78+J78+L78</f>
        <v>0</v>
      </c>
      <c r="N78" s="477"/>
      <c r="O78" s="60"/>
      <c r="P78" s="61"/>
      <c r="Q78" s="101"/>
      <c r="R78" s="60"/>
      <c r="S78" s="61"/>
      <c r="T78" s="65"/>
      <c r="U78" s="60"/>
      <c r="V78" s="61"/>
      <c r="W78" s="65"/>
      <c r="X78" s="62"/>
      <c r="Y78" s="65"/>
      <c r="Z78" s="65"/>
    </row>
    <row r="79" spans="1:74" s="63" customFormat="1" ht="13.5" customHeight="1" x14ac:dyDescent="0.2">
      <c r="A79" s="24"/>
      <c r="B79" s="26"/>
      <c r="C79" s="29" t="s">
        <v>80</v>
      </c>
      <c r="D79" s="24" t="s">
        <v>16</v>
      </c>
      <c r="E79" s="24">
        <v>1.15E-2</v>
      </c>
      <c r="F79" s="15">
        <f>F74*E79</f>
        <v>0.69</v>
      </c>
      <c r="G79" s="281"/>
      <c r="H79" s="359"/>
      <c r="I79" s="604"/>
      <c r="J79" s="359">
        <f t="shared" si="24"/>
        <v>0</v>
      </c>
      <c r="K79" s="648"/>
      <c r="L79" s="359"/>
      <c r="M79" s="359">
        <f>H79+J79+L79</f>
        <v>0</v>
      </c>
      <c r="N79" s="477"/>
      <c r="O79" s="60"/>
      <c r="P79" s="61"/>
      <c r="Q79" s="101"/>
      <c r="R79" s="60"/>
      <c r="S79" s="61"/>
      <c r="T79" s="65"/>
      <c r="U79" s="60"/>
      <c r="V79" s="61"/>
      <c r="W79" s="65"/>
      <c r="X79" s="62"/>
      <c r="Y79" s="65"/>
      <c r="Z79" s="65"/>
    </row>
    <row r="80" spans="1:74" s="183" customFormat="1" ht="15" x14ac:dyDescent="0.25">
      <c r="A80" s="17">
        <v>13</v>
      </c>
      <c r="B80" s="17" t="s">
        <v>91</v>
      </c>
      <c r="C80" s="482" t="s">
        <v>333</v>
      </c>
      <c r="D80" s="17" t="s">
        <v>82</v>
      </c>
      <c r="E80" s="17"/>
      <c r="F80" s="21">
        <v>52</v>
      </c>
      <c r="G80" s="355"/>
      <c r="H80" s="319"/>
      <c r="I80" s="676"/>
      <c r="J80" s="319"/>
      <c r="K80" s="676"/>
      <c r="L80" s="319"/>
      <c r="M80" s="319"/>
      <c r="N80" s="483"/>
      <c r="O80" s="484"/>
      <c r="P80" s="485"/>
      <c r="Q80" s="486"/>
      <c r="R80" s="484"/>
      <c r="S80" s="485"/>
      <c r="T80" s="487"/>
      <c r="U80" s="484"/>
      <c r="V80" s="485"/>
      <c r="W80" s="487"/>
      <c r="X80" s="476"/>
      <c r="Y80" s="487"/>
      <c r="Z80" s="487"/>
    </row>
    <row r="81" spans="1:71" s="141" customFormat="1" ht="16.5" customHeight="1" x14ac:dyDescent="0.25">
      <c r="A81" s="24"/>
      <c r="B81" s="26"/>
      <c r="C81" s="29" t="s">
        <v>69</v>
      </c>
      <c r="D81" s="24" t="s">
        <v>70</v>
      </c>
      <c r="E81" s="24">
        <v>0.15</v>
      </c>
      <c r="F81" s="15">
        <f>F80*E81</f>
        <v>7.8</v>
      </c>
      <c r="G81" s="615"/>
      <c r="H81" s="359">
        <f>F81*G81</f>
        <v>0</v>
      </c>
      <c r="I81" s="647"/>
      <c r="J81" s="359"/>
      <c r="K81" s="648"/>
      <c r="L81" s="359"/>
      <c r="M81" s="359">
        <f>H81+J81+L81</f>
        <v>0</v>
      </c>
      <c r="N81" s="477"/>
      <c r="O81" s="60"/>
      <c r="P81" s="61"/>
      <c r="Q81" s="101"/>
      <c r="R81" s="60"/>
      <c r="S81" s="61"/>
      <c r="T81" s="409"/>
      <c r="U81" s="60"/>
      <c r="V81" s="61"/>
      <c r="W81" s="409"/>
      <c r="X81" s="62"/>
      <c r="Y81" s="409"/>
      <c r="Z81" s="409"/>
    </row>
    <row r="82" spans="1:71" s="479" customFormat="1" ht="13.5" customHeight="1" x14ac:dyDescent="0.2">
      <c r="A82" s="24"/>
      <c r="B82" s="24"/>
      <c r="C82" s="29" t="s">
        <v>89</v>
      </c>
      <c r="D82" s="24" t="s">
        <v>16</v>
      </c>
      <c r="E82" s="24">
        <v>1.6999999999999999E-3</v>
      </c>
      <c r="F82" s="15">
        <f>F80*E82</f>
        <v>8.8399999999999992E-2</v>
      </c>
      <c r="G82" s="281"/>
      <c r="H82" s="359"/>
      <c r="I82" s="648"/>
      <c r="J82" s="359"/>
      <c r="K82" s="615"/>
      <c r="L82" s="359">
        <f>F82*K82</f>
        <v>0</v>
      </c>
      <c r="M82" s="359">
        <f>H82+J82+L82</f>
        <v>0</v>
      </c>
      <c r="N82" s="477"/>
      <c r="O82" s="60"/>
      <c r="P82" s="61"/>
      <c r="Q82" s="101"/>
      <c r="R82" s="60"/>
      <c r="S82" s="61"/>
      <c r="T82" s="478"/>
      <c r="U82" s="60"/>
      <c r="V82" s="61"/>
      <c r="W82" s="478"/>
      <c r="X82" s="62"/>
      <c r="Y82" s="478"/>
      <c r="Z82" s="478"/>
    </row>
    <row r="83" spans="1:71" s="63" customFormat="1" ht="13.5" customHeight="1" x14ac:dyDescent="0.2">
      <c r="A83" s="24"/>
      <c r="B83" s="26"/>
      <c r="C83" s="29" t="s">
        <v>79</v>
      </c>
      <c r="D83" s="24"/>
      <c r="E83" s="24"/>
      <c r="F83" s="15"/>
      <c r="G83" s="281"/>
      <c r="H83" s="359"/>
      <c r="I83" s="648"/>
      <c r="J83" s="359"/>
      <c r="K83" s="648"/>
      <c r="L83" s="359"/>
      <c r="M83" s="359"/>
      <c r="N83" s="477"/>
      <c r="O83" s="60"/>
      <c r="P83" s="61"/>
      <c r="Q83" s="101"/>
      <c r="R83" s="60"/>
      <c r="S83" s="61"/>
      <c r="T83" s="65"/>
      <c r="U83" s="60"/>
      <c r="V83" s="61"/>
      <c r="W83" s="65"/>
      <c r="X83" s="62"/>
      <c r="Y83" s="65"/>
      <c r="Z83" s="65"/>
    </row>
    <row r="84" spans="1:71" s="63" customFormat="1" ht="14.25" customHeight="1" x14ac:dyDescent="0.2">
      <c r="A84" s="24"/>
      <c r="B84" s="26"/>
      <c r="C84" s="488" t="s">
        <v>334</v>
      </c>
      <c r="D84" s="24" t="s">
        <v>82</v>
      </c>
      <c r="E84" s="24">
        <v>1</v>
      </c>
      <c r="F84" s="15">
        <f>F80*E84</f>
        <v>52</v>
      </c>
      <c r="G84" s="647"/>
      <c r="H84" s="359"/>
      <c r="I84" s="615"/>
      <c r="J84" s="359">
        <f t="shared" ref="J84:J85" si="25">F84*I84</f>
        <v>0</v>
      </c>
      <c r="K84" s="648"/>
      <c r="L84" s="359"/>
      <c r="M84" s="359">
        <f>H84+J84+L84</f>
        <v>0</v>
      </c>
      <c r="N84" s="477"/>
      <c r="O84" s="60"/>
      <c r="P84" s="61"/>
      <c r="Q84" s="101"/>
      <c r="R84" s="60"/>
      <c r="S84" s="61"/>
      <c r="T84" s="65"/>
      <c r="U84" s="60"/>
      <c r="V84" s="61"/>
      <c r="W84" s="65"/>
      <c r="X84" s="62"/>
      <c r="Y84" s="65"/>
      <c r="Z84" s="65"/>
    </row>
    <row r="85" spans="1:71" s="63" customFormat="1" ht="13.5" customHeight="1" x14ac:dyDescent="0.2">
      <c r="A85" s="24"/>
      <c r="B85" s="26"/>
      <c r="C85" s="29" t="s">
        <v>80</v>
      </c>
      <c r="D85" s="24" t="s">
        <v>16</v>
      </c>
      <c r="E85" s="24">
        <v>1.15E-2</v>
      </c>
      <c r="F85" s="15">
        <f>F80*E85</f>
        <v>0.59799999999999998</v>
      </c>
      <c r="G85" s="281"/>
      <c r="H85" s="359"/>
      <c r="I85" s="604"/>
      <c r="J85" s="359">
        <f t="shared" si="25"/>
        <v>0</v>
      </c>
      <c r="K85" s="648"/>
      <c r="L85" s="359"/>
      <c r="M85" s="359">
        <f>H85+J85+L85</f>
        <v>0</v>
      </c>
      <c r="N85" s="477"/>
      <c r="O85" s="60"/>
      <c r="P85" s="61"/>
      <c r="Q85" s="101"/>
      <c r="R85" s="60"/>
      <c r="S85" s="61"/>
      <c r="T85" s="65"/>
      <c r="U85" s="60"/>
      <c r="V85" s="61"/>
      <c r="W85" s="65"/>
      <c r="X85" s="62"/>
      <c r="Y85" s="65"/>
      <c r="Z85" s="65"/>
    </row>
    <row r="86" spans="1:71" s="183" customFormat="1" ht="15" x14ac:dyDescent="0.25">
      <c r="A86" s="17">
        <v>14</v>
      </c>
      <c r="B86" s="17" t="s">
        <v>352</v>
      </c>
      <c r="C86" s="482" t="s">
        <v>335</v>
      </c>
      <c r="D86" s="17" t="s">
        <v>82</v>
      </c>
      <c r="E86" s="17"/>
      <c r="F86" s="21">
        <v>52</v>
      </c>
      <c r="G86" s="355"/>
      <c r="H86" s="319"/>
      <c r="I86" s="676"/>
      <c r="J86" s="319"/>
      <c r="K86" s="676"/>
      <c r="L86" s="319"/>
      <c r="M86" s="319"/>
      <c r="N86" s="483"/>
      <c r="O86" s="484"/>
      <c r="P86" s="485"/>
      <c r="Q86" s="486"/>
      <c r="R86" s="484"/>
      <c r="S86" s="485"/>
      <c r="T86" s="487"/>
      <c r="U86" s="484"/>
      <c r="V86" s="485"/>
      <c r="W86" s="487"/>
      <c r="X86" s="476"/>
      <c r="Y86" s="487"/>
      <c r="Z86" s="487"/>
    </row>
    <row r="87" spans="1:71" s="141" customFormat="1" ht="16.5" customHeight="1" x14ac:dyDescent="0.25">
      <c r="A87" s="24"/>
      <c r="B87" s="26"/>
      <c r="C87" s="29" t="s">
        <v>69</v>
      </c>
      <c r="D87" s="24" t="s">
        <v>70</v>
      </c>
      <c r="E87" s="24">
        <v>0.17</v>
      </c>
      <c r="F87" s="15">
        <f>F86*E87</f>
        <v>8.84</v>
      </c>
      <c r="G87" s="615"/>
      <c r="H87" s="359">
        <f>F87*G87</f>
        <v>0</v>
      </c>
      <c r="I87" s="647"/>
      <c r="J87" s="359"/>
      <c r="K87" s="648"/>
      <c r="L87" s="359"/>
      <c r="M87" s="359">
        <f>H87+J87+L87</f>
        <v>0</v>
      </c>
      <c r="N87" s="477"/>
      <c r="O87" s="60"/>
      <c r="P87" s="61"/>
      <c r="Q87" s="101"/>
      <c r="R87" s="60"/>
      <c r="S87" s="61"/>
      <c r="T87" s="409"/>
      <c r="U87" s="60"/>
      <c r="V87" s="61"/>
      <c r="W87" s="409"/>
      <c r="X87" s="62"/>
      <c r="Y87" s="409"/>
      <c r="Z87" s="409"/>
    </row>
    <row r="88" spans="1:71" s="479" customFormat="1" ht="13.5" customHeight="1" x14ac:dyDescent="0.2">
      <c r="A88" s="24"/>
      <c r="B88" s="24"/>
      <c r="C88" s="29" t="s">
        <v>89</v>
      </c>
      <c r="D88" s="24" t="s">
        <v>16</v>
      </c>
      <c r="E88" s="24">
        <v>5.3E-3</v>
      </c>
      <c r="F88" s="15">
        <f>F86*E88</f>
        <v>0.27560000000000001</v>
      </c>
      <c r="G88" s="281"/>
      <c r="H88" s="359"/>
      <c r="I88" s="648"/>
      <c r="J88" s="359"/>
      <c r="K88" s="615"/>
      <c r="L88" s="359">
        <f>F88*K88</f>
        <v>0</v>
      </c>
      <c r="M88" s="359">
        <f>H88+J88+L88</f>
        <v>0</v>
      </c>
      <c r="N88" s="477"/>
      <c r="O88" s="60"/>
      <c r="P88" s="61"/>
      <c r="Q88" s="101"/>
      <c r="R88" s="60"/>
      <c r="S88" s="61"/>
      <c r="T88" s="478"/>
      <c r="U88" s="60"/>
      <c r="V88" s="61"/>
      <c r="W88" s="478"/>
      <c r="X88" s="62"/>
      <c r="Y88" s="478"/>
      <c r="Z88" s="478"/>
    </row>
    <row r="89" spans="1:71" s="63" customFormat="1" ht="13.5" customHeight="1" x14ac:dyDescent="0.2">
      <c r="A89" s="24"/>
      <c r="B89" s="26"/>
      <c r="C89" s="29" t="s">
        <v>79</v>
      </c>
      <c r="D89" s="24"/>
      <c r="E89" s="24"/>
      <c r="F89" s="15"/>
      <c r="G89" s="281"/>
      <c r="H89" s="359"/>
      <c r="I89" s="648"/>
      <c r="J89" s="359"/>
      <c r="K89" s="648"/>
      <c r="L89" s="359"/>
      <c r="M89" s="359"/>
      <c r="N89" s="477"/>
      <c r="O89" s="60"/>
      <c r="P89" s="61"/>
      <c r="Q89" s="101"/>
      <c r="R89" s="60"/>
      <c r="S89" s="61"/>
      <c r="T89" s="65"/>
      <c r="U89" s="60"/>
      <c r="V89" s="61"/>
      <c r="W89" s="65"/>
      <c r="X89" s="62"/>
      <c r="Y89" s="65"/>
      <c r="Z89" s="65"/>
    </row>
    <row r="90" spans="1:71" s="63" customFormat="1" ht="14.25" customHeight="1" x14ac:dyDescent="0.2">
      <c r="A90" s="24"/>
      <c r="B90" s="26"/>
      <c r="C90" s="488" t="s">
        <v>336</v>
      </c>
      <c r="D90" s="24" t="s">
        <v>82</v>
      </c>
      <c r="E90" s="24">
        <v>1</v>
      </c>
      <c r="F90" s="15">
        <f>F86*E90</f>
        <v>52</v>
      </c>
      <c r="G90" s="647"/>
      <c r="H90" s="359"/>
      <c r="I90" s="615"/>
      <c r="J90" s="359">
        <f t="shared" ref="J90:J91" si="26">F90*I90</f>
        <v>0</v>
      </c>
      <c r="K90" s="648"/>
      <c r="L90" s="359"/>
      <c r="M90" s="359">
        <f>H90+J90+L90</f>
        <v>0</v>
      </c>
      <c r="N90" s="477"/>
      <c r="O90" s="60"/>
      <c r="P90" s="61"/>
      <c r="Q90" s="101"/>
      <c r="R90" s="60"/>
      <c r="S90" s="61"/>
      <c r="T90" s="65"/>
      <c r="U90" s="60"/>
      <c r="V90" s="61"/>
      <c r="W90" s="65"/>
      <c r="X90" s="62"/>
      <c r="Y90" s="65"/>
      <c r="Z90" s="65"/>
    </row>
    <row r="91" spans="1:71" s="63" customFormat="1" ht="13.5" customHeight="1" x14ac:dyDescent="0.2">
      <c r="A91" s="24"/>
      <c r="B91" s="26"/>
      <c r="C91" s="29" t="s">
        <v>80</v>
      </c>
      <c r="D91" s="24" t="s">
        <v>16</v>
      </c>
      <c r="E91" s="24">
        <v>3.7900000000000003E-2</v>
      </c>
      <c r="F91" s="15">
        <f>F86*E91</f>
        <v>1.9708000000000001</v>
      </c>
      <c r="G91" s="281"/>
      <c r="H91" s="359"/>
      <c r="I91" s="604"/>
      <c r="J91" s="359">
        <f t="shared" si="26"/>
        <v>0</v>
      </c>
      <c r="K91" s="648"/>
      <c r="L91" s="359"/>
      <c r="M91" s="359">
        <f>H91+J91+L91</f>
        <v>0</v>
      </c>
      <c r="N91" s="477"/>
      <c r="O91" s="60"/>
      <c r="P91" s="61"/>
      <c r="Q91" s="101"/>
      <c r="R91" s="60"/>
      <c r="S91" s="61"/>
      <c r="T91" s="65"/>
      <c r="U91" s="60"/>
      <c r="V91" s="61"/>
      <c r="W91" s="65"/>
      <c r="X91" s="62"/>
      <c r="Y91" s="65"/>
      <c r="Z91" s="65"/>
    </row>
    <row r="92" spans="1:71" s="491" customFormat="1" ht="27" x14ac:dyDescent="0.25">
      <c r="A92" s="1">
        <v>15</v>
      </c>
      <c r="B92" s="1" t="s">
        <v>201</v>
      </c>
      <c r="C92" s="489" t="s">
        <v>202</v>
      </c>
      <c r="D92" s="1" t="s">
        <v>30</v>
      </c>
      <c r="E92" s="1"/>
      <c r="F92" s="3">
        <v>4</v>
      </c>
      <c r="G92" s="675"/>
      <c r="H92" s="653"/>
      <c r="I92" s="674"/>
      <c r="J92" s="653"/>
      <c r="K92" s="675"/>
      <c r="L92" s="653"/>
      <c r="M92" s="653"/>
      <c r="N92" s="486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0"/>
      <c r="AW92" s="490"/>
      <c r="AX92" s="490"/>
      <c r="AY92" s="490"/>
      <c r="AZ92" s="490"/>
      <c r="BA92" s="490"/>
      <c r="BB92" s="490"/>
      <c r="BC92" s="490"/>
      <c r="BD92" s="490"/>
      <c r="BE92" s="490"/>
      <c r="BF92" s="490"/>
      <c r="BG92" s="490"/>
      <c r="BH92" s="490"/>
      <c r="BI92" s="490"/>
      <c r="BJ92" s="490"/>
      <c r="BK92" s="490"/>
      <c r="BL92" s="490"/>
      <c r="BM92" s="490"/>
      <c r="BN92" s="490"/>
      <c r="BO92" s="490"/>
      <c r="BP92" s="490"/>
      <c r="BQ92" s="490"/>
      <c r="BR92" s="490"/>
      <c r="BS92" s="490"/>
    </row>
    <row r="93" spans="1:71" s="63" customFormat="1" ht="17.25" customHeight="1" x14ac:dyDescent="0.2">
      <c r="A93" s="6"/>
      <c r="B93" s="7"/>
      <c r="C93" s="22" t="s">
        <v>69</v>
      </c>
      <c r="D93" s="6" t="s">
        <v>70</v>
      </c>
      <c r="E93" s="6">
        <v>2.2799999999999998</v>
      </c>
      <c r="F93" s="24">
        <f>F92*E93</f>
        <v>9.1199999999999992</v>
      </c>
      <c r="G93" s="604"/>
      <c r="H93" s="341">
        <f>F93*G93</f>
        <v>0</v>
      </c>
      <c r="I93" s="646"/>
      <c r="J93" s="341"/>
      <c r="K93" s="513"/>
      <c r="L93" s="341"/>
      <c r="M93" s="341">
        <f t="shared" ref="M93:M96" si="27">H93+J93+L93</f>
        <v>0</v>
      </c>
      <c r="N93" s="101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</row>
    <row r="94" spans="1:71" s="63" customFormat="1" x14ac:dyDescent="0.2">
      <c r="A94" s="6"/>
      <c r="B94" s="7"/>
      <c r="C94" s="22" t="s">
        <v>89</v>
      </c>
      <c r="D94" s="6" t="s">
        <v>16</v>
      </c>
      <c r="E94" s="6">
        <v>0.2</v>
      </c>
      <c r="F94" s="24">
        <f>F92*E94</f>
        <v>0.8</v>
      </c>
      <c r="G94" s="513"/>
      <c r="H94" s="341"/>
      <c r="I94" s="512"/>
      <c r="J94" s="341"/>
      <c r="K94" s="604"/>
      <c r="L94" s="341">
        <f>F94*K94</f>
        <v>0</v>
      </c>
      <c r="M94" s="341">
        <f t="shared" si="27"/>
        <v>0</v>
      </c>
      <c r="N94" s="101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</row>
    <row r="95" spans="1:71" s="63" customFormat="1" ht="25.5" customHeight="1" x14ac:dyDescent="0.25">
      <c r="A95" s="6"/>
      <c r="B95" s="26"/>
      <c r="C95" s="492" t="s">
        <v>202</v>
      </c>
      <c r="D95" s="6" t="s">
        <v>30</v>
      </c>
      <c r="E95" s="6">
        <v>1</v>
      </c>
      <c r="F95" s="6">
        <f>F92*E95</f>
        <v>4</v>
      </c>
      <c r="G95" s="513"/>
      <c r="H95" s="341"/>
      <c r="I95" s="604"/>
      <c r="J95" s="341">
        <f t="shared" ref="J95:J96" si="28">F95*I95</f>
        <v>0</v>
      </c>
      <c r="K95" s="513"/>
      <c r="L95" s="341"/>
      <c r="M95" s="341">
        <f t="shared" si="27"/>
        <v>0</v>
      </c>
      <c r="N95" s="101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</row>
    <row r="96" spans="1:71" s="63" customFormat="1" x14ac:dyDescent="0.2">
      <c r="A96" s="493"/>
      <c r="B96" s="494"/>
      <c r="C96" s="495" t="s">
        <v>80</v>
      </c>
      <c r="D96" s="493" t="s">
        <v>16</v>
      </c>
      <c r="E96" s="493">
        <v>0.55000000000000004</v>
      </c>
      <c r="F96" s="496">
        <f>F92*E96</f>
        <v>2.2000000000000002</v>
      </c>
      <c r="G96" s="677"/>
      <c r="H96" s="678"/>
      <c r="I96" s="679"/>
      <c r="J96" s="678">
        <f t="shared" si="28"/>
        <v>0</v>
      </c>
      <c r="K96" s="677"/>
      <c r="L96" s="678"/>
      <c r="M96" s="678">
        <f t="shared" si="27"/>
        <v>0</v>
      </c>
      <c r="N96" s="101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</row>
    <row r="97" spans="1:74" s="498" customFormat="1" ht="16.5" customHeight="1" x14ac:dyDescent="0.25">
      <c r="A97" s="497">
        <v>16</v>
      </c>
      <c r="B97" s="17" t="s">
        <v>282</v>
      </c>
      <c r="C97" s="18" t="s">
        <v>252</v>
      </c>
      <c r="D97" s="17" t="s">
        <v>29</v>
      </c>
      <c r="E97" s="217"/>
      <c r="F97" s="88">
        <v>1</v>
      </c>
      <c r="G97" s="355"/>
      <c r="H97" s="355"/>
      <c r="I97" s="319"/>
      <c r="J97" s="680"/>
      <c r="K97" s="355"/>
      <c r="L97" s="355"/>
      <c r="M97" s="319"/>
    </row>
    <row r="98" spans="1:74" s="502" customFormat="1" ht="16.5" x14ac:dyDescent="0.3">
      <c r="A98" s="499"/>
      <c r="B98" s="500"/>
      <c r="C98" s="229" t="s">
        <v>206</v>
      </c>
      <c r="D98" s="207" t="s">
        <v>70</v>
      </c>
      <c r="E98" s="501">
        <v>3.8</v>
      </c>
      <c r="F98" s="501">
        <f>F97*E98</f>
        <v>3.8</v>
      </c>
      <c r="G98" s="604"/>
      <c r="H98" s="341">
        <f>F98*G98</f>
        <v>0</v>
      </c>
      <c r="I98" s="362"/>
      <c r="J98" s="681"/>
      <c r="K98" s="682"/>
      <c r="L98" s="682"/>
      <c r="M98" s="362">
        <f>H98+J98+L98</f>
        <v>0</v>
      </c>
    </row>
    <row r="99" spans="1:74" s="502" customFormat="1" ht="16.5" x14ac:dyDescent="0.3">
      <c r="A99" s="499"/>
      <c r="B99" s="207"/>
      <c r="C99" s="229" t="s">
        <v>15</v>
      </c>
      <c r="D99" s="207" t="s">
        <v>16</v>
      </c>
      <c r="E99" s="501">
        <v>0.08</v>
      </c>
      <c r="F99" s="501">
        <f>F97*E99</f>
        <v>0.08</v>
      </c>
      <c r="G99" s="682"/>
      <c r="H99" s="682"/>
      <c r="I99" s="362"/>
      <c r="J99" s="681"/>
      <c r="K99" s="645"/>
      <c r="L99" s="681">
        <f>F99*K99</f>
        <v>0</v>
      </c>
      <c r="M99" s="362">
        <f t="shared" ref="M99:M101" si="29">H99+J99+L99</f>
        <v>0</v>
      </c>
    </row>
    <row r="100" spans="1:74" s="502" customFormat="1" ht="16.5" x14ac:dyDescent="0.3">
      <c r="A100" s="499"/>
      <c r="B100" s="207"/>
      <c r="C100" s="22" t="s">
        <v>252</v>
      </c>
      <c r="D100" s="207" t="s">
        <v>29</v>
      </c>
      <c r="E100" s="501">
        <v>1</v>
      </c>
      <c r="F100" s="501">
        <f>F97*E100</f>
        <v>1</v>
      </c>
      <c r="G100" s="362"/>
      <c r="H100" s="647"/>
      <c r="I100" s="615"/>
      <c r="J100" s="647">
        <f t="shared" ref="J100:J101" si="30">F100*I100</f>
        <v>0</v>
      </c>
      <c r="K100" s="359"/>
      <c r="L100" s="647"/>
      <c r="M100" s="362">
        <f t="shared" si="29"/>
        <v>0</v>
      </c>
    </row>
    <row r="101" spans="1:74" s="63" customFormat="1" x14ac:dyDescent="0.2">
      <c r="A101" s="6"/>
      <c r="B101" s="7"/>
      <c r="C101" s="22" t="s">
        <v>80</v>
      </c>
      <c r="D101" s="6" t="s">
        <v>16</v>
      </c>
      <c r="E101" s="6">
        <v>0.66</v>
      </c>
      <c r="F101" s="28">
        <f>F97*E101</f>
        <v>0.66</v>
      </c>
      <c r="G101" s="513"/>
      <c r="H101" s="341"/>
      <c r="I101" s="604"/>
      <c r="J101" s="341">
        <f t="shared" si="30"/>
        <v>0</v>
      </c>
      <c r="K101" s="513"/>
      <c r="L101" s="341"/>
      <c r="M101" s="341">
        <f t="shared" si="29"/>
        <v>0</v>
      </c>
      <c r="N101" s="101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</row>
    <row r="102" spans="1:74" s="491" customFormat="1" ht="16.5" customHeight="1" x14ac:dyDescent="0.2">
      <c r="A102" s="1">
        <v>17</v>
      </c>
      <c r="B102" s="1" t="s">
        <v>85</v>
      </c>
      <c r="C102" s="2" t="s">
        <v>103</v>
      </c>
      <c r="D102" s="1" t="s">
        <v>30</v>
      </c>
      <c r="E102" s="1"/>
      <c r="F102" s="30">
        <v>6</v>
      </c>
      <c r="G102" s="675"/>
      <c r="H102" s="653"/>
      <c r="I102" s="674"/>
      <c r="J102" s="653"/>
      <c r="K102" s="675"/>
      <c r="L102" s="653"/>
      <c r="M102" s="653"/>
      <c r="N102" s="486"/>
      <c r="O102" s="484"/>
      <c r="P102" s="503"/>
      <c r="Q102" s="486"/>
      <c r="R102" s="484"/>
      <c r="S102" s="503"/>
      <c r="T102" s="490"/>
      <c r="U102" s="484"/>
      <c r="V102" s="503"/>
      <c r="W102" s="490"/>
      <c r="X102" s="476"/>
      <c r="Y102" s="490"/>
      <c r="Z102" s="490"/>
      <c r="AA102" s="490"/>
      <c r="AB102" s="490"/>
      <c r="AC102" s="490"/>
      <c r="AD102" s="490"/>
      <c r="AE102" s="490"/>
      <c r="AF102" s="490"/>
      <c r="AG102" s="490"/>
      <c r="AH102" s="490"/>
      <c r="AI102" s="490"/>
      <c r="AJ102" s="490"/>
      <c r="AK102" s="490"/>
      <c r="AL102" s="490"/>
      <c r="AM102" s="490"/>
      <c r="AN102" s="490"/>
      <c r="AO102" s="490"/>
      <c r="AP102" s="490"/>
      <c r="AQ102" s="490"/>
      <c r="AR102" s="490"/>
      <c r="AS102" s="490"/>
      <c r="AT102" s="490"/>
      <c r="AU102" s="490"/>
      <c r="AV102" s="490"/>
      <c r="AW102" s="490"/>
      <c r="AX102" s="490"/>
      <c r="AY102" s="490"/>
      <c r="AZ102" s="490"/>
      <c r="BA102" s="490"/>
      <c r="BB102" s="490"/>
      <c r="BC102" s="490"/>
      <c r="BD102" s="490"/>
      <c r="BE102" s="490"/>
      <c r="BF102" s="490"/>
      <c r="BG102" s="490"/>
      <c r="BH102" s="490"/>
      <c r="BI102" s="490"/>
      <c r="BJ102" s="490"/>
      <c r="BK102" s="490"/>
      <c r="BL102" s="490"/>
      <c r="BM102" s="490"/>
      <c r="BN102" s="490"/>
      <c r="BO102" s="490"/>
      <c r="BP102" s="490"/>
      <c r="BQ102" s="490"/>
      <c r="BR102" s="490"/>
      <c r="BS102" s="490"/>
      <c r="BT102" s="490"/>
      <c r="BU102" s="490"/>
      <c r="BV102" s="490"/>
    </row>
    <row r="103" spans="1:74" s="63" customFormat="1" ht="15.75" customHeight="1" x14ac:dyDescent="0.2">
      <c r="A103" s="6"/>
      <c r="B103" s="7"/>
      <c r="C103" s="22" t="s">
        <v>86</v>
      </c>
      <c r="D103" s="6" t="s">
        <v>70</v>
      </c>
      <c r="E103" s="6">
        <v>0.68</v>
      </c>
      <c r="F103" s="24">
        <f>F102*E103</f>
        <v>4.08</v>
      </c>
      <c r="G103" s="604"/>
      <c r="H103" s="341">
        <f>F103*G103</f>
        <v>0</v>
      </c>
      <c r="I103" s="646"/>
      <c r="J103" s="341"/>
      <c r="K103" s="513"/>
      <c r="L103" s="341"/>
      <c r="M103" s="341">
        <f>H103+J103+L103</f>
        <v>0</v>
      </c>
      <c r="N103" s="101"/>
      <c r="O103" s="60"/>
      <c r="P103" s="71"/>
      <c r="Q103" s="101"/>
      <c r="R103" s="60"/>
      <c r="S103" s="71"/>
      <c r="T103" s="65"/>
      <c r="U103" s="60"/>
      <c r="V103" s="71"/>
      <c r="W103" s="65"/>
      <c r="X103" s="62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</row>
    <row r="104" spans="1:74" s="63" customFormat="1" x14ac:dyDescent="0.2">
      <c r="A104" s="6"/>
      <c r="B104" s="6"/>
      <c r="C104" s="22" t="s">
        <v>78</v>
      </c>
      <c r="D104" s="6" t="s">
        <v>16</v>
      </c>
      <c r="E104" s="6">
        <v>1.0999999999999999E-2</v>
      </c>
      <c r="F104" s="6">
        <f>F102*E104</f>
        <v>6.6000000000000003E-2</v>
      </c>
      <c r="G104" s="513"/>
      <c r="H104" s="341"/>
      <c r="I104" s="513"/>
      <c r="J104" s="341"/>
      <c r="K104" s="604"/>
      <c r="L104" s="341">
        <f>F104*K104</f>
        <v>0</v>
      </c>
      <c r="M104" s="341">
        <f>H104+J104+L104</f>
        <v>0</v>
      </c>
      <c r="N104" s="101"/>
      <c r="O104" s="60"/>
      <c r="P104" s="60"/>
      <c r="Q104" s="101"/>
      <c r="R104" s="60"/>
      <c r="S104" s="60"/>
      <c r="T104" s="65"/>
      <c r="U104" s="60"/>
      <c r="V104" s="60"/>
      <c r="W104" s="65"/>
      <c r="X104" s="62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</row>
    <row r="105" spans="1:74" s="63" customFormat="1" ht="14.25" customHeight="1" x14ac:dyDescent="0.2">
      <c r="A105" s="6"/>
      <c r="B105" s="26"/>
      <c r="C105" s="11" t="s">
        <v>87</v>
      </c>
      <c r="D105" s="6" t="s">
        <v>30</v>
      </c>
      <c r="E105" s="6"/>
      <c r="F105" s="31">
        <f>F102</f>
        <v>6</v>
      </c>
      <c r="G105" s="513"/>
      <c r="H105" s="341"/>
      <c r="I105" s="604"/>
      <c r="J105" s="341">
        <f t="shared" ref="J105:J106" si="31">F105*I105</f>
        <v>0</v>
      </c>
      <c r="K105" s="513"/>
      <c r="L105" s="341"/>
      <c r="M105" s="341">
        <f>H105+J105+L105</f>
        <v>0</v>
      </c>
      <c r="N105" s="101"/>
      <c r="O105" s="60"/>
      <c r="P105" s="71"/>
      <c r="Q105" s="101"/>
      <c r="R105" s="60"/>
      <c r="S105" s="71"/>
      <c r="T105" s="65"/>
      <c r="U105" s="60"/>
      <c r="V105" s="71"/>
      <c r="W105" s="65"/>
      <c r="X105" s="62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</row>
    <row r="106" spans="1:74" s="63" customFormat="1" x14ac:dyDescent="0.2">
      <c r="A106" s="6"/>
      <c r="B106" s="7"/>
      <c r="C106" s="22" t="s">
        <v>80</v>
      </c>
      <c r="D106" s="6" t="s">
        <v>16</v>
      </c>
      <c r="E106" s="6">
        <v>0.10299999999999999</v>
      </c>
      <c r="F106" s="504">
        <f>F102*E106</f>
        <v>0.61799999999999999</v>
      </c>
      <c r="G106" s="513"/>
      <c r="H106" s="341"/>
      <c r="I106" s="604"/>
      <c r="J106" s="341">
        <f t="shared" si="31"/>
        <v>0</v>
      </c>
      <c r="K106" s="513"/>
      <c r="L106" s="341"/>
      <c r="M106" s="341">
        <f>H106+J106+L106</f>
        <v>0</v>
      </c>
      <c r="N106" s="101"/>
      <c r="O106" s="60"/>
      <c r="P106" s="102"/>
      <c r="Q106" s="101"/>
      <c r="R106" s="60"/>
      <c r="S106" s="102"/>
      <c r="T106" s="65"/>
      <c r="U106" s="60"/>
      <c r="V106" s="102"/>
      <c r="W106" s="65"/>
      <c r="X106" s="62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</row>
    <row r="107" spans="1:74" s="506" customFormat="1" ht="20.25" customHeight="1" x14ac:dyDescent="0.25">
      <c r="A107" s="17">
        <v>18</v>
      </c>
      <c r="B107" s="505" t="s">
        <v>181</v>
      </c>
      <c r="C107" s="23" t="s">
        <v>353</v>
      </c>
      <c r="D107" s="17" t="s">
        <v>322</v>
      </c>
      <c r="E107" s="17"/>
      <c r="F107" s="21">
        <v>1</v>
      </c>
      <c r="G107" s="281"/>
      <c r="H107" s="359"/>
      <c r="I107" s="615"/>
      <c r="J107" s="683">
        <f>I107*F107</f>
        <v>0</v>
      </c>
      <c r="K107" s="648"/>
      <c r="L107" s="359"/>
      <c r="M107" s="359">
        <f t="shared" ref="M107" si="32">H107+J107+L107</f>
        <v>0</v>
      </c>
      <c r="N107" s="445"/>
    </row>
    <row r="108" spans="1:74" s="491" customFormat="1" ht="15.75" customHeight="1" x14ac:dyDescent="0.2">
      <c r="A108" s="1">
        <v>19</v>
      </c>
      <c r="B108" s="1" t="s">
        <v>104</v>
      </c>
      <c r="C108" s="23" t="s">
        <v>337</v>
      </c>
      <c r="D108" s="1" t="s">
        <v>30</v>
      </c>
      <c r="E108" s="1"/>
      <c r="F108" s="3">
        <v>10</v>
      </c>
      <c r="G108" s="675"/>
      <c r="H108" s="653"/>
      <c r="I108" s="674"/>
      <c r="J108" s="653"/>
      <c r="K108" s="675"/>
      <c r="L108" s="653"/>
      <c r="M108" s="653"/>
      <c r="N108" s="486"/>
      <c r="O108" s="484"/>
      <c r="P108" s="485"/>
      <c r="Q108" s="486"/>
      <c r="R108" s="484"/>
      <c r="S108" s="485"/>
      <c r="T108" s="490"/>
      <c r="U108" s="484"/>
      <c r="V108" s="485"/>
      <c r="W108" s="490"/>
      <c r="X108" s="476"/>
      <c r="Y108" s="490"/>
      <c r="Z108" s="490"/>
      <c r="AA108" s="490"/>
      <c r="AB108" s="490"/>
      <c r="AC108" s="490"/>
      <c r="AD108" s="490"/>
      <c r="AE108" s="490"/>
      <c r="AF108" s="490"/>
      <c r="AG108" s="490"/>
      <c r="AH108" s="490"/>
      <c r="AI108" s="490"/>
      <c r="AJ108" s="490"/>
      <c r="AK108" s="490"/>
      <c r="AL108" s="490"/>
      <c r="AM108" s="490"/>
      <c r="AN108" s="490"/>
      <c r="AO108" s="490"/>
      <c r="AP108" s="490"/>
      <c r="AQ108" s="490"/>
      <c r="AR108" s="490"/>
      <c r="AS108" s="490"/>
      <c r="AT108" s="490"/>
      <c r="AU108" s="490"/>
      <c r="AV108" s="490"/>
      <c r="AW108" s="490"/>
      <c r="AX108" s="490"/>
      <c r="AY108" s="490"/>
      <c r="AZ108" s="490"/>
      <c r="BA108" s="490"/>
      <c r="BB108" s="490"/>
      <c r="BC108" s="490"/>
      <c r="BD108" s="490"/>
      <c r="BE108" s="490"/>
      <c r="BF108" s="490"/>
      <c r="BG108" s="490"/>
      <c r="BH108" s="490"/>
      <c r="BI108" s="490"/>
      <c r="BJ108" s="490"/>
      <c r="BK108" s="490"/>
      <c r="BL108" s="490"/>
      <c r="BM108" s="490"/>
      <c r="BN108" s="490"/>
      <c r="BO108" s="490"/>
      <c r="BP108" s="490"/>
      <c r="BQ108" s="490"/>
      <c r="BR108" s="490"/>
      <c r="BS108" s="490"/>
      <c r="BT108" s="490"/>
      <c r="BU108" s="490"/>
      <c r="BV108" s="490"/>
    </row>
    <row r="109" spans="1:74" s="63" customFormat="1" x14ac:dyDescent="0.2">
      <c r="A109" s="6"/>
      <c r="B109" s="7"/>
      <c r="C109" s="22" t="s">
        <v>69</v>
      </c>
      <c r="D109" s="6" t="s">
        <v>70</v>
      </c>
      <c r="E109" s="6">
        <v>0.34</v>
      </c>
      <c r="F109" s="24">
        <f>F108*E109</f>
        <v>3.4000000000000004</v>
      </c>
      <c r="G109" s="604"/>
      <c r="H109" s="341">
        <f>F109*G109</f>
        <v>0</v>
      </c>
      <c r="I109" s="646"/>
      <c r="J109" s="341"/>
      <c r="K109" s="513"/>
      <c r="L109" s="341"/>
      <c r="M109" s="341">
        <f>H109+J109+L109</f>
        <v>0</v>
      </c>
      <c r="N109" s="101"/>
      <c r="O109" s="60"/>
      <c r="P109" s="71"/>
      <c r="Q109" s="101"/>
      <c r="R109" s="60"/>
      <c r="S109" s="71"/>
      <c r="T109" s="65"/>
      <c r="U109" s="60"/>
      <c r="V109" s="71"/>
      <c r="W109" s="65"/>
      <c r="X109" s="62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</row>
    <row r="110" spans="1:74" s="63" customFormat="1" x14ac:dyDescent="0.2">
      <c r="A110" s="6"/>
      <c r="B110" s="6"/>
      <c r="C110" s="22" t="s">
        <v>78</v>
      </c>
      <c r="D110" s="6" t="s">
        <v>16</v>
      </c>
      <c r="E110" s="6">
        <v>1.1299999999999999E-2</v>
      </c>
      <c r="F110" s="6">
        <f>F108*E110</f>
        <v>0.11299999999999999</v>
      </c>
      <c r="G110" s="513"/>
      <c r="H110" s="341"/>
      <c r="I110" s="513"/>
      <c r="J110" s="341"/>
      <c r="K110" s="604"/>
      <c r="L110" s="341">
        <f>F110*K110</f>
        <v>0</v>
      </c>
      <c r="M110" s="341">
        <f>H110+J110+L110</f>
        <v>0</v>
      </c>
      <c r="N110" s="101"/>
      <c r="O110" s="60"/>
      <c r="P110" s="60"/>
      <c r="Q110" s="101"/>
      <c r="R110" s="60"/>
      <c r="S110" s="60"/>
      <c r="T110" s="65"/>
      <c r="U110" s="60"/>
      <c r="V110" s="60"/>
      <c r="W110" s="65"/>
      <c r="X110" s="62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</row>
    <row r="111" spans="1:74" s="66" customFormat="1" x14ac:dyDescent="0.25">
      <c r="A111" s="24"/>
      <c r="B111" s="26"/>
      <c r="C111" s="11" t="s">
        <v>131</v>
      </c>
      <c r="D111" s="24" t="s">
        <v>30</v>
      </c>
      <c r="E111" s="24">
        <v>1</v>
      </c>
      <c r="F111" s="24">
        <f>F108*E111</f>
        <v>10</v>
      </c>
      <c r="G111" s="648"/>
      <c r="H111" s="359"/>
      <c r="I111" s="615"/>
      <c r="J111" s="359">
        <f t="shared" ref="J111:J112" si="33">F111*I111</f>
        <v>0</v>
      </c>
      <c r="K111" s="648"/>
      <c r="L111" s="359"/>
      <c r="M111" s="359">
        <f>H111+J111+L111</f>
        <v>0</v>
      </c>
      <c r="N111" s="467"/>
      <c r="O111" s="71"/>
      <c r="P111" s="71"/>
      <c r="Q111" s="467"/>
      <c r="R111" s="71"/>
      <c r="S111" s="71"/>
      <c r="T111" s="468"/>
      <c r="U111" s="71"/>
      <c r="V111" s="71"/>
      <c r="W111" s="468"/>
      <c r="X111" s="62"/>
      <c r="Y111" s="468"/>
      <c r="Z111" s="468"/>
      <c r="AA111" s="468"/>
      <c r="AB111" s="468"/>
      <c r="AC111" s="468"/>
      <c r="AD111" s="468"/>
      <c r="AE111" s="468"/>
      <c r="AF111" s="468"/>
      <c r="AG111" s="468"/>
      <c r="AH111" s="468"/>
      <c r="AI111" s="468"/>
      <c r="AJ111" s="468"/>
      <c r="AK111" s="468"/>
      <c r="AL111" s="468"/>
      <c r="AM111" s="468"/>
      <c r="AN111" s="468"/>
      <c r="AO111" s="468"/>
      <c r="AP111" s="468"/>
      <c r="AQ111" s="468"/>
      <c r="AR111" s="468"/>
      <c r="AS111" s="468"/>
      <c r="AT111" s="468"/>
      <c r="AU111" s="468"/>
      <c r="AV111" s="468"/>
      <c r="AW111" s="468"/>
      <c r="AX111" s="468"/>
      <c r="AY111" s="468"/>
      <c r="AZ111" s="468"/>
      <c r="BA111" s="468"/>
      <c r="BB111" s="468"/>
      <c r="BC111" s="468"/>
      <c r="BD111" s="468"/>
      <c r="BE111" s="468"/>
      <c r="BF111" s="468"/>
      <c r="BG111" s="468"/>
      <c r="BH111" s="468"/>
      <c r="BI111" s="468"/>
      <c r="BJ111" s="468"/>
      <c r="BK111" s="468"/>
      <c r="BL111" s="468"/>
      <c r="BM111" s="468"/>
      <c r="BN111" s="468"/>
      <c r="BO111" s="468"/>
      <c r="BP111" s="468"/>
      <c r="BQ111" s="468"/>
      <c r="BR111" s="468"/>
      <c r="BS111" s="468"/>
      <c r="BT111" s="468"/>
      <c r="BU111" s="468"/>
      <c r="BV111" s="468"/>
    </row>
    <row r="112" spans="1:74" s="63" customFormat="1" x14ac:dyDescent="0.2">
      <c r="A112" s="6"/>
      <c r="B112" s="7"/>
      <c r="C112" s="22" t="s">
        <v>80</v>
      </c>
      <c r="D112" s="6" t="s">
        <v>16</v>
      </c>
      <c r="E112" s="6">
        <v>9.3700000000000006E-2</v>
      </c>
      <c r="F112" s="28">
        <f>F108*E112</f>
        <v>0.93700000000000006</v>
      </c>
      <c r="G112" s="513"/>
      <c r="H112" s="341"/>
      <c r="I112" s="604"/>
      <c r="J112" s="341">
        <f t="shared" si="33"/>
        <v>0</v>
      </c>
      <c r="K112" s="513"/>
      <c r="L112" s="341"/>
      <c r="M112" s="341">
        <f>H112+J112+L112</f>
        <v>0</v>
      </c>
      <c r="N112" s="101"/>
      <c r="O112" s="60"/>
      <c r="P112" s="102"/>
      <c r="Q112" s="101"/>
      <c r="R112" s="60"/>
      <c r="S112" s="102"/>
      <c r="T112" s="65"/>
      <c r="U112" s="60"/>
      <c r="V112" s="102"/>
      <c r="W112" s="65"/>
      <c r="X112" s="62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</row>
    <row r="113" spans="1:74" s="92" customFormat="1" ht="12.75" x14ac:dyDescent="0.25">
      <c r="A113" s="32"/>
      <c r="B113" s="33"/>
      <c r="C113" s="145" t="s">
        <v>8</v>
      </c>
      <c r="D113" s="35"/>
      <c r="E113" s="35"/>
      <c r="F113" s="36"/>
      <c r="G113" s="366"/>
      <c r="H113" s="366">
        <f>SUM(H10:H112)</f>
        <v>0</v>
      </c>
      <c r="I113" s="366"/>
      <c r="J113" s="366">
        <f>SUM(J10:J112)</f>
        <v>0</v>
      </c>
      <c r="K113" s="366"/>
      <c r="L113" s="366">
        <f>SUM(L10:L112)</f>
        <v>0</v>
      </c>
      <c r="M113" s="366">
        <f>SUM(M10:M112)</f>
        <v>0</v>
      </c>
      <c r="N113" s="91"/>
      <c r="O113" s="91"/>
      <c r="P113" s="91"/>
    </row>
    <row r="114" spans="1:74" s="93" customFormat="1" ht="12.75" x14ac:dyDescent="0.25">
      <c r="A114" s="38"/>
      <c r="B114" s="38"/>
      <c r="C114" s="145" t="s">
        <v>138</v>
      </c>
      <c r="D114" s="656"/>
      <c r="E114" s="39"/>
      <c r="F114" s="39"/>
      <c r="G114" s="367"/>
      <c r="H114" s="367"/>
      <c r="I114" s="367"/>
      <c r="J114" s="367"/>
      <c r="K114" s="367"/>
      <c r="L114" s="367"/>
      <c r="M114" s="367">
        <f>J113*D114</f>
        <v>0</v>
      </c>
    </row>
    <row r="115" spans="1:74" s="103" customFormat="1" ht="12.75" x14ac:dyDescent="0.25">
      <c r="A115" s="41"/>
      <c r="B115" s="41"/>
      <c r="C115" s="145" t="s">
        <v>8</v>
      </c>
      <c r="D115" s="42"/>
      <c r="E115" s="43"/>
      <c r="F115" s="44"/>
      <c r="G115" s="659"/>
      <c r="H115" s="659"/>
      <c r="I115" s="659"/>
      <c r="J115" s="659"/>
      <c r="K115" s="659"/>
      <c r="L115" s="659"/>
      <c r="M115" s="659">
        <f>M113+M114</f>
        <v>0</v>
      </c>
    </row>
    <row r="116" spans="1:74" s="105" customFormat="1" ht="12.75" x14ac:dyDescent="0.25">
      <c r="A116" s="38"/>
      <c r="B116" s="38"/>
      <c r="C116" s="145" t="s">
        <v>139</v>
      </c>
      <c r="D116" s="656"/>
      <c r="E116" s="39"/>
      <c r="F116" s="39"/>
      <c r="G116" s="367"/>
      <c r="H116" s="367"/>
      <c r="I116" s="367"/>
      <c r="J116" s="367"/>
      <c r="K116" s="367"/>
      <c r="L116" s="367"/>
      <c r="M116" s="367">
        <f>H113*D116</f>
        <v>0</v>
      </c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</row>
    <row r="117" spans="1:74" s="106" customFormat="1" ht="12.75" x14ac:dyDescent="0.25">
      <c r="A117" s="41"/>
      <c r="B117" s="41"/>
      <c r="C117" s="145" t="s">
        <v>8</v>
      </c>
      <c r="D117" s="42"/>
      <c r="E117" s="43"/>
      <c r="F117" s="44"/>
      <c r="G117" s="659"/>
      <c r="H117" s="659"/>
      <c r="I117" s="659"/>
      <c r="J117" s="659"/>
      <c r="K117" s="659"/>
      <c r="L117" s="659"/>
      <c r="M117" s="367">
        <f>M116+M115</f>
        <v>0</v>
      </c>
    </row>
    <row r="118" spans="1:74" s="107" customFormat="1" ht="12.75" x14ac:dyDescent="0.25">
      <c r="A118" s="41"/>
      <c r="B118" s="41"/>
      <c r="C118" s="145" t="s">
        <v>140</v>
      </c>
      <c r="D118" s="699"/>
      <c r="E118" s="43"/>
      <c r="F118" s="43"/>
      <c r="G118" s="659"/>
      <c r="H118" s="659"/>
      <c r="I118" s="659"/>
      <c r="J118" s="659"/>
      <c r="K118" s="659"/>
      <c r="L118" s="659"/>
      <c r="M118" s="367">
        <f>M117*D118</f>
        <v>0</v>
      </c>
    </row>
    <row r="119" spans="1:74" s="108" customFormat="1" ht="12.75" x14ac:dyDescent="0.25">
      <c r="A119" s="45"/>
      <c r="B119" s="45"/>
      <c r="C119" s="145" t="s">
        <v>8</v>
      </c>
      <c r="D119" s="45"/>
      <c r="E119" s="45"/>
      <c r="F119" s="45"/>
      <c r="G119" s="660"/>
      <c r="H119" s="660"/>
      <c r="I119" s="660"/>
      <c r="J119" s="660"/>
      <c r="K119" s="660"/>
      <c r="L119" s="660"/>
      <c r="M119" s="661">
        <f>M117+M118</f>
        <v>0</v>
      </c>
    </row>
    <row r="120" spans="1:74" s="219" customFormat="1" ht="14.25" x14ac:dyDescent="0.25">
      <c r="A120" s="143">
        <v>16</v>
      </c>
      <c r="B120" s="143" t="s">
        <v>181</v>
      </c>
      <c r="C120" s="218" t="s">
        <v>338</v>
      </c>
      <c r="D120" s="143" t="s">
        <v>30</v>
      </c>
      <c r="E120" s="143"/>
      <c r="F120" s="144">
        <v>1</v>
      </c>
      <c r="G120" s="684"/>
      <c r="H120" s="685"/>
      <c r="I120" s="686"/>
      <c r="J120" s="685"/>
      <c r="K120" s="684"/>
      <c r="L120" s="685"/>
      <c r="M120" s="685"/>
      <c r="O120" s="274"/>
    </row>
    <row r="121" spans="1:74" s="129" customFormat="1" x14ac:dyDescent="0.2">
      <c r="A121" s="120"/>
      <c r="B121" s="122"/>
      <c r="C121" s="128" t="s">
        <v>86</v>
      </c>
      <c r="D121" s="120" t="s">
        <v>30</v>
      </c>
      <c r="E121" s="120">
        <v>1</v>
      </c>
      <c r="F121" s="121">
        <f>F120*E121</f>
        <v>1</v>
      </c>
      <c r="G121" s="687"/>
      <c r="H121" s="688">
        <f>F121*G121</f>
        <v>0</v>
      </c>
      <c r="I121" s="689"/>
      <c r="J121" s="688"/>
      <c r="K121" s="689"/>
      <c r="L121" s="688"/>
      <c r="M121" s="688">
        <f>H121+J121+L121</f>
        <v>0</v>
      </c>
      <c r="N121" s="126"/>
      <c r="O121" s="275"/>
    </row>
    <row r="122" spans="1:74" s="129" customFormat="1" x14ac:dyDescent="0.2">
      <c r="A122" s="120"/>
      <c r="B122" s="122"/>
      <c r="C122" s="128" t="s">
        <v>79</v>
      </c>
      <c r="D122" s="120"/>
      <c r="E122" s="120"/>
      <c r="F122" s="121"/>
      <c r="G122" s="689"/>
      <c r="H122" s="688"/>
      <c r="I122" s="690"/>
      <c r="J122" s="688"/>
      <c r="K122" s="689"/>
      <c r="L122" s="688"/>
      <c r="M122" s="688"/>
      <c r="N122" s="126"/>
      <c r="O122" s="275"/>
    </row>
    <row r="123" spans="1:74" s="127" customFormat="1" x14ac:dyDescent="0.2">
      <c r="A123" s="120"/>
      <c r="B123" s="26" t="s">
        <v>181</v>
      </c>
      <c r="C123" s="123" t="s">
        <v>338</v>
      </c>
      <c r="D123" s="120" t="s">
        <v>30</v>
      </c>
      <c r="E123" s="120">
        <v>1</v>
      </c>
      <c r="F123" s="124">
        <f>F120*E123</f>
        <v>1</v>
      </c>
      <c r="G123" s="691"/>
      <c r="H123" s="688"/>
      <c r="I123" s="687"/>
      <c r="J123" s="688">
        <f>F123*I123</f>
        <v>0</v>
      </c>
      <c r="K123" s="689"/>
      <c r="L123" s="688"/>
      <c r="M123" s="688">
        <f>H123+J123+L123</f>
        <v>0</v>
      </c>
      <c r="N123" s="126"/>
      <c r="O123" s="276"/>
    </row>
    <row r="124" spans="1:74" s="222" customFormat="1" x14ac:dyDescent="0.25">
      <c r="A124" s="131">
        <v>17</v>
      </c>
      <c r="B124" s="236" t="s">
        <v>370</v>
      </c>
      <c r="C124" s="220" t="s">
        <v>233</v>
      </c>
      <c r="D124" s="131" t="s">
        <v>30</v>
      </c>
      <c r="E124" s="131"/>
      <c r="F124" s="131">
        <v>4</v>
      </c>
      <c r="G124" s="692"/>
      <c r="H124" s="693"/>
      <c r="I124" s="694"/>
      <c r="J124" s="693"/>
      <c r="K124" s="694"/>
      <c r="L124" s="693"/>
      <c r="M124" s="693"/>
      <c r="N124" s="221"/>
      <c r="O124" s="277"/>
    </row>
    <row r="125" spans="1:74" s="129" customFormat="1" x14ac:dyDescent="0.2">
      <c r="A125" s="120"/>
      <c r="B125" s="122"/>
      <c r="C125" s="128" t="s">
        <v>69</v>
      </c>
      <c r="D125" s="120" t="s">
        <v>70</v>
      </c>
      <c r="E125" s="120">
        <v>2</v>
      </c>
      <c r="F125" s="121">
        <f>F124*E125</f>
        <v>8</v>
      </c>
      <c r="G125" s="687"/>
      <c r="H125" s="688">
        <f>F125*G125</f>
        <v>0</v>
      </c>
      <c r="I125" s="691"/>
      <c r="J125" s="688"/>
      <c r="K125" s="689"/>
      <c r="L125" s="688"/>
      <c r="M125" s="688">
        <f>H125+J125+L125</f>
        <v>0</v>
      </c>
      <c r="N125" s="126"/>
      <c r="O125" s="275"/>
    </row>
    <row r="126" spans="1:74" s="127" customFormat="1" x14ac:dyDescent="0.2">
      <c r="A126" s="120"/>
      <c r="B126" s="26" t="s">
        <v>354</v>
      </c>
      <c r="C126" s="132" t="s">
        <v>233</v>
      </c>
      <c r="D126" s="120" t="s">
        <v>30</v>
      </c>
      <c r="E126" s="120">
        <v>1</v>
      </c>
      <c r="F126" s="121">
        <f>F124*E126</f>
        <v>4</v>
      </c>
      <c r="G126" s="690"/>
      <c r="H126" s="688"/>
      <c r="I126" s="687"/>
      <c r="J126" s="688">
        <f>F126*I126</f>
        <v>0</v>
      </c>
      <c r="K126" s="689"/>
      <c r="L126" s="688"/>
      <c r="M126" s="688">
        <f>H126+J126+L126</f>
        <v>0</v>
      </c>
      <c r="N126" s="126"/>
      <c r="O126" s="276"/>
    </row>
    <row r="127" spans="1:74" s="127" customFormat="1" x14ac:dyDescent="0.2">
      <c r="A127" s="120"/>
      <c r="B127" s="26"/>
      <c r="C127" s="128" t="s">
        <v>80</v>
      </c>
      <c r="D127" s="120" t="s">
        <v>16</v>
      </c>
      <c r="E127" s="120">
        <v>0.28000000000000003</v>
      </c>
      <c r="F127" s="121">
        <f>F124*E127</f>
        <v>1.1200000000000001</v>
      </c>
      <c r="G127" s="690"/>
      <c r="H127" s="688"/>
      <c r="I127" s="687"/>
      <c r="J127" s="688">
        <f>F127*I127</f>
        <v>0</v>
      </c>
      <c r="K127" s="689"/>
      <c r="L127" s="688"/>
      <c r="M127" s="688">
        <f>H127+J127+L127</f>
        <v>0</v>
      </c>
      <c r="N127" s="126"/>
      <c r="O127" s="276"/>
    </row>
    <row r="128" spans="1:74" s="222" customFormat="1" x14ac:dyDescent="0.25">
      <c r="A128" s="131">
        <v>18</v>
      </c>
      <c r="B128" s="236" t="s">
        <v>370</v>
      </c>
      <c r="C128" s="220" t="s">
        <v>234</v>
      </c>
      <c r="D128" s="131" t="s">
        <v>30</v>
      </c>
      <c r="E128" s="131"/>
      <c r="F128" s="131">
        <v>5</v>
      </c>
      <c r="G128" s="692"/>
      <c r="H128" s="693"/>
      <c r="I128" s="694"/>
      <c r="J128" s="693"/>
      <c r="K128" s="694"/>
      <c r="L128" s="693"/>
      <c r="M128" s="693"/>
      <c r="N128" s="221"/>
      <c r="O128" s="277"/>
    </row>
    <row r="129" spans="1:15" s="129" customFormat="1" x14ac:dyDescent="0.2">
      <c r="A129" s="120"/>
      <c r="B129" s="122"/>
      <c r="C129" s="128" t="s">
        <v>69</v>
      </c>
      <c r="D129" s="120" t="s">
        <v>70</v>
      </c>
      <c r="E129" s="120">
        <v>2</v>
      </c>
      <c r="F129" s="121">
        <f>F128*E129</f>
        <v>10</v>
      </c>
      <c r="G129" s="687"/>
      <c r="H129" s="688">
        <f>F129*G129</f>
        <v>0</v>
      </c>
      <c r="I129" s="691"/>
      <c r="J129" s="688"/>
      <c r="K129" s="689"/>
      <c r="L129" s="688"/>
      <c r="M129" s="688">
        <f>H129+J129+L129</f>
        <v>0</v>
      </c>
      <c r="N129" s="126"/>
      <c r="O129" s="275"/>
    </row>
    <row r="130" spans="1:15" s="127" customFormat="1" x14ac:dyDescent="0.2">
      <c r="A130" s="120"/>
      <c r="B130" s="26" t="s">
        <v>250</v>
      </c>
      <c r="C130" s="132" t="s">
        <v>234</v>
      </c>
      <c r="D130" s="120" t="s">
        <v>30</v>
      </c>
      <c r="E130" s="120">
        <v>1</v>
      </c>
      <c r="F130" s="121">
        <f>F128*E130</f>
        <v>5</v>
      </c>
      <c r="G130" s="690"/>
      <c r="H130" s="688"/>
      <c r="I130" s="687"/>
      <c r="J130" s="688">
        <f>F130*I130</f>
        <v>0</v>
      </c>
      <c r="K130" s="689"/>
      <c r="L130" s="688"/>
      <c r="M130" s="688">
        <f>H130+J130+L130</f>
        <v>0</v>
      </c>
      <c r="N130" s="126"/>
      <c r="O130" s="276"/>
    </row>
    <row r="131" spans="1:15" s="127" customFormat="1" x14ac:dyDescent="0.2">
      <c r="A131" s="120"/>
      <c r="B131" s="122"/>
      <c r="C131" s="128" t="s">
        <v>80</v>
      </c>
      <c r="D131" s="120" t="s">
        <v>16</v>
      </c>
      <c r="E131" s="120">
        <v>0.28000000000000003</v>
      </c>
      <c r="F131" s="121">
        <f>F128*E131</f>
        <v>1.4000000000000001</v>
      </c>
      <c r="G131" s="690"/>
      <c r="H131" s="688"/>
      <c r="I131" s="687"/>
      <c r="J131" s="688">
        <f>F131*I131</f>
        <v>0</v>
      </c>
      <c r="K131" s="689"/>
      <c r="L131" s="688"/>
      <c r="M131" s="688">
        <f>H131+J131+L131</f>
        <v>0</v>
      </c>
      <c r="N131" s="126"/>
      <c r="O131" s="276"/>
    </row>
    <row r="132" spans="1:15" s="222" customFormat="1" x14ac:dyDescent="0.25">
      <c r="A132" s="131">
        <v>19</v>
      </c>
      <c r="B132" s="236" t="s">
        <v>371</v>
      </c>
      <c r="C132" s="220" t="s">
        <v>235</v>
      </c>
      <c r="D132" s="131" t="s">
        <v>30</v>
      </c>
      <c r="E132" s="142"/>
      <c r="F132" s="142">
        <v>1</v>
      </c>
      <c r="G132" s="692"/>
      <c r="H132" s="693"/>
      <c r="I132" s="694"/>
      <c r="J132" s="693"/>
      <c r="K132" s="694"/>
      <c r="L132" s="693"/>
      <c r="M132" s="693"/>
      <c r="N132" s="221"/>
      <c r="O132" s="277"/>
    </row>
    <row r="133" spans="1:15" s="129" customFormat="1" x14ac:dyDescent="0.2">
      <c r="A133" s="120"/>
      <c r="B133" s="122"/>
      <c r="C133" s="128" t="s">
        <v>69</v>
      </c>
      <c r="D133" s="120" t="s">
        <v>70</v>
      </c>
      <c r="E133" s="120">
        <v>2</v>
      </c>
      <c r="F133" s="121">
        <f>F132*E133</f>
        <v>2</v>
      </c>
      <c r="G133" s="687"/>
      <c r="H133" s="688">
        <f>F133*G133</f>
        <v>0</v>
      </c>
      <c r="I133" s="691"/>
      <c r="J133" s="688"/>
      <c r="K133" s="689"/>
      <c r="L133" s="688"/>
      <c r="M133" s="688">
        <f>H133+J133+L133</f>
        <v>0</v>
      </c>
      <c r="N133" s="126"/>
      <c r="O133" s="275"/>
    </row>
    <row r="134" spans="1:15" s="127" customFormat="1" x14ac:dyDescent="0.2">
      <c r="A134" s="120"/>
      <c r="B134" s="26" t="s">
        <v>251</v>
      </c>
      <c r="C134" s="132" t="s">
        <v>235</v>
      </c>
      <c r="D134" s="120" t="s">
        <v>30</v>
      </c>
      <c r="E134" s="120">
        <v>1</v>
      </c>
      <c r="F134" s="121">
        <f>F132*E134</f>
        <v>1</v>
      </c>
      <c r="G134" s="691"/>
      <c r="H134" s="688"/>
      <c r="I134" s="687"/>
      <c r="J134" s="688">
        <f>F134*I134</f>
        <v>0</v>
      </c>
      <c r="K134" s="689"/>
      <c r="L134" s="688"/>
      <c r="M134" s="688">
        <f>H134+J134+L134</f>
        <v>0</v>
      </c>
      <c r="N134" s="126"/>
      <c r="O134" s="276"/>
    </row>
    <row r="135" spans="1:15" s="127" customFormat="1" x14ac:dyDescent="0.2">
      <c r="A135" s="120"/>
      <c r="B135" s="122"/>
      <c r="C135" s="128" t="s">
        <v>80</v>
      </c>
      <c r="D135" s="120" t="s">
        <v>16</v>
      </c>
      <c r="E135" s="120">
        <v>0.14000000000000001</v>
      </c>
      <c r="F135" s="121">
        <f>F132*E135</f>
        <v>0.14000000000000001</v>
      </c>
      <c r="G135" s="690"/>
      <c r="H135" s="688"/>
      <c r="I135" s="687"/>
      <c r="J135" s="688">
        <f>F135*I135</f>
        <v>0</v>
      </c>
      <c r="K135" s="689"/>
      <c r="L135" s="688"/>
      <c r="M135" s="688">
        <f>H135+J135+L135</f>
        <v>0</v>
      </c>
      <c r="N135" s="126"/>
      <c r="O135" s="276"/>
    </row>
    <row r="136" spans="1:15" s="222" customFormat="1" x14ac:dyDescent="0.25">
      <c r="A136" s="131">
        <v>20</v>
      </c>
      <c r="B136" s="236" t="s">
        <v>283</v>
      </c>
      <c r="C136" s="220" t="s">
        <v>253</v>
      </c>
      <c r="D136" s="131" t="s">
        <v>30</v>
      </c>
      <c r="E136" s="131"/>
      <c r="F136" s="131">
        <v>2</v>
      </c>
      <c r="G136" s="692"/>
      <c r="H136" s="693"/>
      <c r="I136" s="694"/>
      <c r="J136" s="693"/>
      <c r="K136" s="694"/>
      <c r="L136" s="693"/>
      <c r="M136" s="693"/>
      <c r="N136" s="221"/>
      <c r="O136" s="277"/>
    </row>
    <row r="137" spans="1:15" s="129" customFormat="1" x14ac:dyDescent="0.2">
      <c r="A137" s="120"/>
      <c r="B137" s="122"/>
      <c r="C137" s="128" t="s">
        <v>69</v>
      </c>
      <c r="D137" s="120" t="s">
        <v>70</v>
      </c>
      <c r="E137" s="120">
        <v>3</v>
      </c>
      <c r="F137" s="121">
        <f>F136*E137</f>
        <v>6</v>
      </c>
      <c r="G137" s="687"/>
      <c r="H137" s="688">
        <f>F137*G137</f>
        <v>0</v>
      </c>
      <c r="I137" s="691"/>
      <c r="J137" s="688"/>
      <c r="K137" s="689"/>
      <c r="L137" s="688"/>
      <c r="M137" s="688">
        <f>H137+J137+L137</f>
        <v>0</v>
      </c>
      <c r="N137" s="126"/>
      <c r="O137" s="275"/>
    </row>
    <row r="138" spans="1:15" s="127" customFormat="1" x14ac:dyDescent="0.2">
      <c r="A138" s="120"/>
      <c r="B138" s="26" t="s">
        <v>372</v>
      </c>
      <c r="C138" s="132" t="s">
        <v>253</v>
      </c>
      <c r="D138" s="120" t="s">
        <v>30</v>
      </c>
      <c r="E138" s="120">
        <v>1</v>
      </c>
      <c r="F138" s="121">
        <f>F136*E138</f>
        <v>2</v>
      </c>
      <c r="G138" s="690"/>
      <c r="H138" s="688"/>
      <c r="I138" s="687"/>
      <c r="J138" s="688">
        <f>F138*I138</f>
        <v>0</v>
      </c>
      <c r="K138" s="689"/>
      <c r="L138" s="688"/>
      <c r="M138" s="688">
        <f>H138+J138+L138</f>
        <v>0</v>
      </c>
      <c r="N138" s="126"/>
      <c r="O138" s="276"/>
    </row>
    <row r="139" spans="1:15" s="127" customFormat="1" x14ac:dyDescent="0.2">
      <c r="A139" s="120"/>
      <c r="B139" s="122"/>
      <c r="C139" s="128" t="s">
        <v>80</v>
      </c>
      <c r="D139" s="120" t="s">
        <v>16</v>
      </c>
      <c r="E139" s="120">
        <v>0.14000000000000001</v>
      </c>
      <c r="F139" s="121">
        <f>F136*E139</f>
        <v>0.28000000000000003</v>
      </c>
      <c r="G139" s="690"/>
      <c r="H139" s="688"/>
      <c r="I139" s="687"/>
      <c r="J139" s="688">
        <f>F139*I139</f>
        <v>0</v>
      </c>
      <c r="K139" s="689"/>
      <c r="L139" s="688"/>
      <c r="M139" s="688">
        <f>H139+J139+L139</f>
        <v>0</v>
      </c>
      <c r="N139" s="126"/>
      <c r="O139" s="276"/>
    </row>
    <row r="140" spans="1:15" s="224" customFormat="1" ht="30" customHeight="1" x14ac:dyDescent="0.2">
      <c r="A140" s="131">
        <v>21</v>
      </c>
      <c r="B140" s="236" t="s">
        <v>284</v>
      </c>
      <c r="C140" s="220" t="s">
        <v>344</v>
      </c>
      <c r="D140" s="131" t="s">
        <v>82</v>
      </c>
      <c r="E140" s="131"/>
      <c r="F140" s="142">
        <v>1200</v>
      </c>
      <c r="G140" s="692"/>
      <c r="H140" s="693"/>
      <c r="I140" s="694"/>
      <c r="J140" s="693"/>
      <c r="K140" s="694"/>
      <c r="L140" s="693"/>
      <c r="M140" s="693"/>
      <c r="N140" s="223"/>
      <c r="O140" s="278"/>
    </row>
    <row r="141" spans="1:15" s="129" customFormat="1" x14ac:dyDescent="0.2">
      <c r="A141" s="120"/>
      <c r="B141" s="122"/>
      <c r="C141" s="128" t="s">
        <v>69</v>
      </c>
      <c r="D141" s="120" t="s">
        <v>70</v>
      </c>
      <c r="E141" s="120">
        <v>0.22</v>
      </c>
      <c r="F141" s="121">
        <f>F140*E141</f>
        <v>264</v>
      </c>
      <c r="G141" s="687"/>
      <c r="H141" s="688">
        <f>F141*G141</f>
        <v>0</v>
      </c>
      <c r="I141" s="691"/>
      <c r="J141" s="688"/>
      <c r="K141" s="689"/>
      <c r="L141" s="688"/>
      <c r="M141" s="688">
        <f>H141+J141+L141</f>
        <v>0</v>
      </c>
      <c r="N141" s="126"/>
      <c r="O141" s="275"/>
    </row>
    <row r="142" spans="1:15" s="139" customFormat="1" x14ac:dyDescent="0.2">
      <c r="A142" s="120"/>
      <c r="B142" s="120"/>
      <c r="C142" s="128" t="s">
        <v>78</v>
      </c>
      <c r="D142" s="120" t="s">
        <v>16</v>
      </c>
      <c r="E142" s="120">
        <v>3.8199999999999998E-2</v>
      </c>
      <c r="F142" s="121">
        <f>F140*E142</f>
        <v>45.839999999999996</v>
      </c>
      <c r="G142" s="690"/>
      <c r="H142" s="688"/>
      <c r="I142" s="689"/>
      <c r="J142" s="688"/>
      <c r="K142" s="687"/>
      <c r="L142" s="688">
        <f>F142*K142</f>
        <v>0</v>
      </c>
      <c r="M142" s="688">
        <f>H142+J142+L142</f>
        <v>0</v>
      </c>
      <c r="N142" s="126"/>
      <c r="O142" s="279"/>
    </row>
    <row r="143" spans="1:15" s="304" customFormat="1" ht="42.75" customHeight="1" x14ac:dyDescent="0.25">
      <c r="A143" s="394"/>
      <c r="B143" s="26"/>
      <c r="C143" s="300" t="s">
        <v>345</v>
      </c>
      <c r="D143" s="394" t="s">
        <v>82</v>
      </c>
      <c r="E143" s="394">
        <v>1</v>
      </c>
      <c r="F143" s="301">
        <f>F140*E143</f>
        <v>1200</v>
      </c>
      <c r="G143" s="668"/>
      <c r="H143" s="668"/>
      <c r="I143" s="695"/>
      <c r="J143" s="668">
        <f>F143*I143</f>
        <v>0</v>
      </c>
      <c r="K143" s="670"/>
      <c r="L143" s="668"/>
      <c r="M143" s="668">
        <f>H143+J143+L143</f>
        <v>0</v>
      </c>
      <c r="N143" s="302"/>
      <c r="O143" s="303"/>
    </row>
    <row r="144" spans="1:15" s="127" customFormat="1" x14ac:dyDescent="0.2">
      <c r="A144" s="120"/>
      <c r="B144" s="122"/>
      <c r="C144" s="128" t="s">
        <v>80</v>
      </c>
      <c r="D144" s="120" t="s">
        <v>16</v>
      </c>
      <c r="E144" s="120">
        <v>6.5799999999999997E-2</v>
      </c>
      <c r="F144" s="121">
        <f>F140*E144</f>
        <v>78.959999999999994</v>
      </c>
      <c r="G144" s="689"/>
      <c r="H144" s="688"/>
      <c r="I144" s="687"/>
      <c r="J144" s="688">
        <f>F144*I144</f>
        <v>0</v>
      </c>
      <c r="K144" s="689"/>
      <c r="L144" s="688"/>
      <c r="M144" s="688">
        <f>H144+J144+L144</f>
        <v>0</v>
      </c>
      <c r="N144" s="126"/>
      <c r="O144" s="276"/>
    </row>
    <row r="145" spans="1:17" s="214" customFormat="1" x14ac:dyDescent="0.25">
      <c r="A145" s="1">
        <v>6</v>
      </c>
      <c r="B145" s="1" t="s">
        <v>205</v>
      </c>
      <c r="C145" s="2" t="s">
        <v>330</v>
      </c>
      <c r="D145" s="1" t="s">
        <v>40</v>
      </c>
      <c r="E145" s="1"/>
      <c r="F145" s="30">
        <f>F140</f>
        <v>1200</v>
      </c>
      <c r="G145" s="653"/>
      <c r="H145" s="341"/>
      <c r="I145" s="341"/>
      <c r="J145" s="341"/>
      <c r="K145" s="341"/>
      <c r="L145" s="341"/>
      <c r="M145" s="341"/>
      <c r="N145" s="66"/>
      <c r="O145" s="66"/>
      <c r="P145" s="66"/>
      <c r="Q145" s="66"/>
    </row>
    <row r="146" spans="1:17" s="216" customFormat="1" x14ac:dyDescent="0.25">
      <c r="A146" s="6"/>
      <c r="B146" s="10"/>
      <c r="C146" s="22" t="s">
        <v>206</v>
      </c>
      <c r="D146" s="6" t="s">
        <v>70</v>
      </c>
      <c r="E146" s="6">
        <v>0.26</v>
      </c>
      <c r="F146" s="6">
        <f>F145*E146</f>
        <v>312</v>
      </c>
      <c r="G146" s="604"/>
      <c r="H146" s="341">
        <f>F146*G146</f>
        <v>0</v>
      </c>
      <c r="I146" s="341"/>
      <c r="J146" s="341"/>
      <c r="K146" s="341"/>
      <c r="L146" s="341"/>
      <c r="M146" s="341">
        <f t="shared" ref="M146:M149" si="34">L146+J146+H146</f>
        <v>0</v>
      </c>
      <c r="N146" s="66"/>
      <c r="O146" s="66"/>
      <c r="P146" s="66"/>
      <c r="Q146" s="66"/>
    </row>
    <row r="147" spans="1:17" s="216" customFormat="1" x14ac:dyDescent="0.25">
      <c r="A147" s="6"/>
      <c r="B147" s="6"/>
      <c r="C147" s="22" t="s">
        <v>207</v>
      </c>
      <c r="D147" s="6" t="s">
        <v>16</v>
      </c>
      <c r="E147" s="6">
        <v>8.2000000000000003E-2</v>
      </c>
      <c r="F147" s="6">
        <f>F145*E147</f>
        <v>98.4</v>
      </c>
      <c r="G147" s="341"/>
      <c r="H147" s="341"/>
      <c r="I147" s="604"/>
      <c r="J147" s="341">
        <f>F147*I147</f>
        <v>0</v>
      </c>
      <c r="K147" s="341"/>
      <c r="L147" s="341"/>
      <c r="M147" s="341">
        <f t="shared" si="34"/>
        <v>0</v>
      </c>
      <c r="N147" s="66"/>
      <c r="O147" s="66"/>
      <c r="P147" s="66"/>
      <c r="Q147" s="66"/>
    </row>
    <row r="148" spans="1:17" s="216" customFormat="1" x14ac:dyDescent="0.25">
      <c r="A148" s="6"/>
      <c r="B148" s="6"/>
      <c r="C148" s="22" t="s">
        <v>15</v>
      </c>
      <c r="D148" s="6" t="s">
        <v>16</v>
      </c>
      <c r="E148" s="6">
        <v>0.122</v>
      </c>
      <c r="F148" s="6">
        <f>F145*E148</f>
        <v>146.4</v>
      </c>
      <c r="G148" s="341"/>
      <c r="H148" s="341"/>
      <c r="I148" s="341"/>
      <c r="J148" s="341"/>
      <c r="K148" s="604"/>
      <c r="L148" s="341">
        <f t="shared" ref="L148" si="35">K148*F148</f>
        <v>0</v>
      </c>
      <c r="M148" s="341">
        <f t="shared" si="34"/>
        <v>0</v>
      </c>
      <c r="N148" s="66"/>
      <c r="O148" s="66"/>
      <c r="P148" s="66"/>
      <c r="Q148" s="66"/>
    </row>
    <row r="149" spans="1:17" s="66" customFormat="1" x14ac:dyDescent="0.25">
      <c r="A149" s="24"/>
      <c r="B149" s="10" t="s">
        <v>369</v>
      </c>
      <c r="C149" s="29" t="s">
        <v>330</v>
      </c>
      <c r="D149" s="24" t="s">
        <v>82</v>
      </c>
      <c r="E149" s="24">
        <v>1.03</v>
      </c>
      <c r="F149" s="75">
        <f>F145*E149</f>
        <v>1236</v>
      </c>
      <c r="G149" s="359"/>
      <c r="H149" s="359"/>
      <c r="I149" s="615"/>
      <c r="J149" s="341">
        <f t="shared" ref="J149" si="36">F149*I149</f>
        <v>0</v>
      </c>
      <c r="K149" s="359"/>
      <c r="L149" s="359"/>
      <c r="M149" s="359">
        <f t="shared" si="34"/>
        <v>0</v>
      </c>
    </row>
    <row r="150" spans="1:17" s="98" customFormat="1" x14ac:dyDescent="0.25">
      <c r="A150" s="1">
        <v>1</v>
      </c>
      <c r="B150" s="1" t="s">
        <v>134</v>
      </c>
      <c r="C150" s="305" t="s">
        <v>346</v>
      </c>
      <c r="D150" s="1" t="s">
        <v>30</v>
      </c>
      <c r="E150" s="1"/>
      <c r="F150" s="3">
        <v>4</v>
      </c>
      <c r="G150" s="653"/>
      <c r="H150" s="653"/>
      <c r="I150" s="653"/>
      <c r="J150" s="653"/>
      <c r="K150" s="653"/>
      <c r="L150" s="653"/>
      <c r="M150" s="341"/>
      <c r="O150" s="99"/>
    </row>
    <row r="151" spans="1:17" s="100" customFormat="1" x14ac:dyDescent="0.25">
      <c r="A151" s="6"/>
      <c r="B151" s="7"/>
      <c r="C151" s="8" t="s">
        <v>12</v>
      </c>
      <c r="D151" s="6" t="s">
        <v>70</v>
      </c>
      <c r="E151" s="6">
        <v>3.37</v>
      </c>
      <c r="F151" s="6">
        <f>E151*F150</f>
        <v>13.48</v>
      </c>
      <c r="G151" s="604"/>
      <c r="H151" s="341">
        <f>F151*G151</f>
        <v>0</v>
      </c>
      <c r="I151" s="341"/>
      <c r="J151" s="341"/>
      <c r="K151" s="341"/>
      <c r="L151" s="341"/>
      <c r="M151" s="341">
        <f t="shared" ref="M151:M154" si="37">H151+J151+L151</f>
        <v>0</v>
      </c>
      <c r="O151" s="67"/>
    </row>
    <row r="152" spans="1:17" s="100" customFormat="1" x14ac:dyDescent="0.25">
      <c r="A152" s="6"/>
      <c r="B152" s="6"/>
      <c r="C152" s="8" t="s">
        <v>15</v>
      </c>
      <c r="D152" s="6" t="s">
        <v>16</v>
      </c>
      <c r="E152" s="6">
        <v>9.5000000000000001E-2</v>
      </c>
      <c r="F152" s="6">
        <f>E152*F150</f>
        <v>0.38</v>
      </c>
      <c r="G152" s="341"/>
      <c r="H152" s="341"/>
      <c r="I152" s="341"/>
      <c r="J152" s="341"/>
      <c r="K152" s="604"/>
      <c r="L152" s="341">
        <f>K152*F152</f>
        <v>0</v>
      </c>
      <c r="M152" s="341">
        <f t="shared" si="37"/>
        <v>0</v>
      </c>
      <c r="O152" s="67"/>
    </row>
    <row r="153" spans="1:17" s="53" customFormat="1" x14ac:dyDescent="0.25">
      <c r="A153" s="9"/>
      <c r="B153" s="10"/>
      <c r="C153" s="306" t="s">
        <v>346</v>
      </c>
      <c r="D153" s="10" t="s">
        <v>30</v>
      </c>
      <c r="E153" s="12"/>
      <c r="F153" s="13">
        <f>F150</f>
        <v>4</v>
      </c>
      <c r="G153" s="665"/>
      <c r="H153" s="665"/>
      <c r="I153" s="666"/>
      <c r="J153" s="365">
        <f t="shared" ref="J153:J154" si="38">F153*I153</f>
        <v>0</v>
      </c>
      <c r="K153" s="665"/>
      <c r="L153" s="665"/>
      <c r="M153" s="359">
        <f t="shared" si="37"/>
        <v>0</v>
      </c>
    </row>
    <row r="154" spans="1:17" s="100" customFormat="1" x14ac:dyDescent="0.25">
      <c r="A154" s="6"/>
      <c r="B154" s="10"/>
      <c r="C154" s="8" t="s">
        <v>80</v>
      </c>
      <c r="D154" s="6" t="s">
        <v>16</v>
      </c>
      <c r="E154" s="6">
        <v>0.98499999999999999</v>
      </c>
      <c r="F154" s="6">
        <f>E154*F150</f>
        <v>3.94</v>
      </c>
      <c r="G154" s="341"/>
      <c r="H154" s="341"/>
      <c r="I154" s="615"/>
      <c r="J154" s="359">
        <f t="shared" si="38"/>
        <v>0</v>
      </c>
      <c r="K154" s="341"/>
      <c r="L154" s="341"/>
      <c r="M154" s="341">
        <f t="shared" si="37"/>
        <v>0</v>
      </c>
      <c r="O154" s="67"/>
    </row>
    <row r="155" spans="1:17" s="224" customFormat="1" x14ac:dyDescent="0.2">
      <c r="A155" s="131">
        <v>21</v>
      </c>
      <c r="B155" s="236" t="s">
        <v>284</v>
      </c>
      <c r="C155" s="220" t="s">
        <v>236</v>
      </c>
      <c r="D155" s="131" t="s">
        <v>82</v>
      </c>
      <c r="E155" s="131"/>
      <c r="F155" s="142">
        <v>60</v>
      </c>
      <c r="G155" s="692"/>
      <c r="H155" s="693"/>
      <c r="I155" s="694"/>
      <c r="J155" s="693"/>
      <c r="K155" s="694"/>
      <c r="L155" s="693"/>
      <c r="M155" s="693"/>
      <c r="N155" s="223"/>
      <c r="O155" s="278"/>
    </row>
    <row r="156" spans="1:17" s="129" customFormat="1" x14ac:dyDescent="0.2">
      <c r="A156" s="120"/>
      <c r="B156" s="122"/>
      <c r="C156" s="128" t="s">
        <v>69</v>
      </c>
      <c r="D156" s="120" t="s">
        <v>70</v>
      </c>
      <c r="E156" s="120">
        <v>0.22</v>
      </c>
      <c r="F156" s="121">
        <f>F155*E156</f>
        <v>13.2</v>
      </c>
      <c r="G156" s="687"/>
      <c r="H156" s="688">
        <f>F156*G156</f>
        <v>0</v>
      </c>
      <c r="I156" s="691"/>
      <c r="J156" s="688"/>
      <c r="K156" s="689"/>
      <c r="L156" s="688"/>
      <c r="M156" s="688">
        <f>H156+J156+L156</f>
        <v>0</v>
      </c>
      <c r="N156" s="126"/>
      <c r="O156" s="275"/>
    </row>
    <row r="157" spans="1:17" s="139" customFormat="1" x14ac:dyDescent="0.2">
      <c r="A157" s="120"/>
      <c r="B157" s="120"/>
      <c r="C157" s="128" t="s">
        <v>78</v>
      </c>
      <c r="D157" s="120" t="s">
        <v>16</v>
      </c>
      <c r="E157" s="120">
        <v>3.8199999999999998E-2</v>
      </c>
      <c r="F157" s="121">
        <f>F155*E157</f>
        <v>2.2919999999999998</v>
      </c>
      <c r="G157" s="690"/>
      <c r="H157" s="688"/>
      <c r="I157" s="689"/>
      <c r="J157" s="688"/>
      <c r="K157" s="687"/>
      <c r="L157" s="688">
        <f>F157*K157</f>
        <v>0</v>
      </c>
      <c r="M157" s="688">
        <f>H157+J157+L157</f>
        <v>0</v>
      </c>
      <c r="N157" s="126"/>
      <c r="O157" s="279"/>
    </row>
    <row r="158" spans="1:17" s="127" customFormat="1" ht="15" customHeight="1" x14ac:dyDescent="0.2">
      <c r="A158" s="120"/>
      <c r="B158" s="26"/>
      <c r="C158" s="132" t="s">
        <v>236</v>
      </c>
      <c r="D158" s="120" t="s">
        <v>82</v>
      </c>
      <c r="E158" s="120">
        <v>1</v>
      </c>
      <c r="F158" s="125">
        <f>F155*E158</f>
        <v>60</v>
      </c>
      <c r="G158" s="688"/>
      <c r="H158" s="688"/>
      <c r="I158" s="687"/>
      <c r="J158" s="688">
        <f>F158*I158</f>
        <v>0</v>
      </c>
      <c r="K158" s="689"/>
      <c r="L158" s="688"/>
      <c r="M158" s="688">
        <f>H158+J158+L158</f>
        <v>0</v>
      </c>
      <c r="N158" s="126"/>
      <c r="O158" s="276"/>
    </row>
    <row r="159" spans="1:17" s="127" customFormat="1" x14ac:dyDescent="0.2">
      <c r="A159" s="120"/>
      <c r="B159" s="122"/>
      <c r="C159" s="128" t="s">
        <v>80</v>
      </c>
      <c r="D159" s="120" t="s">
        <v>16</v>
      </c>
      <c r="E159" s="120">
        <v>6.5799999999999997E-2</v>
      </c>
      <c r="F159" s="121">
        <f>F155*E159</f>
        <v>3.948</v>
      </c>
      <c r="G159" s="689"/>
      <c r="H159" s="688"/>
      <c r="I159" s="687"/>
      <c r="J159" s="688">
        <f>F159*I159</f>
        <v>0</v>
      </c>
      <c r="K159" s="689"/>
      <c r="L159" s="688"/>
      <c r="M159" s="688">
        <f>H159+J159+L159</f>
        <v>0</v>
      </c>
      <c r="N159" s="126"/>
      <c r="O159" s="276"/>
    </row>
    <row r="160" spans="1:17" s="129" customFormat="1" ht="15" customHeight="1" x14ac:dyDescent="0.2">
      <c r="A160" s="120"/>
      <c r="B160" s="225"/>
      <c r="C160" s="226" t="s">
        <v>163</v>
      </c>
      <c r="D160" s="131"/>
      <c r="E160" s="131"/>
      <c r="F160" s="130"/>
      <c r="G160" s="692"/>
      <c r="H160" s="693">
        <f>SUM(H120:H159)</f>
        <v>0</v>
      </c>
      <c r="I160" s="696"/>
      <c r="J160" s="693">
        <f>SUM(J120:J159)</f>
        <v>0</v>
      </c>
      <c r="K160" s="696"/>
      <c r="L160" s="693">
        <f>SUM(L120:L159)</f>
        <v>0</v>
      </c>
      <c r="M160" s="693">
        <f>SUM(M120:M159)</f>
        <v>0</v>
      </c>
      <c r="N160" s="227"/>
      <c r="O160" s="275"/>
    </row>
    <row r="161" spans="1:16" s="135" customFormat="1" ht="14.25" customHeight="1" x14ac:dyDescent="0.2">
      <c r="A161" s="120"/>
      <c r="B161" s="120"/>
      <c r="C161" s="132" t="s">
        <v>237</v>
      </c>
      <c r="D161" s="120"/>
      <c r="E161" s="120"/>
      <c r="F161" s="133"/>
      <c r="G161" s="690"/>
      <c r="H161" s="697"/>
      <c r="I161" s="688"/>
      <c r="J161" s="688"/>
      <c r="K161" s="688"/>
      <c r="L161" s="688"/>
      <c r="M161" s="688">
        <f>M123</f>
        <v>0</v>
      </c>
      <c r="N161" s="134"/>
      <c r="O161" s="280"/>
    </row>
    <row r="162" spans="1:16" s="93" customFormat="1" ht="12.75" x14ac:dyDescent="0.25">
      <c r="A162" s="38"/>
      <c r="B162" s="38"/>
      <c r="C162" s="145" t="s">
        <v>138</v>
      </c>
      <c r="E162" s="656"/>
      <c r="F162" s="39"/>
      <c r="G162" s="367"/>
      <c r="H162" s="367"/>
      <c r="I162" s="367"/>
      <c r="J162" s="367"/>
      <c r="K162" s="367"/>
      <c r="L162" s="367"/>
      <c r="M162" s="367">
        <f>J160*E162</f>
        <v>0</v>
      </c>
    </row>
    <row r="163" spans="1:16" s="92" customFormat="1" ht="12.75" x14ac:dyDescent="0.25">
      <c r="A163" s="32"/>
      <c r="B163" s="33"/>
      <c r="C163" s="145" t="s">
        <v>8</v>
      </c>
      <c r="D163" s="35"/>
      <c r="E163" s="35"/>
      <c r="F163" s="36"/>
      <c r="G163" s="366"/>
      <c r="H163" s="366"/>
      <c r="I163" s="366"/>
      <c r="J163" s="366"/>
      <c r="K163" s="366"/>
      <c r="L163" s="366"/>
      <c r="M163" s="366">
        <f>M160+M162</f>
        <v>0</v>
      </c>
      <c r="N163" s="91"/>
      <c r="O163" s="91"/>
      <c r="P163" s="91"/>
    </row>
    <row r="164" spans="1:16" s="129" customFormat="1" ht="15" customHeight="1" x14ac:dyDescent="0.2">
      <c r="A164" s="120"/>
      <c r="B164" s="122"/>
      <c r="C164" s="128" t="s">
        <v>238</v>
      </c>
      <c r="D164" s="120"/>
      <c r="E164" s="700"/>
      <c r="F164" s="121"/>
      <c r="G164" s="690"/>
      <c r="H164" s="688"/>
      <c r="I164" s="688"/>
      <c r="J164" s="688"/>
      <c r="K164" s="688"/>
      <c r="L164" s="688"/>
      <c r="M164" s="688">
        <f>H160*E164</f>
        <v>0</v>
      </c>
      <c r="N164" s="126"/>
      <c r="O164" s="275"/>
    </row>
    <row r="165" spans="1:16" s="129" customFormat="1" ht="15.75" customHeight="1" x14ac:dyDescent="0.2">
      <c r="A165" s="120"/>
      <c r="B165" s="122"/>
      <c r="C165" s="128" t="s">
        <v>163</v>
      </c>
      <c r="D165" s="120"/>
      <c r="E165" s="120"/>
      <c r="F165" s="121"/>
      <c r="G165" s="690"/>
      <c r="H165" s="688"/>
      <c r="I165" s="688"/>
      <c r="J165" s="688"/>
      <c r="K165" s="688"/>
      <c r="L165" s="688"/>
      <c r="M165" s="688">
        <f>M163+M164</f>
        <v>0</v>
      </c>
      <c r="N165" s="126"/>
      <c r="O165" s="275"/>
    </row>
    <row r="166" spans="1:16" s="138" customFormat="1" x14ac:dyDescent="0.25">
      <c r="A166" s="120"/>
      <c r="B166" s="120"/>
      <c r="C166" s="128" t="s">
        <v>239</v>
      </c>
      <c r="D166" s="120"/>
      <c r="E166" s="701"/>
      <c r="F166" s="136"/>
      <c r="G166" s="690"/>
      <c r="H166" s="688"/>
      <c r="I166" s="688"/>
      <c r="J166" s="688"/>
      <c r="K166" s="688"/>
      <c r="L166" s="688"/>
      <c r="M166" s="688">
        <f>(M165-M161)*E166</f>
        <v>0</v>
      </c>
      <c r="N166" s="137"/>
      <c r="O166" s="137"/>
    </row>
    <row r="167" spans="1:16" s="138" customFormat="1" x14ac:dyDescent="0.25">
      <c r="A167" s="120"/>
      <c r="B167" s="120"/>
      <c r="C167" s="132" t="s">
        <v>8</v>
      </c>
      <c r="D167" s="120"/>
      <c r="E167" s="394"/>
      <c r="F167" s="136"/>
      <c r="G167" s="690"/>
      <c r="H167" s="688"/>
      <c r="I167" s="688"/>
      <c r="J167" s="688"/>
      <c r="K167" s="688"/>
      <c r="L167" s="688"/>
      <c r="M167" s="688">
        <f>M165+M166</f>
        <v>0</v>
      </c>
      <c r="N167" s="227"/>
      <c r="O167" s="137"/>
    </row>
    <row r="168" spans="1:16" s="135" customFormat="1" ht="14.25" customHeight="1" x14ac:dyDescent="0.2">
      <c r="A168" s="120"/>
      <c r="B168" s="120"/>
      <c r="C168" s="132" t="s">
        <v>237</v>
      </c>
      <c r="D168" s="120"/>
      <c r="E168" s="120"/>
      <c r="F168" s="133"/>
      <c r="G168" s="690"/>
      <c r="H168" s="698"/>
      <c r="I168" s="698"/>
      <c r="J168" s="698"/>
      <c r="K168" s="698"/>
      <c r="L168" s="698"/>
      <c r="M168" s="688">
        <f>M161</f>
        <v>0</v>
      </c>
      <c r="N168" s="134"/>
      <c r="O168" s="280"/>
    </row>
    <row r="169" spans="1:16" s="287" customFormat="1" x14ac:dyDescent="0.25">
      <c r="A169" s="281"/>
      <c r="B169" s="282"/>
      <c r="C169" s="11" t="s">
        <v>273</v>
      </c>
      <c r="D169" s="283"/>
      <c r="E169" s="283"/>
      <c r="F169" s="284"/>
      <c r="G169" s="683"/>
      <c r="H169" s="281"/>
      <c r="I169" s="281"/>
      <c r="J169" s="281"/>
      <c r="K169" s="281"/>
      <c r="L169" s="281"/>
      <c r="M169" s="359">
        <f>M167+M119</f>
        <v>0</v>
      </c>
    </row>
    <row r="170" spans="1:16" s="348" customFormat="1" ht="15.75" x14ac:dyDescent="0.25">
      <c r="A170" s="342"/>
      <c r="B170" s="343"/>
      <c r="C170" s="252" t="s">
        <v>391</v>
      </c>
      <c r="E170" s="643"/>
      <c r="F170" s="344"/>
      <c r="G170" s="662"/>
      <c r="H170" s="662"/>
      <c r="I170" s="661"/>
      <c r="J170" s="663"/>
      <c r="K170" s="662"/>
      <c r="L170" s="662"/>
      <c r="M170" s="664">
        <f>(H160+H113)*E170</f>
        <v>0</v>
      </c>
    </row>
    <row r="171" spans="1:16" s="348" customFormat="1" ht="16.5" thickBot="1" x14ac:dyDescent="0.3">
      <c r="A171" s="349"/>
      <c r="B171" s="350"/>
      <c r="C171" s="350" t="s">
        <v>8</v>
      </c>
      <c r="D171" s="350"/>
      <c r="E171" s="350"/>
      <c r="F171" s="350"/>
      <c r="G171" s="371"/>
      <c r="H171" s="372"/>
      <c r="I171" s="373"/>
      <c r="J171" s="372"/>
      <c r="K171" s="371"/>
      <c r="L171" s="371"/>
      <c r="M171" s="374">
        <f>M170+M169</f>
        <v>0</v>
      </c>
    </row>
    <row r="172" spans="1:16" s="287" customFormat="1" x14ac:dyDescent="0.25">
      <c r="A172" s="288"/>
      <c r="C172" s="289"/>
      <c r="D172" s="290"/>
      <c r="E172" s="290"/>
      <c r="F172" s="291"/>
      <c r="G172" s="292"/>
    </row>
    <row r="173" spans="1:16" s="287" customFormat="1" x14ac:dyDescent="0.25">
      <c r="A173" s="288"/>
      <c r="C173" s="289"/>
      <c r="D173" s="290"/>
      <c r="E173" s="290"/>
      <c r="F173" s="291"/>
      <c r="G173" s="292"/>
    </row>
  </sheetData>
  <autoFilter ref="A9:M171"/>
  <mergeCells count="16">
    <mergeCell ref="A6:F6"/>
    <mergeCell ref="I6:M6"/>
    <mergeCell ref="L1:M1"/>
    <mergeCell ref="A2:K2"/>
    <mergeCell ref="L2:M2"/>
    <mergeCell ref="A4:M4"/>
    <mergeCell ref="A5:M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  <pageSetup paperSize="9" scale="55" orientation="portrait" r:id="rId1"/>
  <rowBreaks count="1" manualBreakCount="1">
    <brk id="7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2"/>
  <sheetViews>
    <sheetView view="pageBreakPreview" zoomScaleNormal="100" zoomScaleSheetLayoutView="100" workbookViewId="0">
      <selection activeCell="D268" sqref="D268"/>
    </sheetView>
  </sheetViews>
  <sheetFormatPr defaultColWidth="9.140625" defaultRowHeight="13.5" x14ac:dyDescent="0.25"/>
  <cols>
    <col min="1" max="1" width="7" style="288" customWidth="1"/>
    <col min="2" max="2" width="10.85546875" style="293" customWidth="1"/>
    <col min="3" max="3" width="50.7109375" style="84" customWidth="1"/>
    <col min="4" max="4" width="8.7109375" style="294" customWidth="1"/>
    <col min="5" max="5" width="8.140625" style="294" customWidth="1"/>
    <col min="6" max="6" width="10.5703125" style="293" customWidth="1"/>
    <col min="7" max="7" width="7" style="293" customWidth="1"/>
    <col min="8" max="8" width="11" style="293" customWidth="1"/>
    <col min="9" max="9" width="8.140625" style="293" customWidth="1"/>
    <col min="10" max="10" width="9" style="293" customWidth="1"/>
    <col min="11" max="11" width="7" style="293" customWidth="1"/>
    <col min="12" max="12" width="9.28515625" style="293" customWidth="1"/>
    <col min="13" max="13" width="10.5703125" style="293" customWidth="1"/>
    <col min="14" max="14" width="8.140625" style="293" customWidth="1"/>
    <col min="15" max="19" width="9.140625" style="293"/>
    <col min="20" max="20" width="16" style="293" customWidth="1"/>
    <col min="21" max="16384" width="9.140625" style="293"/>
  </cols>
  <sheetData>
    <row r="1" spans="1:26" s="257" customFormat="1" ht="15.75" x14ac:dyDescent="0.3">
      <c r="A1" s="254"/>
      <c r="B1" s="255"/>
      <c r="C1" s="256"/>
      <c r="D1" s="255"/>
      <c r="E1" s="255"/>
      <c r="G1" s="397"/>
      <c r="H1" s="258"/>
      <c r="I1" s="258"/>
      <c r="J1" s="258"/>
      <c r="K1" s="258"/>
      <c r="L1" s="593"/>
      <c r="M1" s="593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</row>
    <row r="2" spans="1:26" s="260" customFormat="1" ht="16.5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5"/>
      <c r="M2" s="595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s="260" customFormat="1" ht="16.5" x14ac:dyDescent="0.25">
      <c r="A3" s="262"/>
      <c r="B3" s="263"/>
      <c r="C3" s="263"/>
      <c r="D3" s="263"/>
      <c r="E3" s="263"/>
      <c r="F3" s="263"/>
      <c r="G3" s="398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</row>
    <row r="4" spans="1:26" s="260" customFormat="1" ht="16.5" x14ac:dyDescent="0.25">
      <c r="A4" s="596" t="s">
        <v>254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</row>
    <row r="5" spans="1:26" s="260" customFormat="1" ht="16.5" x14ac:dyDescent="0.25">
      <c r="A5" s="596" t="s">
        <v>241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ht="15.75" x14ac:dyDescent="0.25">
      <c r="A6" s="586"/>
      <c r="B6" s="586"/>
      <c r="C6" s="586"/>
      <c r="D6" s="586"/>
      <c r="E6" s="586"/>
      <c r="F6" s="84"/>
      <c r="G6" s="309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5.75" x14ac:dyDescent="0.25">
      <c r="A7" s="586"/>
      <c r="B7" s="586"/>
      <c r="C7" s="586"/>
      <c r="D7" s="312"/>
      <c r="E7" s="312"/>
      <c r="F7" s="313"/>
      <c r="G7" s="314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</row>
    <row r="8" spans="1:26" s="255" customFormat="1" ht="29.25" customHeight="1" x14ac:dyDescent="0.25">
      <c r="A8" s="597" t="s">
        <v>0</v>
      </c>
      <c r="B8" s="589" t="s">
        <v>1</v>
      </c>
      <c r="C8" s="589" t="s">
        <v>2</v>
      </c>
      <c r="D8" s="589" t="s">
        <v>3</v>
      </c>
      <c r="E8" s="591" t="s">
        <v>4</v>
      </c>
      <c r="F8" s="592"/>
      <c r="G8" s="582" t="s">
        <v>5</v>
      </c>
      <c r="H8" s="583"/>
      <c r="I8" s="582" t="s">
        <v>6</v>
      </c>
      <c r="J8" s="583"/>
      <c r="K8" s="582" t="s">
        <v>7</v>
      </c>
      <c r="L8" s="583"/>
      <c r="M8" s="584" t="s">
        <v>8</v>
      </c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s="255" customFormat="1" ht="23.25" customHeight="1" x14ac:dyDescent="0.25">
      <c r="A9" s="598"/>
      <c r="B9" s="590"/>
      <c r="C9" s="590"/>
      <c r="D9" s="590"/>
      <c r="E9" s="269" t="s">
        <v>9</v>
      </c>
      <c r="F9" s="269" t="s">
        <v>10</v>
      </c>
      <c r="G9" s="270" t="s">
        <v>9</v>
      </c>
      <c r="H9" s="270" t="s">
        <v>10</v>
      </c>
      <c r="I9" s="270" t="s">
        <v>9</v>
      </c>
      <c r="J9" s="270" t="s">
        <v>10</v>
      </c>
      <c r="K9" s="270" t="s">
        <v>9</v>
      </c>
      <c r="L9" s="270" t="s">
        <v>10</v>
      </c>
      <c r="M9" s="585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s="254" customFormat="1" ht="17.25" customHeight="1" x14ac:dyDescent="0.25">
      <c r="A10" s="271">
        <v>1</v>
      </c>
      <c r="B10" s="271">
        <v>2</v>
      </c>
      <c r="C10" s="271">
        <v>3</v>
      </c>
      <c r="D10" s="271">
        <v>4</v>
      </c>
      <c r="E10" s="271">
        <v>5</v>
      </c>
      <c r="F10" s="271">
        <v>6</v>
      </c>
      <c r="G10" s="271">
        <v>9</v>
      </c>
      <c r="H10" s="271">
        <v>10</v>
      </c>
      <c r="I10" s="271">
        <v>7</v>
      </c>
      <c r="J10" s="271">
        <v>8</v>
      </c>
      <c r="K10" s="271">
        <v>11</v>
      </c>
      <c r="L10" s="271">
        <v>12</v>
      </c>
      <c r="M10" s="272">
        <v>13</v>
      </c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1:26" s="55" customFormat="1" ht="12.75" x14ac:dyDescent="0.25">
      <c r="A11" s="146"/>
      <c r="B11" s="146"/>
      <c r="C11" s="147" t="s">
        <v>377</v>
      </c>
      <c r="D11" s="148"/>
      <c r="E11" s="148"/>
      <c r="F11" s="146"/>
      <c r="G11" s="375"/>
      <c r="H11" s="376"/>
      <c r="I11" s="375"/>
      <c r="J11" s="376"/>
      <c r="K11" s="375"/>
      <c r="L11" s="376"/>
      <c r="M11" s="375"/>
    </row>
    <row r="12" spans="1:26" s="197" customFormat="1" ht="12.75" x14ac:dyDescent="0.25">
      <c r="A12" s="34">
        <v>1</v>
      </c>
      <c r="B12" s="34" t="s">
        <v>285</v>
      </c>
      <c r="C12" s="196" t="s">
        <v>243</v>
      </c>
      <c r="D12" s="34" t="s">
        <v>11</v>
      </c>
      <c r="E12" s="158"/>
      <c r="F12" s="158">
        <v>1</v>
      </c>
      <c r="G12" s="361"/>
      <c r="H12" s="361"/>
      <c r="I12" s="361"/>
      <c r="J12" s="361"/>
      <c r="K12" s="361"/>
      <c r="L12" s="361"/>
      <c r="M12" s="361"/>
    </row>
    <row r="13" spans="1:26" s="55" customFormat="1" ht="12.75" x14ac:dyDescent="0.25">
      <c r="A13" s="54"/>
      <c r="B13" s="33"/>
      <c r="C13" s="56" t="s">
        <v>65</v>
      </c>
      <c r="D13" s="54" t="s">
        <v>53</v>
      </c>
      <c r="E13" s="57">
        <v>1.78</v>
      </c>
      <c r="F13" s="57">
        <f>F12*E13</f>
        <v>1.78</v>
      </c>
      <c r="G13" s="645"/>
      <c r="H13" s="362">
        <f>F13*G13</f>
        <v>0</v>
      </c>
      <c r="I13" s="362"/>
      <c r="J13" s="362"/>
      <c r="K13" s="362"/>
      <c r="L13" s="362"/>
      <c r="M13" s="362">
        <f t="shared" ref="M13:M19" si="0">H13+J13+L13</f>
        <v>0</v>
      </c>
    </row>
    <row r="14" spans="1:26" s="55" customFormat="1" ht="12.75" x14ac:dyDescent="0.25">
      <c r="A14" s="54"/>
      <c r="B14" s="33"/>
      <c r="C14" s="56" t="s">
        <v>245</v>
      </c>
      <c r="D14" s="54" t="s">
        <v>11</v>
      </c>
      <c r="E14" s="57">
        <v>1.1000000000000001</v>
      </c>
      <c r="F14" s="57">
        <f>F12*E14</f>
        <v>1.1000000000000001</v>
      </c>
      <c r="G14" s="362"/>
      <c r="H14" s="362"/>
      <c r="I14" s="645"/>
      <c r="J14" s="362">
        <f t="shared" ref="J14" si="1">I14*F14</f>
        <v>0</v>
      </c>
      <c r="K14" s="362"/>
      <c r="L14" s="362"/>
      <c r="M14" s="362">
        <f t="shared" si="0"/>
        <v>0</v>
      </c>
    </row>
    <row r="15" spans="1:26" s="55" customFormat="1" ht="12.75" x14ac:dyDescent="0.25">
      <c r="A15" s="54"/>
      <c r="B15" s="54"/>
      <c r="C15" s="56" t="s">
        <v>193</v>
      </c>
      <c r="D15" s="54" t="s">
        <v>13</v>
      </c>
      <c r="E15" s="57">
        <v>1.6</v>
      </c>
      <c r="F15" s="57">
        <f>F12*E15</f>
        <v>1.6</v>
      </c>
      <c r="G15" s="362"/>
      <c r="H15" s="362"/>
      <c r="I15" s="362"/>
      <c r="J15" s="362"/>
      <c r="K15" s="645"/>
      <c r="L15" s="362">
        <f>F15*K15</f>
        <v>0</v>
      </c>
      <c r="M15" s="362">
        <f t="shared" si="0"/>
        <v>0</v>
      </c>
    </row>
    <row r="16" spans="1:26" s="358" customFormat="1" ht="26.25" customHeight="1" x14ac:dyDescent="0.25">
      <c r="A16" s="410">
        <v>2</v>
      </c>
      <c r="B16" s="159" t="s">
        <v>186</v>
      </c>
      <c r="C16" s="175" t="s">
        <v>403</v>
      </c>
      <c r="D16" s="410" t="s">
        <v>187</v>
      </c>
      <c r="E16" s="410"/>
      <c r="F16" s="149">
        <v>1</v>
      </c>
      <c r="G16" s="319"/>
      <c r="H16" s="319"/>
      <c r="I16" s="319"/>
      <c r="J16" s="319"/>
      <c r="K16" s="319"/>
      <c r="L16" s="319"/>
      <c r="M16" s="319"/>
    </row>
    <row r="17" spans="1:26" s="48" customFormat="1" ht="14.25" customHeight="1" x14ac:dyDescent="0.25">
      <c r="A17" s="337"/>
      <c r="B17" s="154"/>
      <c r="C17" s="155" t="s">
        <v>188</v>
      </c>
      <c r="D17" s="152" t="s">
        <v>183</v>
      </c>
      <c r="E17" s="156">
        <v>1.54</v>
      </c>
      <c r="F17" s="153">
        <f>E17*F16</f>
        <v>1.54</v>
      </c>
      <c r="G17" s="604"/>
      <c r="H17" s="341">
        <f>F17*G17</f>
        <v>0</v>
      </c>
      <c r="I17" s="359"/>
      <c r="J17" s="360"/>
      <c r="K17" s="341"/>
      <c r="L17" s="341"/>
      <c r="M17" s="341">
        <f t="shared" si="0"/>
        <v>0</v>
      </c>
    </row>
    <row r="18" spans="1:26" s="48" customFormat="1" ht="14.25" customHeight="1" x14ac:dyDescent="0.25">
      <c r="A18" s="337"/>
      <c r="B18" s="157"/>
      <c r="C18" s="155" t="s">
        <v>189</v>
      </c>
      <c r="D18" s="152" t="s">
        <v>184</v>
      </c>
      <c r="E18" s="153">
        <v>0.09</v>
      </c>
      <c r="F18" s="153">
        <f>E18*F16</f>
        <v>0.09</v>
      </c>
      <c r="G18" s="341"/>
      <c r="H18" s="341"/>
      <c r="I18" s="341"/>
      <c r="J18" s="341"/>
      <c r="K18" s="604"/>
      <c r="L18" s="341">
        <f>F18*K18</f>
        <v>0</v>
      </c>
      <c r="M18" s="341">
        <f t="shared" si="0"/>
        <v>0</v>
      </c>
    </row>
    <row r="19" spans="1:26" s="151" customFormat="1" ht="25.5" customHeight="1" x14ac:dyDescent="0.25">
      <c r="A19" s="410"/>
      <c r="B19" s="33"/>
      <c r="C19" s="160" t="s">
        <v>244</v>
      </c>
      <c r="D19" s="153" t="s">
        <v>187</v>
      </c>
      <c r="E19" s="150">
        <v>1</v>
      </c>
      <c r="F19" s="150">
        <f>E19*F16</f>
        <v>1</v>
      </c>
      <c r="G19" s="359"/>
      <c r="H19" s="359"/>
      <c r="I19" s="615"/>
      <c r="J19" s="359">
        <f t="shared" ref="J19" si="2">I19*F19</f>
        <v>0</v>
      </c>
      <c r="K19" s="359"/>
      <c r="L19" s="359"/>
      <c r="M19" s="359">
        <f t="shared" si="0"/>
        <v>0</v>
      </c>
    </row>
    <row r="20" spans="1:26" ht="12.75" x14ac:dyDescent="0.25">
      <c r="A20" s="146"/>
      <c r="B20" s="146"/>
      <c r="C20" s="161" t="s">
        <v>257</v>
      </c>
      <c r="D20" s="148"/>
      <c r="E20" s="148"/>
      <c r="F20" s="146"/>
      <c r="G20" s="375"/>
      <c r="H20" s="376"/>
      <c r="I20" s="375"/>
      <c r="J20" s="376"/>
      <c r="K20" s="375"/>
      <c r="L20" s="376"/>
      <c r="M20" s="37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40.5" x14ac:dyDescent="0.25">
      <c r="A21" s="198">
        <v>20</v>
      </c>
      <c r="B21" s="199" t="s">
        <v>271</v>
      </c>
      <c r="C21" s="200" t="s">
        <v>305</v>
      </c>
      <c r="D21" s="201" t="s">
        <v>54</v>
      </c>
      <c r="E21" s="191"/>
      <c r="F21" s="202">
        <v>5</v>
      </c>
      <c r="G21" s="377"/>
      <c r="H21" s="378"/>
      <c r="I21" s="377"/>
      <c r="J21" s="377"/>
      <c r="K21" s="379"/>
      <c r="L21" s="377"/>
      <c r="M21" s="377"/>
      <c r="N21" s="203"/>
      <c r="O21" s="338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</row>
    <row r="22" spans="1:26" x14ac:dyDescent="0.25">
      <c r="A22" s="187" t="s">
        <v>263</v>
      </c>
      <c r="B22" s="188"/>
      <c r="C22" s="193" t="s">
        <v>69</v>
      </c>
      <c r="D22" s="189" t="s">
        <v>70</v>
      </c>
      <c r="E22" s="194">
        <f>13.2*0.001</f>
        <v>1.32E-2</v>
      </c>
      <c r="F22" s="190">
        <f>E22*F21</f>
        <v>6.6000000000000003E-2</v>
      </c>
      <c r="G22" s="702"/>
      <c r="H22" s="380">
        <f>F22*G22</f>
        <v>0</v>
      </c>
      <c r="I22" s="380"/>
      <c r="J22" s="380"/>
      <c r="K22" s="381"/>
      <c r="L22" s="380"/>
      <c r="M22" s="380">
        <f t="shared" ref="M22" si="3">H22+J22+L22</f>
        <v>0</v>
      </c>
      <c r="N22" s="192"/>
      <c r="O22" s="339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spans="1:26" ht="15.75" x14ac:dyDescent="0.25">
      <c r="A23" s="187" t="s">
        <v>263</v>
      </c>
      <c r="B23" s="189"/>
      <c r="C23" s="193" t="s">
        <v>264</v>
      </c>
      <c r="D23" s="189" t="s">
        <v>265</v>
      </c>
      <c r="E23" s="194">
        <f>29.5*0.001</f>
        <v>2.9500000000000002E-2</v>
      </c>
      <c r="F23" s="190">
        <f>E23*F21</f>
        <v>0.14750000000000002</v>
      </c>
      <c r="G23" s="380"/>
      <c r="H23" s="380"/>
      <c r="I23" s="380"/>
      <c r="J23" s="380"/>
      <c r="K23" s="708"/>
      <c r="L23" s="380">
        <f>K23*F23</f>
        <v>0</v>
      </c>
      <c r="M23" s="380">
        <f t="shared" ref="M23:M25" si="4">H23+J23+L23</f>
        <v>0</v>
      </c>
      <c r="N23" s="192"/>
      <c r="O23" s="339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1:26" x14ac:dyDescent="0.25">
      <c r="A24" s="187" t="s">
        <v>263</v>
      </c>
      <c r="B24" s="193"/>
      <c r="C24" s="193" t="s">
        <v>266</v>
      </c>
      <c r="D24" s="189" t="s">
        <v>16</v>
      </c>
      <c r="E24" s="194">
        <f>2.1*0.001</f>
        <v>2.1000000000000003E-3</v>
      </c>
      <c r="F24" s="190">
        <f>E24*F21</f>
        <v>1.0500000000000002E-2</v>
      </c>
      <c r="G24" s="380"/>
      <c r="H24" s="380"/>
      <c r="I24" s="380"/>
      <c r="J24" s="380"/>
      <c r="K24" s="708"/>
      <c r="L24" s="380">
        <f t="shared" ref="L24" si="5">K24*F24</f>
        <v>0</v>
      </c>
      <c r="M24" s="380">
        <f t="shared" si="4"/>
        <v>0</v>
      </c>
      <c r="N24" s="192"/>
      <c r="O24" s="339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spans="1:26" ht="15.75" x14ac:dyDescent="0.25">
      <c r="A25" s="187" t="s">
        <v>263</v>
      </c>
      <c r="B25" s="188"/>
      <c r="C25" s="193" t="s">
        <v>267</v>
      </c>
      <c r="D25" s="189" t="s">
        <v>57</v>
      </c>
      <c r="E25" s="195">
        <f>0.05*0.001</f>
        <v>5.0000000000000002E-5</v>
      </c>
      <c r="F25" s="190">
        <f>E25*F21</f>
        <v>2.5000000000000001E-4</v>
      </c>
      <c r="G25" s="380"/>
      <c r="H25" s="380"/>
      <c r="I25" s="708"/>
      <c r="J25" s="380">
        <f t="shared" ref="J25" si="6">I25*F25</f>
        <v>0</v>
      </c>
      <c r="K25" s="381"/>
      <c r="L25" s="380"/>
      <c r="M25" s="380">
        <f t="shared" si="4"/>
        <v>0</v>
      </c>
      <c r="N25" s="192"/>
      <c r="O25" s="339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spans="1:26" ht="27" x14ac:dyDescent="0.2">
      <c r="A26" s="204">
        <v>21</v>
      </c>
      <c r="B26" s="204" t="s">
        <v>258</v>
      </c>
      <c r="C26" s="23" t="s">
        <v>374</v>
      </c>
      <c r="D26" s="17" t="s">
        <v>259</v>
      </c>
      <c r="E26" s="202"/>
      <c r="F26" s="202">
        <v>1200</v>
      </c>
      <c r="G26" s="382"/>
      <c r="H26" s="382"/>
      <c r="I26" s="382"/>
      <c r="J26" s="382"/>
      <c r="K26" s="382"/>
      <c r="L26" s="382"/>
      <c r="M26" s="383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  <row r="27" spans="1:26" x14ac:dyDescent="0.25">
      <c r="A27" s="206"/>
      <c r="B27" s="206"/>
      <c r="C27" s="229" t="s">
        <v>206</v>
      </c>
      <c r="D27" s="207" t="s">
        <v>70</v>
      </c>
      <c r="E27" s="208">
        <v>0.15</v>
      </c>
      <c r="F27" s="208">
        <f>F26*E27</f>
        <v>180</v>
      </c>
      <c r="G27" s="658"/>
      <c r="H27" s="384">
        <f>F27*G27</f>
        <v>0</v>
      </c>
      <c r="I27" s="385"/>
      <c r="J27" s="385"/>
      <c r="K27" s="385"/>
      <c r="L27" s="385"/>
      <c r="M27" s="384">
        <f t="shared" ref="M27:M30" si="7">H27+J27+L27</f>
        <v>0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x14ac:dyDescent="0.25">
      <c r="A28" s="206"/>
      <c r="B28" s="206"/>
      <c r="C28" s="229" t="s">
        <v>268</v>
      </c>
      <c r="D28" s="207" t="s">
        <v>259</v>
      </c>
      <c r="E28" s="208">
        <v>1.22</v>
      </c>
      <c r="F28" s="208">
        <f>F26*E28</f>
        <v>1464</v>
      </c>
      <c r="G28" s="385"/>
      <c r="H28" s="385"/>
      <c r="I28" s="658"/>
      <c r="J28" s="384">
        <f t="shared" ref="J28" si="8">I28*F28</f>
        <v>0</v>
      </c>
      <c r="K28" s="385"/>
      <c r="L28" s="385"/>
      <c r="M28" s="384">
        <f t="shared" si="7"/>
        <v>0</v>
      </c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x14ac:dyDescent="0.25">
      <c r="A29" s="206"/>
      <c r="B29" s="207"/>
      <c r="C29" s="229" t="s">
        <v>260</v>
      </c>
      <c r="D29" s="207" t="s">
        <v>261</v>
      </c>
      <c r="E29" s="209">
        <v>2.1600000000000001E-2</v>
      </c>
      <c r="F29" s="208">
        <f>F26*E29</f>
        <v>25.92</v>
      </c>
      <c r="G29" s="385"/>
      <c r="H29" s="385"/>
      <c r="I29" s="384"/>
      <c r="J29" s="384"/>
      <c r="K29" s="658"/>
      <c r="L29" s="384">
        <f>F29*K29</f>
        <v>0</v>
      </c>
      <c r="M29" s="384">
        <f t="shared" si="7"/>
        <v>0</v>
      </c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s="186" customFormat="1" x14ac:dyDescent="0.25">
      <c r="A30" s="206"/>
      <c r="B30" s="207"/>
      <c r="C30" s="229" t="s">
        <v>262</v>
      </c>
      <c r="D30" s="207" t="s">
        <v>261</v>
      </c>
      <c r="E30" s="209">
        <v>2.7300000000000001E-2</v>
      </c>
      <c r="F30" s="208">
        <f>F26*E30</f>
        <v>32.760000000000005</v>
      </c>
      <c r="G30" s="385"/>
      <c r="H30" s="385"/>
      <c r="I30" s="384"/>
      <c r="J30" s="384"/>
      <c r="K30" s="658"/>
      <c r="L30" s="384">
        <f t="shared" ref="L30" si="9">F30*K30</f>
        <v>0</v>
      </c>
      <c r="M30" s="384">
        <f t="shared" si="7"/>
        <v>0</v>
      </c>
    </row>
    <row r="31" spans="1:26" s="186" customFormat="1" x14ac:dyDescent="0.25">
      <c r="A31" s="206"/>
      <c r="B31" s="207"/>
      <c r="C31" s="229" t="s">
        <v>286</v>
      </c>
      <c r="D31" s="207" t="s">
        <v>261</v>
      </c>
      <c r="E31" s="209">
        <v>9.7000000000000003E-3</v>
      </c>
      <c r="F31" s="208">
        <f>F26*E31</f>
        <v>11.64</v>
      </c>
      <c r="G31" s="385"/>
      <c r="H31" s="385"/>
      <c r="I31" s="384"/>
      <c r="J31" s="384"/>
      <c r="K31" s="658"/>
      <c r="L31" s="384">
        <f>F31*K31</f>
        <v>0</v>
      </c>
      <c r="M31" s="384">
        <f t="shared" ref="M31:M32" si="10">H31+J31+L31</f>
        <v>0</v>
      </c>
    </row>
    <row r="32" spans="1:26" s="186" customFormat="1" x14ac:dyDescent="0.25">
      <c r="A32" s="206"/>
      <c r="B32" s="207"/>
      <c r="C32" s="229" t="s">
        <v>287</v>
      </c>
      <c r="D32" s="207" t="s">
        <v>184</v>
      </c>
      <c r="E32" s="209">
        <v>7.0000000000000007E-2</v>
      </c>
      <c r="F32" s="208">
        <f>F26*E32</f>
        <v>84.000000000000014</v>
      </c>
      <c r="G32" s="385"/>
      <c r="H32" s="385"/>
      <c r="I32" s="658"/>
      <c r="J32" s="384">
        <f t="shared" ref="J32" si="11">I32*F32</f>
        <v>0</v>
      </c>
      <c r="K32" s="384"/>
      <c r="L32" s="384"/>
      <c r="M32" s="384">
        <f t="shared" si="10"/>
        <v>0</v>
      </c>
    </row>
    <row r="33" spans="1:13" s="55" customFormat="1" ht="12.75" x14ac:dyDescent="0.25">
      <c r="A33" s="146"/>
      <c r="B33" s="146"/>
      <c r="C33" s="147" t="s">
        <v>208</v>
      </c>
      <c r="D33" s="148"/>
      <c r="E33" s="148"/>
      <c r="F33" s="146"/>
      <c r="G33" s="375"/>
      <c r="H33" s="376"/>
      <c r="I33" s="375"/>
      <c r="J33" s="376"/>
      <c r="K33" s="375"/>
      <c r="L33" s="376"/>
      <c r="M33" s="375"/>
    </row>
    <row r="34" spans="1:13" s="167" customFormat="1" ht="33" customHeight="1" x14ac:dyDescent="0.25">
      <c r="A34" s="162">
        <v>22</v>
      </c>
      <c r="B34" s="162" t="s">
        <v>209</v>
      </c>
      <c r="C34" s="163" t="s">
        <v>210</v>
      </c>
      <c r="D34" s="162" t="s">
        <v>11</v>
      </c>
      <c r="E34" s="164" t="s">
        <v>211</v>
      </c>
      <c r="F34" s="165">
        <f>0.4*0.6*0.4*(377/2)</f>
        <v>18.096</v>
      </c>
      <c r="G34" s="364"/>
      <c r="H34" s="364"/>
      <c r="I34" s="363"/>
      <c r="J34" s="363"/>
      <c r="K34" s="364"/>
      <c r="L34" s="364"/>
      <c r="M34" s="363"/>
    </row>
    <row r="35" spans="1:13" s="172" customFormat="1" x14ac:dyDescent="0.25">
      <c r="A35" s="168"/>
      <c r="B35" s="168"/>
      <c r="C35" s="169" t="s">
        <v>212</v>
      </c>
      <c r="D35" s="168" t="s">
        <v>55</v>
      </c>
      <c r="E35" s="170">
        <v>2.06</v>
      </c>
      <c r="F35" s="171">
        <f>F34*E35</f>
        <v>37.277760000000001</v>
      </c>
      <c r="G35" s="703"/>
      <c r="H35" s="364">
        <f>F35*G35</f>
        <v>0</v>
      </c>
      <c r="I35" s="364"/>
      <c r="J35" s="363"/>
      <c r="K35" s="363"/>
      <c r="L35" s="364"/>
      <c r="M35" s="363">
        <f t="shared" ref="M35:M42" si="12">L35+J35+H35</f>
        <v>0</v>
      </c>
    </row>
    <row r="36" spans="1:13" s="167" customFormat="1" ht="27" x14ac:dyDescent="0.25">
      <c r="A36" s="162">
        <v>23</v>
      </c>
      <c r="B36" s="162" t="s">
        <v>361</v>
      </c>
      <c r="C36" s="163" t="s">
        <v>375</v>
      </c>
      <c r="D36" s="162" t="s">
        <v>51</v>
      </c>
      <c r="E36" s="164" t="s">
        <v>211</v>
      </c>
      <c r="F36" s="165">
        <f>(0.4*0.6*0.4*188)/100</f>
        <v>0.18048000000000003</v>
      </c>
      <c r="G36" s="364"/>
      <c r="H36" s="364"/>
      <c r="I36" s="364"/>
      <c r="J36" s="363"/>
      <c r="K36" s="363"/>
      <c r="L36" s="364"/>
      <c r="M36" s="363"/>
    </row>
    <row r="37" spans="1:13" s="172" customFormat="1" x14ac:dyDescent="0.25">
      <c r="A37" s="168"/>
      <c r="B37" s="168"/>
      <c r="C37" s="169" t="s">
        <v>212</v>
      </c>
      <c r="D37" s="168" t="s">
        <v>53</v>
      </c>
      <c r="E37" s="170">
        <v>450</v>
      </c>
      <c r="F37" s="171">
        <f>F36*E37</f>
        <v>81.216000000000008</v>
      </c>
      <c r="G37" s="703"/>
      <c r="H37" s="364">
        <f>F37*G37</f>
        <v>0</v>
      </c>
      <c r="I37" s="363"/>
      <c r="J37" s="363"/>
      <c r="K37" s="364"/>
      <c r="L37" s="364"/>
      <c r="M37" s="363">
        <f t="shared" si="12"/>
        <v>0</v>
      </c>
    </row>
    <row r="38" spans="1:13" s="172" customFormat="1" x14ac:dyDescent="0.25">
      <c r="A38" s="168"/>
      <c r="B38" s="168"/>
      <c r="C38" s="169" t="s">
        <v>45</v>
      </c>
      <c r="D38" s="168" t="s">
        <v>59</v>
      </c>
      <c r="E38" s="170">
        <v>37</v>
      </c>
      <c r="F38" s="171">
        <f>F36*E38</f>
        <v>6.677760000000001</v>
      </c>
      <c r="G38" s="364"/>
      <c r="H38" s="364"/>
      <c r="I38" s="364"/>
      <c r="J38" s="363"/>
      <c r="K38" s="709"/>
      <c r="L38" s="364">
        <f t="shared" ref="L38" si="13">K38*F38</f>
        <v>0</v>
      </c>
      <c r="M38" s="363">
        <f t="shared" si="12"/>
        <v>0</v>
      </c>
    </row>
    <row r="39" spans="1:13" s="172" customFormat="1" x14ac:dyDescent="0.25">
      <c r="A39" s="168"/>
      <c r="B39" s="168"/>
      <c r="C39" s="169" t="s">
        <v>213</v>
      </c>
      <c r="D39" s="168" t="s">
        <v>11</v>
      </c>
      <c r="E39" s="170">
        <v>102</v>
      </c>
      <c r="F39" s="171">
        <f>F36*E39</f>
        <v>18.408960000000004</v>
      </c>
      <c r="G39" s="364"/>
      <c r="H39" s="364"/>
      <c r="I39" s="709"/>
      <c r="J39" s="363">
        <f t="shared" ref="J39:J42" si="14">I39*F39</f>
        <v>0</v>
      </c>
      <c r="K39" s="364"/>
      <c r="L39" s="364"/>
      <c r="M39" s="363">
        <f t="shared" si="12"/>
        <v>0</v>
      </c>
    </row>
    <row r="40" spans="1:13" s="172" customFormat="1" x14ac:dyDescent="0.25">
      <c r="A40" s="168"/>
      <c r="B40" s="168"/>
      <c r="C40" s="169" t="s">
        <v>298</v>
      </c>
      <c r="D40" s="168" t="s">
        <v>18</v>
      </c>
      <c r="E40" s="170">
        <v>161</v>
      </c>
      <c r="F40" s="171">
        <f>E40*F36</f>
        <v>29.057280000000006</v>
      </c>
      <c r="G40" s="364"/>
      <c r="H40" s="364"/>
      <c r="I40" s="703"/>
      <c r="J40" s="363">
        <f t="shared" ref="J40" si="15">I40*F40</f>
        <v>0</v>
      </c>
      <c r="K40" s="363"/>
      <c r="L40" s="364"/>
      <c r="M40" s="363">
        <f t="shared" ref="M40" si="16">L40+J40+H40</f>
        <v>0</v>
      </c>
    </row>
    <row r="41" spans="1:13" s="172" customFormat="1" x14ac:dyDescent="0.25">
      <c r="A41" s="168"/>
      <c r="B41" s="168"/>
      <c r="C41" s="169" t="s">
        <v>214</v>
      </c>
      <c r="D41" s="168" t="s">
        <v>215</v>
      </c>
      <c r="E41" s="170">
        <v>1.72</v>
      </c>
      <c r="F41" s="171">
        <f>E41*F36</f>
        <v>0.31042560000000002</v>
      </c>
      <c r="G41" s="364"/>
      <c r="H41" s="364"/>
      <c r="I41" s="703"/>
      <c r="J41" s="363">
        <f t="shared" si="14"/>
        <v>0</v>
      </c>
      <c r="K41" s="363"/>
      <c r="L41" s="364"/>
      <c r="M41" s="363">
        <f t="shared" si="12"/>
        <v>0</v>
      </c>
    </row>
    <row r="42" spans="1:13" s="172" customFormat="1" x14ac:dyDescent="0.25">
      <c r="A42" s="168"/>
      <c r="B42" s="168"/>
      <c r="C42" s="169" t="s">
        <v>216</v>
      </c>
      <c r="D42" s="168" t="s">
        <v>16</v>
      </c>
      <c r="E42" s="170">
        <v>28</v>
      </c>
      <c r="F42" s="171">
        <f>E42*F36</f>
        <v>5.053440000000001</v>
      </c>
      <c r="G42" s="364"/>
      <c r="H42" s="364"/>
      <c r="I42" s="709"/>
      <c r="J42" s="363">
        <f t="shared" si="14"/>
        <v>0</v>
      </c>
      <c r="K42" s="364"/>
      <c r="L42" s="364"/>
      <c r="M42" s="363">
        <f t="shared" si="12"/>
        <v>0</v>
      </c>
    </row>
    <row r="43" spans="1:13" s="55" customFormat="1" ht="12.75" x14ac:dyDescent="0.25">
      <c r="A43" s="173"/>
      <c r="B43" s="173"/>
      <c r="C43" s="34" t="s">
        <v>217</v>
      </c>
      <c r="D43" s="173"/>
      <c r="E43" s="173"/>
      <c r="F43" s="173"/>
      <c r="G43" s="386"/>
      <c r="H43" s="362"/>
      <c r="I43" s="365"/>
      <c r="J43" s="362"/>
      <c r="K43" s="362"/>
      <c r="L43" s="362"/>
      <c r="M43" s="362"/>
    </row>
    <row r="44" spans="1:13" s="178" customFormat="1" ht="27" customHeight="1" x14ac:dyDescent="0.25">
      <c r="A44" s="174">
        <v>25</v>
      </c>
      <c r="B44" s="174" t="s">
        <v>220</v>
      </c>
      <c r="C44" s="175" t="s">
        <v>347</v>
      </c>
      <c r="D44" s="174" t="s">
        <v>18</v>
      </c>
      <c r="E44" s="174"/>
      <c r="F44" s="176">
        <v>11</v>
      </c>
      <c r="G44" s="365"/>
      <c r="H44" s="365"/>
      <c r="I44" s="365"/>
      <c r="J44" s="365"/>
      <c r="K44" s="365"/>
      <c r="L44" s="365"/>
      <c r="M44" s="365"/>
    </row>
    <row r="45" spans="1:13" s="55" customFormat="1" ht="12.75" x14ac:dyDescent="0.25">
      <c r="A45" s="54"/>
      <c r="B45" s="33"/>
      <c r="C45" s="56" t="s">
        <v>52</v>
      </c>
      <c r="D45" s="54" t="s">
        <v>53</v>
      </c>
      <c r="E45" s="54">
        <v>0.68</v>
      </c>
      <c r="F45" s="57">
        <f>F44*E45</f>
        <v>7.48</v>
      </c>
      <c r="G45" s="645"/>
      <c r="H45" s="362">
        <f>F45*G45</f>
        <v>0</v>
      </c>
      <c r="I45" s="365"/>
      <c r="J45" s="362"/>
      <c r="K45" s="362"/>
      <c r="L45" s="362"/>
      <c r="M45" s="362">
        <f t="shared" ref="M45:M49" si="17">L45+J45+H45</f>
        <v>0</v>
      </c>
    </row>
    <row r="46" spans="1:13" s="55" customFormat="1" ht="12.75" x14ac:dyDescent="0.25">
      <c r="A46" s="54"/>
      <c r="B46" s="54"/>
      <c r="C46" s="56" t="s">
        <v>56</v>
      </c>
      <c r="D46" s="54" t="s">
        <v>59</v>
      </c>
      <c r="E46" s="54">
        <v>2.9999999999999997E-4</v>
      </c>
      <c r="F46" s="57">
        <f>E46*F44</f>
        <v>3.2999999999999995E-3</v>
      </c>
      <c r="G46" s="362"/>
      <c r="H46" s="362"/>
      <c r="I46" s="365"/>
      <c r="J46" s="362"/>
      <c r="K46" s="645"/>
      <c r="L46" s="362">
        <f t="shared" ref="L46" si="18">K46*F46</f>
        <v>0</v>
      </c>
      <c r="M46" s="362">
        <f t="shared" si="17"/>
        <v>0</v>
      </c>
    </row>
    <row r="47" spans="1:13" s="55" customFormat="1" ht="12.75" x14ac:dyDescent="0.25">
      <c r="A47" s="54"/>
      <c r="B47" s="33"/>
      <c r="C47" s="56" t="s">
        <v>222</v>
      </c>
      <c r="D47" s="54" t="s">
        <v>22</v>
      </c>
      <c r="E47" s="54">
        <v>0.246</v>
      </c>
      <c r="F47" s="57">
        <f>E48*F44</f>
        <v>0.29699999999999999</v>
      </c>
      <c r="G47" s="362"/>
      <c r="H47" s="362"/>
      <c r="I47" s="666"/>
      <c r="J47" s="362">
        <f t="shared" ref="J47:J48" si="19">I47*F47</f>
        <v>0</v>
      </c>
      <c r="K47" s="362"/>
      <c r="L47" s="362"/>
      <c r="M47" s="362">
        <f t="shared" si="17"/>
        <v>0</v>
      </c>
    </row>
    <row r="48" spans="1:13" s="55" customFormat="1" ht="12.75" x14ac:dyDescent="0.25">
      <c r="A48" s="54"/>
      <c r="B48" s="33"/>
      <c r="C48" s="56" t="s">
        <v>223</v>
      </c>
      <c r="D48" s="54" t="s">
        <v>185</v>
      </c>
      <c r="E48" s="57">
        <v>2.7E-2</v>
      </c>
      <c r="F48" s="185">
        <f>F44*E48</f>
        <v>0.29699999999999999</v>
      </c>
      <c r="G48" s="362"/>
      <c r="H48" s="362"/>
      <c r="I48" s="666"/>
      <c r="J48" s="362">
        <f t="shared" si="19"/>
        <v>0</v>
      </c>
      <c r="K48" s="362"/>
      <c r="L48" s="362"/>
      <c r="M48" s="362">
        <f t="shared" si="17"/>
        <v>0</v>
      </c>
    </row>
    <row r="49" spans="1:13" s="55" customFormat="1" ht="12.75" x14ac:dyDescent="0.25">
      <c r="A49" s="54"/>
      <c r="B49" s="33"/>
      <c r="C49" s="173" t="s">
        <v>17</v>
      </c>
      <c r="D49" s="54" t="s">
        <v>59</v>
      </c>
      <c r="E49" s="54">
        <v>1.9E-3</v>
      </c>
      <c r="F49" s="57">
        <f>F44*E49</f>
        <v>2.0899999999999998E-2</v>
      </c>
      <c r="G49" s="362"/>
      <c r="H49" s="362"/>
      <c r="I49" s="666"/>
      <c r="J49" s="362">
        <f>I49*F49</f>
        <v>0</v>
      </c>
      <c r="K49" s="362"/>
      <c r="L49" s="362"/>
      <c r="M49" s="362">
        <f t="shared" si="17"/>
        <v>0</v>
      </c>
    </row>
    <row r="50" spans="1:13" s="167" customFormat="1" ht="56.25" customHeight="1" x14ac:dyDescent="0.25">
      <c r="A50" s="162">
        <v>26</v>
      </c>
      <c r="B50" s="235" t="s">
        <v>288</v>
      </c>
      <c r="C50" s="163" t="s">
        <v>255</v>
      </c>
      <c r="D50" s="162" t="s">
        <v>224</v>
      </c>
      <c r="E50" s="164" t="s">
        <v>211</v>
      </c>
      <c r="F50" s="165">
        <v>3.4</v>
      </c>
      <c r="G50" s="364"/>
      <c r="H50" s="364"/>
      <c r="I50" s="364"/>
      <c r="J50" s="364"/>
      <c r="K50" s="363"/>
      <c r="L50" s="363"/>
      <c r="M50" s="363"/>
    </row>
    <row r="51" spans="1:13" s="172" customFormat="1" x14ac:dyDescent="0.25">
      <c r="A51" s="168"/>
      <c r="B51" s="168"/>
      <c r="C51" s="169" t="s">
        <v>212</v>
      </c>
      <c r="D51" s="168" t="s">
        <v>53</v>
      </c>
      <c r="E51" s="170">
        <v>249</v>
      </c>
      <c r="F51" s="166">
        <f>F50*E51</f>
        <v>846.6</v>
      </c>
      <c r="G51" s="703"/>
      <c r="H51" s="364">
        <f>F51*G51</f>
        <v>0</v>
      </c>
      <c r="I51" s="363"/>
      <c r="J51" s="363"/>
      <c r="K51" s="364"/>
      <c r="L51" s="364"/>
      <c r="M51" s="363">
        <f t="shared" ref="M51:M52" si="20">H51+J51+L51</f>
        <v>0</v>
      </c>
    </row>
    <row r="52" spans="1:13" s="172" customFormat="1" ht="15.75" x14ac:dyDescent="0.25">
      <c r="A52" s="168"/>
      <c r="B52" s="179"/>
      <c r="C52" s="169" t="s">
        <v>289</v>
      </c>
      <c r="D52" s="168" t="s">
        <v>60</v>
      </c>
      <c r="E52" s="170">
        <v>18.100000000000001</v>
      </c>
      <c r="F52" s="166">
        <f>F50*E52</f>
        <v>61.540000000000006</v>
      </c>
      <c r="G52" s="364"/>
      <c r="H52" s="364"/>
      <c r="I52" s="364"/>
      <c r="J52" s="364"/>
      <c r="K52" s="709"/>
      <c r="L52" s="363">
        <f t="shared" ref="L52:L53" si="21">K52*F52</f>
        <v>0</v>
      </c>
      <c r="M52" s="363">
        <f t="shared" si="20"/>
        <v>0</v>
      </c>
    </row>
    <row r="53" spans="1:13" s="172" customFormat="1" x14ac:dyDescent="0.25">
      <c r="A53" s="168"/>
      <c r="B53" s="168"/>
      <c r="C53" s="169" t="s">
        <v>290</v>
      </c>
      <c r="D53" s="168" t="s">
        <v>16</v>
      </c>
      <c r="E53" s="170">
        <v>6</v>
      </c>
      <c r="F53" s="171">
        <f>F50*E53</f>
        <v>20.399999999999999</v>
      </c>
      <c r="G53" s="364"/>
      <c r="H53" s="364"/>
      <c r="I53" s="363"/>
      <c r="J53" s="363"/>
      <c r="K53" s="703"/>
      <c r="L53" s="364">
        <f t="shared" si="21"/>
        <v>0</v>
      </c>
      <c r="M53" s="363">
        <f>H53+J53+L53</f>
        <v>0</v>
      </c>
    </row>
    <row r="54" spans="1:13" s="172" customFormat="1" ht="15.75" x14ac:dyDescent="0.25">
      <c r="A54" s="168"/>
      <c r="B54" s="179"/>
      <c r="C54" s="169" t="s">
        <v>256</v>
      </c>
      <c r="D54" s="168" t="s">
        <v>60</v>
      </c>
      <c r="E54" s="170">
        <v>100</v>
      </c>
      <c r="F54" s="166">
        <f>F50*E54</f>
        <v>340</v>
      </c>
      <c r="G54" s="364"/>
      <c r="H54" s="364"/>
      <c r="I54" s="703"/>
      <c r="J54" s="364">
        <f t="shared" ref="J54:J55" si="22">I54*F54</f>
        <v>0</v>
      </c>
      <c r="K54" s="363"/>
      <c r="L54" s="363"/>
      <c r="M54" s="363">
        <f t="shared" ref="M54" si="23">H54+J54+L54</f>
        <v>0</v>
      </c>
    </row>
    <row r="55" spans="1:13" s="172" customFormat="1" x14ac:dyDescent="0.25">
      <c r="A55" s="168"/>
      <c r="B55" s="168"/>
      <c r="C55" s="169" t="s">
        <v>216</v>
      </c>
      <c r="D55" s="168" t="s">
        <v>16</v>
      </c>
      <c r="E55" s="170">
        <v>4</v>
      </c>
      <c r="F55" s="171">
        <f>E55*F50</f>
        <v>13.6</v>
      </c>
      <c r="G55" s="364"/>
      <c r="H55" s="364"/>
      <c r="I55" s="709"/>
      <c r="J55" s="363">
        <f t="shared" si="22"/>
        <v>0</v>
      </c>
      <c r="K55" s="364"/>
      <c r="L55" s="364"/>
      <c r="M55" s="363">
        <f>H55+J55+L55</f>
        <v>0</v>
      </c>
    </row>
    <row r="56" spans="1:13" s="167" customFormat="1" ht="56.25" customHeight="1" x14ac:dyDescent="0.25">
      <c r="A56" s="162">
        <v>3</v>
      </c>
      <c r="B56" s="235" t="s">
        <v>288</v>
      </c>
      <c r="C56" s="163" t="s">
        <v>384</v>
      </c>
      <c r="D56" s="162" t="s">
        <v>224</v>
      </c>
      <c r="E56" s="164" t="s">
        <v>211</v>
      </c>
      <c r="F56" s="165">
        <v>0.4</v>
      </c>
      <c r="G56" s="364"/>
      <c r="H56" s="364"/>
      <c r="I56" s="364"/>
      <c r="J56" s="364"/>
      <c r="K56" s="363"/>
      <c r="L56" s="363"/>
      <c r="M56" s="363"/>
    </row>
    <row r="57" spans="1:13" s="172" customFormat="1" x14ac:dyDescent="0.25">
      <c r="A57" s="168"/>
      <c r="B57" s="168"/>
      <c r="C57" s="169" t="s">
        <v>212</v>
      </c>
      <c r="D57" s="168" t="s">
        <v>53</v>
      </c>
      <c r="E57" s="170">
        <v>249</v>
      </c>
      <c r="F57" s="166">
        <f>F56*E57</f>
        <v>99.600000000000009</v>
      </c>
      <c r="G57" s="703"/>
      <c r="H57" s="364">
        <f>F57*G57</f>
        <v>0</v>
      </c>
      <c r="I57" s="363"/>
      <c r="J57" s="363"/>
      <c r="K57" s="364"/>
      <c r="L57" s="364"/>
      <c r="M57" s="363">
        <f t="shared" ref="M57" si="24">H57+J57+L57</f>
        <v>0</v>
      </c>
    </row>
    <row r="58" spans="1:13" s="172" customFormat="1" x14ac:dyDescent="0.25">
      <c r="A58" s="168"/>
      <c r="B58" s="168"/>
      <c r="C58" s="169" t="s">
        <v>290</v>
      </c>
      <c r="D58" s="168" t="s">
        <v>16</v>
      </c>
      <c r="E58" s="170">
        <v>6</v>
      </c>
      <c r="F58" s="171">
        <f>F56*E58</f>
        <v>2.4000000000000004</v>
      </c>
      <c r="G58" s="364"/>
      <c r="H58" s="364"/>
      <c r="I58" s="363"/>
      <c r="J58" s="363"/>
      <c r="K58" s="703"/>
      <c r="L58" s="364">
        <f t="shared" ref="L58" si="25">K58*F58</f>
        <v>0</v>
      </c>
      <c r="M58" s="363">
        <f>H58+J58+L58</f>
        <v>0</v>
      </c>
    </row>
    <row r="59" spans="1:13" s="172" customFormat="1" ht="27" x14ac:dyDescent="0.25">
      <c r="A59" s="168"/>
      <c r="B59" s="179"/>
      <c r="C59" s="234" t="s">
        <v>385</v>
      </c>
      <c r="D59" s="168" t="s">
        <v>196</v>
      </c>
      <c r="E59" s="170"/>
      <c r="F59" s="166">
        <f>40*1.8</f>
        <v>72</v>
      </c>
      <c r="G59" s="364"/>
      <c r="H59" s="364"/>
      <c r="I59" s="703"/>
      <c r="J59" s="364">
        <f t="shared" ref="J59:J62" si="26">I59*F59</f>
        <v>0</v>
      </c>
      <c r="K59" s="363"/>
      <c r="L59" s="363"/>
      <c r="M59" s="363">
        <f t="shared" ref="M59:M61" si="27">H59+J59+L59</f>
        <v>0</v>
      </c>
    </row>
    <row r="60" spans="1:13" s="172" customFormat="1" ht="15.75" x14ac:dyDescent="0.25">
      <c r="A60" s="168"/>
      <c r="B60" s="179"/>
      <c r="C60" s="169" t="s">
        <v>402</v>
      </c>
      <c r="D60" s="168" t="s">
        <v>60</v>
      </c>
      <c r="E60" s="170"/>
      <c r="F60" s="166">
        <f>40*3</f>
        <v>120</v>
      </c>
      <c r="G60" s="364"/>
      <c r="H60" s="364"/>
      <c r="I60" s="703"/>
      <c r="J60" s="364">
        <f t="shared" ref="J60" si="28">I60*F60</f>
        <v>0</v>
      </c>
      <c r="K60" s="363"/>
      <c r="L60" s="363"/>
      <c r="M60" s="363">
        <f t="shared" ref="M60" si="29">H60+J60+L60</f>
        <v>0</v>
      </c>
    </row>
    <row r="61" spans="1:13" s="172" customFormat="1" ht="15.75" x14ac:dyDescent="0.25">
      <c r="A61" s="168"/>
      <c r="B61" s="179"/>
      <c r="C61" s="169" t="s">
        <v>386</v>
      </c>
      <c r="D61" s="168" t="s">
        <v>60</v>
      </c>
      <c r="E61" s="170"/>
      <c r="F61" s="166">
        <f>40*3</f>
        <v>120</v>
      </c>
      <c r="G61" s="364"/>
      <c r="H61" s="364"/>
      <c r="I61" s="703"/>
      <c r="J61" s="364">
        <f t="shared" si="26"/>
        <v>0</v>
      </c>
      <c r="K61" s="363"/>
      <c r="L61" s="363"/>
      <c r="M61" s="363">
        <f t="shared" si="27"/>
        <v>0</v>
      </c>
    </row>
    <row r="62" spans="1:13" s="172" customFormat="1" x14ac:dyDescent="0.25">
      <c r="A62" s="168"/>
      <c r="B62" s="168"/>
      <c r="C62" s="169" t="s">
        <v>216</v>
      </c>
      <c r="D62" s="168" t="s">
        <v>16</v>
      </c>
      <c r="E62" s="170">
        <v>4</v>
      </c>
      <c r="F62" s="171">
        <f>E62*F56</f>
        <v>1.6</v>
      </c>
      <c r="G62" s="364"/>
      <c r="H62" s="364"/>
      <c r="I62" s="709"/>
      <c r="J62" s="363">
        <f t="shared" si="26"/>
        <v>0</v>
      </c>
      <c r="K62" s="364"/>
      <c r="L62" s="364"/>
      <c r="M62" s="363">
        <f>H62+J62+L62</f>
        <v>0</v>
      </c>
    </row>
    <row r="63" spans="1:13" s="55" customFormat="1" ht="12.75" x14ac:dyDescent="0.25">
      <c r="A63" s="146"/>
      <c r="B63" s="146"/>
      <c r="C63" s="147" t="s">
        <v>225</v>
      </c>
      <c r="D63" s="148"/>
      <c r="E63" s="148"/>
      <c r="F63" s="146"/>
      <c r="G63" s="375"/>
      <c r="H63" s="376"/>
      <c r="I63" s="375"/>
      <c r="J63" s="376"/>
      <c r="K63" s="375"/>
      <c r="L63" s="376"/>
      <c r="M63" s="375"/>
    </row>
    <row r="64" spans="1:13" s="167" customFormat="1" ht="33" customHeight="1" x14ac:dyDescent="0.25">
      <c r="A64" s="162">
        <v>27</v>
      </c>
      <c r="B64" s="162" t="s">
        <v>209</v>
      </c>
      <c r="C64" s="163" t="s">
        <v>226</v>
      </c>
      <c r="D64" s="162" t="s">
        <v>11</v>
      </c>
      <c r="E64" s="164" t="s">
        <v>211</v>
      </c>
      <c r="F64" s="165">
        <f>0.4*0.8*0.4*9</f>
        <v>1.1520000000000004</v>
      </c>
      <c r="G64" s="364"/>
      <c r="H64" s="364"/>
      <c r="I64" s="363"/>
      <c r="J64" s="363"/>
      <c r="K64" s="364"/>
      <c r="L64" s="364"/>
      <c r="M64" s="363"/>
    </row>
    <row r="65" spans="1:17" s="172" customFormat="1" x14ac:dyDescent="0.25">
      <c r="A65" s="168"/>
      <c r="B65" s="168"/>
      <c r="C65" s="169" t="s">
        <v>212</v>
      </c>
      <c r="D65" s="168" t="s">
        <v>55</v>
      </c>
      <c r="E65" s="170">
        <v>2.06</v>
      </c>
      <c r="F65" s="171">
        <f>F64*E65</f>
        <v>2.373120000000001</v>
      </c>
      <c r="G65" s="703"/>
      <c r="H65" s="364">
        <f>F65*G65</f>
        <v>0</v>
      </c>
      <c r="I65" s="364"/>
      <c r="J65" s="363"/>
      <c r="K65" s="363"/>
      <c r="L65" s="364"/>
      <c r="M65" s="363">
        <f t="shared" ref="M65" si="30">L65+J65+H65</f>
        <v>0</v>
      </c>
    </row>
    <row r="66" spans="1:17" s="167" customFormat="1" ht="27" x14ac:dyDescent="0.25">
      <c r="A66" s="162">
        <v>28</v>
      </c>
      <c r="B66" s="162"/>
      <c r="C66" s="163" t="s">
        <v>227</v>
      </c>
      <c r="D66" s="162" t="s">
        <v>11</v>
      </c>
      <c r="E66" s="164" t="s">
        <v>211</v>
      </c>
      <c r="F66" s="165">
        <f>0.4*0.3*340</f>
        <v>40.799999999999997</v>
      </c>
      <c r="G66" s="364"/>
      <c r="H66" s="364"/>
      <c r="I66" s="363"/>
      <c r="J66" s="363"/>
      <c r="K66" s="364"/>
      <c r="L66" s="364"/>
      <c r="M66" s="363"/>
    </row>
    <row r="67" spans="1:17" s="172" customFormat="1" x14ac:dyDescent="0.25">
      <c r="A67" s="168"/>
      <c r="B67" s="168"/>
      <c r="C67" s="169" t="s">
        <v>212</v>
      </c>
      <c r="D67" s="168" t="s">
        <v>55</v>
      </c>
      <c r="E67" s="170">
        <v>2.06</v>
      </c>
      <c r="F67" s="171">
        <f>F66*E67</f>
        <v>84.048000000000002</v>
      </c>
      <c r="G67" s="703"/>
      <c r="H67" s="364">
        <f>F67*G67</f>
        <v>0</v>
      </c>
      <c r="I67" s="364"/>
      <c r="J67" s="363"/>
      <c r="K67" s="363"/>
      <c r="L67" s="364"/>
      <c r="M67" s="363">
        <f t="shared" ref="M67" si="31">L67+J67+H67</f>
        <v>0</v>
      </c>
    </row>
    <row r="68" spans="1:17" s="167" customFormat="1" ht="27" x14ac:dyDescent="0.25">
      <c r="A68" s="162">
        <v>29</v>
      </c>
      <c r="B68" s="162" t="s">
        <v>228</v>
      </c>
      <c r="C68" s="163" t="s">
        <v>376</v>
      </c>
      <c r="D68" s="162" t="s">
        <v>51</v>
      </c>
      <c r="E68" s="164" t="s">
        <v>211</v>
      </c>
      <c r="F68" s="165">
        <f>(0.4*0.8*0.4*9)/100</f>
        <v>1.1520000000000004E-2</v>
      </c>
      <c r="G68" s="364"/>
      <c r="H68" s="364"/>
      <c r="I68" s="364"/>
      <c r="J68" s="363"/>
      <c r="K68" s="363"/>
      <c r="L68" s="364"/>
      <c r="M68" s="363"/>
    </row>
    <row r="69" spans="1:17" s="172" customFormat="1" x14ac:dyDescent="0.25">
      <c r="A69" s="168"/>
      <c r="B69" s="168"/>
      <c r="C69" s="169" t="s">
        <v>212</v>
      </c>
      <c r="D69" s="168" t="s">
        <v>53</v>
      </c>
      <c r="E69" s="170">
        <v>450</v>
      </c>
      <c r="F69" s="171">
        <f>F68*E69</f>
        <v>5.1840000000000019</v>
      </c>
      <c r="G69" s="703"/>
      <c r="H69" s="364">
        <f>F69*G69</f>
        <v>0</v>
      </c>
      <c r="I69" s="363"/>
      <c r="J69" s="363"/>
      <c r="K69" s="364"/>
      <c r="L69" s="364"/>
      <c r="M69" s="363">
        <f t="shared" ref="M69:M80" si="32">L69+J69+H69</f>
        <v>0</v>
      </c>
    </row>
    <row r="70" spans="1:17" s="172" customFormat="1" x14ac:dyDescent="0.25">
      <c r="A70" s="168"/>
      <c r="B70" s="168"/>
      <c r="C70" s="169" t="s">
        <v>45</v>
      </c>
      <c r="D70" s="168" t="s">
        <v>59</v>
      </c>
      <c r="E70" s="170">
        <v>37</v>
      </c>
      <c r="F70" s="171">
        <f>F68*E70</f>
        <v>0.42624000000000017</v>
      </c>
      <c r="G70" s="364"/>
      <c r="H70" s="364"/>
      <c r="I70" s="364"/>
      <c r="J70" s="363"/>
      <c r="K70" s="703"/>
      <c r="L70" s="364">
        <f t="shared" ref="L70" si="33">K70*F70</f>
        <v>0</v>
      </c>
      <c r="M70" s="363">
        <f t="shared" si="32"/>
        <v>0</v>
      </c>
    </row>
    <row r="71" spans="1:17" s="172" customFormat="1" x14ac:dyDescent="0.25">
      <c r="A71" s="168"/>
      <c r="B71" s="33"/>
      <c r="C71" s="169" t="s">
        <v>213</v>
      </c>
      <c r="D71" s="168" t="s">
        <v>11</v>
      </c>
      <c r="E71" s="170">
        <v>102</v>
      </c>
      <c r="F71" s="171">
        <f>F68*E71</f>
        <v>1.1750400000000005</v>
      </c>
      <c r="G71" s="364"/>
      <c r="H71" s="364"/>
      <c r="I71" s="709"/>
      <c r="J71" s="363">
        <f t="shared" ref="J71:J74" si="34">I71*F71</f>
        <v>0</v>
      </c>
      <c r="K71" s="364"/>
      <c r="L71" s="364"/>
      <c r="M71" s="363">
        <f t="shared" si="32"/>
        <v>0</v>
      </c>
    </row>
    <row r="72" spans="1:17" s="172" customFormat="1" x14ac:dyDescent="0.25">
      <c r="A72" s="168"/>
      <c r="B72" s="33"/>
      <c r="C72" s="169" t="s">
        <v>291</v>
      </c>
      <c r="D72" s="168" t="s">
        <v>215</v>
      </c>
      <c r="E72" s="170">
        <v>161</v>
      </c>
      <c r="F72" s="171">
        <f>F68*E72</f>
        <v>1.8547200000000006</v>
      </c>
      <c r="G72" s="364"/>
      <c r="H72" s="364"/>
      <c r="I72" s="703"/>
      <c r="J72" s="363">
        <f t="shared" ref="J72" si="35">I72*F72</f>
        <v>0</v>
      </c>
      <c r="K72" s="363"/>
      <c r="L72" s="364"/>
      <c r="M72" s="363">
        <f t="shared" ref="M72" si="36">L72+J72+H72</f>
        <v>0</v>
      </c>
    </row>
    <row r="73" spans="1:17" s="172" customFormat="1" x14ac:dyDescent="0.25">
      <c r="A73" s="168"/>
      <c r="B73" s="33"/>
      <c r="C73" s="169" t="s">
        <v>292</v>
      </c>
      <c r="D73" s="168" t="s">
        <v>215</v>
      </c>
      <c r="E73" s="170">
        <v>1.72</v>
      </c>
      <c r="F73" s="171">
        <f>E73*F68</f>
        <v>1.9814400000000006E-2</v>
      </c>
      <c r="G73" s="364"/>
      <c r="H73" s="364"/>
      <c r="I73" s="703"/>
      <c r="J73" s="363">
        <f t="shared" si="34"/>
        <v>0</v>
      </c>
      <c r="K73" s="363"/>
      <c r="L73" s="364"/>
      <c r="M73" s="363">
        <f t="shared" si="32"/>
        <v>0</v>
      </c>
    </row>
    <row r="74" spans="1:17" s="172" customFormat="1" x14ac:dyDescent="0.25">
      <c r="A74" s="168"/>
      <c r="B74" s="168"/>
      <c r="C74" s="169" t="s">
        <v>216</v>
      </c>
      <c r="D74" s="168" t="s">
        <v>16</v>
      </c>
      <c r="E74" s="170">
        <v>28</v>
      </c>
      <c r="F74" s="171">
        <f>E74*F68</f>
        <v>0.32256000000000012</v>
      </c>
      <c r="G74" s="364"/>
      <c r="H74" s="364"/>
      <c r="I74" s="709"/>
      <c r="J74" s="363">
        <f t="shared" si="34"/>
        <v>0</v>
      </c>
      <c r="K74" s="364"/>
      <c r="L74" s="364"/>
      <c r="M74" s="363">
        <f t="shared" si="32"/>
        <v>0</v>
      </c>
    </row>
    <row r="75" spans="1:17" s="183" customFormat="1" ht="15" x14ac:dyDescent="0.25">
      <c r="A75" s="34">
        <v>30</v>
      </c>
      <c r="B75" s="180" t="s">
        <v>382</v>
      </c>
      <c r="C75" s="299" t="s">
        <v>229</v>
      </c>
      <c r="D75" s="34" t="s">
        <v>13</v>
      </c>
      <c r="E75" s="158"/>
      <c r="F75" s="181">
        <f>(45*7.54)/1000</f>
        <v>0.33929999999999999</v>
      </c>
      <c r="G75" s="362"/>
      <c r="H75" s="362"/>
      <c r="I75" s="365"/>
      <c r="J75" s="362"/>
      <c r="K75" s="362"/>
      <c r="L75" s="362"/>
      <c r="M75" s="362">
        <f t="shared" si="32"/>
        <v>0</v>
      </c>
      <c r="N75" s="182"/>
      <c r="O75" s="182"/>
      <c r="P75" s="182"/>
      <c r="Q75" s="182"/>
    </row>
    <row r="76" spans="1:17" s="141" customFormat="1" ht="15" x14ac:dyDescent="0.25">
      <c r="A76" s="54"/>
      <c r="B76" s="33"/>
      <c r="C76" s="56" t="s">
        <v>230</v>
      </c>
      <c r="D76" s="54" t="s">
        <v>53</v>
      </c>
      <c r="E76" s="57">
        <v>9.15</v>
      </c>
      <c r="F76" s="57">
        <f>F75*E76</f>
        <v>3.1045950000000002</v>
      </c>
      <c r="G76" s="645"/>
      <c r="H76" s="362">
        <f>F76*G76</f>
        <v>0</v>
      </c>
      <c r="I76" s="365"/>
      <c r="J76" s="362"/>
      <c r="K76" s="362"/>
      <c r="L76" s="362"/>
      <c r="M76" s="362">
        <f t="shared" si="32"/>
        <v>0</v>
      </c>
      <c r="N76" s="184"/>
      <c r="O76" s="184"/>
      <c r="P76" s="184"/>
      <c r="Q76" s="184"/>
    </row>
    <row r="77" spans="1:17" s="55" customFormat="1" ht="12.75" x14ac:dyDescent="0.25">
      <c r="A77" s="54"/>
      <c r="B77" s="33"/>
      <c r="C77" s="56" t="s">
        <v>218</v>
      </c>
      <c r="D77" s="54" t="s">
        <v>60</v>
      </c>
      <c r="E77" s="57"/>
      <c r="F77" s="57">
        <f>5*9</f>
        <v>45</v>
      </c>
      <c r="G77" s="362"/>
      <c r="H77" s="362"/>
      <c r="I77" s="666"/>
      <c r="J77" s="362">
        <f t="shared" ref="J77:J79" si="37">I77*F77</f>
        <v>0</v>
      </c>
      <c r="K77" s="362"/>
      <c r="L77" s="362"/>
      <c r="M77" s="362">
        <f t="shared" si="32"/>
        <v>0</v>
      </c>
    </row>
    <row r="78" spans="1:17" s="141" customFormat="1" ht="15" x14ac:dyDescent="0.25">
      <c r="A78" s="54"/>
      <c r="B78" s="33"/>
      <c r="C78" s="56" t="s">
        <v>231</v>
      </c>
      <c r="D78" s="54" t="s">
        <v>60</v>
      </c>
      <c r="E78" s="57"/>
      <c r="F78" s="57">
        <f>0.6*9</f>
        <v>5.3999999999999995</v>
      </c>
      <c r="G78" s="362"/>
      <c r="H78" s="362"/>
      <c r="I78" s="666"/>
      <c r="J78" s="362">
        <f t="shared" si="37"/>
        <v>0</v>
      </c>
      <c r="K78" s="362"/>
      <c r="L78" s="362"/>
      <c r="M78" s="362">
        <f t="shared" si="32"/>
        <v>0</v>
      </c>
      <c r="N78" s="184"/>
      <c r="O78" s="184"/>
      <c r="P78" s="184"/>
      <c r="Q78" s="184"/>
    </row>
    <row r="79" spans="1:17" s="141" customFormat="1" ht="15" x14ac:dyDescent="0.25">
      <c r="A79" s="54"/>
      <c r="B79" s="33"/>
      <c r="C79" s="56" t="s">
        <v>219</v>
      </c>
      <c r="D79" s="54" t="s">
        <v>22</v>
      </c>
      <c r="E79" s="57">
        <v>2</v>
      </c>
      <c r="F79" s="57">
        <f>E79*F75</f>
        <v>0.67859999999999998</v>
      </c>
      <c r="G79" s="362"/>
      <c r="H79" s="362"/>
      <c r="I79" s="666"/>
      <c r="J79" s="362">
        <f t="shared" si="37"/>
        <v>0</v>
      </c>
      <c r="K79" s="362"/>
      <c r="L79" s="362"/>
      <c r="M79" s="362">
        <f t="shared" si="32"/>
        <v>0</v>
      </c>
      <c r="N79" s="184"/>
      <c r="O79" s="184"/>
      <c r="P79" s="184"/>
      <c r="Q79" s="184"/>
    </row>
    <row r="80" spans="1:17" s="141" customFormat="1" ht="15" x14ac:dyDescent="0.25">
      <c r="A80" s="54"/>
      <c r="B80" s="54"/>
      <c r="C80" s="56" t="s">
        <v>232</v>
      </c>
      <c r="D80" s="54" t="s">
        <v>59</v>
      </c>
      <c r="E80" s="57">
        <v>2.78</v>
      </c>
      <c r="F80" s="57">
        <f>F75*E80</f>
        <v>0.94325399999999993</v>
      </c>
      <c r="G80" s="362"/>
      <c r="H80" s="362"/>
      <c r="I80" s="365"/>
      <c r="J80" s="362"/>
      <c r="K80" s="645"/>
      <c r="L80" s="362">
        <f t="shared" ref="L80" si="38">K80*F80</f>
        <v>0</v>
      </c>
      <c r="M80" s="362">
        <f t="shared" si="32"/>
        <v>0</v>
      </c>
      <c r="N80" s="184"/>
      <c r="O80" s="184"/>
      <c r="P80" s="184"/>
      <c r="Q80" s="184"/>
    </row>
    <row r="81" spans="1:26" s="178" customFormat="1" ht="27" customHeight="1" x14ac:dyDescent="0.25">
      <c r="A81" s="174">
        <v>31</v>
      </c>
      <c r="B81" s="174" t="s">
        <v>220</v>
      </c>
      <c r="C81" s="18" t="s">
        <v>341</v>
      </c>
      <c r="D81" s="174" t="s">
        <v>18</v>
      </c>
      <c r="E81" s="174"/>
      <c r="F81" s="176">
        <v>14.6</v>
      </c>
      <c r="G81" s="365"/>
      <c r="H81" s="365"/>
      <c r="I81" s="365"/>
      <c r="J81" s="365"/>
      <c r="K81" s="365"/>
      <c r="L81" s="365"/>
      <c r="M81" s="365"/>
    </row>
    <row r="82" spans="1:26" s="55" customFormat="1" ht="12.75" x14ac:dyDescent="0.25">
      <c r="A82" s="54"/>
      <c r="B82" s="33"/>
      <c r="C82" s="56" t="s">
        <v>52</v>
      </c>
      <c r="D82" s="54" t="s">
        <v>53</v>
      </c>
      <c r="E82" s="54">
        <v>0.68</v>
      </c>
      <c r="F82" s="57">
        <f>F81*E82</f>
        <v>9.9280000000000008</v>
      </c>
      <c r="G82" s="645"/>
      <c r="H82" s="362">
        <f>F82*G82</f>
        <v>0</v>
      </c>
      <c r="I82" s="365"/>
      <c r="J82" s="362"/>
      <c r="K82" s="362"/>
      <c r="L82" s="362"/>
      <c r="M82" s="362">
        <f t="shared" ref="M82:M86" si="39">L82+J82+H82</f>
        <v>0</v>
      </c>
    </row>
    <row r="83" spans="1:26" s="55" customFormat="1" ht="12.75" x14ac:dyDescent="0.25">
      <c r="A83" s="54"/>
      <c r="B83" s="54"/>
      <c r="C83" s="56" t="s">
        <v>56</v>
      </c>
      <c r="D83" s="54" t="s">
        <v>59</v>
      </c>
      <c r="E83" s="54">
        <v>2.9999999999999997E-4</v>
      </c>
      <c r="F83" s="57">
        <f>E83*F81</f>
        <v>4.3799999999999993E-3</v>
      </c>
      <c r="G83" s="362"/>
      <c r="H83" s="362"/>
      <c r="I83" s="365"/>
      <c r="J83" s="362"/>
      <c r="K83" s="645"/>
      <c r="L83" s="362">
        <f t="shared" ref="L83" si="40">K83*F83</f>
        <v>0</v>
      </c>
      <c r="M83" s="362">
        <f t="shared" si="39"/>
        <v>0</v>
      </c>
    </row>
    <row r="84" spans="1:26" s="55" customFormat="1" ht="12.75" x14ac:dyDescent="0.25">
      <c r="A84" s="54"/>
      <c r="B84" s="33"/>
      <c r="C84" s="56" t="s">
        <v>222</v>
      </c>
      <c r="D84" s="54" t="s">
        <v>22</v>
      </c>
      <c r="E84" s="54">
        <v>0.246</v>
      </c>
      <c r="F84" s="57">
        <f>E85*F81</f>
        <v>0.39419999999999999</v>
      </c>
      <c r="G84" s="362"/>
      <c r="H84" s="362"/>
      <c r="I84" s="666"/>
      <c r="J84" s="362">
        <f t="shared" ref="J84:J85" si="41">I84*F84</f>
        <v>0</v>
      </c>
      <c r="K84" s="362"/>
      <c r="L84" s="362"/>
      <c r="M84" s="362">
        <f t="shared" si="39"/>
        <v>0</v>
      </c>
    </row>
    <row r="85" spans="1:26" s="55" customFormat="1" ht="12.75" x14ac:dyDescent="0.25">
      <c r="A85" s="54"/>
      <c r="B85" s="33"/>
      <c r="C85" s="56" t="s">
        <v>223</v>
      </c>
      <c r="D85" s="54" t="s">
        <v>185</v>
      </c>
      <c r="E85" s="57">
        <v>2.7E-2</v>
      </c>
      <c r="F85" s="185">
        <f>F81*E85</f>
        <v>0.39419999999999999</v>
      </c>
      <c r="G85" s="362"/>
      <c r="H85" s="362"/>
      <c r="I85" s="666"/>
      <c r="J85" s="362">
        <f t="shared" si="41"/>
        <v>0</v>
      </c>
      <c r="K85" s="362"/>
      <c r="L85" s="362"/>
      <c r="M85" s="362">
        <f t="shared" si="39"/>
        <v>0</v>
      </c>
    </row>
    <row r="86" spans="1:26" s="55" customFormat="1" ht="12.75" x14ac:dyDescent="0.25">
      <c r="A86" s="54"/>
      <c r="B86" s="33"/>
      <c r="C86" s="173" t="s">
        <v>17</v>
      </c>
      <c r="D86" s="54" t="s">
        <v>59</v>
      </c>
      <c r="E86" s="54">
        <v>1.9E-3</v>
      </c>
      <c r="F86" s="57">
        <f>F81*E86</f>
        <v>2.7740000000000001E-2</v>
      </c>
      <c r="G86" s="362"/>
      <c r="H86" s="362"/>
      <c r="I86" s="666"/>
      <c r="J86" s="362">
        <f>I86*F86</f>
        <v>0</v>
      </c>
      <c r="K86" s="362"/>
      <c r="L86" s="362"/>
      <c r="M86" s="362">
        <f t="shared" si="39"/>
        <v>0</v>
      </c>
    </row>
    <row r="87" spans="1:26" s="287" customFormat="1" ht="17.25" customHeight="1" x14ac:dyDescent="0.25">
      <c r="A87" s="281"/>
      <c r="B87" s="282"/>
      <c r="C87" s="399" t="s">
        <v>440</v>
      </c>
      <c r="D87" s="295"/>
      <c r="E87" s="316"/>
      <c r="F87" s="250"/>
      <c r="G87" s="250"/>
      <c r="H87" s="282"/>
      <c r="I87" s="286"/>
      <c r="J87" s="282"/>
      <c r="K87" s="282"/>
      <c r="L87" s="282"/>
      <c r="M87" s="282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</row>
    <row r="88" spans="1:26" s="203" customFormat="1" ht="40.5" x14ac:dyDescent="0.25">
      <c r="A88" s="198">
        <v>1</v>
      </c>
      <c r="B88" s="199" t="s">
        <v>271</v>
      </c>
      <c r="C88" s="200" t="s">
        <v>270</v>
      </c>
      <c r="D88" s="201" t="s">
        <v>54</v>
      </c>
      <c r="E88" s="191"/>
      <c r="F88" s="202">
        <f>8*0.2</f>
        <v>1.6</v>
      </c>
      <c r="G88" s="191"/>
      <c r="H88" s="425"/>
      <c r="I88" s="191"/>
      <c r="J88" s="191"/>
      <c r="K88" s="426"/>
      <c r="L88" s="191"/>
      <c r="M88" s="191"/>
      <c r="O88" s="338"/>
    </row>
    <row r="89" spans="1:26" s="192" customFormat="1" ht="15.75" customHeight="1" x14ac:dyDescent="0.25">
      <c r="A89" s="187" t="s">
        <v>263</v>
      </c>
      <c r="B89" s="188"/>
      <c r="C89" s="193" t="s">
        <v>69</v>
      </c>
      <c r="D89" s="189" t="s">
        <v>70</v>
      </c>
      <c r="E89" s="194">
        <f>13.2*0.001</f>
        <v>1.32E-2</v>
      </c>
      <c r="F89" s="190">
        <f>E89*F88</f>
        <v>2.112E-2</v>
      </c>
      <c r="G89" s="704"/>
      <c r="H89" s="190">
        <f>F89*G89</f>
        <v>0</v>
      </c>
      <c r="I89" s="190"/>
      <c r="J89" s="190"/>
      <c r="K89" s="427"/>
      <c r="L89" s="190"/>
      <c r="M89" s="190">
        <f t="shared" ref="M89:M92" si="42">H89+J89+L89</f>
        <v>0</v>
      </c>
      <c r="O89" s="339"/>
    </row>
    <row r="90" spans="1:26" s="192" customFormat="1" ht="15.75" customHeight="1" x14ac:dyDescent="0.25">
      <c r="A90" s="187" t="s">
        <v>263</v>
      </c>
      <c r="B90" s="189"/>
      <c r="C90" s="193" t="s">
        <v>264</v>
      </c>
      <c r="D90" s="189" t="s">
        <v>265</v>
      </c>
      <c r="E90" s="194">
        <f>29.5*0.001</f>
        <v>2.9500000000000002E-2</v>
      </c>
      <c r="F90" s="190">
        <f>E90*F88</f>
        <v>4.7200000000000006E-2</v>
      </c>
      <c r="G90" s="190"/>
      <c r="H90" s="190"/>
      <c r="I90" s="190"/>
      <c r="J90" s="190"/>
      <c r="K90" s="710"/>
      <c r="L90" s="190">
        <f>K90*F90</f>
        <v>0</v>
      </c>
      <c r="M90" s="190">
        <f t="shared" si="42"/>
        <v>0</v>
      </c>
      <c r="O90" s="339"/>
    </row>
    <row r="91" spans="1:26" s="192" customFormat="1" ht="15.75" customHeight="1" x14ac:dyDescent="0.25">
      <c r="A91" s="187" t="s">
        <v>263</v>
      </c>
      <c r="B91" s="193"/>
      <c r="C91" s="193" t="s">
        <v>266</v>
      </c>
      <c r="D91" s="189" t="s">
        <v>16</v>
      </c>
      <c r="E91" s="194">
        <f>2.1*0.001</f>
        <v>2.1000000000000003E-3</v>
      </c>
      <c r="F91" s="190">
        <f>E91*F88</f>
        <v>3.3600000000000006E-3</v>
      </c>
      <c r="G91" s="190"/>
      <c r="H91" s="190"/>
      <c r="I91" s="190"/>
      <c r="J91" s="190"/>
      <c r="K91" s="710"/>
      <c r="L91" s="190">
        <f t="shared" ref="L91" si="43">K91*F91</f>
        <v>0</v>
      </c>
      <c r="M91" s="190">
        <f t="shared" si="42"/>
        <v>0</v>
      </c>
      <c r="O91" s="339"/>
    </row>
    <row r="92" spans="1:26" s="192" customFormat="1" ht="15.75" customHeight="1" x14ac:dyDescent="0.25">
      <c r="A92" s="187" t="s">
        <v>263</v>
      </c>
      <c r="B92" s="188"/>
      <c r="C92" s="193" t="s">
        <v>267</v>
      </c>
      <c r="D92" s="189" t="s">
        <v>57</v>
      </c>
      <c r="E92" s="195">
        <f>0.05*0.001</f>
        <v>5.0000000000000002E-5</v>
      </c>
      <c r="F92" s="190">
        <f>E92*F88</f>
        <v>8.0000000000000007E-5</v>
      </c>
      <c r="G92" s="190"/>
      <c r="H92" s="190"/>
      <c r="I92" s="710"/>
      <c r="J92" s="190">
        <f t="shared" ref="J92" si="44">I92*F92</f>
        <v>0</v>
      </c>
      <c r="K92" s="427"/>
      <c r="L92" s="190"/>
      <c r="M92" s="190">
        <f t="shared" si="42"/>
        <v>0</v>
      </c>
      <c r="O92" s="339"/>
    </row>
    <row r="93" spans="1:26" s="205" customFormat="1" ht="27" x14ac:dyDescent="0.25">
      <c r="A93" s="204">
        <v>2</v>
      </c>
      <c r="B93" s="204" t="s">
        <v>258</v>
      </c>
      <c r="C93" s="23" t="s">
        <v>441</v>
      </c>
      <c r="D93" s="17" t="s">
        <v>259</v>
      </c>
      <c r="E93" s="202"/>
      <c r="F93" s="202">
        <f>F88</f>
        <v>1.6</v>
      </c>
      <c r="G93" s="428"/>
      <c r="H93" s="428"/>
      <c r="I93" s="428"/>
      <c r="J93" s="428"/>
      <c r="K93" s="428"/>
      <c r="L93" s="428"/>
      <c r="M93" s="429"/>
    </row>
    <row r="94" spans="1:26" s="186" customFormat="1" x14ac:dyDescent="0.25">
      <c r="A94" s="206"/>
      <c r="B94" s="206"/>
      <c r="C94" s="229" t="s">
        <v>206</v>
      </c>
      <c r="D94" s="207" t="s">
        <v>70</v>
      </c>
      <c r="E94" s="208">
        <v>0.15</v>
      </c>
      <c r="F94" s="208">
        <f>F93*E94</f>
        <v>0.24</v>
      </c>
      <c r="G94" s="705"/>
      <c r="H94" s="208">
        <f>F94*G94</f>
        <v>0</v>
      </c>
      <c r="I94" s="430"/>
      <c r="J94" s="430"/>
      <c r="K94" s="430"/>
      <c r="L94" s="430"/>
      <c r="M94" s="208">
        <f t="shared" ref="M94:M99" si="45">H94+J94+L94</f>
        <v>0</v>
      </c>
    </row>
    <row r="95" spans="1:26" s="186" customFormat="1" x14ac:dyDescent="0.25">
      <c r="A95" s="206"/>
      <c r="B95" s="206"/>
      <c r="C95" s="229" t="s">
        <v>268</v>
      </c>
      <c r="D95" s="207" t="s">
        <v>259</v>
      </c>
      <c r="E95" s="208">
        <v>1.22</v>
      </c>
      <c r="F95" s="208">
        <f>F93*E95</f>
        <v>1.952</v>
      </c>
      <c r="G95" s="430"/>
      <c r="H95" s="430"/>
      <c r="I95" s="705"/>
      <c r="J95" s="208">
        <f t="shared" ref="J95" si="46">I95*F95</f>
        <v>0</v>
      </c>
      <c r="K95" s="430"/>
      <c r="L95" s="430"/>
      <c r="M95" s="208">
        <f t="shared" si="45"/>
        <v>0</v>
      </c>
    </row>
    <row r="96" spans="1:26" s="186" customFormat="1" x14ac:dyDescent="0.25">
      <c r="A96" s="206"/>
      <c r="B96" s="207"/>
      <c r="C96" s="229" t="s">
        <v>260</v>
      </c>
      <c r="D96" s="207" t="s">
        <v>261</v>
      </c>
      <c r="E96" s="209">
        <v>2.1600000000000001E-2</v>
      </c>
      <c r="F96" s="208">
        <f>F93*E96</f>
        <v>3.456E-2</v>
      </c>
      <c r="G96" s="430"/>
      <c r="H96" s="430"/>
      <c r="I96" s="208"/>
      <c r="J96" s="208"/>
      <c r="K96" s="705"/>
      <c r="L96" s="208">
        <f>F96*K96</f>
        <v>0</v>
      </c>
      <c r="M96" s="208">
        <f t="shared" si="45"/>
        <v>0</v>
      </c>
    </row>
    <row r="97" spans="1:15" s="186" customFormat="1" x14ac:dyDescent="0.25">
      <c r="A97" s="206"/>
      <c r="B97" s="207"/>
      <c r="C97" s="229" t="s">
        <v>262</v>
      </c>
      <c r="D97" s="207" t="s">
        <v>261</v>
      </c>
      <c r="E97" s="209">
        <v>2.7300000000000001E-2</v>
      </c>
      <c r="F97" s="208">
        <f>F93*E97</f>
        <v>4.3680000000000004E-2</v>
      </c>
      <c r="G97" s="430"/>
      <c r="H97" s="430"/>
      <c r="I97" s="208"/>
      <c r="J97" s="208"/>
      <c r="K97" s="705"/>
      <c r="L97" s="208">
        <f t="shared" ref="L97" si="47">F97*K97</f>
        <v>0</v>
      </c>
      <c r="M97" s="208">
        <f t="shared" si="45"/>
        <v>0</v>
      </c>
    </row>
    <row r="98" spans="1:15" s="186" customFormat="1" x14ac:dyDescent="0.25">
      <c r="A98" s="206"/>
      <c r="B98" s="207"/>
      <c r="C98" s="229" t="s">
        <v>286</v>
      </c>
      <c r="D98" s="207" t="s">
        <v>261</v>
      </c>
      <c r="E98" s="209">
        <v>9.7000000000000003E-3</v>
      </c>
      <c r="F98" s="208">
        <f>F93*E98</f>
        <v>1.5520000000000001E-2</v>
      </c>
      <c r="G98" s="430"/>
      <c r="H98" s="430"/>
      <c r="I98" s="208"/>
      <c r="J98" s="208"/>
      <c r="K98" s="705"/>
      <c r="L98" s="208">
        <f>F98*K98</f>
        <v>0</v>
      </c>
      <c r="M98" s="208">
        <f t="shared" si="45"/>
        <v>0</v>
      </c>
    </row>
    <row r="99" spans="1:15" s="186" customFormat="1" x14ac:dyDescent="0.25">
      <c r="A99" s="206"/>
      <c r="B99" s="207"/>
      <c r="C99" s="229" t="s">
        <v>287</v>
      </c>
      <c r="D99" s="207" t="s">
        <v>184</v>
      </c>
      <c r="E99" s="209">
        <v>7.0000000000000007E-2</v>
      </c>
      <c r="F99" s="208">
        <f>F93*E99</f>
        <v>0.11200000000000002</v>
      </c>
      <c r="G99" s="430"/>
      <c r="H99" s="430"/>
      <c r="I99" s="705"/>
      <c r="J99" s="208">
        <f t="shared" ref="J99" si="48">I99*F99</f>
        <v>0</v>
      </c>
      <c r="K99" s="208"/>
      <c r="L99" s="208"/>
      <c r="M99" s="208">
        <f t="shared" si="45"/>
        <v>0</v>
      </c>
    </row>
    <row r="100" spans="1:15" s="66" customFormat="1" ht="15" customHeight="1" x14ac:dyDescent="0.25">
      <c r="A100" s="17">
        <v>3</v>
      </c>
      <c r="B100" s="213" t="s">
        <v>294</v>
      </c>
      <c r="C100" s="23" t="s">
        <v>295</v>
      </c>
      <c r="D100" s="17" t="s">
        <v>11</v>
      </c>
      <c r="E100" s="17"/>
      <c r="F100" s="20">
        <f>F93</f>
        <v>1.6</v>
      </c>
      <c r="G100" s="20"/>
      <c r="H100" s="20"/>
      <c r="I100" s="20"/>
      <c r="J100" s="20"/>
      <c r="K100" s="20"/>
      <c r="L100" s="20"/>
      <c r="M100" s="20"/>
    </row>
    <row r="101" spans="1:15" s="66" customFormat="1" ht="15" customHeight="1" x14ac:dyDescent="0.25">
      <c r="A101" s="17"/>
      <c r="B101" s="213"/>
      <c r="C101" s="11" t="s">
        <v>86</v>
      </c>
      <c r="D101" s="24" t="s">
        <v>55</v>
      </c>
      <c r="E101" s="24">
        <v>0.13400000000000001</v>
      </c>
      <c r="F101" s="15">
        <f>E101*F100</f>
        <v>0.21440000000000003</v>
      </c>
      <c r="G101" s="606"/>
      <c r="H101" s="15">
        <f>F101*G101</f>
        <v>0</v>
      </c>
      <c r="I101" s="15"/>
      <c r="J101" s="15"/>
      <c r="K101" s="15"/>
      <c r="L101" s="15"/>
      <c r="M101" s="15">
        <f>J101</f>
        <v>0</v>
      </c>
    </row>
    <row r="102" spans="1:15" s="66" customFormat="1" x14ac:dyDescent="0.25">
      <c r="A102" s="24"/>
      <c r="B102" s="26"/>
      <c r="C102" s="29" t="s">
        <v>296</v>
      </c>
      <c r="D102" s="24" t="s">
        <v>297</v>
      </c>
      <c r="E102" s="24">
        <v>0.13</v>
      </c>
      <c r="F102" s="15">
        <f>E102*F100</f>
        <v>0.20800000000000002</v>
      </c>
      <c r="G102" s="15"/>
      <c r="H102" s="15"/>
      <c r="I102" s="15"/>
      <c r="J102" s="15"/>
      <c r="K102" s="606"/>
      <c r="L102" s="15">
        <f>K102*F102</f>
        <v>0</v>
      </c>
      <c r="M102" s="15">
        <f>L102</f>
        <v>0</v>
      </c>
      <c r="O102" s="69"/>
    </row>
    <row r="103" spans="1:15" s="66" customFormat="1" x14ac:dyDescent="0.25">
      <c r="A103" s="24"/>
      <c r="B103" s="26"/>
      <c r="C103" s="29" t="s">
        <v>357</v>
      </c>
      <c r="D103" s="24" t="s">
        <v>297</v>
      </c>
      <c r="E103" s="24">
        <v>6.5000000000000002E-2</v>
      </c>
      <c r="F103" s="15">
        <f>E103*F100</f>
        <v>0.10400000000000001</v>
      </c>
      <c r="G103" s="15"/>
      <c r="H103" s="15"/>
      <c r="I103" s="15"/>
      <c r="J103" s="15"/>
      <c r="K103" s="606"/>
      <c r="L103" s="15">
        <f>K103*F103</f>
        <v>0</v>
      </c>
      <c r="M103" s="15">
        <f>L103</f>
        <v>0</v>
      </c>
      <c r="O103" s="69"/>
    </row>
    <row r="104" spans="1:15" s="82" customFormat="1" ht="30.75" customHeight="1" x14ac:dyDescent="0.25">
      <c r="A104" s="17">
        <v>4</v>
      </c>
      <c r="B104" s="213" t="s">
        <v>442</v>
      </c>
      <c r="C104" s="23" t="s">
        <v>443</v>
      </c>
      <c r="D104" s="17" t="s">
        <v>11</v>
      </c>
      <c r="E104" s="17"/>
      <c r="F104" s="21">
        <f>3*3.6*0.15</f>
        <v>1.62</v>
      </c>
      <c r="G104" s="17"/>
      <c r="H104" s="20"/>
      <c r="I104" s="21"/>
      <c r="J104" s="20"/>
      <c r="K104" s="21"/>
      <c r="L104" s="20"/>
      <c r="M104" s="20"/>
      <c r="N104" s="68"/>
    </row>
    <row r="105" spans="1:15" s="66" customFormat="1" x14ac:dyDescent="0.25">
      <c r="A105" s="24"/>
      <c r="B105" s="87"/>
      <c r="C105" s="11" t="s">
        <v>69</v>
      </c>
      <c r="D105" s="24" t="s">
        <v>70</v>
      </c>
      <c r="E105" s="24">
        <v>1.87</v>
      </c>
      <c r="F105" s="15">
        <f>F104*E105</f>
        <v>3.0294000000000003</v>
      </c>
      <c r="G105" s="606"/>
      <c r="H105" s="15">
        <f>F105*G105</f>
        <v>0</v>
      </c>
      <c r="I105" s="27"/>
      <c r="J105" s="15"/>
      <c r="K105" s="27"/>
      <c r="L105" s="15"/>
      <c r="M105" s="15">
        <f t="shared" ref="M105:M111" si="49">H105+J105+L105</f>
        <v>0</v>
      </c>
      <c r="N105" s="69"/>
    </row>
    <row r="106" spans="1:15" s="66" customFormat="1" x14ac:dyDescent="0.25">
      <c r="A106" s="24"/>
      <c r="B106" s="87"/>
      <c r="C106" s="11" t="s">
        <v>89</v>
      </c>
      <c r="D106" s="24" t="s">
        <v>16</v>
      </c>
      <c r="E106" s="24">
        <v>0.77</v>
      </c>
      <c r="F106" s="15">
        <f>F104*E106</f>
        <v>1.2474000000000001</v>
      </c>
      <c r="G106" s="24"/>
      <c r="H106" s="15"/>
      <c r="I106" s="27"/>
      <c r="J106" s="15"/>
      <c r="K106" s="606"/>
      <c r="L106" s="15">
        <f>F106*K106</f>
        <v>0</v>
      </c>
      <c r="M106" s="15">
        <f t="shared" si="49"/>
        <v>0</v>
      </c>
      <c r="N106" s="69"/>
    </row>
    <row r="107" spans="1:15" s="66" customFormat="1" x14ac:dyDescent="0.25">
      <c r="A107" s="24"/>
      <c r="B107" s="26"/>
      <c r="C107" s="11" t="s">
        <v>64</v>
      </c>
      <c r="D107" s="24" t="s">
        <v>11</v>
      </c>
      <c r="E107" s="24">
        <v>1.0149999999999999</v>
      </c>
      <c r="F107" s="15">
        <f>F104*E107</f>
        <v>1.6442999999999999</v>
      </c>
      <c r="G107" s="24"/>
      <c r="H107" s="15"/>
      <c r="I107" s="606"/>
      <c r="J107" s="15">
        <f t="shared" ref="J107:J111" si="50">I107*F107</f>
        <v>0</v>
      </c>
      <c r="K107" s="27"/>
      <c r="L107" s="15"/>
      <c r="M107" s="15">
        <f t="shared" si="49"/>
        <v>0</v>
      </c>
      <c r="N107" s="69"/>
    </row>
    <row r="108" spans="1:15" s="66" customFormat="1" x14ac:dyDescent="0.25">
      <c r="A108" s="24"/>
      <c r="B108" s="26"/>
      <c r="C108" s="11" t="s">
        <v>61</v>
      </c>
      <c r="D108" s="24" t="s">
        <v>18</v>
      </c>
      <c r="E108" s="24">
        <v>7.5399999999999995E-2</v>
      </c>
      <c r="F108" s="15">
        <f>F104*E108</f>
        <v>0.12214799999999999</v>
      </c>
      <c r="G108" s="24"/>
      <c r="H108" s="15"/>
      <c r="I108" s="606"/>
      <c r="J108" s="15">
        <f t="shared" si="50"/>
        <v>0</v>
      </c>
      <c r="K108" s="27"/>
      <c r="L108" s="15"/>
      <c r="M108" s="15">
        <f t="shared" si="49"/>
        <v>0</v>
      </c>
      <c r="N108" s="69"/>
    </row>
    <row r="109" spans="1:15" s="66" customFormat="1" x14ac:dyDescent="0.25">
      <c r="A109" s="24"/>
      <c r="B109" s="26"/>
      <c r="C109" s="11" t="s">
        <v>62</v>
      </c>
      <c r="D109" s="24" t="s">
        <v>11</v>
      </c>
      <c r="E109" s="24">
        <v>8.0000000000000004E-4</v>
      </c>
      <c r="F109" s="15">
        <f>F104*E109</f>
        <v>1.2960000000000001E-3</v>
      </c>
      <c r="G109" s="24"/>
      <c r="H109" s="15"/>
      <c r="I109" s="606"/>
      <c r="J109" s="15">
        <f t="shared" si="50"/>
        <v>0</v>
      </c>
      <c r="K109" s="27"/>
      <c r="L109" s="15"/>
      <c r="M109" s="15">
        <f t="shared" si="49"/>
        <v>0</v>
      </c>
      <c r="N109" s="69"/>
    </row>
    <row r="110" spans="1:15" s="66" customFormat="1" x14ac:dyDescent="0.25">
      <c r="A110" s="24"/>
      <c r="B110" s="26"/>
      <c r="C110" s="56" t="s">
        <v>63</v>
      </c>
      <c r="D110" s="24" t="s">
        <v>13</v>
      </c>
      <c r="E110" s="24"/>
      <c r="F110" s="75">
        <v>7.0000000000000007E-2</v>
      </c>
      <c r="G110" s="24"/>
      <c r="H110" s="15"/>
      <c r="I110" s="606"/>
      <c r="J110" s="15">
        <f t="shared" si="50"/>
        <v>0</v>
      </c>
      <c r="K110" s="27"/>
      <c r="L110" s="15"/>
      <c r="M110" s="15">
        <f t="shared" si="49"/>
        <v>0</v>
      </c>
      <c r="N110" s="69"/>
    </row>
    <row r="111" spans="1:15" s="66" customFormat="1" x14ac:dyDescent="0.25">
      <c r="A111" s="24"/>
      <c r="B111" s="87"/>
      <c r="C111" s="11" t="s">
        <v>80</v>
      </c>
      <c r="D111" s="24" t="s">
        <v>16</v>
      </c>
      <c r="E111" s="24">
        <v>7.0000000000000007E-2</v>
      </c>
      <c r="F111" s="15">
        <f>F104*E111</f>
        <v>0.11340000000000001</v>
      </c>
      <c r="G111" s="24"/>
      <c r="H111" s="15"/>
      <c r="I111" s="606"/>
      <c r="J111" s="15">
        <f t="shared" si="50"/>
        <v>0</v>
      </c>
      <c r="K111" s="27"/>
      <c r="L111" s="15"/>
      <c r="M111" s="15">
        <f t="shared" si="49"/>
        <v>0</v>
      </c>
      <c r="N111" s="69"/>
    </row>
    <row r="112" spans="1:15" s="233" customFormat="1" ht="27" x14ac:dyDescent="0.25">
      <c r="A112" s="17">
        <v>5</v>
      </c>
      <c r="B112" s="213" t="s">
        <v>303</v>
      </c>
      <c r="C112" s="23" t="s">
        <v>304</v>
      </c>
      <c r="D112" s="17" t="s">
        <v>13</v>
      </c>
      <c r="E112" s="17"/>
      <c r="F112" s="217">
        <f>F116+F117+F118</f>
        <v>0.61249400000000009</v>
      </c>
      <c r="G112" s="17"/>
      <c r="H112" s="20"/>
      <c r="I112" s="21"/>
      <c r="J112" s="20"/>
      <c r="K112" s="21"/>
      <c r="L112" s="20"/>
      <c r="M112" s="20"/>
      <c r="N112" s="68"/>
    </row>
    <row r="113" spans="1:26" s="215" customFormat="1" x14ac:dyDescent="0.25">
      <c r="A113" s="24"/>
      <c r="B113" s="87"/>
      <c r="C113" s="29" t="s">
        <v>69</v>
      </c>
      <c r="D113" s="24" t="s">
        <v>70</v>
      </c>
      <c r="E113" s="24">
        <v>53.8</v>
      </c>
      <c r="F113" s="15">
        <f>F112*E113</f>
        <v>32.952177200000001</v>
      </c>
      <c r="G113" s="606"/>
      <c r="H113" s="15">
        <f>F113*G113</f>
        <v>0</v>
      </c>
      <c r="I113" s="27"/>
      <c r="J113" s="15"/>
      <c r="K113" s="27"/>
      <c r="L113" s="15"/>
      <c r="M113" s="15">
        <f t="shared" ref="M113:M121" si="51">H113+J113+L113</f>
        <v>0</v>
      </c>
      <c r="N113" s="69"/>
    </row>
    <row r="114" spans="1:26" s="215" customFormat="1" x14ac:dyDescent="0.25">
      <c r="A114" s="24"/>
      <c r="B114" s="87" t="s">
        <v>444</v>
      </c>
      <c r="C114" s="29" t="s">
        <v>445</v>
      </c>
      <c r="D114" s="24" t="s">
        <v>16</v>
      </c>
      <c r="E114" s="24">
        <v>0.35</v>
      </c>
      <c r="F114" s="15">
        <f>F112*E114</f>
        <v>0.21437290000000003</v>
      </c>
      <c r="G114" s="24"/>
      <c r="H114" s="15"/>
      <c r="I114" s="27"/>
      <c r="J114" s="15"/>
      <c r="K114" s="606"/>
      <c r="L114" s="15">
        <f>F114*K114</f>
        <v>0</v>
      </c>
      <c r="M114" s="15">
        <f t="shared" si="51"/>
        <v>0</v>
      </c>
      <c r="N114" s="69"/>
    </row>
    <row r="115" spans="1:26" s="215" customFormat="1" x14ac:dyDescent="0.25">
      <c r="A115" s="24"/>
      <c r="B115" s="87"/>
      <c r="C115" s="29" t="s">
        <v>78</v>
      </c>
      <c r="D115" s="24" t="s">
        <v>16</v>
      </c>
      <c r="E115" s="24">
        <v>18.399999999999999</v>
      </c>
      <c r="F115" s="15">
        <f>F112*E115</f>
        <v>11.269889600000001</v>
      </c>
      <c r="G115" s="24"/>
      <c r="H115" s="15"/>
      <c r="I115" s="27"/>
      <c r="J115" s="15"/>
      <c r="K115" s="606"/>
      <c r="L115" s="15">
        <f>F115*K115</f>
        <v>0</v>
      </c>
      <c r="M115" s="15">
        <f t="shared" si="51"/>
        <v>0</v>
      </c>
      <c r="N115" s="69"/>
    </row>
    <row r="116" spans="1:26" s="215" customFormat="1" x14ac:dyDescent="0.25">
      <c r="A116" s="24"/>
      <c r="B116" s="26"/>
      <c r="C116" s="29" t="s">
        <v>422</v>
      </c>
      <c r="D116" s="24" t="s">
        <v>13</v>
      </c>
      <c r="E116" s="24"/>
      <c r="F116" s="75">
        <f>((2.3*18)*1.49+4)/1000</f>
        <v>6.5686000000000008E-2</v>
      </c>
      <c r="G116" s="24"/>
      <c r="H116" s="15"/>
      <c r="I116" s="606"/>
      <c r="J116" s="15">
        <f t="shared" ref="J116:J121" si="52">I116*F116</f>
        <v>0</v>
      </c>
      <c r="K116" s="27"/>
      <c r="L116" s="15"/>
      <c r="M116" s="15">
        <f t="shared" si="51"/>
        <v>0</v>
      </c>
      <c r="N116" s="69"/>
    </row>
    <row r="117" spans="1:26" s="215" customFormat="1" x14ac:dyDescent="0.25">
      <c r="A117" s="24"/>
      <c r="B117" s="26"/>
      <c r="C117" s="29" t="s">
        <v>423</v>
      </c>
      <c r="D117" s="24" t="s">
        <v>13</v>
      </c>
      <c r="E117" s="24"/>
      <c r="F117" s="75">
        <f>(27.2*9.42*2)/1000</f>
        <v>0.51244800000000001</v>
      </c>
      <c r="G117" s="24"/>
      <c r="H117" s="15"/>
      <c r="I117" s="606"/>
      <c r="J117" s="15">
        <f t="shared" si="52"/>
        <v>0</v>
      </c>
      <c r="K117" s="27"/>
      <c r="L117" s="15"/>
      <c r="M117" s="15">
        <f t="shared" si="51"/>
        <v>0</v>
      </c>
      <c r="N117" s="69"/>
    </row>
    <row r="118" spans="1:26" s="215" customFormat="1" x14ac:dyDescent="0.25">
      <c r="A118" s="24"/>
      <c r="B118" s="26"/>
      <c r="C118" s="29" t="s">
        <v>424</v>
      </c>
      <c r="D118" s="24" t="s">
        <v>13</v>
      </c>
      <c r="E118" s="24"/>
      <c r="F118" s="75">
        <f>(4*8.59)/1000</f>
        <v>3.4360000000000002E-2</v>
      </c>
      <c r="G118" s="24"/>
      <c r="H118" s="15"/>
      <c r="I118" s="615"/>
      <c r="J118" s="15">
        <f t="shared" si="52"/>
        <v>0</v>
      </c>
      <c r="K118" s="27"/>
      <c r="L118" s="15"/>
      <c r="M118" s="15">
        <f t="shared" si="51"/>
        <v>0</v>
      </c>
      <c r="N118" s="69"/>
    </row>
    <row r="119" spans="1:26" s="215" customFormat="1" x14ac:dyDescent="0.25">
      <c r="A119" s="24"/>
      <c r="B119" s="26"/>
      <c r="C119" s="29" t="s">
        <v>446</v>
      </c>
      <c r="D119" s="24" t="s">
        <v>13</v>
      </c>
      <c r="E119" s="24"/>
      <c r="F119" s="75">
        <f>(5*23.55)/1000</f>
        <v>0.11774999999999999</v>
      </c>
      <c r="G119" s="24"/>
      <c r="H119" s="15"/>
      <c r="I119" s="615"/>
      <c r="J119" s="15">
        <f t="shared" si="52"/>
        <v>0</v>
      </c>
      <c r="K119" s="27"/>
      <c r="L119" s="15"/>
      <c r="M119" s="15">
        <f t="shared" si="51"/>
        <v>0</v>
      </c>
      <c r="N119" s="69"/>
    </row>
    <row r="120" spans="1:26" s="215" customFormat="1" x14ac:dyDescent="0.25">
      <c r="A120" s="24"/>
      <c r="B120" s="26"/>
      <c r="C120" s="29" t="s">
        <v>219</v>
      </c>
      <c r="D120" s="24" t="s">
        <v>22</v>
      </c>
      <c r="E120" s="24">
        <v>24.4</v>
      </c>
      <c r="F120" s="15">
        <f>F112*E120</f>
        <v>14.944853600000002</v>
      </c>
      <c r="G120" s="24"/>
      <c r="H120" s="15"/>
      <c r="I120" s="606"/>
      <c r="J120" s="15">
        <f t="shared" si="52"/>
        <v>0</v>
      </c>
      <c r="K120" s="27"/>
      <c r="L120" s="15"/>
      <c r="M120" s="15">
        <f t="shared" si="51"/>
        <v>0</v>
      </c>
      <c r="N120" s="69"/>
    </row>
    <row r="121" spans="1:26" s="215" customFormat="1" x14ac:dyDescent="0.25">
      <c r="A121" s="24"/>
      <c r="B121" s="87"/>
      <c r="C121" s="29" t="s">
        <v>80</v>
      </c>
      <c r="D121" s="24" t="s">
        <v>16</v>
      </c>
      <c r="E121" s="24">
        <v>2.78</v>
      </c>
      <c r="F121" s="15">
        <f>F112*E121</f>
        <v>1.7027333200000001</v>
      </c>
      <c r="G121" s="24"/>
      <c r="H121" s="15"/>
      <c r="I121" s="606"/>
      <c r="J121" s="15">
        <f t="shared" si="52"/>
        <v>0</v>
      </c>
      <c r="K121" s="27"/>
      <c r="L121" s="15"/>
      <c r="M121" s="15">
        <f t="shared" si="51"/>
        <v>0</v>
      </c>
      <c r="N121" s="69"/>
    </row>
    <row r="122" spans="1:26" s="178" customFormat="1" ht="27" customHeight="1" x14ac:dyDescent="0.25">
      <c r="A122" s="174">
        <v>6</v>
      </c>
      <c r="B122" s="174" t="s">
        <v>359</v>
      </c>
      <c r="C122" s="175" t="s">
        <v>221</v>
      </c>
      <c r="D122" s="174" t="s">
        <v>18</v>
      </c>
      <c r="E122" s="174"/>
      <c r="F122" s="176">
        <v>25</v>
      </c>
      <c r="G122" s="47"/>
      <c r="H122" s="47"/>
      <c r="I122" s="47"/>
      <c r="J122" s="47"/>
      <c r="K122" s="47"/>
      <c r="L122" s="47"/>
      <c r="M122" s="47"/>
    </row>
    <row r="123" spans="1:26" s="55" customFormat="1" ht="12.75" x14ac:dyDescent="0.25">
      <c r="A123" s="54"/>
      <c r="B123" s="33"/>
      <c r="C123" s="56" t="s">
        <v>52</v>
      </c>
      <c r="D123" s="54" t="s">
        <v>53</v>
      </c>
      <c r="E123" s="54">
        <v>0.68</v>
      </c>
      <c r="F123" s="57">
        <f>F122*E123</f>
        <v>17</v>
      </c>
      <c r="G123" s="644"/>
      <c r="H123" s="57">
        <f>F123*G123</f>
        <v>0</v>
      </c>
      <c r="I123" s="47"/>
      <c r="J123" s="57"/>
      <c r="K123" s="57"/>
      <c r="L123" s="57"/>
      <c r="M123" s="57">
        <f>L123+J123+H123</f>
        <v>0</v>
      </c>
    </row>
    <row r="124" spans="1:26" s="55" customFormat="1" ht="12.75" x14ac:dyDescent="0.25">
      <c r="A124" s="54"/>
      <c r="B124" s="54"/>
      <c r="C124" s="56" t="s">
        <v>56</v>
      </c>
      <c r="D124" s="54" t="s">
        <v>59</v>
      </c>
      <c r="E124" s="54">
        <v>2.9999999999999997E-4</v>
      </c>
      <c r="F124" s="57">
        <f>E124*F122</f>
        <v>7.4999999999999997E-3</v>
      </c>
      <c r="G124" s="57"/>
      <c r="H124" s="57"/>
      <c r="I124" s="47"/>
      <c r="J124" s="57"/>
      <c r="K124" s="644"/>
      <c r="L124" s="57">
        <f>K124*F124</f>
        <v>0</v>
      </c>
      <c r="M124" s="57">
        <f>L124+J124+H124</f>
        <v>0</v>
      </c>
    </row>
    <row r="125" spans="1:26" s="55" customFormat="1" ht="12.75" x14ac:dyDescent="0.25">
      <c r="A125" s="54"/>
      <c r="B125" s="33"/>
      <c r="C125" s="56" t="s">
        <v>222</v>
      </c>
      <c r="D125" s="54" t="s">
        <v>22</v>
      </c>
      <c r="E125" s="54">
        <v>0.246</v>
      </c>
      <c r="F125" s="57">
        <f>E126*F122</f>
        <v>0.67500000000000004</v>
      </c>
      <c r="G125" s="57"/>
      <c r="H125" s="57"/>
      <c r="I125" s="711"/>
      <c r="J125" s="57">
        <f>I125*F125</f>
        <v>0</v>
      </c>
      <c r="K125" s="57"/>
      <c r="L125" s="57"/>
      <c r="M125" s="57">
        <f>L125+J125+H125</f>
        <v>0</v>
      </c>
    </row>
    <row r="126" spans="1:26" s="55" customFormat="1" ht="12.75" x14ac:dyDescent="0.25">
      <c r="A126" s="54"/>
      <c r="B126" s="33"/>
      <c r="C126" s="56" t="s">
        <v>223</v>
      </c>
      <c r="D126" s="54" t="s">
        <v>185</v>
      </c>
      <c r="E126" s="57">
        <v>2.7E-2</v>
      </c>
      <c r="F126" s="185">
        <f>F122*E126</f>
        <v>0.67500000000000004</v>
      </c>
      <c r="G126" s="57"/>
      <c r="H126" s="57"/>
      <c r="I126" s="711"/>
      <c r="J126" s="57">
        <f>I126*F126</f>
        <v>0</v>
      </c>
      <c r="K126" s="57"/>
      <c r="L126" s="57"/>
      <c r="M126" s="57">
        <f>L126+J126+H126</f>
        <v>0</v>
      </c>
    </row>
    <row r="127" spans="1:26" s="55" customFormat="1" ht="12.75" x14ac:dyDescent="0.25">
      <c r="A127" s="54"/>
      <c r="B127" s="33"/>
      <c r="C127" s="173" t="s">
        <v>17</v>
      </c>
      <c r="D127" s="54" t="s">
        <v>59</v>
      </c>
      <c r="E127" s="54">
        <v>1.9E-3</v>
      </c>
      <c r="F127" s="57">
        <f>F122*E127</f>
        <v>4.7500000000000001E-2</v>
      </c>
      <c r="G127" s="57"/>
      <c r="H127" s="57"/>
      <c r="I127" s="711"/>
      <c r="J127" s="57">
        <f>I127*F127</f>
        <v>0</v>
      </c>
      <c r="K127" s="57"/>
      <c r="L127" s="57"/>
      <c r="M127" s="57">
        <f>L127+J127+H127</f>
        <v>0</v>
      </c>
    </row>
    <row r="128" spans="1:26" s="287" customFormat="1" ht="17.25" customHeight="1" x14ac:dyDescent="0.25">
      <c r="A128" s="281"/>
      <c r="B128" s="282"/>
      <c r="C128" s="17" t="s">
        <v>425</v>
      </c>
      <c r="D128" s="295"/>
      <c r="E128" s="316"/>
      <c r="F128" s="250"/>
      <c r="G128" s="250"/>
      <c r="H128" s="282"/>
      <c r="I128" s="286"/>
      <c r="J128" s="282"/>
      <c r="K128" s="282"/>
      <c r="L128" s="282"/>
      <c r="M128" s="282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</row>
    <row r="129" spans="1:26" s="211" customFormat="1" ht="17.25" customHeight="1" x14ac:dyDescent="0.25">
      <c r="A129" s="238">
        <v>7</v>
      </c>
      <c r="B129" s="239" t="s">
        <v>447</v>
      </c>
      <c r="C129" s="23" t="s">
        <v>448</v>
      </c>
      <c r="D129" s="240" t="s">
        <v>25</v>
      </c>
      <c r="E129" s="241"/>
      <c r="F129" s="452">
        <v>0.08</v>
      </c>
      <c r="G129" s="242"/>
      <c r="H129" s="242"/>
      <c r="I129" s="242"/>
      <c r="J129" s="242"/>
      <c r="K129" s="242"/>
      <c r="L129" s="242"/>
      <c r="M129" s="253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</row>
    <row r="130" spans="1:26" s="58" customFormat="1" ht="17.25" customHeight="1" x14ac:dyDescent="0.25">
      <c r="A130" s="453"/>
      <c r="B130" s="243"/>
      <c r="C130" s="244" t="s">
        <v>20</v>
      </c>
      <c r="D130" s="245" t="s">
        <v>14</v>
      </c>
      <c r="E130" s="246">
        <v>43.1</v>
      </c>
      <c r="F130" s="247">
        <f>F129*E130</f>
        <v>3.4480000000000004</v>
      </c>
      <c r="G130" s="603"/>
      <c r="H130" s="230">
        <f>G130*F130</f>
        <v>0</v>
      </c>
      <c r="I130" s="230"/>
      <c r="J130" s="230"/>
      <c r="K130" s="230"/>
      <c r="L130" s="230"/>
      <c r="M130" s="230">
        <f t="shared" ref="M130:M134" si="53">L130+J130+H130</f>
        <v>0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s="58" customFormat="1" ht="17.25" customHeight="1" x14ac:dyDescent="0.25">
      <c r="A131" s="453"/>
      <c r="B131" s="243"/>
      <c r="C131" s="244" t="s">
        <v>21</v>
      </c>
      <c r="D131" s="245" t="s">
        <v>16</v>
      </c>
      <c r="E131" s="248">
        <v>2.2400000000000002</v>
      </c>
      <c r="F131" s="454">
        <f>F129*E131</f>
        <v>0.17920000000000003</v>
      </c>
      <c r="G131" s="230"/>
      <c r="H131" s="230"/>
      <c r="I131" s="230"/>
      <c r="J131" s="230"/>
      <c r="K131" s="603"/>
      <c r="L131" s="230">
        <f>K131*F131</f>
        <v>0</v>
      </c>
      <c r="M131" s="230">
        <f t="shared" si="53"/>
        <v>0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s="58" customFormat="1" ht="17.25" customHeight="1" x14ac:dyDescent="0.25">
      <c r="A132" s="455"/>
      <c r="B132" s="298"/>
      <c r="C132" s="11" t="s">
        <v>26</v>
      </c>
      <c r="D132" s="245" t="s">
        <v>22</v>
      </c>
      <c r="E132" s="247">
        <v>5.33</v>
      </c>
      <c r="F132" s="250">
        <f>F129*E132</f>
        <v>0.4264</v>
      </c>
      <c r="G132" s="230"/>
      <c r="H132" s="230"/>
      <c r="I132" s="603"/>
      <c r="J132" s="230">
        <f t="shared" ref="J132:J134" si="54">I132*F132</f>
        <v>0</v>
      </c>
      <c r="K132" s="230"/>
      <c r="L132" s="230"/>
      <c r="M132" s="230">
        <f t="shared" si="53"/>
        <v>0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s="58" customFormat="1" ht="17.25" customHeight="1" x14ac:dyDescent="0.25">
      <c r="A133" s="455"/>
      <c r="B133" s="298"/>
      <c r="C133" s="11" t="s">
        <v>449</v>
      </c>
      <c r="D133" s="245" t="s">
        <v>18</v>
      </c>
      <c r="E133" s="247">
        <v>102.7</v>
      </c>
      <c r="F133" s="250">
        <f>F129*E133</f>
        <v>8.2160000000000011</v>
      </c>
      <c r="G133" s="230"/>
      <c r="H133" s="230"/>
      <c r="I133" s="603"/>
      <c r="J133" s="230">
        <f>I133*F133</f>
        <v>0</v>
      </c>
      <c r="K133" s="230"/>
      <c r="L133" s="230"/>
      <c r="M133" s="230">
        <f t="shared" si="53"/>
        <v>0</v>
      </c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s="58" customFormat="1" ht="17.25" customHeight="1" x14ac:dyDescent="0.25">
      <c r="A134" s="455"/>
      <c r="B134" s="298"/>
      <c r="C134" s="11" t="s">
        <v>24</v>
      </c>
      <c r="D134" s="245" t="s">
        <v>16</v>
      </c>
      <c r="E134" s="248">
        <v>10.7</v>
      </c>
      <c r="F134" s="250">
        <f>F129*E134</f>
        <v>0.85599999999999998</v>
      </c>
      <c r="G134" s="230"/>
      <c r="H134" s="230"/>
      <c r="I134" s="603"/>
      <c r="J134" s="230">
        <f t="shared" si="54"/>
        <v>0</v>
      </c>
      <c r="K134" s="230"/>
      <c r="L134" s="230"/>
      <c r="M134" s="230">
        <f t="shared" si="53"/>
        <v>0</v>
      </c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s="457" customFormat="1" x14ac:dyDescent="0.25">
      <c r="A135" s="17">
        <v>8</v>
      </c>
      <c r="B135" s="213"/>
      <c r="C135" s="23" t="s">
        <v>450</v>
      </c>
      <c r="D135" s="17" t="s">
        <v>18</v>
      </c>
      <c r="E135" s="17"/>
      <c r="F135" s="20">
        <v>8</v>
      </c>
      <c r="G135" s="17"/>
      <c r="H135" s="20"/>
      <c r="I135" s="20"/>
      <c r="J135" s="20"/>
      <c r="K135" s="21"/>
      <c r="L135" s="20"/>
      <c r="M135" s="20"/>
      <c r="N135" s="456"/>
    </row>
    <row r="136" spans="1:26" s="53" customFormat="1" x14ac:dyDescent="0.25">
      <c r="A136" s="17"/>
      <c r="B136" s="434"/>
      <c r="C136" s="29" t="s">
        <v>69</v>
      </c>
      <c r="D136" s="24" t="s">
        <v>70</v>
      </c>
      <c r="E136" s="24">
        <v>0.53600000000000003</v>
      </c>
      <c r="F136" s="15">
        <f>F135*E136</f>
        <v>4.2880000000000003</v>
      </c>
      <c r="G136" s="606"/>
      <c r="H136" s="15">
        <f>G136*F136</f>
        <v>0</v>
      </c>
      <c r="I136" s="15"/>
      <c r="J136" s="15"/>
      <c r="K136" s="27"/>
      <c r="L136" s="15"/>
      <c r="M136" s="15">
        <f t="shared" ref="M136:M140" si="55">H136+J136+L136</f>
        <v>0</v>
      </c>
    </row>
    <row r="137" spans="1:26" s="53" customFormat="1" x14ac:dyDescent="0.25">
      <c r="A137" s="17"/>
      <c r="B137" s="434"/>
      <c r="C137" s="29" t="s">
        <v>89</v>
      </c>
      <c r="D137" s="24" t="s">
        <v>16</v>
      </c>
      <c r="E137" s="24">
        <f>3.65/100</f>
        <v>3.6499999999999998E-2</v>
      </c>
      <c r="F137" s="15">
        <f>F135*E137</f>
        <v>0.29199999999999998</v>
      </c>
      <c r="G137" s="24"/>
      <c r="H137" s="15"/>
      <c r="I137" s="15"/>
      <c r="J137" s="15"/>
      <c r="K137" s="606"/>
      <c r="L137" s="15">
        <f>F137*K137</f>
        <v>0</v>
      </c>
      <c r="M137" s="15">
        <f t="shared" si="55"/>
        <v>0</v>
      </c>
    </row>
    <row r="138" spans="1:26" s="66" customFormat="1" ht="13.5" customHeight="1" x14ac:dyDescent="0.25">
      <c r="A138" s="17"/>
      <c r="B138" s="26"/>
      <c r="C138" s="29" t="s">
        <v>451</v>
      </c>
      <c r="D138" s="24" t="s">
        <v>60</v>
      </c>
      <c r="E138" s="24"/>
      <c r="F138" s="15">
        <v>8.1</v>
      </c>
      <c r="G138" s="24"/>
      <c r="H138" s="15"/>
      <c r="I138" s="606"/>
      <c r="J138" s="15">
        <f t="shared" ref="J138:J140" si="56">I138*F138</f>
        <v>0</v>
      </c>
      <c r="K138" s="27"/>
      <c r="L138" s="15"/>
      <c r="M138" s="15">
        <f t="shared" si="55"/>
        <v>0</v>
      </c>
      <c r="N138" s="69"/>
    </row>
    <row r="139" spans="1:26" s="66" customFormat="1" ht="13.5" customHeight="1" x14ac:dyDescent="0.25">
      <c r="A139" s="17"/>
      <c r="B139" s="26"/>
      <c r="C139" s="29" t="s">
        <v>452</v>
      </c>
      <c r="D139" s="24" t="s">
        <v>60</v>
      </c>
      <c r="E139" s="24">
        <v>1.02</v>
      </c>
      <c r="F139" s="15">
        <f>F135*E139</f>
        <v>8.16</v>
      </c>
      <c r="G139" s="24"/>
      <c r="H139" s="15"/>
      <c r="I139" s="606"/>
      <c r="J139" s="15">
        <f t="shared" si="56"/>
        <v>0</v>
      </c>
      <c r="K139" s="27"/>
      <c r="L139" s="15"/>
      <c r="M139" s="15">
        <f t="shared" si="55"/>
        <v>0</v>
      </c>
      <c r="N139" s="69"/>
    </row>
    <row r="140" spans="1:26" s="66" customFormat="1" ht="16.5" customHeight="1" x14ac:dyDescent="0.25">
      <c r="A140" s="17"/>
      <c r="B140" s="434"/>
      <c r="C140" s="29" t="s">
        <v>80</v>
      </c>
      <c r="D140" s="24" t="s">
        <v>16</v>
      </c>
      <c r="E140" s="24">
        <v>0.18</v>
      </c>
      <c r="F140" s="15">
        <f>F135*E140</f>
        <v>1.44</v>
      </c>
      <c r="G140" s="24"/>
      <c r="H140" s="15"/>
      <c r="I140" s="606"/>
      <c r="J140" s="15">
        <f t="shared" si="56"/>
        <v>0</v>
      </c>
      <c r="K140" s="27"/>
      <c r="L140" s="15"/>
      <c r="M140" s="15">
        <f t="shared" si="55"/>
        <v>0</v>
      </c>
      <c r="N140" s="69"/>
    </row>
    <row r="141" spans="1:26" s="287" customFormat="1" ht="17.25" customHeight="1" x14ac:dyDescent="0.25">
      <c r="A141" s="281"/>
      <c r="B141" s="282"/>
      <c r="C141" s="17" t="s">
        <v>428</v>
      </c>
      <c r="D141" s="295"/>
      <c r="E141" s="316"/>
      <c r="F141" s="318"/>
      <c r="G141" s="250"/>
      <c r="H141" s="282"/>
      <c r="I141" s="286"/>
      <c r="J141" s="282"/>
      <c r="K141" s="282"/>
      <c r="L141" s="282"/>
      <c r="M141" s="282"/>
      <c r="O141" s="317"/>
      <c r="P141" s="317"/>
      <c r="Q141" s="317"/>
      <c r="R141" s="317"/>
      <c r="S141" s="317"/>
      <c r="T141" s="317"/>
      <c r="U141" s="317"/>
      <c r="V141" s="317"/>
      <c r="W141" s="317"/>
      <c r="X141" s="317"/>
      <c r="Y141" s="317"/>
      <c r="Z141" s="317"/>
    </row>
    <row r="142" spans="1:26" ht="27" x14ac:dyDescent="0.25">
      <c r="A142" s="162">
        <v>9</v>
      </c>
      <c r="B142" s="231" t="s">
        <v>358</v>
      </c>
      <c r="C142" s="163" t="s">
        <v>429</v>
      </c>
      <c r="D142" s="162" t="s">
        <v>300</v>
      </c>
      <c r="E142" s="164"/>
      <c r="F142" s="165">
        <f>((2+2+2.5+2.5+2.4)*2.2-4)*2</f>
        <v>42.160000000000004</v>
      </c>
      <c r="G142" s="441"/>
      <c r="H142" s="441"/>
      <c r="I142" s="441"/>
      <c r="J142" s="441"/>
      <c r="K142" s="442"/>
      <c r="L142" s="442"/>
      <c r="M142" s="442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</row>
    <row r="143" spans="1:26" x14ac:dyDescent="0.25">
      <c r="A143" s="168"/>
      <c r="B143" s="168"/>
      <c r="C143" s="169" t="s">
        <v>20</v>
      </c>
      <c r="D143" s="168" t="s">
        <v>70</v>
      </c>
      <c r="E143" s="170">
        <v>1.36</v>
      </c>
      <c r="F143" s="171">
        <f>F142*E143</f>
        <v>57.337600000000009</v>
      </c>
      <c r="G143" s="706"/>
      <c r="H143" s="166">
        <f>ROUND(F143*G143,2)</f>
        <v>0</v>
      </c>
      <c r="I143" s="166"/>
      <c r="J143" s="166"/>
      <c r="K143" s="443"/>
      <c r="L143" s="443"/>
      <c r="M143" s="166">
        <f>H143</f>
        <v>0</v>
      </c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</row>
    <row r="144" spans="1:26" x14ac:dyDescent="0.25">
      <c r="A144" s="168"/>
      <c r="B144" s="168"/>
      <c r="C144" s="169" t="s">
        <v>379</v>
      </c>
      <c r="D144" s="54" t="s">
        <v>59</v>
      </c>
      <c r="E144" s="170">
        <v>0.1482</v>
      </c>
      <c r="F144" s="171">
        <f>F142*E144</f>
        <v>6.2481120000000008</v>
      </c>
      <c r="G144" s="443"/>
      <c r="H144" s="443"/>
      <c r="I144" s="443"/>
      <c r="J144" s="443"/>
      <c r="K144" s="706"/>
      <c r="L144" s="166">
        <f>ROUND(F144*K144,2)</f>
        <v>0</v>
      </c>
      <c r="M144" s="166">
        <f>L144</f>
        <v>0</v>
      </c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</row>
    <row r="145" spans="1:26" x14ac:dyDescent="0.25">
      <c r="A145" s="168"/>
      <c r="B145" s="168"/>
      <c r="C145" s="169" t="s">
        <v>15</v>
      </c>
      <c r="D145" s="168" t="s">
        <v>16</v>
      </c>
      <c r="E145" s="170">
        <v>4.0800000000000003E-2</v>
      </c>
      <c r="F145" s="171">
        <f>F142*E145</f>
        <v>1.7201280000000003</v>
      </c>
      <c r="G145" s="443"/>
      <c r="H145" s="443"/>
      <c r="I145" s="443"/>
      <c r="J145" s="443"/>
      <c r="K145" s="706"/>
      <c r="L145" s="166">
        <f>ROUND(F145*K145,2)</f>
        <v>0</v>
      </c>
      <c r="M145" s="166">
        <f>L145</f>
        <v>0</v>
      </c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</row>
    <row r="146" spans="1:26" x14ac:dyDescent="0.25">
      <c r="A146" s="168"/>
      <c r="B146" s="336"/>
      <c r="C146" s="234" t="s">
        <v>430</v>
      </c>
      <c r="D146" s="168" t="s">
        <v>300</v>
      </c>
      <c r="E146" s="170">
        <v>1.02</v>
      </c>
      <c r="F146" s="171">
        <f>F142*E146</f>
        <v>43.003200000000007</v>
      </c>
      <c r="G146" s="443"/>
      <c r="H146" s="443"/>
      <c r="I146" s="712"/>
      <c r="J146" s="443">
        <f t="shared" ref="J146:J148" si="57">ROUND(F146*I146,2)</f>
        <v>0</v>
      </c>
      <c r="K146" s="443"/>
      <c r="L146" s="443"/>
      <c r="M146" s="166">
        <f>J146</f>
        <v>0</v>
      </c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</row>
    <row r="147" spans="1:26" x14ac:dyDescent="0.25">
      <c r="A147" s="168"/>
      <c r="B147" s="168"/>
      <c r="C147" s="169" t="s">
        <v>299</v>
      </c>
      <c r="D147" s="168" t="s">
        <v>60</v>
      </c>
      <c r="E147" s="232"/>
      <c r="F147" s="171">
        <v>25</v>
      </c>
      <c r="G147" s="443"/>
      <c r="H147" s="443"/>
      <c r="I147" s="712"/>
      <c r="J147" s="443">
        <f t="shared" si="57"/>
        <v>0</v>
      </c>
      <c r="K147" s="443"/>
      <c r="L147" s="443"/>
      <c r="M147" s="166">
        <f>J147</f>
        <v>0</v>
      </c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</row>
    <row r="148" spans="1:26" s="172" customFormat="1" x14ac:dyDescent="0.25">
      <c r="A148" s="168"/>
      <c r="B148" s="168"/>
      <c r="C148" s="169" t="s">
        <v>302</v>
      </c>
      <c r="D148" s="168" t="s">
        <v>22</v>
      </c>
      <c r="E148" s="232">
        <v>0.19400000000000001</v>
      </c>
      <c r="F148" s="171">
        <f>F142*E148</f>
        <v>8.1790400000000005</v>
      </c>
      <c r="G148" s="443"/>
      <c r="H148" s="443"/>
      <c r="I148" s="712"/>
      <c r="J148" s="443">
        <f t="shared" si="57"/>
        <v>0</v>
      </c>
      <c r="K148" s="443"/>
      <c r="L148" s="443"/>
      <c r="M148" s="166">
        <f>J148</f>
        <v>0</v>
      </c>
    </row>
    <row r="149" spans="1:26" x14ac:dyDescent="0.25">
      <c r="A149" s="168"/>
      <c r="B149" s="168"/>
      <c r="C149" s="169" t="s">
        <v>301</v>
      </c>
      <c r="D149" s="168" t="s">
        <v>16</v>
      </c>
      <c r="E149" s="232">
        <v>5.3400000000000003E-2</v>
      </c>
      <c r="F149" s="171">
        <f>F142*E149</f>
        <v>2.2513440000000005</v>
      </c>
      <c r="G149" s="443"/>
      <c r="H149" s="443"/>
      <c r="I149" s="712"/>
      <c r="J149" s="443">
        <f>ROUND(F149*I149,2)</f>
        <v>0</v>
      </c>
      <c r="K149" s="166"/>
      <c r="L149" s="166"/>
      <c r="M149" s="166">
        <f>J149</f>
        <v>0</v>
      </c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</row>
    <row r="150" spans="1:26" ht="27" x14ac:dyDescent="0.25">
      <c r="A150" s="162">
        <v>10</v>
      </c>
      <c r="B150" s="231" t="s">
        <v>380</v>
      </c>
      <c r="C150" s="163" t="s">
        <v>431</v>
      </c>
      <c r="D150" s="162" t="s">
        <v>300</v>
      </c>
      <c r="E150" s="164"/>
      <c r="F150" s="165">
        <f>3.8*2.9</f>
        <v>11.02</v>
      </c>
      <c r="G150" s="441"/>
      <c r="H150" s="441"/>
      <c r="I150" s="441"/>
      <c r="J150" s="441"/>
      <c r="K150" s="442"/>
      <c r="L150" s="442"/>
      <c r="M150" s="442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</row>
    <row r="151" spans="1:26" x14ac:dyDescent="0.25">
      <c r="A151" s="168"/>
      <c r="B151" s="168"/>
      <c r="C151" s="169" t="s">
        <v>206</v>
      </c>
      <c r="D151" s="168" t="s">
        <v>70</v>
      </c>
      <c r="E151" s="170">
        <v>0.24299999999999999</v>
      </c>
      <c r="F151" s="171">
        <f>F150*E151</f>
        <v>2.6778599999999999</v>
      </c>
      <c r="G151" s="706"/>
      <c r="H151" s="166">
        <f>ROUND(F151*G151,2)</f>
        <v>0</v>
      </c>
      <c r="I151" s="166"/>
      <c r="J151" s="166"/>
      <c r="K151" s="443"/>
      <c r="L151" s="443"/>
      <c r="M151" s="166">
        <f>H151</f>
        <v>0</v>
      </c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</row>
    <row r="152" spans="1:26" s="172" customFormat="1" x14ac:dyDescent="0.25">
      <c r="A152" s="168"/>
      <c r="B152" s="168"/>
      <c r="C152" s="169" t="s">
        <v>432</v>
      </c>
      <c r="D152" s="54" t="s">
        <v>59</v>
      </c>
      <c r="E152" s="170">
        <v>2.12E-2</v>
      </c>
      <c r="F152" s="171">
        <f>F150*E152</f>
        <v>0.233624</v>
      </c>
      <c r="G152" s="443"/>
      <c r="H152" s="443"/>
      <c r="I152" s="443"/>
      <c r="J152" s="443"/>
      <c r="K152" s="706"/>
      <c r="L152" s="166">
        <f>ROUND(F152*K152,2)</f>
        <v>0</v>
      </c>
      <c r="M152" s="166">
        <f>L152</f>
        <v>0</v>
      </c>
    </row>
    <row r="153" spans="1:26" s="172" customFormat="1" x14ac:dyDescent="0.25">
      <c r="A153" s="168"/>
      <c r="B153" s="168"/>
      <c r="C153" s="169" t="s">
        <v>433</v>
      </c>
      <c r="D153" s="54" t="s">
        <v>59</v>
      </c>
      <c r="E153" s="170">
        <v>6.0000000000000001E-3</v>
      </c>
      <c r="F153" s="171">
        <f>F150*E153</f>
        <v>6.6119999999999998E-2</v>
      </c>
      <c r="G153" s="443"/>
      <c r="H153" s="443"/>
      <c r="I153" s="443"/>
      <c r="J153" s="443"/>
      <c r="K153" s="706"/>
      <c r="L153" s="166">
        <f>ROUND(F153*K153,2)</f>
        <v>0</v>
      </c>
      <c r="M153" s="166">
        <f>L153</f>
        <v>0</v>
      </c>
    </row>
    <row r="154" spans="1:26" s="172" customFormat="1" x14ac:dyDescent="0.25">
      <c r="A154" s="168"/>
      <c r="B154" s="168"/>
      <c r="C154" s="169" t="s">
        <v>434</v>
      </c>
      <c r="D154" s="54" t="s">
        <v>59</v>
      </c>
      <c r="E154" s="170">
        <v>1.38E-2</v>
      </c>
      <c r="F154" s="171">
        <f>F150*E154</f>
        <v>0.15207599999999999</v>
      </c>
      <c r="G154" s="443"/>
      <c r="H154" s="443"/>
      <c r="I154" s="443"/>
      <c r="J154" s="443"/>
      <c r="K154" s="706"/>
      <c r="L154" s="166">
        <f>ROUND(F154*K154,2)</f>
        <v>0</v>
      </c>
      <c r="M154" s="166">
        <f>L154</f>
        <v>0</v>
      </c>
    </row>
    <row r="155" spans="1:26" s="172" customFormat="1" x14ac:dyDescent="0.25">
      <c r="A155" s="168"/>
      <c r="B155" s="168"/>
      <c r="C155" s="169" t="s">
        <v>15</v>
      </c>
      <c r="D155" s="168" t="s">
        <v>16</v>
      </c>
      <c r="E155" s="170">
        <v>4.0800000000000003E-2</v>
      </c>
      <c r="F155" s="171">
        <f>F150*E155</f>
        <v>0.44961600000000002</v>
      </c>
      <c r="G155" s="443"/>
      <c r="H155" s="443"/>
      <c r="I155" s="443"/>
      <c r="J155" s="443"/>
      <c r="K155" s="706"/>
      <c r="L155" s="166">
        <f>ROUND(F155*K155,2)</f>
        <v>0</v>
      </c>
      <c r="M155" s="166">
        <f>L155</f>
        <v>0</v>
      </c>
    </row>
    <row r="156" spans="1:26" s="172" customFormat="1" x14ac:dyDescent="0.25">
      <c r="A156" s="168"/>
      <c r="B156" s="336"/>
      <c r="C156" s="234" t="s">
        <v>435</v>
      </c>
      <c r="D156" s="168" t="s">
        <v>300</v>
      </c>
      <c r="E156" s="170">
        <v>1.01</v>
      </c>
      <c r="F156" s="171">
        <f>F150*E156</f>
        <v>11.1302</v>
      </c>
      <c r="G156" s="443"/>
      <c r="H156" s="443"/>
      <c r="I156" s="712"/>
      <c r="J156" s="443">
        <f t="shared" ref="J156:J158" si="58">ROUND(F156*I156,2)</f>
        <v>0</v>
      </c>
      <c r="K156" s="443"/>
      <c r="L156" s="443"/>
      <c r="M156" s="166">
        <f>J156</f>
        <v>0</v>
      </c>
    </row>
    <row r="157" spans="1:26" s="172" customFormat="1" x14ac:dyDescent="0.25">
      <c r="A157" s="168"/>
      <c r="B157" s="336"/>
      <c r="C157" s="169" t="s">
        <v>219</v>
      </c>
      <c r="D157" s="168" t="s">
        <v>22</v>
      </c>
      <c r="E157" s="232">
        <v>7.1999999999999998E-3</v>
      </c>
      <c r="F157" s="171">
        <f>F150*E157</f>
        <v>7.9343999999999998E-2</v>
      </c>
      <c r="G157" s="443"/>
      <c r="H157" s="443"/>
      <c r="I157" s="712"/>
      <c r="J157" s="443">
        <f t="shared" si="58"/>
        <v>0</v>
      </c>
      <c r="K157" s="443"/>
      <c r="L157" s="443"/>
      <c r="M157" s="166">
        <f>J157</f>
        <v>0</v>
      </c>
    </row>
    <row r="158" spans="1:26" s="172" customFormat="1" x14ac:dyDescent="0.25">
      <c r="A158" s="168"/>
      <c r="B158" s="168"/>
      <c r="C158" s="169" t="s">
        <v>301</v>
      </c>
      <c r="D158" s="168" t="s">
        <v>16</v>
      </c>
      <c r="E158" s="232">
        <v>9.1999999999999998E-3</v>
      </c>
      <c r="F158" s="171">
        <f>F150*E158</f>
        <v>0.10138399999999999</v>
      </c>
      <c r="G158" s="443"/>
      <c r="H158" s="443"/>
      <c r="I158" s="712"/>
      <c r="J158" s="443">
        <f t="shared" si="58"/>
        <v>0</v>
      </c>
      <c r="K158" s="443"/>
      <c r="L158" s="443"/>
      <c r="M158" s="166">
        <f>J158</f>
        <v>0</v>
      </c>
    </row>
    <row r="159" spans="1:26" s="233" customFormat="1" x14ac:dyDescent="0.25">
      <c r="A159" s="17">
        <v>11</v>
      </c>
      <c r="B159" s="213"/>
      <c r="C159" s="23" t="s">
        <v>355</v>
      </c>
      <c r="D159" s="17" t="s">
        <v>18</v>
      </c>
      <c r="E159" s="17"/>
      <c r="F159" s="21">
        <f>0.8*2.1*2</f>
        <v>3.3600000000000003</v>
      </c>
      <c r="G159" s="17"/>
      <c r="H159" s="20"/>
      <c r="I159" s="21"/>
      <c r="J159" s="20"/>
      <c r="K159" s="21"/>
      <c r="L159" s="20"/>
      <c r="M159" s="20"/>
      <c r="N159" s="68"/>
    </row>
    <row r="160" spans="1:26" s="215" customFormat="1" ht="15" customHeight="1" x14ac:dyDescent="0.25">
      <c r="A160" s="24"/>
      <c r="B160" s="87"/>
      <c r="C160" s="29" t="s">
        <v>69</v>
      </c>
      <c r="D160" s="24" t="s">
        <v>70</v>
      </c>
      <c r="E160" s="24">
        <v>2.72</v>
      </c>
      <c r="F160" s="15">
        <f>F159*E160</f>
        <v>9.1392000000000007</v>
      </c>
      <c r="G160" s="606"/>
      <c r="H160" s="15">
        <f>F160*G160</f>
        <v>0</v>
      </c>
      <c r="I160" s="27"/>
      <c r="J160" s="15"/>
      <c r="K160" s="27"/>
      <c r="L160" s="15"/>
      <c r="M160" s="15">
        <f t="shared" ref="M160:M161" si="59">H160+J160+L160</f>
        <v>0</v>
      </c>
      <c r="N160" s="69"/>
    </row>
    <row r="161" spans="1:256" s="215" customFormat="1" ht="13.5" customHeight="1" x14ac:dyDescent="0.25">
      <c r="A161" s="24"/>
      <c r="B161" s="26"/>
      <c r="C161" s="29" t="s">
        <v>360</v>
      </c>
      <c r="D161" s="24" t="s">
        <v>18</v>
      </c>
      <c r="E161" s="24">
        <v>1</v>
      </c>
      <c r="F161" s="15">
        <f>F159*E161</f>
        <v>3.3600000000000003</v>
      </c>
      <c r="G161" s="24"/>
      <c r="H161" s="15"/>
      <c r="I161" s="606"/>
      <c r="J161" s="15">
        <f t="shared" ref="J161" si="60">I161*F161</f>
        <v>0</v>
      </c>
      <c r="K161" s="27"/>
      <c r="L161" s="15"/>
      <c r="M161" s="15">
        <f t="shared" si="59"/>
        <v>0</v>
      </c>
      <c r="N161" s="69"/>
    </row>
    <row r="162" spans="1:256" s="66" customFormat="1" x14ac:dyDescent="0.25">
      <c r="A162" s="17">
        <v>12</v>
      </c>
      <c r="B162" s="213" t="s">
        <v>67</v>
      </c>
      <c r="C162" s="23" t="s">
        <v>68</v>
      </c>
      <c r="D162" s="17" t="s">
        <v>18</v>
      </c>
      <c r="E162" s="17"/>
      <c r="F162" s="20">
        <f>2</f>
        <v>2</v>
      </c>
      <c r="G162" s="52"/>
      <c r="H162" s="52"/>
      <c r="I162" s="20"/>
      <c r="J162" s="20"/>
      <c r="K162" s="20"/>
      <c r="L162" s="20"/>
      <c r="M162" s="5"/>
      <c r="N162" s="445"/>
      <c r="O162" s="446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7"/>
      <c r="CO162" s="167"/>
      <c r="CP162" s="167"/>
      <c r="CQ162" s="167"/>
      <c r="CR162" s="167"/>
      <c r="CS162" s="167"/>
      <c r="CT162" s="167"/>
      <c r="CU162" s="167"/>
      <c r="CV162" s="167"/>
      <c r="CW162" s="167"/>
      <c r="CX162" s="167"/>
      <c r="CY162" s="167"/>
      <c r="CZ162" s="167"/>
      <c r="DA162" s="167"/>
      <c r="DB162" s="167"/>
      <c r="DC162" s="167"/>
      <c r="DD162" s="167"/>
      <c r="DE162" s="167"/>
      <c r="DF162" s="167"/>
      <c r="DG162" s="167"/>
      <c r="DH162" s="167"/>
      <c r="DI162" s="167"/>
      <c r="DJ162" s="167"/>
      <c r="DK162" s="167"/>
      <c r="DL162" s="167"/>
      <c r="DM162" s="167"/>
      <c r="DN162" s="167"/>
      <c r="DO162" s="167"/>
      <c r="DP162" s="167"/>
      <c r="DQ162" s="167"/>
      <c r="DR162" s="167"/>
      <c r="DS162" s="167"/>
      <c r="DT162" s="167"/>
      <c r="DU162" s="167"/>
      <c r="DV162" s="167"/>
      <c r="DW162" s="167"/>
      <c r="DX162" s="167"/>
      <c r="DY162" s="167"/>
      <c r="DZ162" s="167"/>
      <c r="EA162" s="167"/>
      <c r="EB162" s="167"/>
      <c r="EC162" s="167"/>
      <c r="ED162" s="167"/>
      <c r="EE162" s="167"/>
      <c r="EF162" s="167"/>
      <c r="EG162" s="167"/>
      <c r="EH162" s="167"/>
      <c r="EI162" s="167"/>
      <c r="EJ162" s="167"/>
      <c r="EK162" s="167"/>
      <c r="EL162" s="167"/>
      <c r="EM162" s="167"/>
      <c r="EN162" s="167"/>
      <c r="EO162" s="167"/>
      <c r="EP162" s="167"/>
      <c r="EQ162" s="167"/>
      <c r="ER162" s="167"/>
      <c r="ES162" s="167"/>
      <c r="ET162" s="167"/>
      <c r="EU162" s="167"/>
      <c r="EV162" s="167"/>
      <c r="EW162" s="167"/>
      <c r="EX162" s="167"/>
      <c r="EY162" s="167"/>
      <c r="EZ162" s="167"/>
      <c r="FA162" s="167"/>
      <c r="FB162" s="167"/>
      <c r="FC162" s="167"/>
      <c r="FD162" s="167"/>
      <c r="FE162" s="167"/>
      <c r="FF162" s="167"/>
      <c r="FG162" s="167"/>
      <c r="FH162" s="167"/>
      <c r="FI162" s="167"/>
      <c r="FJ162" s="167"/>
      <c r="FK162" s="167"/>
      <c r="FL162" s="167"/>
      <c r="FM162" s="167"/>
      <c r="FN162" s="167"/>
      <c r="FO162" s="167"/>
      <c r="FP162" s="167"/>
      <c r="FQ162" s="167"/>
      <c r="FR162" s="167"/>
      <c r="FS162" s="167"/>
      <c r="FT162" s="167"/>
      <c r="FU162" s="167"/>
      <c r="FV162" s="167"/>
      <c r="FW162" s="167"/>
      <c r="FX162" s="167"/>
      <c r="FY162" s="167"/>
      <c r="FZ162" s="167"/>
      <c r="GA162" s="167"/>
      <c r="GB162" s="167"/>
      <c r="GC162" s="167"/>
      <c r="GD162" s="167"/>
      <c r="GE162" s="167"/>
      <c r="GF162" s="167"/>
      <c r="GG162" s="167"/>
      <c r="GH162" s="167"/>
      <c r="GI162" s="167"/>
      <c r="GJ162" s="167"/>
      <c r="GK162" s="167"/>
      <c r="GL162" s="167"/>
      <c r="GM162" s="167"/>
      <c r="GN162" s="167"/>
      <c r="GO162" s="167"/>
      <c r="GP162" s="167"/>
      <c r="GQ162" s="167"/>
      <c r="GR162" s="167"/>
      <c r="GS162" s="167"/>
      <c r="GT162" s="167"/>
      <c r="GU162" s="167"/>
      <c r="GV162" s="167"/>
      <c r="GW162" s="167"/>
      <c r="GX162" s="167"/>
      <c r="GY162" s="167"/>
      <c r="GZ162" s="167"/>
      <c r="HA162" s="167"/>
      <c r="HB162" s="167"/>
      <c r="HC162" s="167"/>
      <c r="HD162" s="167"/>
      <c r="HE162" s="167"/>
      <c r="HF162" s="167"/>
      <c r="HG162" s="167"/>
      <c r="HH162" s="167"/>
      <c r="HI162" s="167"/>
      <c r="HJ162" s="167"/>
      <c r="HK162" s="167"/>
      <c r="HL162" s="167"/>
      <c r="HM162" s="167"/>
      <c r="HN162" s="167"/>
      <c r="HO162" s="167"/>
      <c r="HP162" s="167"/>
      <c r="HQ162" s="167"/>
      <c r="HR162" s="167"/>
      <c r="HS162" s="167"/>
      <c r="HT162" s="167"/>
      <c r="HU162" s="167"/>
      <c r="HV162" s="167"/>
      <c r="HW162" s="167"/>
      <c r="HX162" s="167"/>
      <c r="HY162" s="167"/>
      <c r="HZ162" s="167"/>
      <c r="IA162" s="167"/>
      <c r="IB162" s="167"/>
      <c r="IC162" s="167"/>
      <c r="ID162" s="167"/>
      <c r="IE162" s="167"/>
      <c r="IF162" s="167"/>
      <c r="IG162" s="167"/>
      <c r="IH162" s="167"/>
      <c r="II162" s="167"/>
      <c r="IJ162" s="167"/>
      <c r="IK162" s="167"/>
      <c r="IL162" s="167"/>
      <c r="IM162" s="167"/>
      <c r="IN162" s="167"/>
      <c r="IO162" s="167"/>
      <c r="IP162" s="167"/>
      <c r="IQ162" s="167"/>
      <c r="IR162" s="167"/>
      <c r="IS162" s="167"/>
      <c r="IT162" s="167"/>
      <c r="IU162" s="167"/>
      <c r="IV162" s="167"/>
    </row>
    <row r="163" spans="1:256" s="66" customFormat="1" ht="15.75" customHeight="1" x14ac:dyDescent="0.25">
      <c r="A163" s="6"/>
      <c r="B163" s="33"/>
      <c r="C163" s="8" t="s">
        <v>69</v>
      </c>
      <c r="D163" s="6" t="s">
        <v>70</v>
      </c>
      <c r="E163" s="6">
        <v>2.72</v>
      </c>
      <c r="F163" s="5">
        <f>F162*E163</f>
        <v>5.44</v>
      </c>
      <c r="G163" s="605"/>
      <c r="H163" s="5">
        <f>F163*G163</f>
        <v>0</v>
      </c>
      <c r="I163" s="5"/>
      <c r="J163" s="5"/>
      <c r="K163" s="5"/>
      <c r="L163" s="5"/>
      <c r="M163" s="5">
        <f t="shared" ref="M163:M164" si="61">H163+J163+L163</f>
        <v>0</v>
      </c>
      <c r="N163" s="67"/>
      <c r="O163" s="447"/>
      <c r="P163" s="447"/>
      <c r="Q163" s="447"/>
      <c r="R163" s="447"/>
      <c r="S163" s="447"/>
      <c r="T163" s="447"/>
      <c r="U163" s="447"/>
      <c r="V163" s="447"/>
      <c r="W163" s="447"/>
      <c r="X163" s="447"/>
      <c r="Y163" s="447"/>
      <c r="Z163" s="447"/>
      <c r="AA163" s="448"/>
      <c r="AB163" s="448"/>
      <c r="AC163" s="448"/>
      <c r="AD163" s="448"/>
      <c r="AE163" s="448"/>
      <c r="AF163" s="448"/>
      <c r="AG163" s="448"/>
      <c r="AH163" s="448"/>
      <c r="AI163" s="448"/>
      <c r="AJ163" s="448"/>
      <c r="AK163" s="448"/>
      <c r="AL163" s="448"/>
      <c r="AM163" s="448"/>
      <c r="AN163" s="448"/>
      <c r="AO163" s="448"/>
      <c r="AP163" s="448"/>
      <c r="AQ163" s="448"/>
      <c r="AR163" s="448"/>
      <c r="AS163" s="448"/>
      <c r="AT163" s="448"/>
      <c r="AU163" s="448"/>
      <c r="AV163" s="448"/>
      <c r="AW163" s="448"/>
      <c r="AX163" s="448"/>
      <c r="AY163" s="448"/>
      <c r="AZ163" s="448"/>
      <c r="BA163" s="448"/>
      <c r="BB163" s="448"/>
      <c r="BC163" s="448"/>
      <c r="BD163" s="448"/>
      <c r="BE163" s="448"/>
      <c r="BF163" s="448"/>
      <c r="BG163" s="448"/>
      <c r="BH163" s="448"/>
      <c r="BI163" s="448"/>
      <c r="BJ163" s="448"/>
      <c r="BK163" s="448"/>
      <c r="BL163" s="448"/>
      <c r="BM163" s="448"/>
      <c r="BN163" s="448"/>
      <c r="BO163" s="448"/>
      <c r="BP163" s="448"/>
      <c r="BQ163" s="448"/>
      <c r="BR163" s="448"/>
      <c r="BS163" s="448"/>
      <c r="BT163" s="448"/>
      <c r="BU163" s="448"/>
      <c r="BV163" s="448"/>
      <c r="BW163" s="448"/>
      <c r="BX163" s="448"/>
      <c r="BY163" s="448"/>
      <c r="BZ163" s="448"/>
      <c r="CA163" s="448"/>
      <c r="CB163" s="448"/>
      <c r="CC163" s="448"/>
      <c r="CD163" s="448"/>
      <c r="CE163" s="448"/>
      <c r="CF163" s="448"/>
      <c r="CG163" s="448"/>
      <c r="CH163" s="448"/>
      <c r="CI163" s="448"/>
      <c r="CJ163" s="448"/>
      <c r="CK163" s="448"/>
      <c r="CL163" s="448"/>
      <c r="CM163" s="448"/>
      <c r="CN163" s="448"/>
      <c r="CO163" s="448"/>
      <c r="CP163" s="448"/>
      <c r="CQ163" s="448"/>
      <c r="CR163" s="448"/>
      <c r="CS163" s="448"/>
      <c r="CT163" s="448"/>
      <c r="CU163" s="448"/>
      <c r="CV163" s="448"/>
      <c r="CW163" s="448"/>
      <c r="CX163" s="448"/>
      <c r="CY163" s="448"/>
      <c r="CZ163" s="448"/>
      <c r="DA163" s="448"/>
      <c r="DB163" s="448"/>
      <c r="DC163" s="448"/>
      <c r="DD163" s="448"/>
      <c r="DE163" s="448"/>
      <c r="DF163" s="448"/>
      <c r="DG163" s="448"/>
      <c r="DH163" s="448"/>
      <c r="DI163" s="448"/>
      <c r="DJ163" s="448"/>
      <c r="DK163" s="448"/>
      <c r="DL163" s="448"/>
      <c r="DM163" s="448"/>
      <c r="DN163" s="448"/>
      <c r="DO163" s="448"/>
      <c r="DP163" s="448"/>
      <c r="DQ163" s="448"/>
      <c r="DR163" s="448"/>
      <c r="DS163" s="448"/>
      <c r="DT163" s="448"/>
      <c r="DU163" s="448"/>
      <c r="DV163" s="448"/>
      <c r="DW163" s="448"/>
      <c r="DX163" s="448"/>
      <c r="DY163" s="448"/>
      <c r="DZ163" s="448"/>
      <c r="EA163" s="448"/>
      <c r="EB163" s="448"/>
      <c r="EC163" s="448"/>
      <c r="ED163" s="448"/>
      <c r="EE163" s="448"/>
      <c r="EF163" s="448"/>
      <c r="EG163" s="448"/>
      <c r="EH163" s="448"/>
      <c r="EI163" s="448"/>
      <c r="EJ163" s="448"/>
      <c r="EK163" s="448"/>
      <c r="EL163" s="448"/>
      <c r="EM163" s="448"/>
      <c r="EN163" s="448"/>
      <c r="EO163" s="448"/>
      <c r="EP163" s="448"/>
      <c r="EQ163" s="448"/>
      <c r="ER163" s="448"/>
      <c r="ES163" s="448"/>
      <c r="ET163" s="448"/>
      <c r="EU163" s="448"/>
      <c r="EV163" s="448"/>
      <c r="EW163" s="448"/>
      <c r="EX163" s="448"/>
      <c r="EY163" s="448"/>
      <c r="EZ163" s="448"/>
      <c r="FA163" s="448"/>
      <c r="FB163" s="448"/>
      <c r="FC163" s="448"/>
      <c r="FD163" s="448"/>
      <c r="FE163" s="448"/>
      <c r="FF163" s="448"/>
      <c r="FG163" s="448"/>
      <c r="FH163" s="448"/>
      <c r="FI163" s="448"/>
      <c r="FJ163" s="448"/>
      <c r="FK163" s="448"/>
      <c r="FL163" s="448"/>
      <c r="FM163" s="448"/>
      <c r="FN163" s="448"/>
      <c r="FO163" s="448"/>
      <c r="FP163" s="448"/>
      <c r="FQ163" s="448"/>
      <c r="FR163" s="448"/>
      <c r="FS163" s="448"/>
      <c r="FT163" s="448"/>
      <c r="FU163" s="448"/>
      <c r="FV163" s="448"/>
      <c r="FW163" s="448"/>
      <c r="FX163" s="448"/>
      <c r="FY163" s="448"/>
      <c r="FZ163" s="448"/>
      <c r="GA163" s="448"/>
      <c r="GB163" s="448"/>
      <c r="GC163" s="448"/>
      <c r="GD163" s="448"/>
      <c r="GE163" s="448"/>
      <c r="GF163" s="448"/>
      <c r="GG163" s="448"/>
      <c r="GH163" s="448"/>
      <c r="GI163" s="448"/>
      <c r="GJ163" s="448"/>
      <c r="GK163" s="448"/>
      <c r="GL163" s="448"/>
      <c r="GM163" s="448"/>
      <c r="GN163" s="448"/>
      <c r="GO163" s="448"/>
      <c r="GP163" s="448"/>
      <c r="GQ163" s="448"/>
      <c r="GR163" s="448"/>
      <c r="GS163" s="448"/>
      <c r="GT163" s="448"/>
      <c r="GU163" s="448"/>
      <c r="GV163" s="448"/>
      <c r="GW163" s="448"/>
      <c r="GX163" s="448"/>
      <c r="GY163" s="448"/>
      <c r="GZ163" s="448"/>
      <c r="HA163" s="448"/>
      <c r="HB163" s="448"/>
      <c r="HC163" s="448"/>
      <c r="HD163" s="448"/>
      <c r="HE163" s="448"/>
      <c r="HF163" s="448"/>
      <c r="HG163" s="448"/>
      <c r="HH163" s="448"/>
      <c r="HI163" s="448"/>
      <c r="HJ163" s="448"/>
      <c r="HK163" s="448"/>
      <c r="HL163" s="448"/>
      <c r="HM163" s="448"/>
      <c r="HN163" s="448"/>
      <c r="HO163" s="448"/>
      <c r="HP163" s="448"/>
      <c r="HQ163" s="448"/>
      <c r="HR163" s="448"/>
      <c r="HS163" s="448"/>
      <c r="HT163" s="448"/>
      <c r="HU163" s="448"/>
      <c r="HV163" s="448"/>
      <c r="HW163" s="448"/>
      <c r="HX163" s="448"/>
      <c r="HY163" s="448"/>
      <c r="HZ163" s="448"/>
      <c r="IA163" s="448"/>
      <c r="IB163" s="448"/>
      <c r="IC163" s="448"/>
      <c r="ID163" s="448"/>
      <c r="IE163" s="448"/>
      <c r="IF163" s="448"/>
      <c r="IG163" s="448"/>
      <c r="IH163" s="448"/>
      <c r="II163" s="448"/>
      <c r="IJ163" s="448"/>
      <c r="IK163" s="448"/>
      <c r="IL163" s="448"/>
      <c r="IM163" s="448"/>
      <c r="IN163" s="448"/>
      <c r="IO163" s="448"/>
      <c r="IP163" s="448"/>
      <c r="IQ163" s="448"/>
      <c r="IR163" s="448"/>
      <c r="IS163" s="448"/>
      <c r="IT163" s="448"/>
      <c r="IU163" s="448"/>
      <c r="IV163" s="448"/>
    </row>
    <row r="164" spans="1:256" s="66" customFormat="1" ht="27" x14ac:dyDescent="0.25">
      <c r="A164" s="24"/>
      <c r="B164" s="449"/>
      <c r="C164" s="11" t="s">
        <v>453</v>
      </c>
      <c r="D164" s="24" t="s">
        <v>18</v>
      </c>
      <c r="E164" s="24"/>
      <c r="F164" s="15">
        <f>F162</f>
        <v>2</v>
      </c>
      <c r="G164" s="13"/>
      <c r="H164" s="13"/>
      <c r="I164" s="606"/>
      <c r="J164" s="13">
        <f>I164*F164</f>
        <v>0</v>
      </c>
      <c r="K164" s="15"/>
      <c r="L164" s="15"/>
      <c r="M164" s="15">
        <f t="shared" si="61"/>
        <v>0</v>
      </c>
      <c r="N164" s="450"/>
      <c r="O164" s="451"/>
      <c r="P164" s="451"/>
      <c r="Q164" s="451"/>
      <c r="R164" s="451"/>
      <c r="S164" s="451"/>
      <c r="T164" s="451"/>
      <c r="U164" s="451"/>
      <c r="V164" s="451"/>
      <c r="W164" s="451"/>
      <c r="X164" s="451"/>
      <c r="Y164" s="451"/>
      <c r="Z164" s="451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  <c r="BG164" s="172"/>
      <c r="BH164" s="172"/>
      <c r="BI164" s="172"/>
      <c r="BJ164" s="172"/>
      <c r="BK164" s="172"/>
      <c r="BL164" s="172"/>
      <c r="BM164" s="172"/>
      <c r="BN164" s="172"/>
      <c r="BO164" s="172"/>
      <c r="BP164" s="172"/>
      <c r="BQ164" s="172"/>
      <c r="BR164" s="172"/>
      <c r="BS164" s="172"/>
      <c r="BT164" s="172"/>
      <c r="BU164" s="172"/>
      <c r="BV164" s="172"/>
      <c r="BW164" s="172"/>
      <c r="BX164" s="172"/>
      <c r="BY164" s="172"/>
      <c r="BZ164" s="172"/>
      <c r="CA164" s="172"/>
      <c r="CB164" s="172"/>
      <c r="CC164" s="172"/>
      <c r="CD164" s="172"/>
      <c r="CE164" s="172"/>
      <c r="CF164" s="172"/>
      <c r="CG164" s="172"/>
      <c r="CH164" s="172"/>
      <c r="CI164" s="172"/>
      <c r="CJ164" s="172"/>
      <c r="CK164" s="172"/>
      <c r="CL164" s="172"/>
      <c r="CM164" s="172"/>
      <c r="CN164" s="172"/>
      <c r="CO164" s="172"/>
      <c r="CP164" s="172"/>
      <c r="CQ164" s="172"/>
      <c r="CR164" s="172"/>
      <c r="CS164" s="172"/>
      <c r="CT164" s="172"/>
      <c r="CU164" s="172"/>
      <c r="CV164" s="172"/>
      <c r="CW164" s="172"/>
      <c r="CX164" s="172"/>
      <c r="CY164" s="172"/>
      <c r="CZ164" s="172"/>
      <c r="DA164" s="172"/>
      <c r="DB164" s="172"/>
      <c r="DC164" s="172"/>
      <c r="DD164" s="172"/>
      <c r="DE164" s="172"/>
      <c r="DF164" s="172"/>
      <c r="DG164" s="172"/>
      <c r="DH164" s="172"/>
      <c r="DI164" s="172"/>
      <c r="DJ164" s="172"/>
      <c r="DK164" s="172"/>
      <c r="DL164" s="172"/>
      <c r="DM164" s="172"/>
      <c r="DN164" s="172"/>
      <c r="DO164" s="172"/>
      <c r="DP164" s="172"/>
      <c r="DQ164" s="172"/>
      <c r="DR164" s="172"/>
      <c r="DS164" s="172"/>
      <c r="DT164" s="172"/>
      <c r="DU164" s="172"/>
      <c r="DV164" s="172"/>
      <c r="DW164" s="172"/>
      <c r="DX164" s="172"/>
      <c r="DY164" s="172"/>
      <c r="DZ164" s="172"/>
      <c r="EA164" s="172"/>
      <c r="EB164" s="172"/>
      <c r="EC164" s="172"/>
      <c r="ED164" s="172"/>
      <c r="EE164" s="172"/>
      <c r="EF164" s="172"/>
      <c r="EG164" s="172"/>
      <c r="EH164" s="172"/>
      <c r="EI164" s="172"/>
      <c r="EJ164" s="172"/>
      <c r="EK164" s="172"/>
      <c r="EL164" s="172"/>
      <c r="EM164" s="172"/>
      <c r="EN164" s="172"/>
      <c r="EO164" s="172"/>
      <c r="EP164" s="172"/>
      <c r="EQ164" s="172"/>
      <c r="ER164" s="172"/>
      <c r="ES164" s="172"/>
      <c r="ET164" s="172"/>
      <c r="EU164" s="172"/>
      <c r="EV164" s="172"/>
      <c r="EW164" s="172"/>
      <c r="EX164" s="172"/>
      <c r="EY164" s="172"/>
      <c r="EZ164" s="172"/>
      <c r="FA164" s="172"/>
      <c r="FB164" s="172"/>
      <c r="FC164" s="172"/>
      <c r="FD164" s="172"/>
      <c r="FE164" s="172"/>
      <c r="FF164" s="172"/>
      <c r="FG164" s="172"/>
      <c r="FH164" s="172"/>
      <c r="FI164" s="172"/>
      <c r="FJ164" s="172"/>
      <c r="FK164" s="172"/>
      <c r="FL164" s="172"/>
      <c r="FM164" s="172"/>
      <c r="FN164" s="172"/>
      <c r="FO164" s="172"/>
      <c r="FP164" s="172"/>
      <c r="FQ164" s="172"/>
      <c r="FR164" s="172"/>
      <c r="FS164" s="172"/>
      <c r="FT164" s="172"/>
      <c r="FU164" s="172"/>
      <c r="FV164" s="172"/>
      <c r="FW164" s="172"/>
      <c r="FX164" s="172"/>
      <c r="FY164" s="172"/>
      <c r="FZ164" s="172"/>
      <c r="GA164" s="172"/>
      <c r="GB164" s="172"/>
      <c r="GC164" s="172"/>
      <c r="GD164" s="172"/>
      <c r="GE164" s="172"/>
      <c r="GF164" s="172"/>
      <c r="GG164" s="172"/>
      <c r="GH164" s="172"/>
      <c r="GI164" s="172"/>
      <c r="GJ164" s="172"/>
      <c r="GK164" s="172"/>
      <c r="GL164" s="172"/>
      <c r="GM164" s="172"/>
      <c r="GN164" s="172"/>
      <c r="GO164" s="172"/>
      <c r="GP164" s="172"/>
      <c r="GQ164" s="172"/>
      <c r="GR164" s="172"/>
      <c r="GS164" s="172"/>
      <c r="GT164" s="172"/>
      <c r="GU164" s="172"/>
      <c r="GV164" s="172"/>
      <c r="GW164" s="172"/>
      <c r="GX164" s="172"/>
      <c r="GY164" s="172"/>
      <c r="GZ164" s="172"/>
      <c r="HA164" s="172"/>
      <c r="HB164" s="172"/>
      <c r="HC164" s="172"/>
      <c r="HD164" s="172"/>
      <c r="HE164" s="172"/>
      <c r="HF164" s="172"/>
      <c r="HG164" s="172"/>
      <c r="HH164" s="172"/>
      <c r="HI164" s="172"/>
      <c r="HJ164" s="172"/>
      <c r="HK164" s="172"/>
      <c r="HL164" s="172"/>
      <c r="HM164" s="172"/>
      <c r="HN164" s="172"/>
      <c r="HO164" s="172"/>
      <c r="HP164" s="172"/>
      <c r="HQ164" s="172"/>
      <c r="HR164" s="172"/>
      <c r="HS164" s="172"/>
      <c r="HT164" s="172"/>
      <c r="HU164" s="172"/>
      <c r="HV164" s="172"/>
      <c r="HW164" s="172"/>
      <c r="HX164" s="172"/>
      <c r="HY164" s="172"/>
      <c r="HZ164" s="172"/>
      <c r="IA164" s="172"/>
      <c r="IB164" s="172"/>
      <c r="IC164" s="172"/>
      <c r="ID164" s="172"/>
      <c r="IE164" s="172"/>
      <c r="IF164" s="172"/>
      <c r="IG164" s="172"/>
      <c r="IH164" s="172"/>
      <c r="II164" s="172"/>
      <c r="IJ164" s="172"/>
      <c r="IK164" s="172"/>
      <c r="IL164" s="172"/>
      <c r="IM164" s="172"/>
      <c r="IN164" s="172"/>
      <c r="IO164" s="172"/>
      <c r="IP164" s="172"/>
      <c r="IQ164" s="172"/>
      <c r="IR164" s="172"/>
      <c r="IS164" s="172"/>
      <c r="IT164" s="172"/>
      <c r="IU164" s="172"/>
      <c r="IV164" s="172"/>
    </row>
    <row r="165" spans="1:256" s="287" customFormat="1" ht="17.25" customHeight="1" x14ac:dyDescent="0.25">
      <c r="A165" s="281"/>
      <c r="B165" s="282"/>
      <c r="C165" s="399" t="s">
        <v>405</v>
      </c>
      <c r="D165" s="295"/>
      <c r="E165" s="316"/>
      <c r="F165" s="250"/>
      <c r="G165" s="250"/>
      <c r="H165" s="282"/>
      <c r="I165" s="286"/>
      <c r="J165" s="282"/>
      <c r="K165" s="282"/>
      <c r="L165" s="282"/>
      <c r="M165" s="282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</row>
    <row r="166" spans="1:256" s="55" customFormat="1" ht="12.75" x14ac:dyDescent="0.25">
      <c r="A166" s="146"/>
      <c r="B166" s="146"/>
      <c r="C166" s="147" t="s">
        <v>377</v>
      </c>
      <c r="D166" s="148"/>
      <c r="E166" s="148"/>
      <c r="F166" s="146"/>
      <c r="G166" s="146"/>
      <c r="H166" s="400"/>
      <c r="I166" s="146"/>
      <c r="J166" s="400"/>
      <c r="K166" s="146"/>
      <c r="L166" s="400"/>
      <c r="M166" s="146"/>
    </row>
    <row r="167" spans="1:256" s="151" customFormat="1" ht="28.5" customHeight="1" x14ac:dyDescent="0.25">
      <c r="A167" s="410">
        <v>1</v>
      </c>
      <c r="B167" s="410" t="s">
        <v>406</v>
      </c>
      <c r="C167" s="401" t="s">
        <v>407</v>
      </c>
      <c r="D167" s="410" t="s">
        <v>408</v>
      </c>
      <c r="E167" s="410"/>
      <c r="F167" s="149">
        <v>5.2</v>
      </c>
      <c r="G167" s="150"/>
      <c r="H167" s="150"/>
      <c r="I167" s="150"/>
      <c r="J167" s="150"/>
      <c r="K167" s="150"/>
      <c r="L167" s="150"/>
      <c r="M167" s="402"/>
      <c r="N167" s="403"/>
      <c r="O167" s="403"/>
      <c r="P167" s="403"/>
    </row>
    <row r="168" spans="1:256" s="409" customFormat="1" ht="15.75" customHeight="1" x14ac:dyDescent="0.3">
      <c r="A168" s="337"/>
      <c r="B168" s="404"/>
      <c r="C168" s="405" t="s">
        <v>409</v>
      </c>
      <c r="D168" s="152" t="s">
        <v>183</v>
      </c>
      <c r="E168" s="406">
        <v>2.78</v>
      </c>
      <c r="F168" s="152">
        <f>E168*F167</f>
        <v>14.456</v>
      </c>
      <c r="G168" s="707"/>
      <c r="H168" s="407">
        <f>F168*G168</f>
        <v>0</v>
      </c>
      <c r="I168" s="407"/>
      <c r="J168" s="407"/>
      <c r="K168" s="407"/>
      <c r="L168" s="407"/>
      <c r="M168" s="407">
        <f>H168+J168+L168</f>
        <v>0</v>
      </c>
      <c r="N168" s="408"/>
      <c r="O168" s="408"/>
      <c r="P168" s="408"/>
    </row>
    <row r="169" spans="1:256" s="403" customFormat="1" ht="29.25" customHeight="1" x14ac:dyDescent="0.25">
      <c r="A169" s="601">
        <v>2</v>
      </c>
      <c r="B169" s="602" t="s">
        <v>410</v>
      </c>
      <c r="C169" s="401" t="s">
        <v>411</v>
      </c>
      <c r="D169" s="411" t="s">
        <v>408</v>
      </c>
      <c r="E169" s="153"/>
      <c r="F169" s="149">
        <f>F167</f>
        <v>5.2</v>
      </c>
      <c r="G169" s="150"/>
      <c r="H169" s="150"/>
      <c r="I169" s="150"/>
      <c r="J169" s="150"/>
      <c r="K169" s="150"/>
      <c r="L169" s="150"/>
      <c r="M169" s="150"/>
      <c r="N169" s="85"/>
    </row>
    <row r="170" spans="1:256" s="408" customFormat="1" ht="14.25" customHeight="1" x14ac:dyDescent="0.3">
      <c r="A170" s="601"/>
      <c r="B170" s="602"/>
      <c r="C170" s="412" t="s">
        <v>412</v>
      </c>
      <c r="D170" s="152" t="s">
        <v>183</v>
      </c>
      <c r="E170" s="413">
        <v>0.99</v>
      </c>
      <c r="F170" s="152">
        <f>E170*F169</f>
        <v>5.1479999999999997</v>
      </c>
      <c r="G170" s="707"/>
      <c r="H170" s="407">
        <f>F170*G170</f>
        <v>0</v>
      </c>
      <c r="I170" s="407"/>
      <c r="J170" s="407"/>
      <c r="K170" s="407"/>
      <c r="L170" s="407"/>
      <c r="M170" s="407">
        <f>H170+J170+L170</f>
        <v>0</v>
      </c>
      <c r="N170" s="414"/>
    </row>
    <row r="171" spans="1:256" s="419" customFormat="1" ht="36.75" customHeight="1" x14ac:dyDescent="0.25">
      <c r="A171" s="410">
        <v>3</v>
      </c>
      <c r="B171" s="415" t="s">
        <v>413</v>
      </c>
      <c r="C171" s="416" t="s">
        <v>414</v>
      </c>
      <c r="D171" s="411" t="s">
        <v>408</v>
      </c>
      <c r="E171" s="153"/>
      <c r="F171" s="417">
        <v>0.94199999999999995</v>
      </c>
      <c r="G171" s="150"/>
      <c r="H171" s="150"/>
      <c r="I171" s="150"/>
      <c r="J171" s="150"/>
      <c r="K171" s="150"/>
      <c r="L171" s="150"/>
      <c r="M171" s="150"/>
      <c r="N171" s="418"/>
    </row>
    <row r="172" spans="1:256" s="421" customFormat="1" ht="13.5" customHeight="1" x14ac:dyDescent="0.2">
      <c r="A172" s="337"/>
      <c r="B172" s="154"/>
      <c r="C172" s="155" t="s">
        <v>415</v>
      </c>
      <c r="D172" s="152" t="s">
        <v>183</v>
      </c>
      <c r="E172" s="156">
        <v>12.6</v>
      </c>
      <c r="F172" s="150">
        <f>F171*E172</f>
        <v>11.869199999999999</v>
      </c>
      <c r="G172" s="707"/>
      <c r="H172" s="407">
        <f>F172*G172</f>
        <v>0</v>
      </c>
      <c r="I172" s="407"/>
      <c r="J172" s="407"/>
      <c r="K172" s="407"/>
      <c r="L172" s="407"/>
      <c r="M172" s="407">
        <f>H172+J172+L172</f>
        <v>0</v>
      </c>
      <c r="N172" s="420"/>
    </row>
    <row r="173" spans="1:256" s="421" customFormat="1" ht="13.5" customHeight="1" x14ac:dyDescent="0.2">
      <c r="A173" s="337"/>
      <c r="B173" s="157"/>
      <c r="C173" s="155" t="s">
        <v>416</v>
      </c>
      <c r="D173" s="152" t="s">
        <v>184</v>
      </c>
      <c r="E173" s="156">
        <v>5.08</v>
      </c>
      <c r="F173" s="150">
        <f>F171*E173</f>
        <v>4.7853599999999998</v>
      </c>
      <c r="G173" s="407"/>
      <c r="H173" s="407"/>
      <c r="I173" s="407"/>
      <c r="J173" s="407"/>
      <c r="K173" s="707"/>
      <c r="L173" s="407">
        <f>F173*K173</f>
        <v>0</v>
      </c>
      <c r="M173" s="407">
        <f>H173+J173+L173</f>
        <v>0</v>
      </c>
      <c r="N173" s="420"/>
    </row>
    <row r="174" spans="1:256" s="419" customFormat="1" ht="29.25" customHeight="1" x14ac:dyDescent="0.25">
      <c r="A174" s="410"/>
      <c r="B174" s="422"/>
      <c r="C174" s="423" t="s">
        <v>414</v>
      </c>
      <c r="D174" s="153" t="s">
        <v>190</v>
      </c>
      <c r="E174" s="150"/>
      <c r="F174" s="150">
        <v>2</v>
      </c>
      <c r="G174" s="150"/>
      <c r="H174" s="150"/>
      <c r="I174" s="713"/>
      <c r="J174" s="150">
        <f t="shared" ref="J174:J175" si="62">I174*F174</f>
        <v>0</v>
      </c>
      <c r="K174" s="150"/>
      <c r="L174" s="150"/>
      <c r="M174" s="150">
        <f t="shared" ref="M174:M175" si="63">H174+J174+L174</f>
        <v>0</v>
      </c>
      <c r="N174" s="418"/>
    </row>
    <row r="175" spans="1:256" s="421" customFormat="1" ht="13.5" customHeight="1" x14ac:dyDescent="0.2">
      <c r="A175" s="337"/>
      <c r="B175" s="157"/>
      <c r="C175" s="155" t="s">
        <v>417</v>
      </c>
      <c r="D175" s="152" t="s">
        <v>190</v>
      </c>
      <c r="E175" s="153">
        <v>7.01</v>
      </c>
      <c r="F175" s="150">
        <f>F171*E175</f>
        <v>6.6034199999999998</v>
      </c>
      <c r="G175" s="407"/>
      <c r="H175" s="407"/>
      <c r="I175" s="707"/>
      <c r="J175" s="150">
        <f t="shared" si="62"/>
        <v>0</v>
      </c>
      <c r="K175" s="407"/>
      <c r="L175" s="407"/>
      <c r="M175" s="407">
        <f t="shared" si="63"/>
        <v>0</v>
      </c>
      <c r="N175" s="420"/>
    </row>
    <row r="176" spans="1:256" s="197" customFormat="1" ht="12.75" x14ac:dyDescent="0.25">
      <c r="A176" s="34">
        <v>4</v>
      </c>
      <c r="B176" s="34" t="s">
        <v>285</v>
      </c>
      <c r="C176" s="196" t="s">
        <v>243</v>
      </c>
      <c r="D176" s="34" t="s">
        <v>11</v>
      </c>
      <c r="E176" s="158"/>
      <c r="F176" s="158">
        <v>1</v>
      </c>
      <c r="G176" s="158"/>
      <c r="H176" s="158"/>
      <c r="I176" s="158"/>
      <c r="J176" s="158"/>
      <c r="K176" s="158"/>
      <c r="L176" s="158"/>
      <c r="M176" s="158"/>
    </row>
    <row r="177" spans="1:15" s="55" customFormat="1" ht="12.75" x14ac:dyDescent="0.25">
      <c r="A177" s="54"/>
      <c r="B177" s="33"/>
      <c r="C177" s="56" t="s">
        <v>65</v>
      </c>
      <c r="D177" s="54" t="s">
        <v>53</v>
      </c>
      <c r="E177" s="57">
        <v>1.78</v>
      </c>
      <c r="F177" s="57">
        <f>F176*E177</f>
        <v>1.78</v>
      </c>
      <c r="G177" s="644"/>
      <c r="H177" s="57">
        <f>F177*G177</f>
        <v>0</v>
      </c>
      <c r="I177" s="57"/>
      <c r="J177" s="57"/>
      <c r="K177" s="57"/>
      <c r="L177" s="57"/>
      <c r="M177" s="57">
        <f t="shared" ref="M177:M179" si="64">H177+J177+L177</f>
        <v>0</v>
      </c>
    </row>
    <row r="178" spans="1:15" s="55" customFormat="1" ht="12.75" x14ac:dyDescent="0.25">
      <c r="A178" s="54"/>
      <c r="B178" s="33"/>
      <c r="C178" s="56" t="s">
        <v>245</v>
      </c>
      <c r="D178" s="54" t="s">
        <v>11</v>
      </c>
      <c r="E178" s="57">
        <v>1.1000000000000001</v>
      </c>
      <c r="F178" s="57">
        <f>F176*E178</f>
        <v>1.1000000000000001</v>
      </c>
      <c r="G178" s="57"/>
      <c r="H178" s="57"/>
      <c r="I178" s="644"/>
      <c r="J178" s="57">
        <f t="shared" ref="J178" si="65">I178*F178</f>
        <v>0</v>
      </c>
      <c r="K178" s="57"/>
      <c r="L178" s="57"/>
      <c r="M178" s="57">
        <f t="shared" si="64"/>
        <v>0</v>
      </c>
    </row>
    <row r="179" spans="1:15" s="55" customFormat="1" ht="12.75" x14ac:dyDescent="0.25">
      <c r="A179" s="54"/>
      <c r="B179" s="54"/>
      <c r="C179" s="56" t="s">
        <v>193</v>
      </c>
      <c r="D179" s="54" t="s">
        <v>13</v>
      </c>
      <c r="E179" s="57">
        <v>1.6</v>
      </c>
      <c r="F179" s="57">
        <f>F176*E179</f>
        <v>1.6</v>
      </c>
      <c r="G179" s="57"/>
      <c r="H179" s="57"/>
      <c r="I179" s="57"/>
      <c r="J179" s="57"/>
      <c r="K179" s="644"/>
      <c r="L179" s="57">
        <f>F179*K179</f>
        <v>0</v>
      </c>
      <c r="M179" s="57">
        <f t="shared" si="64"/>
        <v>0</v>
      </c>
    </row>
    <row r="180" spans="1:15" s="50" customFormat="1" ht="26.25" customHeight="1" x14ac:dyDescent="0.25">
      <c r="A180" s="410">
        <v>5</v>
      </c>
      <c r="B180" s="159" t="s">
        <v>186</v>
      </c>
      <c r="C180" s="160" t="s">
        <v>418</v>
      </c>
      <c r="D180" s="410" t="s">
        <v>187</v>
      </c>
      <c r="E180" s="153"/>
      <c r="F180" s="149">
        <v>1</v>
      </c>
      <c r="G180" s="150"/>
      <c r="H180" s="150"/>
      <c r="I180" s="150"/>
      <c r="J180" s="150"/>
      <c r="K180" s="150"/>
      <c r="L180" s="150"/>
      <c r="M180" s="150"/>
    </row>
    <row r="181" spans="1:15" s="48" customFormat="1" ht="14.25" customHeight="1" x14ac:dyDescent="0.25">
      <c r="A181" s="337"/>
      <c r="B181" s="154"/>
      <c r="C181" s="155" t="s">
        <v>188</v>
      </c>
      <c r="D181" s="152" t="s">
        <v>183</v>
      </c>
      <c r="E181" s="156">
        <v>1.54</v>
      </c>
      <c r="F181" s="153">
        <f>E181*F180</f>
        <v>1.54</v>
      </c>
      <c r="G181" s="707"/>
      <c r="H181" s="407">
        <f>F181*G181</f>
        <v>0</v>
      </c>
      <c r="I181" s="150"/>
      <c r="J181" s="424"/>
      <c r="K181" s="407"/>
      <c r="L181" s="407"/>
      <c r="M181" s="407">
        <f t="shared" ref="M181:M183" si="66">H181+J181+L181</f>
        <v>0</v>
      </c>
    </row>
    <row r="182" spans="1:15" s="48" customFormat="1" ht="14.25" customHeight="1" x14ac:dyDescent="0.25">
      <c r="A182" s="337"/>
      <c r="B182" s="157"/>
      <c r="C182" s="155" t="s">
        <v>189</v>
      </c>
      <c r="D182" s="152" t="s">
        <v>184</v>
      </c>
      <c r="E182" s="153">
        <v>0.09</v>
      </c>
      <c r="F182" s="153">
        <f>E182*F180</f>
        <v>0.09</v>
      </c>
      <c r="G182" s="407"/>
      <c r="H182" s="407"/>
      <c r="I182" s="407"/>
      <c r="J182" s="407"/>
      <c r="K182" s="707"/>
      <c r="L182" s="407">
        <f>F182*K182</f>
        <v>0</v>
      </c>
      <c r="M182" s="407">
        <f t="shared" si="66"/>
        <v>0</v>
      </c>
    </row>
    <row r="183" spans="1:15" s="151" customFormat="1" ht="25.5" customHeight="1" x14ac:dyDescent="0.25">
      <c r="A183" s="410"/>
      <c r="B183" s="33"/>
      <c r="C183" s="160" t="s">
        <v>244</v>
      </c>
      <c r="D183" s="153" t="s">
        <v>187</v>
      </c>
      <c r="E183" s="150">
        <v>1</v>
      </c>
      <c r="F183" s="150">
        <f>E183*F180</f>
        <v>1</v>
      </c>
      <c r="G183" s="150"/>
      <c r="H183" s="150"/>
      <c r="I183" s="713"/>
      <c r="J183" s="150">
        <f t="shared" ref="J183" si="67">I183*F183</f>
        <v>0</v>
      </c>
      <c r="K183" s="150"/>
      <c r="L183" s="150"/>
      <c r="M183" s="150">
        <f t="shared" si="66"/>
        <v>0</v>
      </c>
    </row>
    <row r="184" spans="1:15" s="203" customFormat="1" ht="40.5" x14ac:dyDescent="0.25">
      <c r="A184" s="198">
        <v>1</v>
      </c>
      <c r="B184" s="199" t="s">
        <v>271</v>
      </c>
      <c r="C184" s="200" t="s">
        <v>270</v>
      </c>
      <c r="D184" s="201" t="s">
        <v>54</v>
      </c>
      <c r="E184" s="191"/>
      <c r="F184" s="202">
        <v>0.5</v>
      </c>
      <c r="G184" s="191"/>
      <c r="H184" s="425"/>
      <c r="I184" s="191"/>
      <c r="J184" s="191"/>
      <c r="K184" s="426"/>
      <c r="L184" s="191"/>
      <c r="M184" s="191"/>
      <c r="O184" s="338"/>
    </row>
    <row r="185" spans="1:15" s="192" customFormat="1" ht="15.75" customHeight="1" x14ac:dyDescent="0.25">
      <c r="A185" s="187" t="s">
        <v>263</v>
      </c>
      <c r="B185" s="188"/>
      <c r="C185" s="193" t="s">
        <v>69</v>
      </c>
      <c r="D185" s="189" t="s">
        <v>70</v>
      </c>
      <c r="E185" s="194">
        <f>13.2*0.001</f>
        <v>1.32E-2</v>
      </c>
      <c r="F185" s="190">
        <f>E185*F184</f>
        <v>6.6E-3</v>
      </c>
      <c r="G185" s="704"/>
      <c r="H185" s="190">
        <f>F185*G185</f>
        <v>0</v>
      </c>
      <c r="I185" s="190"/>
      <c r="J185" s="190"/>
      <c r="K185" s="427"/>
      <c r="L185" s="190"/>
      <c r="M185" s="190">
        <f t="shared" ref="M185:M188" si="68">H185+J185+L185</f>
        <v>0</v>
      </c>
      <c r="O185" s="339"/>
    </row>
    <row r="186" spans="1:15" s="192" customFormat="1" ht="15.75" customHeight="1" x14ac:dyDescent="0.25">
      <c r="A186" s="187" t="s">
        <v>263</v>
      </c>
      <c r="B186" s="189"/>
      <c r="C186" s="193" t="s">
        <v>264</v>
      </c>
      <c r="D186" s="189" t="s">
        <v>265</v>
      </c>
      <c r="E186" s="194">
        <f>29.5*0.001</f>
        <v>2.9500000000000002E-2</v>
      </c>
      <c r="F186" s="190">
        <f>E186*F184</f>
        <v>1.4750000000000001E-2</v>
      </c>
      <c r="G186" s="190"/>
      <c r="H186" s="190"/>
      <c r="I186" s="190"/>
      <c r="J186" s="190"/>
      <c r="K186" s="710"/>
      <c r="L186" s="190">
        <f>K186*F186</f>
        <v>0</v>
      </c>
      <c r="M186" s="190">
        <f t="shared" si="68"/>
        <v>0</v>
      </c>
      <c r="O186" s="339"/>
    </row>
    <row r="187" spans="1:15" s="192" customFormat="1" ht="15.75" customHeight="1" x14ac:dyDescent="0.25">
      <c r="A187" s="187" t="s">
        <v>263</v>
      </c>
      <c r="B187" s="193"/>
      <c r="C187" s="193" t="s">
        <v>266</v>
      </c>
      <c r="D187" s="189" t="s">
        <v>16</v>
      </c>
      <c r="E187" s="194">
        <f>2.1*0.001</f>
        <v>2.1000000000000003E-3</v>
      </c>
      <c r="F187" s="190">
        <f>E187*F184</f>
        <v>1.0500000000000002E-3</v>
      </c>
      <c r="G187" s="190"/>
      <c r="H187" s="190"/>
      <c r="I187" s="190"/>
      <c r="J187" s="190"/>
      <c r="K187" s="710"/>
      <c r="L187" s="190">
        <f t="shared" ref="L187" si="69">K187*F187</f>
        <v>0</v>
      </c>
      <c r="M187" s="190">
        <f t="shared" si="68"/>
        <v>0</v>
      </c>
      <c r="O187" s="339"/>
    </row>
    <row r="188" spans="1:15" s="192" customFormat="1" ht="15.75" customHeight="1" x14ac:dyDescent="0.25">
      <c r="A188" s="187" t="s">
        <v>263</v>
      </c>
      <c r="B188" s="188"/>
      <c r="C188" s="193" t="s">
        <v>267</v>
      </c>
      <c r="D188" s="189" t="s">
        <v>57</v>
      </c>
      <c r="E188" s="195">
        <f>0.05*0.001</f>
        <v>5.0000000000000002E-5</v>
      </c>
      <c r="F188" s="190">
        <f>E188*F184</f>
        <v>2.5000000000000001E-5</v>
      </c>
      <c r="G188" s="190"/>
      <c r="H188" s="190"/>
      <c r="I188" s="710"/>
      <c r="J188" s="194">
        <f t="shared" ref="J188" si="70">I188*F188</f>
        <v>0</v>
      </c>
      <c r="K188" s="427"/>
      <c r="L188" s="190"/>
      <c r="M188" s="190">
        <f t="shared" si="68"/>
        <v>0</v>
      </c>
      <c r="O188" s="339"/>
    </row>
    <row r="189" spans="1:15" s="205" customFormat="1" ht="27" x14ac:dyDescent="0.25">
      <c r="A189" s="204">
        <v>2</v>
      </c>
      <c r="B189" s="204" t="s">
        <v>258</v>
      </c>
      <c r="C189" s="23" t="s">
        <v>269</v>
      </c>
      <c r="D189" s="17" t="s">
        <v>259</v>
      </c>
      <c r="E189" s="202"/>
      <c r="F189" s="202">
        <v>0.5</v>
      </c>
      <c r="G189" s="428"/>
      <c r="H189" s="428"/>
      <c r="I189" s="428"/>
      <c r="J189" s="428"/>
      <c r="K189" s="428"/>
      <c r="L189" s="428"/>
      <c r="M189" s="429"/>
    </row>
    <row r="190" spans="1:15" s="186" customFormat="1" x14ac:dyDescent="0.25">
      <c r="A190" s="206"/>
      <c r="B190" s="206"/>
      <c r="C190" s="229" t="s">
        <v>206</v>
      </c>
      <c r="D190" s="207" t="s">
        <v>70</v>
      </c>
      <c r="E190" s="208">
        <v>0.15</v>
      </c>
      <c r="F190" s="208">
        <f>F189*E190</f>
        <v>7.4999999999999997E-2</v>
      </c>
      <c r="G190" s="705"/>
      <c r="H190" s="208">
        <f>F190*G190</f>
        <v>0</v>
      </c>
      <c r="I190" s="430"/>
      <c r="J190" s="430"/>
      <c r="K190" s="430"/>
      <c r="L190" s="430"/>
      <c r="M190" s="208">
        <f t="shared" ref="M190:M195" si="71">H190+J190+L190</f>
        <v>0</v>
      </c>
    </row>
    <row r="191" spans="1:15" s="186" customFormat="1" x14ac:dyDescent="0.25">
      <c r="A191" s="206"/>
      <c r="B191" s="206"/>
      <c r="C191" s="229" t="s">
        <v>268</v>
      </c>
      <c r="D191" s="207" t="s">
        <v>259</v>
      </c>
      <c r="E191" s="208">
        <v>1.22</v>
      </c>
      <c r="F191" s="208">
        <f>F189*E191</f>
        <v>0.61</v>
      </c>
      <c r="G191" s="430"/>
      <c r="H191" s="430"/>
      <c r="I191" s="705"/>
      <c r="J191" s="208">
        <f t="shared" ref="J191" si="72">I191*F191</f>
        <v>0</v>
      </c>
      <c r="K191" s="430"/>
      <c r="L191" s="430"/>
      <c r="M191" s="208">
        <f t="shared" si="71"/>
        <v>0</v>
      </c>
    </row>
    <row r="192" spans="1:15" s="186" customFormat="1" x14ac:dyDescent="0.25">
      <c r="A192" s="206"/>
      <c r="B192" s="207"/>
      <c r="C192" s="229" t="s">
        <v>260</v>
      </c>
      <c r="D192" s="207" t="s">
        <v>261</v>
      </c>
      <c r="E192" s="209">
        <v>2.1600000000000001E-2</v>
      </c>
      <c r="F192" s="208">
        <f>F189*E192</f>
        <v>1.0800000000000001E-2</v>
      </c>
      <c r="G192" s="430"/>
      <c r="H192" s="430"/>
      <c r="I192" s="208"/>
      <c r="J192" s="208"/>
      <c r="K192" s="705"/>
      <c r="L192" s="208">
        <f>F192*K192</f>
        <v>0</v>
      </c>
      <c r="M192" s="208">
        <f t="shared" si="71"/>
        <v>0</v>
      </c>
    </row>
    <row r="193" spans="1:15" s="186" customFormat="1" x14ac:dyDescent="0.25">
      <c r="A193" s="206"/>
      <c r="B193" s="207"/>
      <c r="C193" s="229" t="s">
        <v>262</v>
      </c>
      <c r="D193" s="207" t="s">
        <v>261</v>
      </c>
      <c r="E193" s="209">
        <v>2.7300000000000001E-2</v>
      </c>
      <c r="F193" s="208">
        <f>F189*E193</f>
        <v>1.3650000000000001E-2</v>
      </c>
      <c r="G193" s="430"/>
      <c r="H193" s="430"/>
      <c r="I193" s="208"/>
      <c r="J193" s="208"/>
      <c r="K193" s="705"/>
      <c r="L193" s="208">
        <f t="shared" ref="L193" si="73">F193*K193</f>
        <v>0</v>
      </c>
      <c r="M193" s="208">
        <f t="shared" si="71"/>
        <v>0</v>
      </c>
    </row>
    <row r="194" spans="1:15" s="186" customFormat="1" x14ac:dyDescent="0.25">
      <c r="A194" s="206"/>
      <c r="B194" s="207"/>
      <c r="C194" s="229" t="s">
        <v>286</v>
      </c>
      <c r="D194" s="207" t="s">
        <v>261</v>
      </c>
      <c r="E194" s="209">
        <v>9.7000000000000003E-3</v>
      </c>
      <c r="F194" s="208">
        <f>F189*E194</f>
        <v>4.8500000000000001E-3</v>
      </c>
      <c r="G194" s="430"/>
      <c r="H194" s="430"/>
      <c r="I194" s="208"/>
      <c r="J194" s="208"/>
      <c r="K194" s="705"/>
      <c r="L194" s="208">
        <f>F194*K194</f>
        <v>0</v>
      </c>
      <c r="M194" s="208">
        <f t="shared" si="71"/>
        <v>0</v>
      </c>
    </row>
    <row r="195" spans="1:15" s="186" customFormat="1" x14ac:dyDescent="0.25">
      <c r="A195" s="206"/>
      <c r="B195" s="207"/>
      <c r="C195" s="229" t="s">
        <v>287</v>
      </c>
      <c r="D195" s="207" t="s">
        <v>184</v>
      </c>
      <c r="E195" s="209">
        <v>7.0000000000000007E-2</v>
      </c>
      <c r="F195" s="208">
        <f>F189*E195</f>
        <v>3.5000000000000003E-2</v>
      </c>
      <c r="G195" s="430"/>
      <c r="H195" s="430"/>
      <c r="I195" s="705"/>
      <c r="J195" s="208">
        <f t="shared" ref="J195" si="74">I195*F195</f>
        <v>0</v>
      </c>
      <c r="K195" s="208"/>
      <c r="L195" s="208"/>
      <c r="M195" s="208">
        <f t="shared" si="71"/>
        <v>0</v>
      </c>
    </row>
    <row r="196" spans="1:15" s="66" customFormat="1" ht="15" customHeight="1" x14ac:dyDescent="0.25">
      <c r="A196" s="17">
        <v>3</v>
      </c>
      <c r="B196" s="213" t="s">
        <v>294</v>
      </c>
      <c r="C196" s="23" t="s">
        <v>295</v>
      </c>
      <c r="D196" s="17" t="s">
        <v>11</v>
      </c>
      <c r="E196" s="17"/>
      <c r="F196" s="20">
        <v>0.5</v>
      </c>
      <c r="G196" s="20"/>
      <c r="H196" s="20"/>
      <c r="I196" s="20"/>
      <c r="J196" s="20"/>
      <c r="K196" s="20"/>
      <c r="L196" s="20"/>
      <c r="M196" s="20"/>
    </row>
    <row r="197" spans="1:15" s="66" customFormat="1" ht="15" customHeight="1" x14ac:dyDescent="0.25">
      <c r="A197" s="17"/>
      <c r="B197" s="213"/>
      <c r="C197" s="11" t="s">
        <v>86</v>
      </c>
      <c r="D197" s="24" t="s">
        <v>55</v>
      </c>
      <c r="E197" s="24">
        <v>0.13400000000000001</v>
      </c>
      <c r="F197" s="15">
        <f>E197*F196</f>
        <v>6.7000000000000004E-2</v>
      </c>
      <c r="G197" s="606"/>
      <c r="H197" s="15">
        <f>F197*G197</f>
        <v>0</v>
      </c>
      <c r="I197" s="15"/>
      <c r="J197" s="15"/>
      <c r="K197" s="15"/>
      <c r="L197" s="15"/>
      <c r="M197" s="15">
        <f>J197</f>
        <v>0</v>
      </c>
    </row>
    <row r="198" spans="1:15" s="66" customFormat="1" x14ac:dyDescent="0.25">
      <c r="A198" s="24"/>
      <c r="B198" s="26"/>
      <c r="C198" s="29" t="s">
        <v>296</v>
      </c>
      <c r="D198" s="24" t="s">
        <v>297</v>
      </c>
      <c r="E198" s="24">
        <v>0.13</v>
      </c>
      <c r="F198" s="15">
        <f>E198*F196</f>
        <v>6.5000000000000002E-2</v>
      </c>
      <c r="G198" s="15"/>
      <c r="H198" s="15"/>
      <c r="I198" s="15"/>
      <c r="J198" s="15"/>
      <c r="K198" s="606"/>
      <c r="L198" s="15">
        <f>K198*F198</f>
        <v>0</v>
      </c>
      <c r="M198" s="15">
        <f>L198</f>
        <v>0</v>
      </c>
      <c r="O198" s="69"/>
    </row>
    <row r="199" spans="1:15" s="66" customFormat="1" x14ac:dyDescent="0.25">
      <c r="A199" s="24"/>
      <c r="B199" s="26"/>
      <c r="C199" s="29" t="s">
        <v>357</v>
      </c>
      <c r="D199" s="24" t="s">
        <v>297</v>
      </c>
      <c r="E199" s="24">
        <v>6.5000000000000002E-2</v>
      </c>
      <c r="F199" s="15">
        <f>E199*F196</f>
        <v>3.2500000000000001E-2</v>
      </c>
      <c r="G199" s="15"/>
      <c r="H199" s="15"/>
      <c r="I199" s="15"/>
      <c r="J199" s="15"/>
      <c r="K199" s="606"/>
      <c r="L199" s="15">
        <f>K199*F199</f>
        <v>0</v>
      </c>
      <c r="M199" s="15">
        <f>L199</f>
        <v>0</v>
      </c>
      <c r="O199" s="69"/>
    </row>
    <row r="200" spans="1:15" s="82" customFormat="1" ht="30.75" customHeight="1" x14ac:dyDescent="0.25">
      <c r="A200" s="17">
        <v>4</v>
      </c>
      <c r="B200" s="213" t="s">
        <v>293</v>
      </c>
      <c r="C200" s="23" t="s">
        <v>419</v>
      </c>
      <c r="D200" s="17" t="s">
        <v>11</v>
      </c>
      <c r="E200" s="17"/>
      <c r="F200" s="21">
        <f>1.5*1.5*0.1</f>
        <v>0.22500000000000001</v>
      </c>
      <c r="G200" s="17"/>
      <c r="H200" s="20"/>
      <c r="I200" s="21"/>
      <c r="J200" s="20"/>
      <c r="K200" s="21"/>
      <c r="L200" s="20"/>
      <c r="M200" s="20"/>
      <c r="N200" s="68"/>
    </row>
    <row r="201" spans="1:15" s="66" customFormat="1" x14ac:dyDescent="0.25">
      <c r="A201" s="24"/>
      <c r="B201" s="87"/>
      <c r="C201" s="11" t="s">
        <v>69</v>
      </c>
      <c r="D201" s="24" t="s">
        <v>70</v>
      </c>
      <c r="E201" s="24">
        <v>12.1</v>
      </c>
      <c r="F201" s="15">
        <f>F200*E201</f>
        <v>2.7225000000000001</v>
      </c>
      <c r="G201" s="606"/>
      <c r="H201" s="15">
        <f>F201*G201</f>
        <v>0</v>
      </c>
      <c r="I201" s="27"/>
      <c r="J201" s="15"/>
      <c r="K201" s="27"/>
      <c r="L201" s="15"/>
      <c r="M201" s="15">
        <f t="shared" ref="M201:M208" si="75">H201+J201+L201</f>
        <v>0</v>
      </c>
      <c r="N201" s="69"/>
    </row>
    <row r="202" spans="1:15" s="66" customFormat="1" x14ac:dyDescent="0.25">
      <c r="A202" s="24"/>
      <c r="B202" s="87"/>
      <c r="C202" s="11" t="s">
        <v>89</v>
      </c>
      <c r="D202" s="24" t="s">
        <v>16</v>
      </c>
      <c r="E202" s="24">
        <v>1.1000000000000001</v>
      </c>
      <c r="F202" s="15">
        <f>F200*E202</f>
        <v>0.24750000000000003</v>
      </c>
      <c r="G202" s="24"/>
      <c r="H202" s="15"/>
      <c r="I202" s="27"/>
      <c r="J202" s="15"/>
      <c r="K202" s="606"/>
      <c r="L202" s="15">
        <f>F202*K202</f>
        <v>0</v>
      </c>
      <c r="M202" s="15">
        <f t="shared" si="75"/>
        <v>0</v>
      </c>
      <c r="N202" s="69"/>
    </row>
    <row r="203" spans="1:15" s="66" customFormat="1" x14ac:dyDescent="0.25">
      <c r="A203" s="24"/>
      <c r="B203" s="26"/>
      <c r="C203" s="11" t="s">
        <v>64</v>
      </c>
      <c r="D203" s="24" t="s">
        <v>11</v>
      </c>
      <c r="E203" s="24">
        <v>1.0149999999999999</v>
      </c>
      <c r="F203" s="15">
        <f>F200*E203</f>
        <v>0.22837499999999999</v>
      </c>
      <c r="G203" s="24"/>
      <c r="H203" s="15"/>
      <c r="I203" s="606"/>
      <c r="J203" s="15">
        <f t="shared" ref="J203:J208" si="76">I203*F203</f>
        <v>0</v>
      </c>
      <c r="K203" s="27"/>
      <c r="L203" s="15"/>
      <c r="M203" s="15">
        <f t="shared" si="75"/>
        <v>0</v>
      </c>
      <c r="N203" s="69"/>
    </row>
    <row r="204" spans="1:15" s="66" customFormat="1" x14ac:dyDescent="0.25">
      <c r="A204" s="24"/>
      <c r="B204" s="26"/>
      <c r="C204" s="11" t="s">
        <v>61</v>
      </c>
      <c r="D204" s="24" t="s">
        <v>18</v>
      </c>
      <c r="E204" s="24">
        <v>1.85</v>
      </c>
      <c r="F204" s="15">
        <f>F200*E204</f>
        <v>0.41625000000000001</v>
      </c>
      <c r="G204" s="24"/>
      <c r="H204" s="15"/>
      <c r="I204" s="606"/>
      <c r="J204" s="15">
        <f t="shared" si="76"/>
        <v>0</v>
      </c>
      <c r="K204" s="27"/>
      <c r="L204" s="15"/>
      <c r="M204" s="15">
        <f t="shared" si="75"/>
        <v>0</v>
      </c>
      <c r="N204" s="69"/>
    </row>
    <row r="205" spans="1:15" s="66" customFormat="1" x14ac:dyDescent="0.25">
      <c r="A205" s="24"/>
      <c r="B205" s="26"/>
      <c r="C205" s="11" t="s">
        <v>62</v>
      </c>
      <c r="D205" s="24" t="s">
        <v>11</v>
      </c>
      <c r="E205" s="24">
        <v>7.6100000000000001E-2</v>
      </c>
      <c r="F205" s="15">
        <f>F200*E205</f>
        <v>1.7122500000000002E-2</v>
      </c>
      <c r="G205" s="24"/>
      <c r="H205" s="15"/>
      <c r="I205" s="606"/>
      <c r="J205" s="15">
        <f t="shared" si="76"/>
        <v>0</v>
      </c>
      <c r="K205" s="27"/>
      <c r="L205" s="15"/>
      <c r="M205" s="15">
        <f t="shared" si="75"/>
        <v>0</v>
      </c>
      <c r="N205" s="69"/>
    </row>
    <row r="206" spans="1:15" s="66" customFormat="1" x14ac:dyDescent="0.25">
      <c r="A206" s="24"/>
      <c r="B206" s="26"/>
      <c r="C206" s="56" t="s">
        <v>63</v>
      </c>
      <c r="D206" s="24" t="s">
        <v>13</v>
      </c>
      <c r="E206" s="24"/>
      <c r="F206" s="75">
        <v>0.06</v>
      </c>
      <c r="G206" s="24"/>
      <c r="H206" s="15"/>
      <c r="I206" s="606"/>
      <c r="J206" s="15">
        <f t="shared" si="76"/>
        <v>0</v>
      </c>
      <c r="K206" s="27"/>
      <c r="L206" s="15"/>
      <c r="M206" s="15">
        <f t="shared" si="75"/>
        <v>0</v>
      </c>
      <c r="N206" s="69"/>
    </row>
    <row r="207" spans="1:15" s="66" customFormat="1" x14ac:dyDescent="0.25">
      <c r="A207" s="24"/>
      <c r="B207" s="26"/>
      <c r="C207" s="11" t="s">
        <v>219</v>
      </c>
      <c r="D207" s="24" t="s">
        <v>22</v>
      </c>
      <c r="E207" s="24">
        <v>1.8</v>
      </c>
      <c r="F207" s="15">
        <f>F200*E207</f>
        <v>0.40500000000000003</v>
      </c>
      <c r="G207" s="24"/>
      <c r="H207" s="15"/>
      <c r="I207" s="606"/>
      <c r="J207" s="15">
        <f t="shared" si="76"/>
        <v>0</v>
      </c>
      <c r="K207" s="27"/>
      <c r="L207" s="15"/>
      <c r="M207" s="15">
        <f t="shared" si="75"/>
        <v>0</v>
      </c>
      <c r="N207" s="69"/>
    </row>
    <row r="208" spans="1:15" s="66" customFormat="1" x14ac:dyDescent="0.25">
      <c r="A208" s="24"/>
      <c r="B208" s="87"/>
      <c r="C208" s="11" t="s">
        <v>80</v>
      </c>
      <c r="D208" s="24" t="s">
        <v>16</v>
      </c>
      <c r="E208" s="24">
        <v>0.98</v>
      </c>
      <c r="F208" s="15">
        <f>F200*E208</f>
        <v>0.2205</v>
      </c>
      <c r="G208" s="24"/>
      <c r="H208" s="15"/>
      <c r="I208" s="606"/>
      <c r="J208" s="15">
        <f t="shared" si="76"/>
        <v>0</v>
      </c>
      <c r="K208" s="27"/>
      <c r="L208" s="15"/>
      <c r="M208" s="15">
        <f t="shared" si="75"/>
        <v>0</v>
      </c>
      <c r="N208" s="69"/>
    </row>
    <row r="209" spans="1:26" s="233" customFormat="1" ht="27" x14ac:dyDescent="0.25">
      <c r="A209" s="17">
        <v>5</v>
      </c>
      <c r="B209" s="213" t="s">
        <v>303</v>
      </c>
      <c r="C209" s="23" t="s">
        <v>420</v>
      </c>
      <c r="D209" s="17" t="s">
        <v>13</v>
      </c>
      <c r="E209" s="17"/>
      <c r="F209" s="217">
        <f>F213+F214+F215</f>
        <v>0.24492699999999995</v>
      </c>
      <c r="G209" s="17"/>
      <c r="H209" s="20"/>
      <c r="I209" s="21"/>
      <c r="J209" s="20"/>
      <c r="K209" s="21"/>
      <c r="L209" s="20"/>
      <c r="M209" s="20"/>
      <c r="N209" s="68"/>
    </row>
    <row r="210" spans="1:26" s="215" customFormat="1" x14ac:dyDescent="0.25">
      <c r="A210" s="24"/>
      <c r="B210" s="87"/>
      <c r="C210" s="29" t="s">
        <v>69</v>
      </c>
      <c r="D210" s="24" t="s">
        <v>70</v>
      </c>
      <c r="E210" s="24">
        <v>53.8</v>
      </c>
      <c r="F210" s="15">
        <f>F209*E210</f>
        <v>13.177072599999997</v>
      </c>
      <c r="G210" s="606"/>
      <c r="H210" s="15">
        <f>F210*G210</f>
        <v>0</v>
      </c>
      <c r="I210" s="27"/>
      <c r="J210" s="15"/>
      <c r="K210" s="27"/>
      <c r="L210" s="15"/>
      <c r="M210" s="15">
        <f t="shared" ref="M210:M217" si="77">H210+J210+L210</f>
        <v>0</v>
      </c>
      <c r="N210" s="69"/>
    </row>
    <row r="211" spans="1:26" s="215" customFormat="1" x14ac:dyDescent="0.25">
      <c r="A211" s="24"/>
      <c r="B211" s="87"/>
      <c r="C211" s="29" t="s">
        <v>421</v>
      </c>
      <c r="D211" s="54" t="s">
        <v>59</v>
      </c>
      <c r="E211" s="24">
        <v>0.35</v>
      </c>
      <c r="F211" s="15">
        <f>F209*E211</f>
        <v>8.572444999999998E-2</v>
      </c>
      <c r="G211" s="24"/>
      <c r="H211" s="15"/>
      <c r="I211" s="27"/>
      <c r="J211" s="15"/>
      <c r="K211" s="606"/>
      <c r="L211" s="15">
        <f>F211*K211</f>
        <v>0</v>
      </c>
      <c r="M211" s="15">
        <f t="shared" si="77"/>
        <v>0</v>
      </c>
      <c r="N211" s="69"/>
    </row>
    <row r="212" spans="1:26" s="215" customFormat="1" x14ac:dyDescent="0.25">
      <c r="A212" s="24"/>
      <c r="B212" s="87"/>
      <c r="C212" s="29" t="s">
        <v>78</v>
      </c>
      <c r="D212" s="24" t="s">
        <v>16</v>
      </c>
      <c r="E212" s="24">
        <v>18.399999999999999</v>
      </c>
      <c r="F212" s="15">
        <f>F209*E212</f>
        <v>4.5066567999999991</v>
      </c>
      <c r="G212" s="24"/>
      <c r="H212" s="15"/>
      <c r="I212" s="27"/>
      <c r="J212" s="15"/>
      <c r="K212" s="606"/>
      <c r="L212" s="15">
        <f>F212*K212</f>
        <v>0</v>
      </c>
      <c r="M212" s="15">
        <f t="shared" si="77"/>
        <v>0</v>
      </c>
      <c r="N212" s="69"/>
    </row>
    <row r="213" spans="1:26" s="215" customFormat="1" x14ac:dyDescent="0.25">
      <c r="A213" s="24"/>
      <c r="B213" s="26"/>
      <c r="C213" s="29" t="s">
        <v>422</v>
      </c>
      <c r="D213" s="24" t="s">
        <v>13</v>
      </c>
      <c r="E213" s="24"/>
      <c r="F213" s="75">
        <f>((2.3*7)*1.49+3)/1000</f>
        <v>2.6988999999999996E-2</v>
      </c>
      <c r="G213" s="24"/>
      <c r="H213" s="15"/>
      <c r="I213" s="606"/>
      <c r="J213" s="15">
        <f t="shared" ref="J213:J217" si="78">I213*F213</f>
        <v>0</v>
      </c>
      <c r="K213" s="27"/>
      <c r="L213" s="15"/>
      <c r="M213" s="15">
        <f t="shared" si="77"/>
        <v>0</v>
      </c>
      <c r="N213" s="69"/>
    </row>
    <row r="214" spans="1:26" s="215" customFormat="1" x14ac:dyDescent="0.25">
      <c r="A214" s="24"/>
      <c r="B214" s="26"/>
      <c r="C214" s="29" t="s">
        <v>423</v>
      </c>
      <c r="D214" s="24" t="s">
        <v>13</v>
      </c>
      <c r="E214" s="24"/>
      <c r="F214" s="75">
        <f>(20.4*9.42)/1000</f>
        <v>0.19216799999999998</v>
      </c>
      <c r="G214" s="24"/>
      <c r="H214" s="15"/>
      <c r="I214" s="606"/>
      <c r="J214" s="15">
        <f t="shared" si="78"/>
        <v>0</v>
      </c>
      <c r="K214" s="27"/>
      <c r="L214" s="15"/>
      <c r="M214" s="15">
        <f t="shared" si="77"/>
        <v>0</v>
      </c>
      <c r="N214" s="69"/>
    </row>
    <row r="215" spans="1:26" s="215" customFormat="1" x14ac:dyDescent="0.25">
      <c r="A215" s="24"/>
      <c r="B215" s="26"/>
      <c r="C215" s="29" t="s">
        <v>424</v>
      </c>
      <c r="D215" s="24" t="s">
        <v>13</v>
      </c>
      <c r="E215" s="24"/>
      <c r="F215" s="75">
        <f>(3*8.59)/1000</f>
        <v>2.5770000000000001E-2</v>
      </c>
      <c r="G215" s="24"/>
      <c r="H215" s="15"/>
      <c r="I215" s="606"/>
      <c r="J215" s="15">
        <f t="shared" si="78"/>
        <v>0</v>
      </c>
      <c r="K215" s="27"/>
      <c r="L215" s="15"/>
      <c r="M215" s="15">
        <f t="shared" si="77"/>
        <v>0</v>
      </c>
      <c r="N215" s="69"/>
    </row>
    <row r="216" spans="1:26" s="215" customFormat="1" x14ac:dyDescent="0.25">
      <c r="A216" s="24"/>
      <c r="B216" s="26"/>
      <c r="C216" s="29" t="s">
        <v>219</v>
      </c>
      <c r="D216" s="24" t="s">
        <v>22</v>
      </c>
      <c r="E216" s="24">
        <v>24.4</v>
      </c>
      <c r="F216" s="15">
        <f>F209*E216</f>
        <v>5.9762187999999981</v>
      </c>
      <c r="G216" s="24"/>
      <c r="H216" s="15"/>
      <c r="I216" s="606"/>
      <c r="J216" s="15">
        <f t="shared" si="78"/>
        <v>0</v>
      </c>
      <c r="K216" s="27"/>
      <c r="L216" s="15"/>
      <c r="M216" s="15">
        <f t="shared" si="77"/>
        <v>0</v>
      </c>
      <c r="N216" s="69"/>
    </row>
    <row r="217" spans="1:26" s="215" customFormat="1" x14ac:dyDescent="0.25">
      <c r="A217" s="24"/>
      <c r="B217" s="87"/>
      <c r="C217" s="29" t="s">
        <v>80</v>
      </c>
      <c r="D217" s="24" t="s">
        <v>16</v>
      </c>
      <c r="E217" s="24">
        <v>2.78</v>
      </c>
      <c r="F217" s="15">
        <f>F209*E217</f>
        <v>0.68089705999999983</v>
      </c>
      <c r="G217" s="24"/>
      <c r="H217" s="15"/>
      <c r="I217" s="606"/>
      <c r="J217" s="15">
        <f t="shared" si="78"/>
        <v>0</v>
      </c>
      <c r="K217" s="27"/>
      <c r="L217" s="15"/>
      <c r="M217" s="15">
        <f t="shared" si="77"/>
        <v>0</v>
      </c>
      <c r="N217" s="69"/>
    </row>
    <row r="218" spans="1:26" s="178" customFormat="1" ht="27" customHeight="1" x14ac:dyDescent="0.25">
      <c r="A218" s="174">
        <v>6</v>
      </c>
      <c r="B218" s="174" t="s">
        <v>359</v>
      </c>
      <c r="C218" s="175" t="s">
        <v>221</v>
      </c>
      <c r="D218" s="174" t="s">
        <v>18</v>
      </c>
      <c r="E218" s="174"/>
      <c r="F218" s="176">
        <v>11.13</v>
      </c>
      <c r="G218" s="47"/>
      <c r="H218" s="47"/>
      <c r="I218" s="47"/>
      <c r="J218" s="47"/>
      <c r="K218" s="47"/>
      <c r="L218" s="47"/>
      <c r="M218" s="47"/>
    </row>
    <row r="219" spans="1:26" s="55" customFormat="1" ht="12.75" x14ac:dyDescent="0.25">
      <c r="A219" s="54"/>
      <c r="B219" s="33"/>
      <c r="C219" s="56" t="s">
        <v>52</v>
      </c>
      <c r="D219" s="54" t="s">
        <v>53</v>
      </c>
      <c r="E219" s="54">
        <v>0.68</v>
      </c>
      <c r="F219" s="57">
        <f>F218*E219</f>
        <v>7.5684000000000013</v>
      </c>
      <c r="G219" s="644"/>
      <c r="H219" s="57">
        <f>F219*G219</f>
        <v>0</v>
      </c>
      <c r="I219" s="47"/>
      <c r="J219" s="57"/>
      <c r="K219" s="57"/>
      <c r="L219" s="57"/>
      <c r="M219" s="57">
        <f>L219+J219+H219</f>
        <v>0</v>
      </c>
    </row>
    <row r="220" spans="1:26" s="55" customFormat="1" ht="12.75" x14ac:dyDescent="0.25">
      <c r="A220" s="54"/>
      <c r="B220" s="54"/>
      <c r="C220" s="56" t="s">
        <v>56</v>
      </c>
      <c r="D220" s="54" t="s">
        <v>59</v>
      </c>
      <c r="E220" s="54">
        <v>2.9999999999999997E-4</v>
      </c>
      <c r="F220" s="57">
        <f>E220*F218</f>
        <v>3.339E-3</v>
      </c>
      <c r="G220" s="57"/>
      <c r="H220" s="57"/>
      <c r="I220" s="47"/>
      <c r="J220" s="57"/>
      <c r="K220" s="644"/>
      <c r="L220" s="57">
        <f>K220*F220</f>
        <v>0</v>
      </c>
      <c r="M220" s="57">
        <f>L220+J220+H220</f>
        <v>0</v>
      </c>
    </row>
    <row r="221" spans="1:26" s="55" customFormat="1" ht="12.75" x14ac:dyDescent="0.25">
      <c r="A221" s="54"/>
      <c r="B221" s="33"/>
      <c r="C221" s="56" t="s">
        <v>222</v>
      </c>
      <c r="D221" s="54" t="s">
        <v>22</v>
      </c>
      <c r="E221" s="54">
        <v>0.246</v>
      </c>
      <c r="F221" s="57">
        <f>E222*F218</f>
        <v>0.30051</v>
      </c>
      <c r="G221" s="57"/>
      <c r="H221" s="57"/>
      <c r="I221" s="711"/>
      <c r="J221" s="57">
        <f>I221*F221</f>
        <v>0</v>
      </c>
      <c r="K221" s="57"/>
      <c r="L221" s="57"/>
      <c r="M221" s="57">
        <f>L221+J221+H221</f>
        <v>0</v>
      </c>
    </row>
    <row r="222" spans="1:26" s="55" customFormat="1" ht="12.75" x14ac:dyDescent="0.25">
      <c r="A222" s="54"/>
      <c r="B222" s="33"/>
      <c r="C222" s="56" t="s">
        <v>223</v>
      </c>
      <c r="D222" s="54" t="s">
        <v>185</v>
      </c>
      <c r="E222" s="57">
        <v>2.7E-2</v>
      </c>
      <c r="F222" s="185">
        <f>F218*E222</f>
        <v>0.30051</v>
      </c>
      <c r="G222" s="57"/>
      <c r="H222" s="57"/>
      <c r="I222" s="711"/>
      <c r="J222" s="57">
        <f>I222*F222</f>
        <v>0</v>
      </c>
      <c r="K222" s="57"/>
      <c r="L222" s="57"/>
      <c r="M222" s="57">
        <f>L222+J222+H222</f>
        <v>0</v>
      </c>
    </row>
    <row r="223" spans="1:26" s="55" customFormat="1" ht="12.75" x14ac:dyDescent="0.25">
      <c r="A223" s="54"/>
      <c r="B223" s="33"/>
      <c r="C223" s="173" t="s">
        <v>17</v>
      </c>
      <c r="D223" s="54" t="s">
        <v>59</v>
      </c>
      <c r="E223" s="54">
        <v>1.9E-3</v>
      </c>
      <c r="F223" s="57">
        <f>F218*E223</f>
        <v>2.1147000000000003E-2</v>
      </c>
      <c r="G223" s="57"/>
      <c r="H223" s="57"/>
      <c r="I223" s="711"/>
      <c r="J223" s="57">
        <f>I223*F223</f>
        <v>0</v>
      </c>
      <c r="K223" s="57"/>
      <c r="L223" s="57"/>
      <c r="M223" s="57">
        <f>L223+J223+H223</f>
        <v>0</v>
      </c>
    </row>
    <row r="224" spans="1:26" s="287" customFormat="1" ht="17.25" customHeight="1" x14ac:dyDescent="0.25">
      <c r="A224" s="281"/>
      <c r="B224" s="282"/>
      <c r="C224" s="17" t="s">
        <v>425</v>
      </c>
      <c r="D224" s="295"/>
      <c r="E224" s="316"/>
      <c r="F224" s="250"/>
      <c r="G224" s="250"/>
      <c r="H224" s="282"/>
      <c r="I224" s="286"/>
      <c r="J224" s="282"/>
      <c r="K224" s="282"/>
      <c r="L224" s="282"/>
      <c r="M224" s="282"/>
      <c r="O224" s="317"/>
      <c r="P224" s="317"/>
      <c r="Q224" s="317"/>
      <c r="R224" s="317"/>
      <c r="S224" s="317"/>
      <c r="T224" s="317"/>
      <c r="U224" s="317"/>
      <c r="V224" s="317"/>
      <c r="W224" s="317"/>
      <c r="X224" s="317"/>
      <c r="Y224" s="317"/>
      <c r="Z224" s="317"/>
    </row>
    <row r="225" spans="1:26" s="82" customFormat="1" ht="27" x14ac:dyDescent="0.25">
      <c r="A225" s="17">
        <v>8</v>
      </c>
      <c r="B225" s="213" t="s">
        <v>309</v>
      </c>
      <c r="C225" s="23" t="s">
        <v>426</v>
      </c>
      <c r="D225" s="17" t="s">
        <v>18</v>
      </c>
      <c r="E225" s="17"/>
      <c r="F225" s="88">
        <v>2</v>
      </c>
      <c r="G225" s="52"/>
      <c r="H225" s="52"/>
      <c r="I225" s="20"/>
      <c r="J225" s="20"/>
      <c r="K225" s="20"/>
      <c r="L225" s="20"/>
      <c r="M225" s="5"/>
      <c r="N225" s="68"/>
    </row>
    <row r="226" spans="1:26" s="66" customFormat="1" x14ac:dyDescent="0.25">
      <c r="A226" s="17"/>
      <c r="B226" s="431"/>
      <c r="C226" s="29" t="s">
        <v>69</v>
      </c>
      <c r="D226" s="24" t="s">
        <v>18</v>
      </c>
      <c r="E226" s="24">
        <v>1</v>
      </c>
      <c r="F226" s="15">
        <f>F225*E226</f>
        <v>2</v>
      </c>
      <c r="G226" s="606"/>
      <c r="H226" s="13">
        <f>F226*G226</f>
        <v>0</v>
      </c>
      <c r="I226" s="15"/>
      <c r="J226" s="15"/>
      <c r="K226" s="15"/>
      <c r="L226" s="15"/>
      <c r="M226" s="5">
        <f>H226+J226+L226</f>
        <v>0</v>
      </c>
      <c r="N226" s="69"/>
    </row>
    <row r="227" spans="1:26" s="66" customFormat="1" x14ac:dyDescent="0.25">
      <c r="A227" s="17"/>
      <c r="B227" s="431"/>
      <c r="C227" s="29" t="s">
        <v>78</v>
      </c>
      <c r="D227" s="24" t="s">
        <v>16</v>
      </c>
      <c r="E227" s="24">
        <f>0.95/100+0.23/100*2</f>
        <v>1.41E-2</v>
      </c>
      <c r="F227" s="432">
        <f>F225*E227</f>
        <v>2.8199999999999999E-2</v>
      </c>
      <c r="G227" s="13"/>
      <c r="H227" s="13"/>
      <c r="I227" s="15"/>
      <c r="J227" s="15"/>
      <c r="K227" s="606"/>
      <c r="L227" s="15">
        <f>F227*K227</f>
        <v>0</v>
      </c>
      <c r="M227" s="5">
        <f>H227+J227+L227</f>
        <v>0</v>
      </c>
      <c r="N227" s="69"/>
    </row>
    <row r="228" spans="1:26" s="66" customFormat="1" x14ac:dyDescent="0.25">
      <c r="A228" s="17"/>
      <c r="B228" s="431"/>
      <c r="C228" s="29" t="s">
        <v>311</v>
      </c>
      <c r="D228" s="24" t="s">
        <v>11</v>
      </c>
      <c r="E228" s="24">
        <v>5.0500000000000003E-2</v>
      </c>
      <c r="F228" s="15">
        <f>F225*E228</f>
        <v>0.10100000000000001</v>
      </c>
      <c r="G228" s="13"/>
      <c r="H228" s="13"/>
      <c r="I228" s="606"/>
      <c r="J228" s="15">
        <f t="shared" ref="J228:J230" si="79">I228*F228</f>
        <v>0</v>
      </c>
      <c r="K228" s="15"/>
      <c r="L228" s="15"/>
      <c r="M228" s="5">
        <f>H228+J228+L228</f>
        <v>0</v>
      </c>
      <c r="N228" s="69"/>
    </row>
    <row r="229" spans="1:26" s="53" customFormat="1" ht="15.75" x14ac:dyDescent="0.25">
      <c r="A229" s="433"/>
      <c r="B229" s="431"/>
      <c r="C229" s="11" t="s">
        <v>427</v>
      </c>
      <c r="D229" s="434" t="s">
        <v>313</v>
      </c>
      <c r="E229" s="435">
        <v>1.0149999999999999</v>
      </c>
      <c r="F229" s="13">
        <f>F225*E229</f>
        <v>2.0299999999999998</v>
      </c>
      <c r="G229" s="436"/>
      <c r="H229" s="436"/>
      <c r="I229" s="657"/>
      <c r="J229" s="14">
        <f t="shared" si="79"/>
        <v>0</v>
      </c>
      <c r="K229" s="437"/>
      <c r="L229" s="437"/>
      <c r="M229" s="5">
        <f>H229+J229+L229</f>
        <v>0</v>
      </c>
    </row>
    <row r="230" spans="1:26" s="66" customFormat="1" x14ac:dyDescent="0.25">
      <c r="A230" s="17"/>
      <c r="B230" s="431"/>
      <c r="C230" s="29" t="s">
        <v>80</v>
      </c>
      <c r="D230" s="24" t="s">
        <v>16</v>
      </c>
      <c r="E230" s="24">
        <v>6.3600000000000004E-2</v>
      </c>
      <c r="F230" s="15">
        <f>F225*E230</f>
        <v>0.12720000000000001</v>
      </c>
      <c r="G230" s="436"/>
      <c r="H230" s="436"/>
      <c r="I230" s="606"/>
      <c r="J230" s="15">
        <f t="shared" si="79"/>
        <v>0</v>
      </c>
      <c r="K230" s="15"/>
      <c r="L230" s="15"/>
      <c r="M230" s="5">
        <f>H230+J230+L230</f>
        <v>0</v>
      </c>
      <c r="N230" s="69"/>
    </row>
    <row r="231" spans="1:26" s="438" customFormat="1" ht="24.75" customHeight="1" x14ac:dyDescent="0.25">
      <c r="A231" s="17">
        <v>7</v>
      </c>
      <c r="B231" s="213" t="s">
        <v>362</v>
      </c>
      <c r="C231" s="23" t="s">
        <v>124</v>
      </c>
      <c r="D231" s="17" t="s">
        <v>18</v>
      </c>
      <c r="E231" s="17"/>
      <c r="F231" s="20">
        <v>2</v>
      </c>
      <c r="G231" s="52"/>
      <c r="H231" s="52"/>
      <c r="I231" s="20"/>
      <c r="J231" s="20"/>
      <c r="K231" s="20"/>
      <c r="L231" s="20"/>
      <c r="M231" s="5"/>
      <c r="N231" s="68"/>
    </row>
    <row r="232" spans="1:26" s="439" customFormat="1" ht="13.5" customHeight="1" x14ac:dyDescent="0.25">
      <c r="A232" s="24"/>
      <c r="B232" s="33"/>
      <c r="C232" s="29" t="s">
        <v>69</v>
      </c>
      <c r="D232" s="24" t="s">
        <v>70</v>
      </c>
      <c r="E232" s="24">
        <v>3.1046</v>
      </c>
      <c r="F232" s="15">
        <f>F231*E232</f>
        <v>6.2092000000000001</v>
      </c>
      <c r="G232" s="606"/>
      <c r="H232" s="13">
        <f>F232*G232</f>
        <v>0</v>
      </c>
      <c r="I232" s="15"/>
      <c r="J232" s="15"/>
      <c r="K232" s="15"/>
      <c r="L232" s="15"/>
      <c r="M232" s="5">
        <f>H232+J232+L232</f>
        <v>0</v>
      </c>
      <c r="N232" s="69"/>
    </row>
    <row r="233" spans="1:26" s="439" customFormat="1" ht="13.5" customHeight="1" x14ac:dyDescent="0.25">
      <c r="A233" s="24"/>
      <c r="B233" s="33"/>
      <c r="C233" s="29" t="s">
        <v>89</v>
      </c>
      <c r="D233" s="24" t="s">
        <v>16</v>
      </c>
      <c r="E233" s="24">
        <v>4.5199999999999997E-2</v>
      </c>
      <c r="F233" s="15">
        <f>F231*E233</f>
        <v>9.0399999999999994E-2</v>
      </c>
      <c r="G233" s="13"/>
      <c r="H233" s="13"/>
      <c r="I233" s="15"/>
      <c r="J233" s="15"/>
      <c r="K233" s="606"/>
      <c r="L233" s="15">
        <f>F233*K233</f>
        <v>0</v>
      </c>
      <c r="M233" s="5">
        <f>H233+J233+L233</f>
        <v>0</v>
      </c>
      <c r="N233" s="69"/>
    </row>
    <row r="234" spans="1:26" s="439" customFormat="1" x14ac:dyDescent="0.25">
      <c r="A234" s="24"/>
      <c r="B234" s="33"/>
      <c r="C234" s="29" t="s">
        <v>93</v>
      </c>
      <c r="D234" s="24" t="s">
        <v>22</v>
      </c>
      <c r="E234" s="15">
        <v>5</v>
      </c>
      <c r="F234" s="15">
        <f>F231*E234</f>
        <v>10</v>
      </c>
      <c r="G234" s="13"/>
      <c r="H234" s="13"/>
      <c r="I234" s="606"/>
      <c r="J234" s="15">
        <f>F234*I234</f>
        <v>0</v>
      </c>
      <c r="K234" s="15"/>
      <c r="L234" s="15"/>
      <c r="M234" s="5">
        <f>H234+J234+L234</f>
        <v>0</v>
      </c>
      <c r="N234" s="69"/>
    </row>
    <row r="235" spans="1:26" s="439" customFormat="1" x14ac:dyDescent="0.25">
      <c r="A235" s="24"/>
      <c r="B235" s="33"/>
      <c r="C235" s="29" t="s">
        <v>126</v>
      </c>
      <c r="D235" s="24" t="s">
        <v>18</v>
      </c>
      <c r="E235" s="24">
        <v>1.02</v>
      </c>
      <c r="F235" s="15">
        <f>F231*E235</f>
        <v>2.04</v>
      </c>
      <c r="G235" s="13"/>
      <c r="H235" s="13"/>
      <c r="I235" s="606"/>
      <c r="J235" s="15">
        <f>F235*I235</f>
        <v>0</v>
      </c>
      <c r="K235" s="15"/>
      <c r="L235" s="15"/>
      <c r="M235" s="5">
        <f>H235+J235+L235</f>
        <v>0</v>
      </c>
      <c r="N235" s="69"/>
    </row>
    <row r="236" spans="1:26" s="439" customFormat="1" ht="13.5" customHeight="1" x14ac:dyDescent="0.25">
      <c r="A236" s="24"/>
      <c r="B236" s="33"/>
      <c r="C236" s="29" t="s">
        <v>80</v>
      </c>
      <c r="D236" s="24" t="s">
        <v>16</v>
      </c>
      <c r="E236" s="24">
        <v>4.6600000000000003E-2</v>
      </c>
      <c r="F236" s="15">
        <f>F231*E236</f>
        <v>9.3200000000000005E-2</v>
      </c>
      <c r="G236" s="13"/>
      <c r="H236" s="13"/>
      <c r="I236" s="606"/>
      <c r="J236" s="15">
        <f>F236*I236</f>
        <v>0</v>
      </c>
      <c r="K236" s="15"/>
      <c r="L236" s="15"/>
      <c r="M236" s="5">
        <f>H236+J236+L236</f>
        <v>0</v>
      </c>
      <c r="N236" s="440"/>
    </row>
    <row r="237" spans="1:26" s="287" customFormat="1" ht="17.25" customHeight="1" x14ac:dyDescent="0.25">
      <c r="A237" s="281"/>
      <c r="B237" s="282"/>
      <c r="C237" s="17" t="s">
        <v>428</v>
      </c>
      <c r="D237" s="295"/>
      <c r="E237" s="316"/>
      <c r="F237" s="318"/>
      <c r="G237" s="250"/>
      <c r="H237" s="282"/>
      <c r="I237" s="286"/>
      <c r="J237" s="282"/>
      <c r="K237" s="282"/>
      <c r="L237" s="282"/>
      <c r="M237" s="282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</row>
    <row r="238" spans="1:26" ht="27" x14ac:dyDescent="0.25">
      <c r="A238" s="162">
        <v>9</v>
      </c>
      <c r="B238" s="231" t="s">
        <v>358</v>
      </c>
      <c r="C238" s="163" t="s">
        <v>429</v>
      </c>
      <c r="D238" s="162" t="s">
        <v>300</v>
      </c>
      <c r="E238" s="164"/>
      <c r="F238" s="165">
        <f>((1.4*4)*2.3-1.5)*2</f>
        <v>22.759999999999998</v>
      </c>
      <c r="G238" s="441"/>
      <c r="H238" s="441"/>
      <c r="I238" s="441"/>
      <c r="J238" s="441"/>
      <c r="K238" s="442"/>
      <c r="L238" s="442"/>
      <c r="M238" s="442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</row>
    <row r="239" spans="1:26" x14ac:dyDescent="0.25">
      <c r="A239" s="168"/>
      <c r="B239" s="168"/>
      <c r="C239" s="169" t="s">
        <v>20</v>
      </c>
      <c r="D239" s="168" t="s">
        <v>70</v>
      </c>
      <c r="E239" s="170">
        <v>1.36</v>
      </c>
      <c r="F239" s="171">
        <f>F238*E239</f>
        <v>30.953599999999998</v>
      </c>
      <c r="G239" s="706"/>
      <c r="H239" s="166">
        <f>ROUND(F239*G239,2)</f>
        <v>0</v>
      </c>
      <c r="I239" s="166"/>
      <c r="J239" s="166"/>
      <c r="K239" s="443"/>
      <c r="L239" s="443"/>
      <c r="M239" s="166">
        <f>H239</f>
        <v>0</v>
      </c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</row>
    <row r="240" spans="1:26" x14ac:dyDescent="0.25">
      <c r="A240" s="168"/>
      <c r="B240" s="168"/>
      <c r="C240" s="169" t="s">
        <v>379</v>
      </c>
      <c r="D240" s="168" t="s">
        <v>16</v>
      </c>
      <c r="E240" s="232">
        <v>0.1482</v>
      </c>
      <c r="F240" s="171">
        <f>F238*E240</f>
        <v>3.3730319999999998</v>
      </c>
      <c r="G240" s="443"/>
      <c r="H240" s="443"/>
      <c r="I240" s="443"/>
      <c r="J240" s="443"/>
      <c r="K240" s="706"/>
      <c r="L240" s="166">
        <f>ROUND(F240*K240,2)</f>
        <v>0</v>
      </c>
      <c r="M240" s="166">
        <f>L240</f>
        <v>0</v>
      </c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</row>
    <row r="241" spans="1:256" x14ac:dyDescent="0.25">
      <c r="A241" s="168"/>
      <c r="B241" s="168"/>
      <c r="C241" s="169" t="s">
        <v>15</v>
      </c>
      <c r="D241" s="168" t="s">
        <v>16</v>
      </c>
      <c r="E241" s="170">
        <v>4.0800000000000003E-2</v>
      </c>
      <c r="F241" s="171">
        <f>F238*E241</f>
        <v>0.92860799999999999</v>
      </c>
      <c r="G241" s="443"/>
      <c r="H241" s="443"/>
      <c r="I241" s="443"/>
      <c r="J241" s="443"/>
      <c r="K241" s="706"/>
      <c r="L241" s="166">
        <f>ROUND(F241*K241,2)</f>
        <v>0</v>
      </c>
      <c r="M241" s="166">
        <f>L241</f>
        <v>0</v>
      </c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</row>
    <row r="242" spans="1:256" x14ac:dyDescent="0.25">
      <c r="A242" s="168"/>
      <c r="B242" s="336"/>
      <c r="C242" s="234" t="s">
        <v>430</v>
      </c>
      <c r="D242" s="168" t="s">
        <v>300</v>
      </c>
      <c r="E242" s="170">
        <v>1.02</v>
      </c>
      <c r="F242" s="171">
        <f>F238*E242</f>
        <v>23.215199999999999</v>
      </c>
      <c r="G242" s="443"/>
      <c r="H242" s="443"/>
      <c r="I242" s="712"/>
      <c r="J242" s="443">
        <f t="shared" ref="J242:J244" si="80">ROUND(F242*I242,2)</f>
        <v>0</v>
      </c>
      <c r="K242" s="443"/>
      <c r="L242" s="443"/>
      <c r="M242" s="166">
        <f>J242</f>
        <v>0</v>
      </c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</row>
    <row r="243" spans="1:256" x14ac:dyDescent="0.25">
      <c r="A243" s="168"/>
      <c r="B243" s="168"/>
      <c r="C243" s="169" t="s">
        <v>299</v>
      </c>
      <c r="D243" s="168" t="s">
        <v>60</v>
      </c>
      <c r="E243" s="232"/>
      <c r="F243" s="171">
        <v>25</v>
      </c>
      <c r="G243" s="443"/>
      <c r="H243" s="443"/>
      <c r="I243" s="712"/>
      <c r="J243" s="443">
        <f t="shared" si="80"/>
        <v>0</v>
      </c>
      <c r="K243" s="443"/>
      <c r="L243" s="443"/>
      <c r="M243" s="166">
        <f>J243</f>
        <v>0</v>
      </c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</row>
    <row r="244" spans="1:256" s="172" customFormat="1" x14ac:dyDescent="0.25">
      <c r="A244" s="168"/>
      <c r="B244" s="168"/>
      <c r="C244" s="169" t="s">
        <v>302</v>
      </c>
      <c r="D244" s="168" t="s">
        <v>22</v>
      </c>
      <c r="E244" s="232">
        <v>0.19400000000000001</v>
      </c>
      <c r="F244" s="171">
        <f>F238*E244</f>
        <v>4.4154399999999994</v>
      </c>
      <c r="G244" s="443"/>
      <c r="H244" s="443"/>
      <c r="I244" s="712"/>
      <c r="J244" s="443">
        <f t="shared" si="80"/>
        <v>0</v>
      </c>
      <c r="K244" s="443"/>
      <c r="L244" s="443"/>
      <c r="M244" s="166">
        <f>J244</f>
        <v>0</v>
      </c>
    </row>
    <row r="245" spans="1:256" x14ac:dyDescent="0.25">
      <c r="A245" s="168"/>
      <c r="B245" s="168"/>
      <c r="C245" s="169" t="s">
        <v>301</v>
      </c>
      <c r="D245" s="168" t="s">
        <v>16</v>
      </c>
      <c r="E245" s="232">
        <v>5.3400000000000003E-2</v>
      </c>
      <c r="F245" s="171">
        <f>F238*E245</f>
        <v>1.215384</v>
      </c>
      <c r="G245" s="443"/>
      <c r="H245" s="443"/>
      <c r="I245" s="712"/>
      <c r="J245" s="443">
        <f>ROUND(F245*I245,2)</f>
        <v>0</v>
      </c>
      <c r="K245" s="166"/>
      <c r="L245" s="166"/>
      <c r="M245" s="166">
        <f>J245</f>
        <v>0</v>
      </c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</row>
    <row r="246" spans="1:256" ht="27" x14ac:dyDescent="0.25">
      <c r="A246" s="162">
        <v>10</v>
      </c>
      <c r="B246" s="231" t="s">
        <v>380</v>
      </c>
      <c r="C246" s="163" t="s">
        <v>431</v>
      </c>
      <c r="D246" s="162" t="s">
        <v>300</v>
      </c>
      <c r="E246" s="164"/>
      <c r="F246" s="165">
        <f>1.4*1.4*2</f>
        <v>3.9199999999999995</v>
      </c>
      <c r="G246" s="441"/>
      <c r="H246" s="441"/>
      <c r="I246" s="441"/>
      <c r="J246" s="441"/>
      <c r="K246" s="442"/>
      <c r="L246" s="442"/>
      <c r="M246" s="442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</row>
    <row r="247" spans="1:256" x14ac:dyDescent="0.25">
      <c r="A247" s="168"/>
      <c r="B247" s="168"/>
      <c r="C247" s="169" t="s">
        <v>206</v>
      </c>
      <c r="D247" s="168" t="s">
        <v>70</v>
      </c>
      <c r="E247" s="232">
        <v>0.24299999999999999</v>
      </c>
      <c r="F247" s="171">
        <f>F246*E247</f>
        <v>0.95255999999999985</v>
      </c>
      <c r="G247" s="706"/>
      <c r="H247" s="166">
        <f>ROUND(F247*G247,2)</f>
        <v>0</v>
      </c>
      <c r="I247" s="166"/>
      <c r="J247" s="166"/>
      <c r="K247" s="443"/>
      <c r="L247" s="443"/>
      <c r="M247" s="166">
        <f>H247</f>
        <v>0</v>
      </c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</row>
    <row r="248" spans="1:256" s="172" customFormat="1" x14ac:dyDescent="0.25">
      <c r="A248" s="168"/>
      <c r="B248" s="168"/>
      <c r="C248" s="169" t="s">
        <v>432</v>
      </c>
      <c r="D248" s="54" t="s">
        <v>59</v>
      </c>
      <c r="E248" s="232">
        <v>2.12E-2</v>
      </c>
      <c r="F248" s="171">
        <f>F246*E248</f>
        <v>8.3103999999999983E-2</v>
      </c>
      <c r="G248" s="443"/>
      <c r="H248" s="443"/>
      <c r="I248" s="443"/>
      <c r="J248" s="443"/>
      <c r="K248" s="706"/>
      <c r="L248" s="166">
        <f>ROUND(F248*K248,2)</f>
        <v>0</v>
      </c>
      <c r="M248" s="166">
        <f>L248</f>
        <v>0</v>
      </c>
    </row>
    <row r="249" spans="1:256" s="172" customFormat="1" x14ac:dyDescent="0.25">
      <c r="A249" s="168"/>
      <c r="B249" s="168"/>
      <c r="C249" s="169" t="s">
        <v>433</v>
      </c>
      <c r="D249" s="54" t="s">
        <v>59</v>
      </c>
      <c r="E249" s="232">
        <v>6.0000000000000001E-3</v>
      </c>
      <c r="F249" s="171">
        <f>F246*E249</f>
        <v>2.3519999999999996E-2</v>
      </c>
      <c r="G249" s="443"/>
      <c r="H249" s="443"/>
      <c r="I249" s="443"/>
      <c r="J249" s="443"/>
      <c r="K249" s="706"/>
      <c r="L249" s="166">
        <f>ROUND(F249*K249,2)</f>
        <v>0</v>
      </c>
      <c r="M249" s="166">
        <f>L249</f>
        <v>0</v>
      </c>
    </row>
    <row r="250" spans="1:256" s="172" customFormat="1" x14ac:dyDescent="0.25">
      <c r="A250" s="168"/>
      <c r="B250" s="168"/>
      <c r="C250" s="169" t="s">
        <v>434</v>
      </c>
      <c r="D250" s="54" t="s">
        <v>59</v>
      </c>
      <c r="E250" s="444">
        <v>1.38E-2</v>
      </c>
      <c r="F250" s="171">
        <f>F246*E250</f>
        <v>5.4095999999999991E-2</v>
      </c>
      <c r="G250" s="443"/>
      <c r="H250" s="443"/>
      <c r="I250" s="443"/>
      <c r="J250" s="443"/>
      <c r="K250" s="706"/>
      <c r="L250" s="166">
        <f>ROUND(F250*K250,2)</f>
        <v>0</v>
      </c>
      <c r="M250" s="166">
        <f>L250</f>
        <v>0</v>
      </c>
    </row>
    <row r="251" spans="1:256" s="172" customFormat="1" x14ac:dyDescent="0.25">
      <c r="A251" s="168"/>
      <c r="B251" s="168"/>
      <c r="C251" s="169" t="s">
        <v>15</v>
      </c>
      <c r="D251" s="168" t="s">
        <v>16</v>
      </c>
      <c r="E251" s="232">
        <v>4.0800000000000003E-2</v>
      </c>
      <c r="F251" s="171">
        <f>F246*E251</f>
        <v>0.15993599999999999</v>
      </c>
      <c r="G251" s="443"/>
      <c r="H251" s="443"/>
      <c r="I251" s="443"/>
      <c r="J251" s="443"/>
      <c r="K251" s="706"/>
      <c r="L251" s="166">
        <f>ROUND(F251*K251,2)</f>
        <v>0</v>
      </c>
      <c r="M251" s="166">
        <f>L251</f>
        <v>0</v>
      </c>
    </row>
    <row r="252" spans="1:256" s="172" customFormat="1" x14ac:dyDescent="0.25">
      <c r="A252" s="168"/>
      <c r="B252" s="336"/>
      <c r="C252" s="234" t="s">
        <v>435</v>
      </c>
      <c r="D252" s="168" t="s">
        <v>300</v>
      </c>
      <c r="E252" s="170">
        <v>1.01</v>
      </c>
      <c r="F252" s="171">
        <f>F246*E252</f>
        <v>3.9591999999999996</v>
      </c>
      <c r="G252" s="443"/>
      <c r="H252" s="443"/>
      <c r="I252" s="712"/>
      <c r="J252" s="443">
        <f t="shared" ref="J252:J254" si="81">ROUND(F252*I252,2)</f>
        <v>0</v>
      </c>
      <c r="K252" s="443"/>
      <c r="L252" s="443"/>
      <c r="M252" s="166">
        <f>J252</f>
        <v>0</v>
      </c>
    </row>
    <row r="253" spans="1:256" s="172" customFormat="1" x14ac:dyDescent="0.25">
      <c r="A253" s="168"/>
      <c r="B253" s="336"/>
      <c r="C253" s="169" t="s">
        <v>381</v>
      </c>
      <c r="D253" s="168" t="s">
        <v>22</v>
      </c>
      <c r="E253" s="232">
        <v>7.1999999999999998E-3</v>
      </c>
      <c r="F253" s="171">
        <f>F246*E253</f>
        <v>2.8223999999999996E-2</v>
      </c>
      <c r="G253" s="443"/>
      <c r="H253" s="443"/>
      <c r="I253" s="712"/>
      <c r="J253" s="443">
        <f t="shared" si="81"/>
        <v>0</v>
      </c>
      <c r="K253" s="443"/>
      <c r="L253" s="443"/>
      <c r="M253" s="166">
        <f>J253</f>
        <v>0</v>
      </c>
    </row>
    <row r="254" spans="1:256" s="172" customFormat="1" x14ac:dyDescent="0.25">
      <c r="A254" s="168"/>
      <c r="B254" s="168"/>
      <c r="C254" s="169" t="s">
        <v>301</v>
      </c>
      <c r="D254" s="168" t="s">
        <v>16</v>
      </c>
      <c r="E254" s="232">
        <v>5.3400000000000003E-2</v>
      </c>
      <c r="F254" s="171">
        <f>F246*E254</f>
        <v>0.20932799999999999</v>
      </c>
      <c r="G254" s="443"/>
      <c r="H254" s="443"/>
      <c r="I254" s="712"/>
      <c r="J254" s="443">
        <f t="shared" si="81"/>
        <v>0</v>
      </c>
      <c r="K254" s="443"/>
      <c r="L254" s="443"/>
      <c r="M254" s="166">
        <f>J254</f>
        <v>0</v>
      </c>
    </row>
    <row r="255" spans="1:256" s="66" customFormat="1" x14ac:dyDescent="0.25">
      <c r="A255" s="17">
        <v>11</v>
      </c>
      <c r="B255" s="213" t="s">
        <v>67</v>
      </c>
      <c r="C255" s="23" t="s">
        <v>436</v>
      </c>
      <c r="D255" s="17" t="s">
        <v>18</v>
      </c>
      <c r="E255" s="17"/>
      <c r="F255" s="20">
        <f>0.7*2.1</f>
        <v>1.47</v>
      </c>
      <c r="G255" s="52"/>
      <c r="H255" s="52"/>
      <c r="I255" s="20"/>
      <c r="J255" s="20"/>
      <c r="K255" s="20"/>
      <c r="L255" s="20"/>
      <c r="M255" s="5"/>
      <c r="N255" s="445"/>
      <c r="O255" s="446"/>
      <c r="P255" s="446"/>
      <c r="Q255" s="446"/>
      <c r="R255" s="446"/>
      <c r="S255" s="446"/>
      <c r="T255" s="446"/>
      <c r="U255" s="446"/>
      <c r="V255" s="446"/>
      <c r="W255" s="446"/>
      <c r="X255" s="446"/>
      <c r="Y255" s="446"/>
      <c r="Z255" s="446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7"/>
      <c r="BQ255" s="167"/>
      <c r="BR255" s="167"/>
      <c r="BS255" s="167"/>
      <c r="BT255" s="167"/>
      <c r="BU255" s="167"/>
      <c r="BV255" s="167"/>
      <c r="BW255" s="167"/>
      <c r="BX255" s="167"/>
      <c r="BY255" s="167"/>
      <c r="BZ255" s="167"/>
      <c r="CA255" s="167"/>
      <c r="CB255" s="167"/>
      <c r="CC255" s="167"/>
      <c r="CD255" s="167"/>
      <c r="CE255" s="167"/>
      <c r="CF255" s="167"/>
      <c r="CG255" s="167"/>
      <c r="CH255" s="167"/>
      <c r="CI255" s="167"/>
      <c r="CJ255" s="167"/>
      <c r="CK255" s="167"/>
      <c r="CL255" s="167"/>
      <c r="CM255" s="167"/>
      <c r="CN255" s="167"/>
      <c r="CO255" s="167"/>
      <c r="CP255" s="167"/>
      <c r="CQ255" s="167"/>
      <c r="CR255" s="167"/>
      <c r="CS255" s="167"/>
      <c r="CT255" s="167"/>
      <c r="CU255" s="167"/>
      <c r="CV255" s="167"/>
      <c r="CW255" s="167"/>
      <c r="CX255" s="167"/>
      <c r="CY255" s="167"/>
      <c r="CZ255" s="167"/>
      <c r="DA255" s="167"/>
      <c r="DB255" s="167"/>
      <c r="DC255" s="167"/>
      <c r="DD255" s="167"/>
      <c r="DE255" s="167"/>
      <c r="DF255" s="167"/>
      <c r="DG255" s="167"/>
      <c r="DH255" s="167"/>
      <c r="DI255" s="167"/>
      <c r="DJ255" s="167"/>
      <c r="DK255" s="167"/>
      <c r="DL255" s="167"/>
      <c r="DM255" s="167"/>
      <c r="DN255" s="167"/>
      <c r="DO255" s="167"/>
      <c r="DP255" s="167"/>
      <c r="DQ255" s="167"/>
      <c r="DR255" s="167"/>
      <c r="DS255" s="167"/>
      <c r="DT255" s="167"/>
      <c r="DU255" s="167"/>
      <c r="DV255" s="167"/>
      <c r="DW255" s="167"/>
      <c r="DX255" s="167"/>
      <c r="DY255" s="167"/>
      <c r="DZ255" s="167"/>
      <c r="EA255" s="167"/>
      <c r="EB255" s="167"/>
      <c r="EC255" s="167"/>
      <c r="ED255" s="167"/>
      <c r="EE255" s="167"/>
      <c r="EF255" s="167"/>
      <c r="EG255" s="167"/>
      <c r="EH255" s="167"/>
      <c r="EI255" s="167"/>
      <c r="EJ255" s="167"/>
      <c r="EK255" s="167"/>
      <c r="EL255" s="167"/>
      <c r="EM255" s="167"/>
      <c r="EN255" s="167"/>
      <c r="EO255" s="167"/>
      <c r="EP255" s="167"/>
      <c r="EQ255" s="167"/>
      <c r="ER255" s="167"/>
      <c r="ES255" s="167"/>
      <c r="ET255" s="167"/>
      <c r="EU255" s="167"/>
      <c r="EV255" s="167"/>
      <c r="EW255" s="167"/>
      <c r="EX255" s="167"/>
      <c r="EY255" s="167"/>
      <c r="EZ255" s="167"/>
      <c r="FA255" s="167"/>
      <c r="FB255" s="167"/>
      <c r="FC255" s="167"/>
      <c r="FD255" s="167"/>
      <c r="FE255" s="167"/>
      <c r="FF255" s="167"/>
      <c r="FG255" s="167"/>
      <c r="FH255" s="167"/>
      <c r="FI255" s="167"/>
      <c r="FJ255" s="167"/>
      <c r="FK255" s="167"/>
      <c r="FL255" s="167"/>
      <c r="FM255" s="167"/>
      <c r="FN255" s="167"/>
      <c r="FO255" s="167"/>
      <c r="FP255" s="167"/>
      <c r="FQ255" s="167"/>
      <c r="FR255" s="167"/>
      <c r="FS255" s="167"/>
      <c r="FT255" s="167"/>
      <c r="FU255" s="167"/>
      <c r="FV255" s="167"/>
      <c r="FW255" s="167"/>
      <c r="FX255" s="167"/>
      <c r="FY255" s="167"/>
      <c r="FZ255" s="167"/>
      <c r="GA255" s="167"/>
      <c r="GB255" s="167"/>
      <c r="GC255" s="167"/>
      <c r="GD255" s="167"/>
      <c r="GE255" s="167"/>
      <c r="GF255" s="167"/>
      <c r="GG255" s="167"/>
      <c r="GH255" s="167"/>
      <c r="GI255" s="167"/>
      <c r="GJ255" s="167"/>
      <c r="GK255" s="167"/>
      <c r="GL255" s="167"/>
      <c r="GM255" s="167"/>
      <c r="GN255" s="167"/>
      <c r="GO255" s="167"/>
      <c r="GP255" s="167"/>
      <c r="GQ255" s="167"/>
      <c r="GR255" s="167"/>
      <c r="GS255" s="167"/>
      <c r="GT255" s="167"/>
      <c r="GU255" s="167"/>
      <c r="GV255" s="167"/>
      <c r="GW255" s="167"/>
      <c r="GX255" s="167"/>
      <c r="GY255" s="167"/>
      <c r="GZ255" s="167"/>
      <c r="HA255" s="167"/>
      <c r="HB255" s="167"/>
      <c r="HC255" s="167"/>
      <c r="HD255" s="167"/>
      <c r="HE255" s="167"/>
      <c r="HF255" s="167"/>
      <c r="HG255" s="167"/>
      <c r="HH255" s="167"/>
      <c r="HI255" s="167"/>
      <c r="HJ255" s="167"/>
      <c r="HK255" s="167"/>
      <c r="HL255" s="167"/>
      <c r="HM255" s="167"/>
      <c r="HN255" s="167"/>
      <c r="HO255" s="167"/>
      <c r="HP255" s="167"/>
      <c r="HQ255" s="167"/>
      <c r="HR255" s="167"/>
      <c r="HS255" s="167"/>
      <c r="HT255" s="167"/>
      <c r="HU255" s="167"/>
      <c r="HV255" s="167"/>
      <c r="HW255" s="167"/>
      <c r="HX255" s="167"/>
      <c r="HY255" s="167"/>
      <c r="HZ255" s="167"/>
      <c r="IA255" s="167"/>
      <c r="IB255" s="167"/>
      <c r="IC255" s="167"/>
      <c r="ID255" s="167"/>
      <c r="IE255" s="167"/>
      <c r="IF255" s="167"/>
      <c r="IG255" s="167"/>
      <c r="IH255" s="167"/>
      <c r="II255" s="167"/>
      <c r="IJ255" s="167"/>
      <c r="IK255" s="167"/>
      <c r="IL255" s="167"/>
      <c r="IM255" s="167"/>
      <c r="IN255" s="167"/>
      <c r="IO255" s="167"/>
      <c r="IP255" s="167"/>
      <c r="IQ255" s="167"/>
      <c r="IR255" s="167"/>
      <c r="IS255" s="167"/>
      <c r="IT255" s="167"/>
      <c r="IU255" s="167"/>
      <c r="IV255" s="167"/>
    </row>
    <row r="256" spans="1:256" s="66" customFormat="1" ht="15.75" customHeight="1" x14ac:dyDescent="0.25">
      <c r="A256" s="6"/>
      <c r="B256" s="33"/>
      <c r="C256" s="8" t="s">
        <v>69</v>
      </c>
      <c r="D256" s="6" t="s">
        <v>70</v>
      </c>
      <c r="E256" s="6">
        <v>2.72</v>
      </c>
      <c r="F256" s="5">
        <f>F255*E256</f>
        <v>3.9984000000000002</v>
      </c>
      <c r="G256" s="605"/>
      <c r="H256" s="5">
        <f>F256*G256</f>
        <v>0</v>
      </c>
      <c r="I256" s="5"/>
      <c r="J256" s="5"/>
      <c r="K256" s="5"/>
      <c r="L256" s="5"/>
      <c r="M256" s="5">
        <f t="shared" ref="M256:M257" si="82">H256+J256+L256</f>
        <v>0</v>
      </c>
      <c r="N256" s="67"/>
      <c r="O256" s="447"/>
      <c r="P256" s="447"/>
      <c r="Q256" s="447"/>
      <c r="R256" s="447"/>
      <c r="S256" s="447"/>
      <c r="T256" s="447"/>
      <c r="U256" s="447"/>
      <c r="V256" s="447"/>
      <c r="W256" s="447"/>
      <c r="X256" s="447"/>
      <c r="Y256" s="447"/>
      <c r="Z256" s="447"/>
      <c r="AA256" s="448"/>
      <c r="AB256" s="448"/>
      <c r="AC256" s="448"/>
      <c r="AD256" s="448"/>
      <c r="AE256" s="448"/>
      <c r="AF256" s="448"/>
      <c r="AG256" s="448"/>
      <c r="AH256" s="448"/>
      <c r="AI256" s="448"/>
      <c r="AJ256" s="448"/>
      <c r="AK256" s="448"/>
      <c r="AL256" s="448"/>
      <c r="AM256" s="448"/>
      <c r="AN256" s="448"/>
      <c r="AO256" s="448"/>
      <c r="AP256" s="448"/>
      <c r="AQ256" s="448"/>
      <c r="AR256" s="448"/>
      <c r="AS256" s="448"/>
      <c r="AT256" s="448"/>
      <c r="AU256" s="448"/>
      <c r="AV256" s="448"/>
      <c r="AW256" s="448"/>
      <c r="AX256" s="448"/>
      <c r="AY256" s="448"/>
      <c r="AZ256" s="448"/>
      <c r="BA256" s="448"/>
      <c r="BB256" s="448"/>
      <c r="BC256" s="448"/>
      <c r="BD256" s="448"/>
      <c r="BE256" s="448"/>
      <c r="BF256" s="448"/>
      <c r="BG256" s="448"/>
      <c r="BH256" s="448"/>
      <c r="BI256" s="448"/>
      <c r="BJ256" s="448"/>
      <c r="BK256" s="448"/>
      <c r="BL256" s="448"/>
      <c r="BM256" s="448"/>
      <c r="BN256" s="448"/>
      <c r="BO256" s="448"/>
      <c r="BP256" s="448"/>
      <c r="BQ256" s="448"/>
      <c r="BR256" s="448"/>
      <c r="BS256" s="448"/>
      <c r="BT256" s="448"/>
      <c r="BU256" s="448"/>
      <c r="BV256" s="448"/>
      <c r="BW256" s="448"/>
      <c r="BX256" s="448"/>
      <c r="BY256" s="448"/>
      <c r="BZ256" s="448"/>
      <c r="CA256" s="448"/>
      <c r="CB256" s="448"/>
      <c r="CC256" s="448"/>
      <c r="CD256" s="448"/>
      <c r="CE256" s="448"/>
      <c r="CF256" s="448"/>
      <c r="CG256" s="448"/>
      <c r="CH256" s="448"/>
      <c r="CI256" s="448"/>
      <c r="CJ256" s="448"/>
      <c r="CK256" s="448"/>
      <c r="CL256" s="448"/>
      <c r="CM256" s="448"/>
      <c r="CN256" s="448"/>
      <c r="CO256" s="448"/>
      <c r="CP256" s="448"/>
      <c r="CQ256" s="448"/>
      <c r="CR256" s="448"/>
      <c r="CS256" s="448"/>
      <c r="CT256" s="448"/>
      <c r="CU256" s="448"/>
      <c r="CV256" s="448"/>
      <c r="CW256" s="448"/>
      <c r="CX256" s="448"/>
      <c r="CY256" s="448"/>
      <c r="CZ256" s="448"/>
      <c r="DA256" s="448"/>
      <c r="DB256" s="448"/>
      <c r="DC256" s="448"/>
      <c r="DD256" s="448"/>
      <c r="DE256" s="448"/>
      <c r="DF256" s="448"/>
      <c r="DG256" s="448"/>
      <c r="DH256" s="448"/>
      <c r="DI256" s="448"/>
      <c r="DJ256" s="448"/>
      <c r="DK256" s="448"/>
      <c r="DL256" s="448"/>
      <c r="DM256" s="448"/>
      <c r="DN256" s="448"/>
      <c r="DO256" s="448"/>
      <c r="DP256" s="448"/>
      <c r="DQ256" s="448"/>
      <c r="DR256" s="448"/>
      <c r="DS256" s="448"/>
      <c r="DT256" s="448"/>
      <c r="DU256" s="448"/>
      <c r="DV256" s="448"/>
      <c r="DW256" s="448"/>
      <c r="DX256" s="448"/>
      <c r="DY256" s="448"/>
      <c r="DZ256" s="448"/>
      <c r="EA256" s="448"/>
      <c r="EB256" s="448"/>
      <c r="EC256" s="448"/>
      <c r="ED256" s="448"/>
      <c r="EE256" s="448"/>
      <c r="EF256" s="448"/>
      <c r="EG256" s="448"/>
      <c r="EH256" s="448"/>
      <c r="EI256" s="448"/>
      <c r="EJ256" s="448"/>
      <c r="EK256" s="448"/>
      <c r="EL256" s="448"/>
      <c r="EM256" s="448"/>
      <c r="EN256" s="448"/>
      <c r="EO256" s="448"/>
      <c r="EP256" s="448"/>
      <c r="EQ256" s="448"/>
      <c r="ER256" s="448"/>
      <c r="ES256" s="448"/>
      <c r="ET256" s="448"/>
      <c r="EU256" s="448"/>
      <c r="EV256" s="448"/>
      <c r="EW256" s="448"/>
      <c r="EX256" s="448"/>
      <c r="EY256" s="448"/>
      <c r="EZ256" s="448"/>
      <c r="FA256" s="448"/>
      <c r="FB256" s="448"/>
      <c r="FC256" s="448"/>
      <c r="FD256" s="448"/>
      <c r="FE256" s="448"/>
      <c r="FF256" s="448"/>
      <c r="FG256" s="448"/>
      <c r="FH256" s="448"/>
      <c r="FI256" s="448"/>
      <c r="FJ256" s="448"/>
      <c r="FK256" s="448"/>
      <c r="FL256" s="448"/>
      <c r="FM256" s="448"/>
      <c r="FN256" s="448"/>
      <c r="FO256" s="448"/>
      <c r="FP256" s="448"/>
      <c r="FQ256" s="448"/>
      <c r="FR256" s="448"/>
      <c r="FS256" s="448"/>
      <c r="FT256" s="448"/>
      <c r="FU256" s="448"/>
      <c r="FV256" s="448"/>
      <c r="FW256" s="448"/>
      <c r="FX256" s="448"/>
      <c r="FY256" s="448"/>
      <c r="FZ256" s="448"/>
      <c r="GA256" s="448"/>
      <c r="GB256" s="448"/>
      <c r="GC256" s="448"/>
      <c r="GD256" s="448"/>
      <c r="GE256" s="448"/>
      <c r="GF256" s="448"/>
      <c r="GG256" s="448"/>
      <c r="GH256" s="448"/>
      <c r="GI256" s="448"/>
      <c r="GJ256" s="448"/>
      <c r="GK256" s="448"/>
      <c r="GL256" s="448"/>
      <c r="GM256" s="448"/>
      <c r="GN256" s="448"/>
      <c r="GO256" s="448"/>
      <c r="GP256" s="448"/>
      <c r="GQ256" s="448"/>
      <c r="GR256" s="448"/>
      <c r="GS256" s="448"/>
      <c r="GT256" s="448"/>
      <c r="GU256" s="448"/>
      <c r="GV256" s="448"/>
      <c r="GW256" s="448"/>
      <c r="GX256" s="448"/>
      <c r="GY256" s="448"/>
      <c r="GZ256" s="448"/>
      <c r="HA256" s="448"/>
      <c r="HB256" s="448"/>
      <c r="HC256" s="448"/>
      <c r="HD256" s="448"/>
      <c r="HE256" s="448"/>
      <c r="HF256" s="448"/>
      <c r="HG256" s="448"/>
      <c r="HH256" s="448"/>
      <c r="HI256" s="448"/>
      <c r="HJ256" s="448"/>
      <c r="HK256" s="448"/>
      <c r="HL256" s="448"/>
      <c r="HM256" s="448"/>
      <c r="HN256" s="448"/>
      <c r="HO256" s="448"/>
      <c r="HP256" s="448"/>
      <c r="HQ256" s="448"/>
      <c r="HR256" s="448"/>
      <c r="HS256" s="448"/>
      <c r="HT256" s="448"/>
      <c r="HU256" s="448"/>
      <c r="HV256" s="448"/>
      <c r="HW256" s="448"/>
      <c r="HX256" s="448"/>
      <c r="HY256" s="448"/>
      <c r="HZ256" s="448"/>
      <c r="IA256" s="448"/>
      <c r="IB256" s="448"/>
      <c r="IC256" s="448"/>
      <c r="ID256" s="448"/>
      <c r="IE256" s="448"/>
      <c r="IF256" s="448"/>
      <c r="IG256" s="448"/>
      <c r="IH256" s="448"/>
      <c r="II256" s="448"/>
      <c r="IJ256" s="448"/>
      <c r="IK256" s="448"/>
      <c r="IL256" s="448"/>
      <c r="IM256" s="448"/>
      <c r="IN256" s="448"/>
      <c r="IO256" s="448"/>
      <c r="IP256" s="448"/>
      <c r="IQ256" s="448"/>
      <c r="IR256" s="448"/>
      <c r="IS256" s="448"/>
      <c r="IT256" s="448"/>
      <c r="IU256" s="448"/>
      <c r="IV256" s="448"/>
    </row>
    <row r="257" spans="1:256" s="66" customFormat="1" x14ac:dyDescent="0.25">
      <c r="A257" s="24"/>
      <c r="B257" s="449" t="s">
        <v>437</v>
      </c>
      <c r="C257" s="11" t="s">
        <v>438</v>
      </c>
      <c r="D257" s="24" t="s">
        <v>18</v>
      </c>
      <c r="E257" s="24"/>
      <c r="F257" s="15">
        <f>F255</f>
        <v>1.47</v>
      </c>
      <c r="G257" s="13"/>
      <c r="H257" s="13"/>
      <c r="I257" s="606"/>
      <c r="J257" s="13">
        <f>I257*F257</f>
        <v>0</v>
      </c>
      <c r="K257" s="15"/>
      <c r="L257" s="15"/>
      <c r="M257" s="15">
        <f t="shared" si="82"/>
        <v>0</v>
      </c>
      <c r="N257" s="450"/>
      <c r="O257" s="451"/>
      <c r="P257" s="451"/>
      <c r="Q257" s="451"/>
      <c r="R257" s="451"/>
      <c r="S257" s="451"/>
      <c r="T257" s="451"/>
      <c r="U257" s="451"/>
      <c r="V257" s="451"/>
      <c r="W257" s="451"/>
      <c r="X257" s="451"/>
      <c r="Y257" s="451"/>
      <c r="Z257" s="451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2"/>
      <c r="BY257" s="172"/>
      <c r="BZ257" s="172"/>
      <c r="CA257" s="172"/>
      <c r="CB257" s="172"/>
      <c r="CC257" s="172"/>
      <c r="CD257" s="172"/>
      <c r="CE257" s="172"/>
      <c r="CF257" s="172"/>
      <c r="CG257" s="172"/>
      <c r="CH257" s="172"/>
      <c r="CI257" s="172"/>
      <c r="CJ257" s="172"/>
      <c r="CK257" s="172"/>
      <c r="CL257" s="172"/>
      <c r="CM257" s="172"/>
      <c r="CN257" s="172"/>
      <c r="CO257" s="172"/>
      <c r="CP257" s="172"/>
      <c r="CQ257" s="172"/>
      <c r="CR257" s="172"/>
      <c r="CS257" s="172"/>
      <c r="CT257" s="172"/>
      <c r="CU257" s="172"/>
      <c r="CV257" s="172"/>
      <c r="CW257" s="172"/>
      <c r="CX257" s="172"/>
      <c r="CY257" s="172"/>
      <c r="CZ257" s="172"/>
      <c r="DA257" s="172"/>
      <c r="DB257" s="172"/>
      <c r="DC257" s="172"/>
      <c r="DD257" s="172"/>
      <c r="DE257" s="172"/>
      <c r="DF257" s="172"/>
      <c r="DG257" s="172"/>
      <c r="DH257" s="172"/>
      <c r="DI257" s="172"/>
      <c r="DJ257" s="172"/>
      <c r="DK257" s="172"/>
      <c r="DL257" s="172"/>
      <c r="DM257" s="172"/>
      <c r="DN257" s="172"/>
      <c r="DO257" s="172"/>
      <c r="DP257" s="172"/>
      <c r="DQ257" s="172"/>
      <c r="DR257" s="172"/>
      <c r="DS257" s="172"/>
      <c r="DT257" s="172"/>
      <c r="DU257" s="172"/>
      <c r="DV257" s="172"/>
      <c r="DW257" s="172"/>
      <c r="DX257" s="172"/>
      <c r="DY257" s="172"/>
      <c r="DZ257" s="172"/>
      <c r="EA257" s="172"/>
      <c r="EB257" s="172"/>
      <c r="EC257" s="172"/>
      <c r="ED257" s="172"/>
      <c r="EE257" s="172"/>
      <c r="EF257" s="172"/>
      <c r="EG257" s="172"/>
      <c r="EH257" s="172"/>
      <c r="EI257" s="172"/>
      <c r="EJ257" s="172"/>
      <c r="EK257" s="172"/>
      <c r="EL257" s="172"/>
      <c r="EM257" s="172"/>
      <c r="EN257" s="172"/>
      <c r="EO257" s="172"/>
      <c r="EP257" s="172"/>
      <c r="EQ257" s="172"/>
      <c r="ER257" s="172"/>
      <c r="ES257" s="172"/>
      <c r="ET257" s="172"/>
      <c r="EU257" s="172"/>
      <c r="EV257" s="172"/>
      <c r="EW257" s="172"/>
      <c r="EX257" s="172"/>
      <c r="EY257" s="172"/>
      <c r="EZ257" s="172"/>
      <c r="FA257" s="172"/>
      <c r="FB257" s="172"/>
      <c r="FC257" s="172"/>
      <c r="FD257" s="172"/>
      <c r="FE257" s="172"/>
      <c r="FF257" s="172"/>
      <c r="FG257" s="172"/>
      <c r="FH257" s="172"/>
      <c r="FI257" s="172"/>
      <c r="FJ257" s="172"/>
      <c r="FK257" s="172"/>
      <c r="FL257" s="172"/>
      <c r="FM257" s="172"/>
      <c r="FN257" s="172"/>
      <c r="FO257" s="172"/>
      <c r="FP257" s="172"/>
      <c r="FQ257" s="172"/>
      <c r="FR257" s="172"/>
      <c r="FS257" s="172"/>
      <c r="FT257" s="172"/>
      <c r="FU257" s="172"/>
      <c r="FV257" s="172"/>
      <c r="FW257" s="172"/>
      <c r="FX257" s="172"/>
      <c r="FY257" s="172"/>
      <c r="FZ257" s="172"/>
      <c r="GA257" s="172"/>
      <c r="GB257" s="172"/>
      <c r="GC257" s="172"/>
      <c r="GD257" s="172"/>
      <c r="GE257" s="172"/>
      <c r="GF257" s="172"/>
      <c r="GG257" s="172"/>
      <c r="GH257" s="172"/>
      <c r="GI257" s="172"/>
      <c r="GJ257" s="172"/>
      <c r="GK257" s="172"/>
      <c r="GL257" s="172"/>
      <c r="GM257" s="172"/>
      <c r="GN257" s="172"/>
      <c r="GO257" s="172"/>
      <c r="GP257" s="172"/>
      <c r="GQ257" s="172"/>
      <c r="GR257" s="172"/>
      <c r="GS257" s="172"/>
      <c r="GT257" s="172"/>
      <c r="GU257" s="172"/>
      <c r="GV257" s="172"/>
      <c r="GW257" s="172"/>
      <c r="GX257" s="172"/>
      <c r="GY257" s="172"/>
      <c r="GZ257" s="172"/>
      <c r="HA257" s="172"/>
      <c r="HB257" s="172"/>
      <c r="HC257" s="172"/>
      <c r="HD257" s="172"/>
      <c r="HE257" s="172"/>
      <c r="HF257" s="172"/>
      <c r="HG257" s="172"/>
      <c r="HH257" s="172"/>
      <c r="HI257" s="172"/>
      <c r="HJ257" s="172"/>
      <c r="HK257" s="172"/>
      <c r="HL257" s="172"/>
      <c r="HM257" s="172"/>
      <c r="HN257" s="172"/>
      <c r="HO257" s="172"/>
      <c r="HP257" s="172"/>
      <c r="HQ257" s="172"/>
      <c r="HR257" s="172"/>
      <c r="HS257" s="172"/>
      <c r="HT257" s="172"/>
      <c r="HU257" s="172"/>
      <c r="HV257" s="172"/>
      <c r="HW257" s="172"/>
      <c r="HX257" s="172"/>
      <c r="HY257" s="172"/>
      <c r="HZ257" s="172"/>
      <c r="IA257" s="172"/>
      <c r="IB257" s="172"/>
      <c r="IC257" s="172"/>
      <c r="ID257" s="172"/>
      <c r="IE257" s="172"/>
      <c r="IF257" s="172"/>
      <c r="IG257" s="172"/>
      <c r="IH257" s="172"/>
      <c r="II257" s="172"/>
      <c r="IJ257" s="172"/>
      <c r="IK257" s="172"/>
      <c r="IL257" s="172"/>
      <c r="IM257" s="172"/>
      <c r="IN257" s="172"/>
      <c r="IO257" s="172"/>
      <c r="IP257" s="172"/>
      <c r="IQ257" s="172"/>
      <c r="IR257" s="172"/>
      <c r="IS257" s="172"/>
      <c r="IT257" s="172"/>
      <c r="IU257" s="172"/>
      <c r="IV257" s="172"/>
    </row>
    <row r="258" spans="1:256" s="66" customFormat="1" x14ac:dyDescent="0.25">
      <c r="A258" s="17">
        <v>12</v>
      </c>
      <c r="B258" s="213" t="s">
        <v>67</v>
      </c>
      <c r="C258" s="23" t="s">
        <v>68</v>
      </c>
      <c r="D258" s="17" t="s">
        <v>18</v>
      </c>
      <c r="E258" s="17"/>
      <c r="F258" s="20">
        <f>0.4*0.6</f>
        <v>0.24</v>
      </c>
      <c r="G258" s="52"/>
      <c r="H258" s="52"/>
      <c r="I258" s="20"/>
      <c r="J258" s="20"/>
      <c r="K258" s="20"/>
      <c r="L258" s="20"/>
      <c r="M258" s="5"/>
      <c r="N258" s="445"/>
      <c r="O258" s="446"/>
      <c r="P258" s="446"/>
      <c r="Q258" s="446"/>
      <c r="R258" s="446"/>
      <c r="S258" s="446"/>
      <c r="T258" s="446"/>
      <c r="U258" s="446"/>
      <c r="V258" s="446"/>
      <c r="W258" s="446"/>
      <c r="X258" s="446"/>
      <c r="Y258" s="446"/>
      <c r="Z258" s="446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  <c r="BZ258" s="167"/>
      <c r="CA258" s="167"/>
      <c r="CB258" s="167"/>
      <c r="CC258" s="167"/>
      <c r="CD258" s="167"/>
      <c r="CE258" s="167"/>
      <c r="CF258" s="167"/>
      <c r="CG258" s="167"/>
      <c r="CH258" s="167"/>
      <c r="CI258" s="167"/>
      <c r="CJ258" s="167"/>
      <c r="CK258" s="167"/>
      <c r="CL258" s="167"/>
      <c r="CM258" s="167"/>
      <c r="CN258" s="167"/>
      <c r="CO258" s="167"/>
      <c r="CP258" s="167"/>
      <c r="CQ258" s="167"/>
      <c r="CR258" s="167"/>
      <c r="CS258" s="167"/>
      <c r="CT258" s="167"/>
      <c r="CU258" s="167"/>
      <c r="CV258" s="167"/>
      <c r="CW258" s="167"/>
      <c r="CX258" s="167"/>
      <c r="CY258" s="167"/>
      <c r="CZ258" s="167"/>
      <c r="DA258" s="167"/>
      <c r="DB258" s="167"/>
      <c r="DC258" s="167"/>
      <c r="DD258" s="167"/>
      <c r="DE258" s="167"/>
      <c r="DF258" s="167"/>
      <c r="DG258" s="167"/>
      <c r="DH258" s="167"/>
      <c r="DI258" s="167"/>
      <c r="DJ258" s="167"/>
      <c r="DK258" s="167"/>
      <c r="DL258" s="167"/>
      <c r="DM258" s="167"/>
      <c r="DN258" s="167"/>
      <c r="DO258" s="167"/>
      <c r="DP258" s="167"/>
      <c r="DQ258" s="167"/>
      <c r="DR258" s="167"/>
      <c r="DS258" s="167"/>
      <c r="DT258" s="167"/>
      <c r="DU258" s="167"/>
      <c r="DV258" s="167"/>
      <c r="DW258" s="167"/>
      <c r="DX258" s="167"/>
      <c r="DY258" s="167"/>
      <c r="DZ258" s="167"/>
      <c r="EA258" s="167"/>
      <c r="EB258" s="167"/>
      <c r="EC258" s="167"/>
      <c r="ED258" s="167"/>
      <c r="EE258" s="167"/>
      <c r="EF258" s="167"/>
      <c r="EG258" s="167"/>
      <c r="EH258" s="167"/>
      <c r="EI258" s="167"/>
      <c r="EJ258" s="167"/>
      <c r="EK258" s="167"/>
      <c r="EL258" s="167"/>
      <c r="EM258" s="167"/>
      <c r="EN258" s="167"/>
      <c r="EO258" s="167"/>
      <c r="EP258" s="167"/>
      <c r="EQ258" s="167"/>
      <c r="ER258" s="167"/>
      <c r="ES258" s="167"/>
      <c r="ET258" s="167"/>
      <c r="EU258" s="167"/>
      <c r="EV258" s="167"/>
      <c r="EW258" s="167"/>
      <c r="EX258" s="167"/>
      <c r="EY258" s="167"/>
      <c r="EZ258" s="167"/>
      <c r="FA258" s="167"/>
      <c r="FB258" s="167"/>
      <c r="FC258" s="167"/>
      <c r="FD258" s="167"/>
      <c r="FE258" s="167"/>
      <c r="FF258" s="167"/>
      <c r="FG258" s="167"/>
      <c r="FH258" s="167"/>
      <c r="FI258" s="167"/>
      <c r="FJ258" s="167"/>
      <c r="FK258" s="167"/>
      <c r="FL258" s="167"/>
      <c r="FM258" s="167"/>
      <c r="FN258" s="167"/>
      <c r="FO258" s="167"/>
      <c r="FP258" s="167"/>
      <c r="FQ258" s="167"/>
      <c r="FR258" s="167"/>
      <c r="FS258" s="167"/>
      <c r="FT258" s="167"/>
      <c r="FU258" s="167"/>
      <c r="FV258" s="167"/>
      <c r="FW258" s="167"/>
      <c r="FX258" s="167"/>
      <c r="FY258" s="167"/>
      <c r="FZ258" s="167"/>
      <c r="GA258" s="167"/>
      <c r="GB258" s="167"/>
      <c r="GC258" s="167"/>
      <c r="GD258" s="167"/>
      <c r="GE258" s="167"/>
      <c r="GF258" s="167"/>
      <c r="GG258" s="167"/>
      <c r="GH258" s="167"/>
      <c r="GI258" s="167"/>
      <c r="GJ258" s="167"/>
      <c r="GK258" s="167"/>
      <c r="GL258" s="167"/>
      <c r="GM258" s="167"/>
      <c r="GN258" s="167"/>
      <c r="GO258" s="167"/>
      <c r="GP258" s="167"/>
      <c r="GQ258" s="167"/>
      <c r="GR258" s="167"/>
      <c r="GS258" s="167"/>
      <c r="GT258" s="167"/>
      <c r="GU258" s="167"/>
      <c r="GV258" s="167"/>
      <c r="GW258" s="167"/>
      <c r="GX258" s="167"/>
      <c r="GY258" s="167"/>
      <c r="GZ258" s="167"/>
      <c r="HA258" s="167"/>
      <c r="HB258" s="167"/>
      <c r="HC258" s="167"/>
      <c r="HD258" s="167"/>
      <c r="HE258" s="167"/>
      <c r="HF258" s="167"/>
      <c r="HG258" s="167"/>
      <c r="HH258" s="167"/>
      <c r="HI258" s="167"/>
      <c r="HJ258" s="167"/>
      <c r="HK258" s="167"/>
      <c r="HL258" s="167"/>
      <c r="HM258" s="167"/>
      <c r="HN258" s="167"/>
      <c r="HO258" s="167"/>
      <c r="HP258" s="167"/>
      <c r="HQ258" s="167"/>
      <c r="HR258" s="167"/>
      <c r="HS258" s="167"/>
      <c r="HT258" s="167"/>
      <c r="HU258" s="167"/>
      <c r="HV258" s="167"/>
      <c r="HW258" s="167"/>
      <c r="HX258" s="167"/>
      <c r="HY258" s="167"/>
      <c r="HZ258" s="167"/>
      <c r="IA258" s="167"/>
      <c r="IB258" s="167"/>
      <c r="IC258" s="167"/>
      <c r="ID258" s="167"/>
      <c r="IE258" s="167"/>
      <c r="IF258" s="167"/>
      <c r="IG258" s="167"/>
      <c r="IH258" s="167"/>
      <c r="II258" s="167"/>
      <c r="IJ258" s="167"/>
      <c r="IK258" s="167"/>
      <c r="IL258" s="167"/>
      <c r="IM258" s="167"/>
      <c r="IN258" s="167"/>
      <c r="IO258" s="167"/>
      <c r="IP258" s="167"/>
      <c r="IQ258" s="167"/>
      <c r="IR258" s="167"/>
      <c r="IS258" s="167"/>
      <c r="IT258" s="167"/>
      <c r="IU258" s="167"/>
      <c r="IV258" s="167"/>
    </row>
    <row r="259" spans="1:256" s="66" customFormat="1" ht="15.75" customHeight="1" x14ac:dyDescent="0.25">
      <c r="A259" s="6"/>
      <c r="B259" s="33"/>
      <c r="C259" s="8" t="s">
        <v>69</v>
      </c>
      <c r="D259" s="6" t="s">
        <v>70</v>
      </c>
      <c r="E259" s="6">
        <v>2.72</v>
      </c>
      <c r="F259" s="5">
        <f>F258*E259</f>
        <v>0.65280000000000005</v>
      </c>
      <c r="G259" s="605"/>
      <c r="H259" s="5">
        <f>F259*G259</f>
        <v>0</v>
      </c>
      <c r="I259" s="5"/>
      <c r="J259" s="5"/>
      <c r="K259" s="5"/>
      <c r="L259" s="5"/>
      <c r="M259" s="5">
        <f t="shared" ref="M259:M260" si="83">H259+J259+L259</f>
        <v>0</v>
      </c>
      <c r="N259" s="67"/>
      <c r="O259" s="447"/>
      <c r="P259" s="447"/>
      <c r="Q259" s="447"/>
      <c r="R259" s="447"/>
      <c r="S259" s="447"/>
      <c r="T259" s="447"/>
      <c r="U259" s="447"/>
      <c r="V259" s="447"/>
      <c r="W259" s="447"/>
      <c r="X259" s="447"/>
      <c r="Y259" s="447"/>
      <c r="Z259" s="447"/>
      <c r="AA259" s="448"/>
      <c r="AB259" s="448"/>
      <c r="AC259" s="448"/>
      <c r="AD259" s="448"/>
      <c r="AE259" s="448"/>
      <c r="AF259" s="448"/>
      <c r="AG259" s="448"/>
      <c r="AH259" s="448"/>
      <c r="AI259" s="448"/>
      <c r="AJ259" s="448"/>
      <c r="AK259" s="448"/>
      <c r="AL259" s="448"/>
      <c r="AM259" s="448"/>
      <c r="AN259" s="448"/>
      <c r="AO259" s="448"/>
      <c r="AP259" s="448"/>
      <c r="AQ259" s="448"/>
      <c r="AR259" s="448"/>
      <c r="AS259" s="448"/>
      <c r="AT259" s="448"/>
      <c r="AU259" s="448"/>
      <c r="AV259" s="448"/>
      <c r="AW259" s="448"/>
      <c r="AX259" s="448"/>
      <c r="AY259" s="448"/>
      <c r="AZ259" s="448"/>
      <c r="BA259" s="448"/>
      <c r="BB259" s="448"/>
      <c r="BC259" s="448"/>
      <c r="BD259" s="448"/>
      <c r="BE259" s="448"/>
      <c r="BF259" s="448"/>
      <c r="BG259" s="448"/>
      <c r="BH259" s="448"/>
      <c r="BI259" s="448"/>
      <c r="BJ259" s="448"/>
      <c r="BK259" s="448"/>
      <c r="BL259" s="448"/>
      <c r="BM259" s="448"/>
      <c r="BN259" s="448"/>
      <c r="BO259" s="448"/>
      <c r="BP259" s="448"/>
      <c r="BQ259" s="448"/>
      <c r="BR259" s="448"/>
      <c r="BS259" s="448"/>
      <c r="BT259" s="448"/>
      <c r="BU259" s="448"/>
      <c r="BV259" s="448"/>
      <c r="BW259" s="448"/>
      <c r="BX259" s="448"/>
      <c r="BY259" s="448"/>
      <c r="BZ259" s="448"/>
      <c r="CA259" s="448"/>
      <c r="CB259" s="448"/>
      <c r="CC259" s="448"/>
      <c r="CD259" s="448"/>
      <c r="CE259" s="448"/>
      <c r="CF259" s="448"/>
      <c r="CG259" s="448"/>
      <c r="CH259" s="448"/>
      <c r="CI259" s="448"/>
      <c r="CJ259" s="448"/>
      <c r="CK259" s="448"/>
      <c r="CL259" s="448"/>
      <c r="CM259" s="448"/>
      <c r="CN259" s="448"/>
      <c r="CO259" s="448"/>
      <c r="CP259" s="448"/>
      <c r="CQ259" s="448"/>
      <c r="CR259" s="448"/>
      <c r="CS259" s="448"/>
      <c r="CT259" s="448"/>
      <c r="CU259" s="448"/>
      <c r="CV259" s="448"/>
      <c r="CW259" s="448"/>
      <c r="CX259" s="448"/>
      <c r="CY259" s="448"/>
      <c r="CZ259" s="448"/>
      <c r="DA259" s="448"/>
      <c r="DB259" s="448"/>
      <c r="DC259" s="448"/>
      <c r="DD259" s="448"/>
      <c r="DE259" s="448"/>
      <c r="DF259" s="448"/>
      <c r="DG259" s="448"/>
      <c r="DH259" s="448"/>
      <c r="DI259" s="448"/>
      <c r="DJ259" s="448"/>
      <c r="DK259" s="448"/>
      <c r="DL259" s="448"/>
      <c r="DM259" s="448"/>
      <c r="DN259" s="448"/>
      <c r="DO259" s="448"/>
      <c r="DP259" s="448"/>
      <c r="DQ259" s="448"/>
      <c r="DR259" s="448"/>
      <c r="DS259" s="448"/>
      <c r="DT259" s="448"/>
      <c r="DU259" s="448"/>
      <c r="DV259" s="448"/>
      <c r="DW259" s="448"/>
      <c r="DX259" s="448"/>
      <c r="DY259" s="448"/>
      <c r="DZ259" s="448"/>
      <c r="EA259" s="448"/>
      <c r="EB259" s="448"/>
      <c r="EC259" s="448"/>
      <c r="ED259" s="448"/>
      <c r="EE259" s="448"/>
      <c r="EF259" s="448"/>
      <c r="EG259" s="448"/>
      <c r="EH259" s="448"/>
      <c r="EI259" s="448"/>
      <c r="EJ259" s="448"/>
      <c r="EK259" s="448"/>
      <c r="EL259" s="448"/>
      <c r="EM259" s="448"/>
      <c r="EN259" s="448"/>
      <c r="EO259" s="448"/>
      <c r="EP259" s="448"/>
      <c r="EQ259" s="448"/>
      <c r="ER259" s="448"/>
      <c r="ES259" s="448"/>
      <c r="ET259" s="448"/>
      <c r="EU259" s="448"/>
      <c r="EV259" s="448"/>
      <c r="EW259" s="448"/>
      <c r="EX259" s="448"/>
      <c r="EY259" s="448"/>
      <c r="EZ259" s="448"/>
      <c r="FA259" s="448"/>
      <c r="FB259" s="448"/>
      <c r="FC259" s="448"/>
      <c r="FD259" s="448"/>
      <c r="FE259" s="448"/>
      <c r="FF259" s="448"/>
      <c r="FG259" s="448"/>
      <c r="FH259" s="448"/>
      <c r="FI259" s="448"/>
      <c r="FJ259" s="448"/>
      <c r="FK259" s="448"/>
      <c r="FL259" s="448"/>
      <c r="FM259" s="448"/>
      <c r="FN259" s="448"/>
      <c r="FO259" s="448"/>
      <c r="FP259" s="448"/>
      <c r="FQ259" s="448"/>
      <c r="FR259" s="448"/>
      <c r="FS259" s="448"/>
      <c r="FT259" s="448"/>
      <c r="FU259" s="448"/>
      <c r="FV259" s="448"/>
      <c r="FW259" s="448"/>
      <c r="FX259" s="448"/>
      <c r="FY259" s="448"/>
      <c r="FZ259" s="448"/>
      <c r="GA259" s="448"/>
      <c r="GB259" s="448"/>
      <c r="GC259" s="448"/>
      <c r="GD259" s="448"/>
      <c r="GE259" s="448"/>
      <c r="GF259" s="448"/>
      <c r="GG259" s="448"/>
      <c r="GH259" s="448"/>
      <c r="GI259" s="448"/>
      <c r="GJ259" s="448"/>
      <c r="GK259" s="448"/>
      <c r="GL259" s="448"/>
      <c r="GM259" s="448"/>
      <c r="GN259" s="448"/>
      <c r="GO259" s="448"/>
      <c r="GP259" s="448"/>
      <c r="GQ259" s="448"/>
      <c r="GR259" s="448"/>
      <c r="GS259" s="448"/>
      <c r="GT259" s="448"/>
      <c r="GU259" s="448"/>
      <c r="GV259" s="448"/>
      <c r="GW259" s="448"/>
      <c r="GX259" s="448"/>
      <c r="GY259" s="448"/>
      <c r="GZ259" s="448"/>
      <c r="HA259" s="448"/>
      <c r="HB259" s="448"/>
      <c r="HC259" s="448"/>
      <c r="HD259" s="448"/>
      <c r="HE259" s="448"/>
      <c r="HF259" s="448"/>
      <c r="HG259" s="448"/>
      <c r="HH259" s="448"/>
      <c r="HI259" s="448"/>
      <c r="HJ259" s="448"/>
      <c r="HK259" s="448"/>
      <c r="HL259" s="448"/>
      <c r="HM259" s="448"/>
      <c r="HN259" s="448"/>
      <c r="HO259" s="448"/>
      <c r="HP259" s="448"/>
      <c r="HQ259" s="448"/>
      <c r="HR259" s="448"/>
      <c r="HS259" s="448"/>
      <c r="HT259" s="448"/>
      <c r="HU259" s="448"/>
      <c r="HV259" s="448"/>
      <c r="HW259" s="448"/>
      <c r="HX259" s="448"/>
      <c r="HY259" s="448"/>
      <c r="HZ259" s="448"/>
      <c r="IA259" s="448"/>
      <c r="IB259" s="448"/>
      <c r="IC259" s="448"/>
      <c r="ID259" s="448"/>
      <c r="IE259" s="448"/>
      <c r="IF259" s="448"/>
      <c r="IG259" s="448"/>
      <c r="IH259" s="448"/>
      <c r="II259" s="448"/>
      <c r="IJ259" s="448"/>
      <c r="IK259" s="448"/>
      <c r="IL259" s="448"/>
      <c r="IM259" s="448"/>
      <c r="IN259" s="448"/>
      <c r="IO259" s="448"/>
      <c r="IP259" s="448"/>
      <c r="IQ259" s="448"/>
      <c r="IR259" s="448"/>
      <c r="IS259" s="448"/>
      <c r="IT259" s="448"/>
      <c r="IU259" s="448"/>
      <c r="IV259" s="448"/>
    </row>
    <row r="260" spans="1:256" s="66" customFormat="1" ht="27" x14ac:dyDescent="0.25">
      <c r="A260" s="24"/>
      <c r="B260" s="449"/>
      <c r="C260" s="11" t="s">
        <v>439</v>
      </c>
      <c r="D260" s="24" t="s">
        <v>18</v>
      </c>
      <c r="E260" s="24"/>
      <c r="F260" s="15">
        <f>F258</f>
        <v>0.24</v>
      </c>
      <c r="G260" s="13"/>
      <c r="H260" s="13"/>
      <c r="I260" s="606"/>
      <c r="J260" s="13">
        <f>I260*F260</f>
        <v>0</v>
      </c>
      <c r="K260" s="15"/>
      <c r="L260" s="15"/>
      <c r="M260" s="15">
        <f t="shared" si="83"/>
        <v>0</v>
      </c>
      <c r="N260" s="450"/>
      <c r="O260" s="451"/>
      <c r="P260" s="451"/>
      <c r="Q260" s="451"/>
      <c r="R260" s="451"/>
      <c r="S260" s="451"/>
      <c r="T260" s="451"/>
      <c r="U260" s="451"/>
      <c r="V260" s="451"/>
      <c r="W260" s="451"/>
      <c r="X260" s="451"/>
      <c r="Y260" s="451"/>
      <c r="Z260" s="451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2"/>
      <c r="BY260" s="172"/>
      <c r="BZ260" s="172"/>
      <c r="CA260" s="172"/>
      <c r="CB260" s="172"/>
      <c r="CC260" s="172"/>
      <c r="CD260" s="172"/>
      <c r="CE260" s="172"/>
      <c r="CF260" s="172"/>
      <c r="CG260" s="172"/>
      <c r="CH260" s="172"/>
      <c r="CI260" s="172"/>
      <c r="CJ260" s="172"/>
      <c r="CK260" s="172"/>
      <c r="CL260" s="172"/>
      <c r="CM260" s="172"/>
      <c r="CN260" s="172"/>
      <c r="CO260" s="172"/>
      <c r="CP260" s="172"/>
      <c r="CQ260" s="172"/>
      <c r="CR260" s="172"/>
      <c r="CS260" s="172"/>
      <c r="CT260" s="172"/>
      <c r="CU260" s="172"/>
      <c r="CV260" s="172"/>
      <c r="CW260" s="172"/>
      <c r="CX260" s="172"/>
      <c r="CY260" s="172"/>
      <c r="CZ260" s="172"/>
      <c r="DA260" s="172"/>
      <c r="DB260" s="172"/>
      <c r="DC260" s="172"/>
      <c r="DD260" s="172"/>
      <c r="DE260" s="172"/>
      <c r="DF260" s="172"/>
      <c r="DG260" s="172"/>
      <c r="DH260" s="172"/>
      <c r="DI260" s="172"/>
      <c r="DJ260" s="172"/>
      <c r="DK260" s="172"/>
      <c r="DL260" s="172"/>
      <c r="DM260" s="172"/>
      <c r="DN260" s="172"/>
      <c r="DO260" s="172"/>
      <c r="DP260" s="172"/>
      <c r="DQ260" s="172"/>
      <c r="DR260" s="172"/>
      <c r="DS260" s="172"/>
      <c r="DT260" s="172"/>
      <c r="DU260" s="172"/>
      <c r="DV260" s="172"/>
      <c r="DW260" s="172"/>
      <c r="DX260" s="172"/>
      <c r="DY260" s="172"/>
      <c r="DZ260" s="172"/>
      <c r="EA260" s="172"/>
      <c r="EB260" s="172"/>
      <c r="EC260" s="172"/>
      <c r="ED260" s="172"/>
      <c r="EE260" s="172"/>
      <c r="EF260" s="172"/>
      <c r="EG260" s="172"/>
      <c r="EH260" s="172"/>
      <c r="EI260" s="172"/>
      <c r="EJ260" s="172"/>
      <c r="EK260" s="172"/>
      <c r="EL260" s="172"/>
      <c r="EM260" s="172"/>
      <c r="EN260" s="172"/>
      <c r="EO260" s="172"/>
      <c r="EP260" s="172"/>
      <c r="EQ260" s="172"/>
      <c r="ER260" s="172"/>
      <c r="ES260" s="172"/>
      <c r="ET260" s="172"/>
      <c r="EU260" s="172"/>
      <c r="EV260" s="172"/>
      <c r="EW260" s="172"/>
      <c r="EX260" s="172"/>
      <c r="EY260" s="172"/>
      <c r="EZ260" s="172"/>
      <c r="FA260" s="172"/>
      <c r="FB260" s="172"/>
      <c r="FC260" s="172"/>
      <c r="FD260" s="172"/>
      <c r="FE260" s="172"/>
      <c r="FF260" s="172"/>
      <c r="FG260" s="172"/>
      <c r="FH260" s="172"/>
      <c r="FI260" s="172"/>
      <c r="FJ260" s="172"/>
      <c r="FK260" s="172"/>
      <c r="FL260" s="172"/>
      <c r="FM260" s="172"/>
      <c r="FN260" s="172"/>
      <c r="FO260" s="172"/>
      <c r="FP260" s="172"/>
      <c r="FQ260" s="172"/>
      <c r="FR260" s="172"/>
      <c r="FS260" s="172"/>
      <c r="FT260" s="172"/>
      <c r="FU260" s="172"/>
      <c r="FV260" s="172"/>
      <c r="FW260" s="172"/>
      <c r="FX260" s="172"/>
      <c r="FY260" s="172"/>
      <c r="FZ260" s="172"/>
      <c r="GA260" s="172"/>
      <c r="GB260" s="172"/>
      <c r="GC260" s="172"/>
      <c r="GD260" s="172"/>
      <c r="GE260" s="172"/>
      <c r="GF260" s="172"/>
      <c r="GG260" s="172"/>
      <c r="GH260" s="172"/>
      <c r="GI260" s="172"/>
      <c r="GJ260" s="172"/>
      <c r="GK260" s="172"/>
      <c r="GL260" s="172"/>
      <c r="GM260" s="172"/>
      <c r="GN260" s="172"/>
      <c r="GO260" s="172"/>
      <c r="GP260" s="172"/>
      <c r="GQ260" s="172"/>
      <c r="GR260" s="172"/>
      <c r="GS260" s="172"/>
      <c r="GT260" s="172"/>
      <c r="GU260" s="172"/>
      <c r="GV260" s="172"/>
      <c r="GW260" s="172"/>
      <c r="GX260" s="172"/>
      <c r="GY260" s="172"/>
      <c r="GZ260" s="172"/>
      <c r="HA260" s="172"/>
      <c r="HB260" s="172"/>
      <c r="HC260" s="172"/>
      <c r="HD260" s="172"/>
      <c r="HE260" s="172"/>
      <c r="HF260" s="172"/>
      <c r="HG260" s="172"/>
      <c r="HH260" s="172"/>
      <c r="HI260" s="172"/>
      <c r="HJ260" s="172"/>
      <c r="HK260" s="172"/>
      <c r="HL260" s="172"/>
      <c r="HM260" s="172"/>
      <c r="HN260" s="172"/>
      <c r="HO260" s="172"/>
      <c r="HP260" s="172"/>
      <c r="HQ260" s="172"/>
      <c r="HR260" s="172"/>
      <c r="HS260" s="172"/>
      <c r="HT260" s="172"/>
      <c r="HU260" s="172"/>
      <c r="HV260" s="172"/>
      <c r="HW260" s="172"/>
      <c r="HX260" s="172"/>
      <c r="HY260" s="172"/>
      <c r="HZ260" s="172"/>
      <c r="IA260" s="172"/>
      <c r="IB260" s="172"/>
      <c r="IC260" s="172"/>
      <c r="ID260" s="172"/>
      <c r="IE260" s="172"/>
      <c r="IF260" s="172"/>
      <c r="IG260" s="172"/>
      <c r="IH260" s="172"/>
      <c r="II260" s="172"/>
      <c r="IJ260" s="172"/>
      <c r="IK260" s="172"/>
      <c r="IL260" s="172"/>
      <c r="IM260" s="172"/>
      <c r="IN260" s="172"/>
      <c r="IO260" s="172"/>
      <c r="IP260" s="172"/>
      <c r="IQ260" s="172"/>
      <c r="IR260" s="172"/>
      <c r="IS260" s="172"/>
      <c r="IT260" s="172"/>
      <c r="IU260" s="172"/>
      <c r="IV260" s="172"/>
    </row>
    <row r="261" spans="1:256" s="92" customFormat="1" ht="12.75" x14ac:dyDescent="0.25">
      <c r="A261" s="32"/>
      <c r="B261" s="33"/>
      <c r="C261" s="34" t="s">
        <v>8</v>
      </c>
      <c r="D261" s="35"/>
      <c r="E261" s="35"/>
      <c r="F261" s="36"/>
      <c r="G261" s="366"/>
      <c r="H261" s="366">
        <f>SUM(H12:H260)</f>
        <v>0</v>
      </c>
      <c r="I261" s="366"/>
      <c r="J261" s="366">
        <f>SUM(J12:J260)</f>
        <v>0</v>
      </c>
      <c r="K261" s="366"/>
      <c r="L261" s="366">
        <f>SUM(L12:L260)</f>
        <v>0</v>
      </c>
      <c r="M261" s="366">
        <f>SUM(M12:M260)</f>
        <v>0</v>
      </c>
      <c r="N261" s="91"/>
      <c r="O261" s="91"/>
      <c r="P261" s="91"/>
    </row>
    <row r="262" spans="1:256" s="93" customFormat="1" ht="12.75" x14ac:dyDescent="0.25">
      <c r="A262" s="38"/>
      <c r="B262" s="38"/>
      <c r="C262" s="34" t="s">
        <v>138</v>
      </c>
      <c r="D262" s="656"/>
      <c r="E262" s="39"/>
      <c r="F262" s="39"/>
      <c r="G262" s="367"/>
      <c r="H262" s="367"/>
      <c r="I262" s="367"/>
      <c r="J262" s="367"/>
      <c r="K262" s="367"/>
      <c r="L262" s="367"/>
      <c r="M262" s="367">
        <f>J261*D262</f>
        <v>0</v>
      </c>
    </row>
    <row r="263" spans="1:256" s="81" customFormat="1" x14ac:dyDescent="0.25">
      <c r="A263" s="94"/>
      <c r="B263" s="33"/>
      <c r="C263" s="95" t="s">
        <v>8</v>
      </c>
      <c r="D263" s="1"/>
      <c r="E263" s="1"/>
      <c r="F263" s="4"/>
      <c r="G263" s="368"/>
      <c r="H263" s="368"/>
      <c r="I263" s="369"/>
      <c r="J263" s="369"/>
      <c r="K263" s="370"/>
      <c r="L263" s="370"/>
      <c r="M263" s="370">
        <f>SUM(M261:M262)</f>
        <v>0</v>
      </c>
    </row>
    <row r="264" spans="1:256" s="81" customFormat="1" x14ac:dyDescent="0.25">
      <c r="A264" s="94"/>
      <c r="B264" s="33"/>
      <c r="C264" s="97" t="s">
        <v>167</v>
      </c>
      <c r="D264" s="656"/>
      <c r="E264" s="1"/>
      <c r="F264" s="4"/>
      <c r="G264" s="368"/>
      <c r="H264" s="368"/>
      <c r="I264" s="369"/>
      <c r="J264" s="369"/>
      <c r="K264" s="370"/>
      <c r="L264" s="370"/>
      <c r="M264" s="370">
        <f>M263*D264</f>
        <v>0</v>
      </c>
    </row>
    <row r="265" spans="1:256" s="81" customFormat="1" x14ac:dyDescent="0.25">
      <c r="A265" s="94"/>
      <c r="B265" s="33"/>
      <c r="C265" s="97" t="s">
        <v>8</v>
      </c>
      <c r="D265" s="1"/>
      <c r="E265" s="1"/>
      <c r="F265" s="4"/>
      <c r="G265" s="368"/>
      <c r="H265" s="368"/>
      <c r="I265" s="369"/>
      <c r="J265" s="369"/>
      <c r="K265" s="370"/>
      <c r="L265" s="370"/>
      <c r="M265" s="370">
        <f>M263+M264</f>
        <v>0</v>
      </c>
    </row>
    <row r="266" spans="1:256" s="81" customFormat="1" x14ac:dyDescent="0.25">
      <c r="A266" s="94"/>
      <c r="B266" s="33"/>
      <c r="C266" s="97" t="s">
        <v>168</v>
      </c>
      <c r="D266" s="656"/>
      <c r="E266" s="1"/>
      <c r="F266" s="4"/>
      <c r="G266" s="368"/>
      <c r="H266" s="368"/>
      <c r="I266" s="369"/>
      <c r="J266" s="369"/>
      <c r="K266" s="370"/>
      <c r="L266" s="370"/>
      <c r="M266" s="370">
        <f>M265*D266</f>
        <v>0</v>
      </c>
    </row>
    <row r="267" spans="1:256" s="81" customFormat="1" x14ac:dyDescent="0.25">
      <c r="A267" s="94"/>
      <c r="B267" s="33"/>
      <c r="C267" s="97" t="s">
        <v>8</v>
      </c>
      <c r="D267" s="1"/>
      <c r="E267" s="1"/>
      <c r="F267" s="4"/>
      <c r="G267" s="368"/>
      <c r="H267" s="368"/>
      <c r="I267" s="369"/>
      <c r="J267" s="369"/>
      <c r="K267" s="370"/>
      <c r="L267" s="370"/>
      <c r="M267" s="370">
        <f>M265+M266</f>
        <v>0</v>
      </c>
    </row>
    <row r="268" spans="1:256" s="348" customFormat="1" ht="25.5" x14ac:dyDescent="0.25">
      <c r="A268" s="354"/>
      <c r="B268" s="387"/>
      <c r="C268" s="340" t="s">
        <v>391</v>
      </c>
      <c r="D268" s="643"/>
      <c r="E268" s="388"/>
      <c r="F268" s="388"/>
      <c r="G268" s="389"/>
      <c r="H268" s="389"/>
      <c r="I268" s="390"/>
      <c r="J268" s="391"/>
      <c r="K268" s="389"/>
      <c r="L268" s="389"/>
      <c r="M268" s="392">
        <f>H261*D268</f>
        <v>0</v>
      </c>
    </row>
    <row r="269" spans="1:256" s="348" customFormat="1" ht="16.5" thickBot="1" x14ac:dyDescent="0.3">
      <c r="A269" s="349"/>
      <c r="B269" s="350"/>
      <c r="C269" s="350" t="s">
        <v>8</v>
      </c>
      <c r="D269" s="350"/>
      <c r="E269" s="350"/>
      <c r="F269" s="350"/>
      <c r="G269" s="371"/>
      <c r="H269" s="372"/>
      <c r="I269" s="373"/>
      <c r="J269" s="372"/>
      <c r="K269" s="371"/>
      <c r="L269" s="371"/>
      <c r="M269" s="374">
        <f>M268+M267</f>
        <v>0</v>
      </c>
    </row>
    <row r="270" spans="1:256" s="287" customFormat="1" x14ac:dyDescent="0.25">
      <c r="A270" s="288"/>
      <c r="C270" s="289"/>
      <c r="D270" s="290"/>
      <c r="E270" s="290"/>
      <c r="F270" s="291"/>
      <c r="G270" s="292"/>
    </row>
    <row r="271" spans="1:256" s="287" customFormat="1" x14ac:dyDescent="0.25">
      <c r="A271" s="288"/>
      <c r="C271" s="289"/>
      <c r="D271" s="290"/>
      <c r="E271" s="290"/>
      <c r="F271" s="291"/>
      <c r="G271" s="292"/>
    </row>
    <row r="272" spans="1:256" s="287" customFormat="1" x14ac:dyDescent="0.25">
      <c r="A272" s="288"/>
      <c r="C272" s="289"/>
      <c r="D272" s="290"/>
      <c r="E272" s="290"/>
      <c r="F272" s="291"/>
      <c r="G272" s="292"/>
    </row>
  </sheetData>
  <autoFilter ref="A10:M269"/>
  <mergeCells count="18">
    <mergeCell ref="A7:C7"/>
    <mergeCell ref="A8:A9"/>
    <mergeCell ref="A6:E6"/>
    <mergeCell ref="L1:M1"/>
    <mergeCell ref="A2:K2"/>
    <mergeCell ref="L2:M2"/>
    <mergeCell ref="A4:M4"/>
    <mergeCell ref="A5:M5"/>
    <mergeCell ref="B8:B9"/>
    <mergeCell ref="C8:C9"/>
    <mergeCell ref="A169:A170"/>
    <mergeCell ref="B169:B170"/>
    <mergeCell ref="M8:M9"/>
    <mergeCell ref="D8:D9"/>
    <mergeCell ref="E8:F8"/>
    <mergeCell ref="G8:H8"/>
    <mergeCell ref="I8:J8"/>
    <mergeCell ref="K8:L8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კოტეჯის სამშენებლო </vt:lpstr>
      <vt:lpstr>წყალ-კანალი </vt:lpstr>
      <vt:lpstr>ელექტრობა-სუსტი დენები </vt:lpstr>
      <vt:lpstr>კეთილმოწყობა</vt:lpstr>
      <vt:lpstr>'ელექტრობა-სუსტი დენები '!Print_Area</vt:lpstr>
      <vt:lpstr>კეთილმოწყობა!Print_Area</vt:lpstr>
      <vt:lpstr>'კოტეჯის სამშენებლო '!Print_Area</vt:lpstr>
      <vt:lpstr>სანაკრებო!Print_Area</vt:lpstr>
      <vt:lpstr>'წყალ-კანალი 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2022-01-09T21:13:37Z</dcterms:modified>
</cp:coreProperties>
</file>