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826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<sst xmlns="http://schemas.openxmlformats.org/spreadsheetml/2006/main" count="442" uniqueCount="169">
  <si>
    <t>aT.lari</t>
  </si>
  <si>
    <t>saxarjTaRricxvo Rirebuleba</t>
  </si>
  <si>
    <t>#</t>
  </si>
  <si>
    <t>safuZveli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</si>
  <si>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</si>
  <si>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</si>
  <si>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</si>
  <si>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</si>
  <si>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</si>
  <si>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</si>
  <si>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</si>
  <si>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</si>
  <si>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</si>
  <si>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</si>
  <si>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samuSaoebis, resursebis   dasaxeleba</t>
  </si>
  <si>
    <t>normatiuli Sromatevadoba</t>
  </si>
  <si>
    <t>kac/sT</t>
  </si>
  <si>
    <t>manq/sT</t>
  </si>
  <si>
    <t>meqanizmebze momsaxure personalis xelfasi</t>
  </si>
  <si>
    <t>mosarwyav-mosarecxi manqana 6000l</t>
  </si>
  <si>
    <t>lari</t>
  </si>
  <si>
    <t>t</t>
  </si>
  <si>
    <t>g.m.</t>
  </si>
  <si>
    <t>sxva manqanebi</t>
  </si>
  <si>
    <t>sxva masalebi</t>
  </si>
  <si>
    <t>satkepni sagzao TviTmavali gluvi 5t</t>
  </si>
  <si>
    <t>igive, 10t</t>
  </si>
  <si>
    <t>proeqtiT</t>
  </si>
  <si>
    <t>sxva masala</t>
  </si>
  <si>
    <t>buldozeri 79 kvt</t>
  </si>
  <si>
    <t>27-63-1</t>
  </si>
  <si>
    <t>avtogudronatori 3500 l</t>
  </si>
  <si>
    <t>2</t>
  </si>
  <si>
    <t>eqskavatori</t>
  </si>
  <si>
    <t>1-22-15</t>
  </si>
  <si>
    <t>1-25-2</t>
  </si>
  <si>
    <t>qviSa-xreSovani narevi</t>
  </si>
  <si>
    <t>buldozeri 79kvt</t>
  </si>
  <si>
    <t>manqanebi</t>
  </si>
  <si>
    <t>1-11-15</t>
  </si>
  <si>
    <t>qviSAa-xreSovani narevi</t>
  </si>
  <si>
    <t>vibraciuli satkepni</t>
  </si>
  <si>
    <t>traqtori 79kvt</t>
  </si>
  <si>
    <t>avtogreideri saSualo tipis 79kvt</t>
  </si>
  <si>
    <t xml:space="preserve">nayarSi muSaoba </t>
  </si>
  <si>
    <t>27-7-4</t>
  </si>
  <si>
    <t>satkepni sagzao TviTmavali pnevmosvlaze 18t</t>
  </si>
  <si>
    <t>1-118-5,6 SeniSvna</t>
  </si>
  <si>
    <t xml:space="preserve">  Txevadi bitumi </t>
  </si>
  <si>
    <t>27-7-2</t>
  </si>
  <si>
    <t>satkepni sagzao TviTmavali pnevmosvlaze 18 t</t>
  </si>
  <si>
    <t>kreb. saZiebo sam. gv.557 cx.17</t>
  </si>
  <si>
    <t>trasis aRdgena da damagreba</t>
  </si>
  <si>
    <t>km</t>
  </si>
  <si>
    <t xml:space="preserve">SromiTi danaxarji </t>
  </si>
  <si>
    <t>k/sT</t>
  </si>
  <si>
    <t>c</t>
  </si>
  <si>
    <t>27-28-1</t>
  </si>
  <si>
    <t>nawiburebis CaWra xerxiT</t>
  </si>
  <si>
    <t>Txevadi bitumis mosxma nawiburebze 0,35 l/g.m.</t>
  </si>
  <si>
    <t>27-9-4</t>
  </si>
  <si>
    <t>sangrevi CaquCebi</t>
  </si>
  <si>
    <t>kompresori</t>
  </si>
  <si>
    <t>ტ</t>
  </si>
  <si>
    <t>მ/ს</t>
  </si>
  <si>
    <t>wyali</t>
  </si>
  <si>
    <t xml:space="preserve">RorRi 0-40 mm  </t>
  </si>
  <si>
    <t>1-22-14</t>
  </si>
  <si>
    <t>1-80-2  r1-2</t>
  </si>
  <si>
    <t>kg</t>
  </si>
  <si>
    <t>27-46-3</t>
  </si>
  <si>
    <t xml:space="preserve">  sagzao niSnebis dayeneba liTonis dgarebze sigrZiT  3,50 m  dabetonebiT, miwis samuSaoebisa da dgarebis SeRebvis gaTvaliswinebiT</t>
  </si>
  <si>
    <t xml:space="preserve">avtoamwe saburRi mowyobilobiT </t>
  </si>
  <si>
    <t>amwe saavtomobilo svlaze  3 t</t>
  </si>
  <si>
    <t>prioritetis</t>
  </si>
  <si>
    <t xml:space="preserve">samkuTxa </t>
  </si>
  <si>
    <t>liTonis dgari sigrZiT 3,50 m  Ǿ76 mm</t>
  </si>
  <si>
    <t>samSeneblo nagvis datvirTva eqskavatoriT</t>
  </si>
  <si>
    <t>III kategoriis gruntis moxsna meqanizmebiT datvirTva a/TviTmclelebze da zidva nayarSi 5 km-mde</t>
  </si>
  <si>
    <t>III kategoriis gruntis moxsna xeliT datvirTva a/TviTmclelebze da zidva nayarSi 5 km-mde</t>
  </si>
  <si>
    <r>
      <t>m</t>
    </r>
    <r>
      <rPr>
        <b/>
        <vertAlign val="superscript"/>
        <sz val="11"/>
        <rFont val="AcadNusx"/>
        <family val="0"/>
      </rPr>
      <t>3</t>
    </r>
  </si>
  <si>
    <t>30-3-2</t>
  </si>
  <si>
    <t>qvesagebi fenis mowyoba qviSa-xreSovani nareviT, sisqiT 10 sm</t>
  </si>
  <si>
    <t>qviSa-xreSis narevi</t>
  </si>
  <si>
    <t>8</t>
  </si>
  <si>
    <t xml:space="preserve">Zeli </t>
  </si>
  <si>
    <t>Txrilis Sevseba qviSAa-xreSovani nareviT eqskavatoriT</t>
  </si>
  <si>
    <t>qviSa-xreSovani narevis gaSla da datkepna vibraciuli satkepniT fenebad   6-jer gavliT fenis, sisqiT 20 sm</t>
  </si>
  <si>
    <t>liTonis cxauris mowyoba kiuvetis gadasaxurad</t>
  </si>
  <si>
    <t>9-17-5</t>
  </si>
  <si>
    <t>kuTxovana 80X80X6</t>
  </si>
  <si>
    <t>WanWiki</t>
  </si>
  <si>
    <t>eleqtrodi</t>
  </si>
  <si>
    <t>15-164-7</t>
  </si>
  <si>
    <t>liTonis cxauris SeRebva antikoroziuli saRebaviT</t>
  </si>
  <si>
    <t xml:space="preserve">koleri </t>
  </si>
  <si>
    <t>pigmenti</t>
  </si>
  <si>
    <t>olifa</t>
  </si>
  <si>
    <r>
      <t>1000 მ</t>
    </r>
    <r>
      <rPr>
        <vertAlign val="superscript"/>
        <sz val="11"/>
        <rFont val="AcadNusx"/>
        <family val="0"/>
      </rPr>
      <t>3</t>
    </r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</si>
  <si>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</si>
  <si>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b/>
        <vertAlign val="superscript"/>
        <sz val="11"/>
        <rFont val="AcadNusx"/>
        <family val="0"/>
      </rPr>
      <t>2</t>
    </r>
  </si>
  <si>
    <t>6</t>
  </si>
  <si>
    <t>transportireba nayarSi 5 km manZilze</t>
  </si>
  <si>
    <t>armatura</t>
  </si>
  <si>
    <t>fari ficris, yalibis</t>
  </si>
  <si>
    <r>
      <t>m</t>
    </r>
    <r>
      <rPr>
        <vertAlign val="superscript"/>
        <sz val="11"/>
        <rFont val="AcadNusx"/>
        <family val="0"/>
      </rPr>
      <t>2</t>
    </r>
  </si>
  <si>
    <t xml:space="preserve">sagzao niSnebis mowyoba </t>
  </si>
  <si>
    <t>transportireba 5 km-mde nayarSi</t>
  </si>
  <si>
    <r>
      <t>betoni</t>
    </r>
    <r>
      <rPr>
        <sz val="11"/>
        <rFont val="Calibri"/>
        <family val="2"/>
      </rPr>
      <t xml:space="preserve"> B20  F200  W6  </t>
    </r>
  </si>
  <si>
    <t>arsebuli fragmentuli betonis daSla meqanizmebiT datvirTva a/TviTmclelebze da zidva nayarSi 5 km-mde</t>
  </si>
  <si>
    <t>22-5-11</t>
  </si>
  <si>
    <t>m</t>
  </si>
  <si>
    <t>კ-0,6</t>
  </si>
  <si>
    <t>SromiTi danaxarji</t>
  </si>
  <si>
    <t>transportireba da dasawyobeba damkveTis mier miTiTebul adgilas 5 km-mde</t>
  </si>
  <si>
    <t>tn</t>
  </si>
  <si>
    <t>arsebuli liTonis milebis demontaJi da dasawyobeba damkveTis mier miTiTebul adgilas</t>
  </si>
  <si>
    <t>monoliTuri rk/betonis kiuvetis mowyoba, sigrZiT 425 m</t>
  </si>
  <si>
    <t>III kategoriis gruntis damuSaveba tranSeaSi meqanizirebuli wesiT, datvirTva a/TviTmclelebze da zidva nayarSi 5 km-mde</t>
  </si>
  <si>
    <t>III kategoriis gruntis damuSaveba tranSeaSi xeliT, datvirTva a/TviTmclelebze da zidva nayarSi 5 km-mde</t>
  </si>
  <si>
    <t>10</t>
  </si>
  <si>
    <t>6-11-3</t>
  </si>
  <si>
    <t>betoni</t>
  </si>
  <si>
    <r>
      <t>monoliTuri rkina-betonis kiuvetis mowyoba</t>
    </r>
    <r>
      <rPr>
        <b/>
        <sz val="11"/>
        <rFont val="Calibri"/>
        <family val="2"/>
      </rPr>
      <t xml:space="preserve"> B30 F200 W6</t>
    </r>
  </si>
  <si>
    <r>
      <t>armatura</t>
    </r>
    <r>
      <rPr>
        <sz val="11"/>
        <rFont val="Calibri"/>
        <family val="2"/>
      </rPr>
      <t xml:space="preserve"> AI Ǿ8</t>
    </r>
  </si>
  <si>
    <t xml:space="preserve">ficari Camoganuli III xarisxis, 40-60 mm </t>
  </si>
  <si>
    <t>cxauris mowyoba kuTxovaniT 80X80X6, saerTo sigrZiT 425 m</t>
  </si>
  <si>
    <t xml:space="preserve">safuZvlis qveda fenis mowyoba qviSa-xreSovani nareviT 0-70mm, sisqiT 25 sm </t>
  </si>
  <si>
    <t>Txevadi bitumis mosxma safuZvlis zeda fenaze 0,7 l/m2-ze</t>
  </si>
  <si>
    <t>27-39-1,2                 27-40-1,2</t>
  </si>
  <si>
    <t>safaris qveda fenis mowyoba msxvilmarcvlovani a/betoniT sisqiT 6 sm</t>
  </si>
  <si>
    <t>asfaltobetonis damgebi</t>
  </si>
  <si>
    <t>msxvilmarcvlovani asfaltobetoni</t>
  </si>
  <si>
    <t>Txevadi bitumis mosxma safaris qveda fenaze 0,35 l/m2-ze</t>
  </si>
  <si>
    <t>27-39-1                    27-40-1</t>
  </si>
  <si>
    <t>safaris zeda fenis mowyoba wvrilmarcvlovani a/betoniT sisqiT 4 sm</t>
  </si>
  <si>
    <t>wvrilmarcvlovani asfaltobetoni</t>
  </si>
  <si>
    <t>6-11-1</t>
  </si>
  <si>
    <t>fari ficris yalibis</t>
  </si>
  <si>
    <t>Zeli</t>
  </si>
  <si>
    <t>ficari Camoganuli III xarisxis, 40 mm</t>
  </si>
  <si>
    <t>samSeneblo WanWiki</t>
  </si>
  <si>
    <t>arsebuli sakomunikacio Webis moyvana gzis niSnulze betonis safuZvelze, specialuri betonis romlis Semkvrivebis dro iqneba araumetes 3 saaTi                                 (2 cali)</t>
  </si>
  <si>
    <r>
      <t>betoni</t>
    </r>
    <r>
      <rPr>
        <sz val="11"/>
        <rFont val="Calibri"/>
        <family val="2"/>
      </rPr>
      <t xml:space="preserve"> B15</t>
    </r>
  </si>
  <si>
    <r>
      <t>m</t>
    </r>
    <r>
      <rPr>
        <vertAlign val="superscript"/>
        <sz val="11"/>
        <rFont val="AcadNusx"/>
        <family val="0"/>
      </rPr>
      <t>3</t>
    </r>
  </si>
  <si>
    <t>arsebuli Webis reabilitacia</t>
  </si>
  <si>
    <t>safuZvlis zeda fenis mowyoba fraqciuli RorRiT 0-40mm, sisqiT 18 sm</t>
  </si>
  <si>
    <t>დამკვეთი: მცხეთის მუნიციპალიტეტის მერია</t>
  </si>
  <si>
    <t>ხ ა რ ჯ თ აღ რ ი ც ხ ვ ა</t>
  </si>
  <si>
    <t>safuZveli: proeqti</t>
  </si>
  <si>
    <r>
      <t xml:space="preserve">Sedgenilia 2021 wlis </t>
    </r>
    <r>
      <rPr>
        <sz val="11"/>
        <color indexed="8"/>
        <rFont val="Sylfaen"/>
        <family val="1"/>
      </rPr>
      <t>IV</t>
    </r>
    <r>
      <rPr>
        <sz val="11"/>
        <color indexed="8"/>
        <rFont val="AcadNusx"/>
        <family val="0"/>
      </rPr>
      <t xml:space="preserve"> kv. fasebSi</t>
    </r>
  </si>
  <si>
    <t>თავი 1. მოსამზადებელი სამუშაოები</t>
  </si>
  <si>
    <t>ჯამი თავი 1.</t>
  </si>
  <si>
    <t>მიწის სამუშაოები</t>
  </si>
  <si>
    <t>ასფალტბეტონის საფარის მოწყობა სავალ ნაწილზე</t>
  </si>
  <si>
    <t>ლარი</t>
  </si>
  <si>
    <t>ჯამი</t>
  </si>
  <si>
    <t>დღგ</t>
  </si>
  <si>
    <t>სულ ნაკრები სახარჯთაღრიცხვო ღირებულება</t>
  </si>
  <si>
    <t xml:space="preserve">სადემონტაჟო სამუშაოები </t>
  </si>
  <si>
    <t>თავი 2. სამშენებლო-სამონტაჟო სამუშაოები</t>
  </si>
  <si>
    <t>ჯამი თავი 2</t>
  </si>
  <si>
    <t xml:space="preserve">სულ ჯამი თავი 1.+ თავი 2. </t>
  </si>
  <si>
    <t xml:space="preserve"> ჯამი თავი 2</t>
  </si>
  <si>
    <t>sof. ნატახტარში შიდა საუბნო გზების ასფალტ-ბეტონის საფარით მოწყობის სამუშაოები</t>
  </si>
  <si>
    <t>გაუთვალისწინებელი ხარჯები - ფიქსირებული თანხა 8780ლარი</t>
  </si>
  <si>
    <t xml:space="preserve">satransporto xarjebi masalebze </t>
  </si>
  <si>
    <t xml:space="preserve">zednadebi xarjebi  </t>
  </si>
  <si>
    <t xml:space="preserve">gegmiuri mogeba 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</si>
</sst>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-* #,##0\ _₾_-;\-* #,##0\ _₾_-;_-* &quot;-&quot;\ _₾_-;_-@_-"/>
    <numFmt numFmtId="175" formatCode="_-* #,##0.00\ _₾_-;\-* #,##0.00\ _₾_-;_-* &quot;-&quot;??\ _₾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ari&quot;;\-#,##0\ &quot;Lari&quot;"/>
    <numFmt numFmtId="185" formatCode="#,##0\ &quot;Lari&quot;;[Red]\-#,##0\ &quot;Lari&quot;"/>
    <numFmt numFmtId="186" formatCode="#,##0.00\ &quot;Lari&quot;;\-#,##0.00\ &quot;Lari&quot;"/>
    <numFmt numFmtId="187" formatCode="#,##0.00\ &quot;Lari&quot;;[Red]\-#,##0.00\ &quot;Lari&quot;"/>
    <numFmt numFmtId="188" formatCode="_-* #,##0\ &quot;Lari&quot;_-;\-* #,##0\ &quot;Lari&quot;_-;_-* &quot;-&quot;\ &quot;Lari&quot;_-;_-@_-"/>
    <numFmt numFmtId="189" formatCode="_-* #,##0\ _L_a_r_i_-;\-* #,##0\ _L_a_r_i_-;_-* &quot;-&quot;\ _L_a_r_i_-;_-@_-"/>
    <numFmt numFmtId="190" formatCode="_-* #,##0.00\ &quot;Lari&quot;_-;\-* #,##0.00\ &quot;Lari&quot;_-;_-* &quot;-&quot;??\ &quot;Lari&quot;_-;_-@_-"/>
    <numFmt numFmtId="191" formatCode="_-* #,##0.00\ _L_a_r_i_-;\-* #,##0.00\ _L_a_r_i_-;_-* &quot;-&quot;??\ _L_a_r_i_-;_-@_-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&quot;€&quot;* #,##0.00_-;\-&quot;€&quot;* #,##0.00_-;_-&quot;€&quot;* &quot;-&quot;??_-;_-@_-"/>
    <numFmt numFmtId="198" formatCode="0.0"/>
    <numFmt numFmtId="199" formatCode="0.000"/>
    <numFmt numFmtId="200" formatCode="0.0000"/>
    <numFmt numFmtId="201" formatCode="0.00000"/>
    <numFmt numFmtId="202" formatCode="[$-FC19]d\ mmmm\ yyyy\ &quot;г.&quot;"/>
    <numFmt numFmtId="203" formatCode="0;[Red]0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_);_(* \(#,##0.000\);_(* &quot;-&quot;???_);_(@_)"/>
    <numFmt numFmtId="208" formatCode="0.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%"/>
    <numFmt numFmtId="214" formatCode="_(* #,##0.0000_);_(* \(#,##0.00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9"/>
      <name val="AcadNusx"/>
      <family val="0"/>
    </font>
    <font>
      <b/>
      <u val="single"/>
      <sz val="11"/>
      <name val="AcadNusx"/>
      <family val="0"/>
    </font>
    <font>
      <sz val="12"/>
      <name val="Sylfaen"/>
      <family val="1"/>
    </font>
    <font>
      <b/>
      <vertAlign val="superscript"/>
      <sz val="11"/>
      <name val="AcadNusx"/>
      <family val="0"/>
    </font>
    <font>
      <vertAlign val="superscript"/>
      <sz val="11"/>
      <name val="AcadNusx"/>
      <family val="0"/>
    </font>
    <font>
      <u val="single"/>
      <sz val="11"/>
      <name val="AcadNusx"/>
      <family val="0"/>
    </font>
    <font>
      <b/>
      <i/>
      <u val="single"/>
      <sz val="11"/>
      <name val="AcadNusx"/>
      <family val="0"/>
    </font>
    <font>
      <b/>
      <i/>
      <sz val="11"/>
      <name val="AcadNusx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cadNusx"/>
      <family val="0"/>
    </font>
    <font>
      <sz val="11"/>
      <color indexed="8"/>
      <name val="Sylfaen"/>
      <family val="1"/>
    </font>
    <font>
      <sz val="11"/>
      <color indexed="8"/>
      <name val="AcadNusx"/>
      <family val="0"/>
    </font>
    <font>
      <b/>
      <sz val="11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cadNusx"/>
      <family val="0"/>
    </font>
    <font>
      <b/>
      <sz val="9"/>
      <color indexed="8"/>
      <name val="AcadNusx"/>
      <family val="0"/>
    </font>
    <font>
      <b/>
      <sz val="12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cadNusx"/>
      <family val="0"/>
    </font>
    <font>
      <sz val="11"/>
      <color theme="1"/>
      <name val="AcadNusx"/>
      <family val="0"/>
    </font>
    <font>
      <b/>
      <sz val="9"/>
      <color theme="1"/>
      <name val="AcadNusx"/>
      <family val="0"/>
    </font>
    <font>
      <b/>
      <sz val="12"/>
      <color theme="1"/>
      <name val="Sylfae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2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71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71" applyNumberFormat="1" applyFont="1" applyFill="1" applyBorder="1" applyAlignment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10" xfId="71" applyNumberFormat="1" applyFont="1" applyFill="1" applyBorder="1" applyAlignment="1">
      <alignment horizontal="center"/>
      <protection/>
    </xf>
    <xf numFmtId="199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99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9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2" fontId="4" fillId="0" borderId="14" xfId="71" applyNumberFormat="1" applyFont="1" applyFill="1" applyBorder="1" applyAlignment="1">
      <alignment horizontal="center" vertical="center"/>
      <protection/>
    </xf>
    <xf numFmtId="2" fontId="4" fillId="0" borderId="15" xfId="71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3" xfId="71" applyNumberFormat="1" applyFont="1" applyFill="1" applyBorder="1" applyAlignment="1">
      <alignment horizontal="center" vertical="center"/>
      <protection/>
    </xf>
    <xf numFmtId="2" fontId="4" fillId="0" borderId="16" xfId="71" applyNumberFormat="1" applyFont="1" applyFill="1" applyBorder="1" applyAlignment="1">
      <alignment horizontal="center" vertical="center"/>
      <protection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71" applyNumberFormat="1" applyFont="1" applyFill="1" applyBorder="1" applyAlignment="1">
      <alignment horizontal="center" vertical="center"/>
      <protection/>
    </xf>
    <xf numFmtId="2" fontId="7" fillId="0" borderId="10" xfId="71" applyNumberFormat="1" applyFont="1" applyFill="1" applyBorder="1" applyAlignment="1">
      <alignment horizontal="center" vertical="center"/>
      <protection/>
    </xf>
    <xf numFmtId="1" fontId="4" fillId="0" borderId="10" xfId="71" applyNumberFormat="1" applyFont="1" applyFill="1" applyBorder="1" applyAlignment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2" fontId="4" fillId="0" borderId="0" xfId="71" applyNumberFormat="1" applyFont="1" applyFill="1" applyBorder="1" applyAlignment="1">
      <alignment horizontal="center" vertical="center"/>
      <protection/>
    </xf>
    <xf numFmtId="2" fontId="4" fillId="0" borderId="18" xfId="71" applyNumberFormat="1" applyFont="1" applyFill="1" applyBorder="1" applyAlignment="1">
      <alignment horizontal="center" vertical="center"/>
      <protection/>
    </xf>
    <xf numFmtId="2" fontId="4" fillId="0" borderId="18" xfId="0" applyNumberFormat="1" applyFont="1" applyFill="1" applyBorder="1" applyAlignment="1">
      <alignment horizontal="center" vertical="center"/>
    </xf>
    <xf numFmtId="0" fontId="4" fillId="0" borderId="14" xfId="71" applyFont="1" applyFill="1" applyBorder="1" applyAlignment="1">
      <alignment horizontal="center" vertical="center"/>
      <protection/>
    </xf>
    <xf numFmtId="49" fontId="4" fillId="0" borderId="11" xfId="71" applyNumberFormat="1" applyFont="1" applyFill="1" applyBorder="1" applyAlignment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0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01" fontId="4" fillId="0" borderId="11" xfId="0" applyNumberFormat="1" applyFont="1" applyFill="1" applyBorder="1" applyAlignment="1">
      <alignment horizontal="center" vertical="center"/>
    </xf>
    <xf numFmtId="0" fontId="5" fillId="0" borderId="18" xfId="71" applyFont="1" applyFill="1" applyBorder="1" applyAlignment="1">
      <alignment horizontal="center" vertical="center"/>
      <protection/>
    </xf>
    <xf numFmtId="2" fontId="4" fillId="0" borderId="10" xfId="55" applyNumberFormat="1" applyFont="1" applyFill="1" applyBorder="1" applyAlignment="1">
      <alignment horizontal="center" vertical="center"/>
      <protection/>
    </xf>
    <xf numFmtId="2" fontId="5" fillId="0" borderId="10" xfId="71" applyNumberFormat="1" applyFont="1" applyFill="1" applyBorder="1" applyAlignment="1">
      <alignment horizontal="center" vertical="center"/>
      <protection/>
    </xf>
    <xf numFmtId="0" fontId="5" fillId="0" borderId="17" xfId="71" applyFont="1" applyFill="1" applyBorder="1" applyAlignment="1">
      <alignment horizontal="center" vertical="center" wrapText="1"/>
      <protection/>
    </xf>
    <xf numFmtId="2" fontId="5" fillId="0" borderId="18" xfId="71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6" xfId="71" applyFont="1" applyFill="1" applyBorder="1" applyAlignment="1">
      <alignment horizontal="center" vertical="center" wrapText="1"/>
      <protection/>
    </xf>
    <xf numFmtId="1" fontId="4" fillId="0" borderId="12" xfId="71" applyNumberFormat="1" applyFont="1" applyFill="1" applyBorder="1" applyAlignment="1">
      <alignment horizontal="center" vertical="center"/>
      <protection/>
    </xf>
    <xf numFmtId="1" fontId="4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left" vertical="center"/>
    </xf>
    <xf numFmtId="2" fontId="11" fillId="0" borderId="13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200" fontId="4" fillId="0" borderId="11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3" xfId="71" applyNumberFormat="1" applyFont="1" applyFill="1" applyBorder="1" applyAlignment="1">
      <alignment horizontal="center" vertical="center"/>
      <protection/>
    </xf>
    <xf numFmtId="2" fontId="4" fillId="0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55" applyFont="1" applyFill="1" applyBorder="1" applyAlignment="1">
      <alignment horizontal="center" vertical="center" wrapText="1"/>
      <protection/>
    </xf>
    <xf numFmtId="9" fontId="4" fillId="0" borderId="10" xfId="75" applyFont="1" applyFill="1" applyBorder="1" applyAlignment="1">
      <alignment horizontal="center" vertical="center"/>
    </xf>
    <xf numFmtId="49" fontId="4" fillId="0" borderId="10" xfId="55" applyNumberFormat="1" applyFont="1" applyFill="1" applyBorder="1" applyAlignment="1">
      <alignment horizontal="center" wrapText="1"/>
      <protection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2" fontId="4" fillId="0" borderId="10" xfId="55" applyNumberFormat="1" applyFont="1" applyFill="1" applyBorder="1" applyAlignment="1">
      <alignment horizontal="center" vertical="center" wrapText="1"/>
      <protection/>
    </xf>
    <xf numFmtId="19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49" fontId="5" fillId="0" borderId="10" xfId="71" applyNumberFormat="1" applyFont="1" applyFill="1" applyBorder="1" applyAlignment="1">
      <alignment horizontal="center" vertical="center" wrapText="1"/>
      <protection/>
    </xf>
    <xf numFmtId="0" fontId="4" fillId="0" borderId="11" xfId="71" applyFont="1" applyFill="1" applyBorder="1" applyAlignment="1">
      <alignment horizontal="center" vertical="center"/>
      <protection/>
    </xf>
    <xf numFmtId="0" fontId="4" fillId="0" borderId="11" xfId="71" applyFont="1" applyFill="1" applyBorder="1" applyAlignment="1">
      <alignment horizontal="center" vertical="center" wrapText="1"/>
      <protection/>
    </xf>
    <xf numFmtId="199" fontId="4" fillId="0" borderId="11" xfId="71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 wrapText="1"/>
      <protection/>
    </xf>
    <xf numFmtId="199" fontId="4" fillId="0" borderId="10" xfId="55" applyNumberFormat="1" applyFont="1" applyFill="1" applyBorder="1" applyAlignment="1">
      <alignment horizontal="center" wrapText="1"/>
      <protection/>
    </xf>
    <xf numFmtId="2" fontId="4" fillId="0" borderId="10" xfId="55" applyNumberFormat="1" applyFont="1" applyFill="1" applyBorder="1" applyAlignment="1">
      <alignment horizontal="center" wrapText="1"/>
      <protection/>
    </xf>
    <xf numFmtId="2" fontId="5" fillId="0" borderId="11" xfId="55" applyNumberFormat="1" applyFont="1" applyFill="1" applyBorder="1" applyAlignment="1">
      <alignment horizontal="center"/>
      <protection/>
    </xf>
    <xf numFmtId="2" fontId="7" fillId="0" borderId="10" xfId="0" applyNumberFormat="1" applyFont="1" applyFill="1" applyBorder="1" applyAlignment="1">
      <alignment horizontal="center" vertical="center"/>
    </xf>
    <xf numFmtId="199" fontId="7" fillId="0" borderId="10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199" fontId="5" fillId="0" borderId="1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4" fillId="0" borderId="10" xfId="71" applyNumberFormat="1" applyFont="1" applyFill="1" applyBorder="1" applyAlignment="1">
      <alignment horizontal="center" vertical="center" wrapText="1"/>
      <protection/>
    </xf>
    <xf numFmtId="0" fontId="4" fillId="0" borderId="10" xfId="7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0" fontId="4" fillId="0" borderId="10" xfId="71" applyFont="1" applyFill="1" applyBorder="1" applyAlignment="1">
      <alignment horizontal="center" vertical="center" wrapText="1"/>
      <protection/>
    </xf>
    <xf numFmtId="0" fontId="4" fillId="0" borderId="10" xfId="71" applyFont="1" applyFill="1" applyBorder="1" applyAlignment="1">
      <alignment horizontal="center" wrapText="1"/>
      <protection/>
    </xf>
    <xf numFmtId="0" fontId="4" fillId="0" borderId="11" xfId="71" applyFont="1" applyFill="1" applyBorder="1" applyAlignment="1">
      <alignment horizontal="center" wrapText="1"/>
      <protection/>
    </xf>
    <xf numFmtId="199" fontId="4" fillId="0" borderId="10" xfId="71" applyNumberFormat="1" applyFont="1" applyFill="1" applyBorder="1" applyAlignment="1">
      <alignment horizontal="center" vertical="center"/>
      <protection/>
    </xf>
    <xf numFmtId="200" fontId="4" fillId="0" borderId="10" xfId="71" applyNumberFormat="1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199" fontId="4" fillId="0" borderId="17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199" fontId="5" fillId="0" borderId="13" xfId="0" applyNumberFormat="1" applyFont="1" applyFill="1" applyBorder="1" applyAlignment="1">
      <alignment horizontal="center" vertical="center"/>
    </xf>
    <xf numFmtId="2" fontId="7" fillId="0" borderId="17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/>
      <protection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49" fontId="4" fillId="0" borderId="10" xfId="71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3" xfId="71" applyFont="1" applyFill="1" applyBorder="1" applyAlignment="1">
      <alignment horizontal="center" vertical="center"/>
      <protection/>
    </xf>
    <xf numFmtId="2" fontId="4" fillId="0" borderId="17" xfId="71" applyNumberFormat="1" applyFont="1" applyFill="1" applyBorder="1" applyAlignment="1">
      <alignment horizontal="center" vertical="center"/>
      <protection/>
    </xf>
    <xf numFmtId="49" fontId="4" fillId="0" borderId="11" xfId="71" applyNumberFormat="1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8" xfId="71" applyFont="1" applyFill="1" applyBorder="1" applyAlignment="1">
      <alignment horizontal="center" vertical="center"/>
      <protection/>
    </xf>
    <xf numFmtId="0" fontId="4" fillId="0" borderId="17" xfId="7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/>
    </xf>
    <xf numFmtId="2" fontId="4" fillId="0" borderId="18" xfId="55" applyNumberFormat="1" applyFont="1" applyFill="1" applyBorder="1" applyAlignment="1">
      <alignment horizontal="center" vertical="center"/>
      <protection/>
    </xf>
    <xf numFmtId="2" fontId="4" fillId="0" borderId="18" xfId="55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2" fontId="7" fillId="0" borderId="18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49" fontId="5" fillId="0" borderId="10" xfId="71" applyNumberFormat="1" applyFont="1" applyFill="1" applyBorder="1" applyAlignment="1">
      <alignment horizontal="center" vertical="center"/>
      <protection/>
    </xf>
    <xf numFmtId="0" fontId="4" fillId="0" borderId="0" xfId="71" applyFont="1" applyFill="1" applyBorder="1" applyAlignment="1">
      <alignment horizontal="center" vertical="center" wrapText="1"/>
      <protection/>
    </xf>
    <xf numFmtId="2" fontId="3" fillId="0" borderId="10" xfId="71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wrapText="1"/>
    </xf>
    <xf numFmtId="2" fontId="61" fillId="0" borderId="0" xfId="0" applyNumberFormat="1" applyFont="1" applyFill="1" applyBorder="1" applyAlignment="1">
      <alignment horizontal="center" vertical="center" wrapText="1"/>
    </xf>
    <xf numFmtId="4" fontId="60" fillId="0" borderId="0" xfId="0" applyNumberFormat="1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13" xfId="55" applyFont="1" applyFill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2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/>
    </xf>
    <xf numFmtId="2" fontId="22" fillId="0" borderId="21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22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2" fontId="22" fillId="0" borderId="23" xfId="0" applyNumberFormat="1" applyFont="1" applyBorder="1" applyAlignment="1">
      <alignment horizontal="center" vertical="center"/>
    </xf>
    <xf numFmtId="2" fontId="22" fillId="0" borderId="25" xfId="0" applyNumberFormat="1" applyFont="1" applyBorder="1" applyAlignment="1">
      <alignment horizontal="center" vertical="center"/>
    </xf>
    <xf numFmtId="49" fontId="5" fillId="0" borderId="11" xfId="55" applyNumberFormat="1" applyFont="1" applyFill="1" applyBorder="1" applyAlignment="1">
      <alignment horizontal="center"/>
      <protection/>
    </xf>
    <xf numFmtId="49" fontId="5" fillId="0" borderId="11" xfId="55" applyNumberFormat="1" applyFont="1" applyFill="1" applyBorder="1" applyAlignment="1">
      <alignment horizontal="center" vertical="center" wrapText="1"/>
      <protection/>
    </xf>
    <xf numFmtId="0" fontId="19" fillId="0" borderId="11" xfId="55" applyFont="1" applyFill="1" applyBorder="1" applyAlignment="1">
      <alignment horizontal="center"/>
      <protection/>
    </xf>
    <xf numFmtId="9" fontId="5" fillId="0" borderId="11" xfId="75" applyFont="1" applyFill="1" applyBorder="1" applyAlignment="1">
      <alignment horizontal="center" vertical="center"/>
    </xf>
    <xf numFmtId="0" fontId="5" fillId="0" borderId="11" xfId="55" applyFont="1" applyFill="1" applyBorder="1" applyAlignment="1">
      <alignment horizontal="center"/>
      <protection/>
    </xf>
    <xf numFmtId="2" fontId="5" fillId="0" borderId="14" xfId="55" applyNumberFormat="1" applyFont="1" applyFill="1" applyBorder="1" applyAlignment="1">
      <alignment horizontal="center"/>
      <protection/>
    </xf>
    <xf numFmtId="1" fontId="5" fillId="0" borderId="13" xfId="71" applyNumberFormat="1" applyFont="1" applyFill="1" applyBorder="1" applyAlignment="1">
      <alignment horizontal="center" vertical="center"/>
      <protection/>
    </xf>
    <xf numFmtId="2" fontId="5" fillId="0" borderId="26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left" vertical="center" wrapText="1"/>
    </xf>
    <xf numFmtId="2" fontId="61" fillId="0" borderId="0" xfId="0" applyNumberFormat="1" applyFont="1" applyFill="1" applyBorder="1" applyAlignment="1">
      <alignment horizontal="center" vertical="center" wrapText="1"/>
    </xf>
    <xf numFmtId="2" fontId="4" fillId="0" borderId="13" xfId="71" applyNumberFormat="1" applyFont="1" applyFill="1" applyBorder="1" applyAlignment="1">
      <alignment horizontal="center" vertical="center"/>
      <protection/>
    </xf>
    <xf numFmtId="2" fontId="4" fillId="0" borderId="11" xfId="71" applyNumberFormat="1" applyFont="1" applyFill="1" applyBorder="1" applyAlignment="1">
      <alignment horizontal="center" vertical="center"/>
      <protection/>
    </xf>
    <xf numFmtId="0" fontId="61" fillId="0" borderId="15" xfId="0" applyFont="1" applyFill="1" applyBorder="1" applyAlignment="1">
      <alignment horizontal="left" vertical="center" wrapText="1"/>
    </xf>
    <xf numFmtId="0" fontId="4" fillId="0" borderId="13" xfId="7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71" applyNumberFormat="1" applyFont="1" applyFill="1" applyBorder="1" applyAlignment="1">
      <alignment horizontal="center" vertical="center" textRotation="90" wrapText="1"/>
      <protection/>
    </xf>
    <xf numFmtId="49" fontId="4" fillId="0" borderId="10" xfId="71" applyNumberFormat="1" applyFont="1" applyFill="1" applyBorder="1" applyAlignment="1">
      <alignment horizontal="center" vertical="center" textRotation="90" wrapText="1"/>
      <protection/>
    </xf>
    <xf numFmtId="49" fontId="4" fillId="0" borderId="11" xfId="71" applyNumberFormat="1" applyFont="1" applyFill="1" applyBorder="1" applyAlignment="1">
      <alignment horizontal="center" vertical="center" textRotation="90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26" xfId="71" applyNumberFormat="1" applyFont="1" applyFill="1" applyBorder="1" applyAlignment="1">
      <alignment horizontal="center" vertical="center"/>
      <protection/>
    </xf>
    <xf numFmtId="2" fontId="4" fillId="0" borderId="19" xfId="71" applyNumberFormat="1" applyFont="1" applyFill="1" applyBorder="1" applyAlignment="1">
      <alignment horizontal="center" vertical="center"/>
      <protection/>
    </xf>
    <xf numFmtId="2" fontId="4" fillId="0" borderId="27" xfId="71" applyNumberFormat="1" applyFont="1" applyFill="1" applyBorder="1" applyAlignment="1">
      <alignment horizontal="center" vertical="center"/>
      <protection/>
    </xf>
    <xf numFmtId="2" fontId="4" fillId="0" borderId="14" xfId="71" applyNumberFormat="1" applyFont="1" applyFill="1" applyBorder="1" applyAlignment="1">
      <alignment horizontal="center" vertical="center"/>
      <protection/>
    </xf>
    <xf numFmtId="2" fontId="4" fillId="0" borderId="15" xfId="71" applyNumberFormat="1" applyFont="1" applyFill="1" applyBorder="1" applyAlignment="1">
      <alignment horizontal="center" vertical="center"/>
      <protection/>
    </xf>
    <xf numFmtId="2" fontId="4" fillId="0" borderId="16" xfId="71" applyNumberFormat="1" applyFont="1" applyFill="1" applyBorder="1" applyAlignment="1">
      <alignment horizontal="center" vertical="center"/>
      <protection/>
    </xf>
    <xf numFmtId="2" fontId="4" fillId="0" borderId="27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11 2 2" xfId="57"/>
    <cellStyle name="Normal 13 5 3" xfId="58"/>
    <cellStyle name="Normal 14" xfId="59"/>
    <cellStyle name="Normal 14 4" xfId="60"/>
    <cellStyle name="Normal 14_axalqalaqis skola " xfId="61"/>
    <cellStyle name="Normal 2" xfId="62"/>
    <cellStyle name="Normal 2 10" xfId="63"/>
    <cellStyle name="Normal 3" xfId="64"/>
    <cellStyle name="Normal 32 3" xfId="65"/>
    <cellStyle name="Normal 33 2" xfId="66"/>
    <cellStyle name="Normal 36 2" xfId="67"/>
    <cellStyle name="Normal 36 2 2 3" xfId="68"/>
    <cellStyle name="Normal 38" xfId="69"/>
    <cellStyle name="Normal 4" xfId="70"/>
    <cellStyle name="Normal_gare wyalsadfenigagarini 2_SMSH2008-IIkv ." xfId="71"/>
    <cellStyle name="Note" xfId="72"/>
    <cellStyle name="Output" xfId="73"/>
    <cellStyle name="Percent" xfId="74"/>
    <cellStyle name="Percent 2" xfId="75"/>
    <cellStyle name="silfain" xfId="76"/>
    <cellStyle name="Title" xfId="77"/>
    <cellStyle name="Total" xfId="78"/>
    <cellStyle name="Warning Text" xfId="79"/>
    <cellStyle name="Обычный 10" xfId="80"/>
    <cellStyle name="Обычный 2 2" xfId="81"/>
    <cellStyle name="Обычный 4" xfId="82"/>
    <cellStyle name="Обычный 4 3" xfId="83"/>
    <cellStyle name="Обычный 5 2 2" xfId="84"/>
  </cellStyles>
  <dxfs count="3"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07"/>
  <sheetViews>
    <sheetView tabSelected="1" zoomScale="98" zoomScaleNormal="98" zoomScalePageLayoutView="0" workbookViewId="0" topLeftCell="B199">
      <selection activeCell="M218" sqref="M218"/>
    </sheetView>
  </sheetViews>
  <sheetFormatPr defaultColWidth="9.140625" defaultRowHeight="12.75"/>
  <cols>
    <col min="3" max="3" width="55.140625" style="0" customWidth="1"/>
    <col min="8" max="8" width="9.57421875" style="0" bestFit="1" customWidth="1"/>
    <col min="10" max="10" width="10.57421875" style="0" bestFit="1" customWidth="1"/>
    <col min="11" max="11" width="11.140625" style="0" bestFit="1" customWidth="1"/>
    <col min="12" max="12" width="9.57421875" style="0" bestFit="1" customWidth="1"/>
    <col min="13" max="13" width="10.57421875" style="0" bestFit="1" customWidth="1"/>
  </cols>
  <sheetData>
    <row r="1" spans="1:13" ht="12.75">
      <c r="A1" s="197" t="s">
        <v>147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5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8">
      <c r="A3" s="198" t="s">
        <v>148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ht="15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ht="15.75">
      <c r="A5" s="200" t="s">
        <v>164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</row>
    <row r="6" spans="1:13" ht="15.75">
      <c r="A6" s="201" t="s">
        <v>149</v>
      </c>
      <c r="B6" s="201"/>
      <c r="C6" s="201"/>
      <c r="D6" s="201"/>
      <c r="E6" s="156"/>
      <c r="F6" s="202"/>
      <c r="G6" s="202"/>
      <c r="H6" s="202"/>
      <c r="I6" s="202"/>
      <c r="J6" s="156"/>
      <c r="K6" s="156"/>
      <c r="L6" s="156"/>
      <c r="M6" s="156"/>
    </row>
    <row r="7" spans="1:13" ht="31.5">
      <c r="A7" s="205" t="s">
        <v>150</v>
      </c>
      <c r="B7" s="205"/>
      <c r="C7" s="205"/>
      <c r="D7" s="156"/>
      <c r="E7" s="156"/>
      <c r="F7" s="156"/>
      <c r="G7" s="202" t="s">
        <v>1</v>
      </c>
      <c r="H7" s="202"/>
      <c r="I7" s="202"/>
      <c r="J7" s="202"/>
      <c r="K7" s="157">
        <f>M207</f>
        <v>0</v>
      </c>
      <c r="L7" s="156" t="s">
        <v>0</v>
      </c>
      <c r="M7" s="156"/>
    </row>
    <row r="8" spans="1:13" ht="15.75">
      <c r="A8" s="206" t="s">
        <v>2</v>
      </c>
      <c r="B8" s="209" t="s">
        <v>3</v>
      </c>
      <c r="C8" s="212" t="s">
        <v>14</v>
      </c>
      <c r="D8" s="215" t="s">
        <v>4</v>
      </c>
      <c r="E8" s="216"/>
      <c r="F8" s="217"/>
      <c r="G8" s="215" t="s">
        <v>5</v>
      </c>
      <c r="H8" s="221"/>
      <c r="I8" s="215" t="s">
        <v>6</v>
      </c>
      <c r="J8" s="224"/>
      <c r="K8" s="215" t="s">
        <v>7</v>
      </c>
      <c r="L8" s="221"/>
      <c r="M8" s="217" t="s">
        <v>8</v>
      </c>
    </row>
    <row r="9" spans="1:13" ht="15.75">
      <c r="A9" s="207"/>
      <c r="B9" s="210"/>
      <c r="C9" s="213"/>
      <c r="D9" s="218"/>
      <c r="E9" s="219"/>
      <c r="F9" s="220"/>
      <c r="G9" s="222"/>
      <c r="H9" s="223"/>
      <c r="I9" s="222"/>
      <c r="J9" s="225"/>
      <c r="K9" s="218" t="s">
        <v>9</v>
      </c>
      <c r="L9" s="223"/>
      <c r="M9" s="229"/>
    </row>
    <row r="10" spans="1:13" ht="15.75">
      <c r="A10" s="207"/>
      <c r="B10" s="210"/>
      <c r="C10" s="213"/>
      <c r="D10" s="203" t="s">
        <v>10</v>
      </c>
      <c r="E10" s="203" t="s">
        <v>11</v>
      </c>
      <c r="F10" s="203" t="s">
        <v>12</v>
      </c>
      <c r="G10" s="5" t="s">
        <v>11</v>
      </c>
      <c r="H10" s="203" t="s">
        <v>12</v>
      </c>
      <c r="I10" s="5" t="s">
        <v>11</v>
      </c>
      <c r="J10" s="203" t="s">
        <v>12</v>
      </c>
      <c r="K10" s="5" t="s">
        <v>11</v>
      </c>
      <c r="L10" s="203" t="s">
        <v>12</v>
      </c>
      <c r="M10" s="230"/>
    </row>
    <row r="11" spans="1:13" ht="15.75">
      <c r="A11" s="208"/>
      <c r="B11" s="211"/>
      <c r="C11" s="214"/>
      <c r="D11" s="204"/>
      <c r="E11" s="204"/>
      <c r="F11" s="204"/>
      <c r="G11" s="7" t="s">
        <v>13</v>
      </c>
      <c r="H11" s="204"/>
      <c r="I11" s="7" t="s">
        <v>13</v>
      </c>
      <c r="J11" s="204"/>
      <c r="K11" s="7" t="s">
        <v>13</v>
      </c>
      <c r="L11" s="204"/>
      <c r="M11" s="231"/>
    </row>
    <row r="12" spans="1:13" ht="15.75">
      <c r="A12" s="9">
        <v>1</v>
      </c>
      <c r="B12" s="71" t="s">
        <v>32</v>
      </c>
      <c r="C12" s="72">
        <v>3</v>
      </c>
      <c r="D12" s="71">
        <v>4</v>
      </c>
      <c r="E12" s="71">
        <v>5</v>
      </c>
      <c r="F12" s="71">
        <v>6</v>
      </c>
      <c r="G12" s="71">
        <v>7</v>
      </c>
      <c r="H12" s="71">
        <v>8</v>
      </c>
      <c r="I12" s="71">
        <v>9</v>
      </c>
      <c r="J12" s="71">
        <v>10</v>
      </c>
      <c r="K12" s="71">
        <v>11</v>
      </c>
      <c r="L12" s="71">
        <v>12</v>
      </c>
      <c r="M12" s="9">
        <v>13</v>
      </c>
    </row>
    <row r="13" spans="1:13" ht="15.75">
      <c r="A13" s="80"/>
      <c r="B13" s="81"/>
      <c r="C13" s="158" t="s">
        <v>151</v>
      </c>
      <c r="D13" s="81"/>
      <c r="E13" s="81"/>
      <c r="F13" s="81"/>
      <c r="G13" s="81"/>
      <c r="H13" s="81"/>
      <c r="I13" s="81"/>
      <c r="J13" s="81"/>
      <c r="K13" s="81"/>
      <c r="L13" s="81"/>
      <c r="M13" s="80"/>
    </row>
    <row r="14" spans="1:13" ht="63.75">
      <c r="A14" s="55">
        <v>1</v>
      </c>
      <c r="B14" s="73" t="s">
        <v>51</v>
      </c>
      <c r="C14" s="31" t="s">
        <v>52</v>
      </c>
      <c r="D14" s="31" t="s">
        <v>53</v>
      </c>
      <c r="E14" s="74"/>
      <c r="F14" s="119">
        <v>0.463</v>
      </c>
      <c r="G14" s="75"/>
      <c r="H14" s="75"/>
      <c r="I14" s="75"/>
      <c r="J14" s="75"/>
      <c r="K14" s="75"/>
      <c r="L14" s="75"/>
      <c r="M14" s="75"/>
    </row>
    <row r="15" spans="1:13" ht="15.75">
      <c r="A15" s="76"/>
      <c r="B15" s="77"/>
      <c r="C15" s="78" t="s">
        <v>54</v>
      </c>
      <c r="D15" s="8" t="s">
        <v>55</v>
      </c>
      <c r="E15" s="8">
        <f>(85+49)*4/6</f>
        <v>89.33333333333333</v>
      </c>
      <c r="F15" s="8">
        <f>E15*F14</f>
        <v>41.361333333333334</v>
      </c>
      <c r="G15" s="8"/>
      <c r="H15" s="8"/>
      <c r="I15" s="8"/>
      <c r="J15" s="8"/>
      <c r="K15" s="8"/>
      <c r="L15" s="8"/>
      <c r="M15" s="8"/>
    </row>
    <row r="16" spans="1:13" ht="15.75">
      <c r="A16" s="42"/>
      <c r="B16" s="142"/>
      <c r="C16" s="159" t="s">
        <v>152</v>
      </c>
      <c r="D16" s="25"/>
      <c r="E16" s="25"/>
      <c r="F16" s="25"/>
      <c r="G16" s="25"/>
      <c r="H16" s="25"/>
      <c r="I16" s="25"/>
      <c r="J16" s="25"/>
      <c r="K16" s="22"/>
      <c r="L16" s="25"/>
      <c r="M16" s="25"/>
    </row>
    <row r="17" spans="1:13" ht="15.75">
      <c r="A17" s="42"/>
      <c r="B17" s="142"/>
      <c r="C17" s="162" t="s">
        <v>160</v>
      </c>
      <c r="D17" s="25"/>
      <c r="E17" s="25"/>
      <c r="F17" s="25"/>
      <c r="G17" s="25"/>
      <c r="H17" s="25"/>
      <c r="I17" s="25"/>
      <c r="J17" s="25"/>
      <c r="K17" s="22"/>
      <c r="L17" s="25"/>
      <c r="M17" s="25"/>
    </row>
    <row r="18" spans="1:13" ht="15.75">
      <c r="A18" s="42"/>
      <c r="B18" s="142"/>
      <c r="C18" s="160" t="s">
        <v>159</v>
      </c>
      <c r="D18" s="25"/>
      <c r="E18" s="25"/>
      <c r="F18" s="25"/>
      <c r="G18" s="25"/>
      <c r="H18" s="25"/>
      <c r="I18" s="25"/>
      <c r="J18" s="25"/>
      <c r="K18" s="22"/>
      <c r="L18" s="25"/>
      <c r="M18" s="25"/>
    </row>
    <row r="19" spans="1:13" ht="47.25">
      <c r="A19" s="91">
        <v>1</v>
      </c>
      <c r="B19" s="43" t="s">
        <v>110</v>
      </c>
      <c r="C19" s="57" t="s">
        <v>116</v>
      </c>
      <c r="D19" s="56" t="s">
        <v>111</v>
      </c>
      <c r="E19" s="56"/>
      <c r="F19" s="32">
        <v>54</v>
      </c>
      <c r="G19" s="82"/>
      <c r="H19" s="82"/>
      <c r="I19" s="82"/>
      <c r="J19" s="37"/>
      <c r="K19" s="141"/>
      <c r="L19" s="82"/>
      <c r="M19" s="82"/>
    </row>
    <row r="20" spans="1:13" ht="15.75">
      <c r="A20" s="143"/>
      <c r="B20" s="3" t="s">
        <v>112</v>
      </c>
      <c r="C20" s="3" t="s">
        <v>113</v>
      </c>
      <c r="D20" s="3" t="s">
        <v>16</v>
      </c>
      <c r="E20" s="3">
        <f>973/1000*0.6</f>
        <v>0.5838</v>
      </c>
      <c r="F20" s="6">
        <f>F19*E20</f>
        <v>31.525199999999998</v>
      </c>
      <c r="G20" s="6"/>
      <c r="H20" s="82"/>
      <c r="I20" s="6"/>
      <c r="J20" s="37"/>
      <c r="K20" s="14"/>
      <c r="L20" s="82"/>
      <c r="M20" s="82"/>
    </row>
    <row r="21" spans="1:13" ht="15.75">
      <c r="A21" s="143"/>
      <c r="B21" s="3"/>
      <c r="C21" s="3" t="s">
        <v>38</v>
      </c>
      <c r="D21" s="3" t="s">
        <v>20</v>
      </c>
      <c r="E21" s="3">
        <f>483*0.6/1000</f>
        <v>0.2898</v>
      </c>
      <c r="F21" s="6">
        <f>F19*E21</f>
        <v>15.6492</v>
      </c>
      <c r="G21" s="6"/>
      <c r="H21" s="82"/>
      <c r="I21" s="6"/>
      <c r="J21" s="37"/>
      <c r="K21" s="14"/>
      <c r="L21" s="82"/>
      <c r="M21" s="82"/>
    </row>
    <row r="22" spans="1:13" ht="31.5">
      <c r="A22" s="144"/>
      <c r="B22" s="140"/>
      <c r="C22" s="140" t="s">
        <v>114</v>
      </c>
      <c r="D22" s="36" t="s">
        <v>115</v>
      </c>
      <c r="E22" s="8"/>
      <c r="F22" s="8">
        <v>4.176</v>
      </c>
      <c r="G22" s="8"/>
      <c r="H22" s="82"/>
      <c r="I22" s="8"/>
      <c r="J22" s="37"/>
      <c r="K22" s="34"/>
      <c r="L22" s="82"/>
      <c r="M22" s="82"/>
    </row>
    <row r="23" spans="1:13" ht="47.25">
      <c r="A23" s="42">
        <v>2</v>
      </c>
      <c r="B23" s="23" t="s">
        <v>60</v>
      </c>
      <c r="C23" s="44" t="s">
        <v>109</v>
      </c>
      <c r="D23" s="45" t="s">
        <v>80</v>
      </c>
      <c r="E23" s="45"/>
      <c r="F23" s="46">
        <v>1.8</v>
      </c>
      <c r="G23" s="47"/>
      <c r="H23" s="82"/>
      <c r="I23" s="47"/>
      <c r="J23" s="37"/>
      <c r="K23" s="47"/>
      <c r="L23" s="82"/>
      <c r="M23" s="82"/>
    </row>
    <row r="24" spans="1:13" ht="15.75">
      <c r="A24" s="20"/>
      <c r="B24" s="20"/>
      <c r="C24" s="69" t="s">
        <v>15</v>
      </c>
      <c r="D24" s="6" t="s">
        <v>16</v>
      </c>
      <c r="E24" s="6">
        <v>1.6</v>
      </c>
      <c r="F24" s="6">
        <f>E24*F23</f>
        <v>2.8800000000000003</v>
      </c>
      <c r="G24" s="6"/>
      <c r="H24" s="82"/>
      <c r="I24" s="3"/>
      <c r="J24" s="37"/>
      <c r="K24" s="3"/>
      <c r="L24" s="82"/>
      <c r="M24" s="82"/>
    </row>
    <row r="25" spans="1:13" ht="15.75">
      <c r="A25" s="20"/>
      <c r="B25" s="20"/>
      <c r="C25" s="69" t="s">
        <v>43</v>
      </c>
      <c r="D25" s="6" t="s">
        <v>17</v>
      </c>
      <c r="E25" s="13">
        <f>1.91/100</f>
        <v>0.0191</v>
      </c>
      <c r="F25" s="6">
        <f>E25*F23</f>
        <v>0.03438</v>
      </c>
      <c r="G25" s="6"/>
      <c r="H25" s="82"/>
      <c r="I25" s="3"/>
      <c r="J25" s="37"/>
      <c r="K25" s="6"/>
      <c r="L25" s="82"/>
      <c r="M25" s="82"/>
    </row>
    <row r="26" spans="1:13" ht="15.75">
      <c r="A26" s="20"/>
      <c r="B26" s="20"/>
      <c r="C26" s="69" t="s">
        <v>61</v>
      </c>
      <c r="D26" s="6" t="s">
        <v>17</v>
      </c>
      <c r="E26" s="13">
        <v>0.775</v>
      </c>
      <c r="F26" s="6">
        <f>E26*F23</f>
        <v>1.395</v>
      </c>
      <c r="G26" s="6"/>
      <c r="H26" s="82"/>
      <c r="I26" s="3"/>
      <c r="J26" s="37"/>
      <c r="K26" s="6"/>
      <c r="L26" s="82"/>
      <c r="M26" s="82"/>
    </row>
    <row r="27" spans="1:13" ht="15.75">
      <c r="A27" s="20"/>
      <c r="B27" s="20"/>
      <c r="C27" s="69" t="s">
        <v>62</v>
      </c>
      <c r="D27" s="6" t="s">
        <v>17</v>
      </c>
      <c r="E27" s="13">
        <f>0.775/2</f>
        <v>0.3875</v>
      </c>
      <c r="F27" s="6">
        <f>E27*F23</f>
        <v>0.6975</v>
      </c>
      <c r="G27" s="6"/>
      <c r="H27" s="82"/>
      <c r="I27" s="3"/>
      <c r="J27" s="37"/>
      <c r="K27" s="6"/>
      <c r="L27" s="82"/>
      <c r="M27" s="82"/>
    </row>
    <row r="28" spans="1:13" ht="18">
      <c r="A28" s="20"/>
      <c r="B28" s="20" t="s">
        <v>34</v>
      </c>
      <c r="C28" s="69" t="s">
        <v>77</v>
      </c>
      <c r="D28" s="6" t="s">
        <v>98</v>
      </c>
      <c r="E28" s="6"/>
      <c r="F28" s="13">
        <f>F23/1000</f>
        <v>0.0018</v>
      </c>
      <c r="G28" s="6"/>
      <c r="H28" s="82"/>
      <c r="I28" s="3"/>
      <c r="J28" s="37"/>
      <c r="K28" s="6"/>
      <c r="L28" s="82"/>
      <c r="M28" s="82"/>
    </row>
    <row r="29" spans="1:13" ht="15.75">
      <c r="A29" s="20"/>
      <c r="B29" s="20"/>
      <c r="C29" s="69" t="s">
        <v>15</v>
      </c>
      <c r="D29" s="6" t="s">
        <v>16</v>
      </c>
      <c r="E29" s="6">
        <v>20</v>
      </c>
      <c r="F29" s="6">
        <f>F28*E29</f>
        <v>0.036</v>
      </c>
      <c r="G29" s="6"/>
      <c r="H29" s="82"/>
      <c r="I29" s="3"/>
      <c r="J29" s="37"/>
      <c r="K29" s="6"/>
      <c r="L29" s="82"/>
      <c r="M29" s="82"/>
    </row>
    <row r="30" spans="1:13" ht="15.75">
      <c r="A30" s="20"/>
      <c r="B30" s="20"/>
      <c r="C30" s="69" t="s">
        <v>33</v>
      </c>
      <c r="D30" s="6" t="s">
        <v>64</v>
      </c>
      <c r="E30" s="6">
        <v>44.8</v>
      </c>
      <c r="F30" s="6">
        <f>F28*E30</f>
        <v>0.08063999999999999</v>
      </c>
      <c r="G30" s="6"/>
      <c r="H30" s="82"/>
      <c r="I30" s="3"/>
      <c r="J30" s="37"/>
      <c r="K30" s="6"/>
      <c r="L30" s="82"/>
      <c r="M30" s="82"/>
    </row>
    <row r="31" spans="1:13" ht="15.75">
      <c r="A31" s="20"/>
      <c r="B31" s="20"/>
      <c r="C31" s="69" t="s">
        <v>18</v>
      </c>
      <c r="D31" s="6" t="s">
        <v>16</v>
      </c>
      <c r="E31" s="6"/>
      <c r="F31" s="6">
        <f>F30</f>
        <v>0.08063999999999999</v>
      </c>
      <c r="G31" s="6"/>
      <c r="H31" s="82"/>
      <c r="I31" s="3"/>
      <c r="J31" s="37"/>
      <c r="K31" s="6"/>
      <c r="L31" s="82"/>
      <c r="M31" s="82"/>
    </row>
    <row r="32" spans="1:13" ht="15.75">
      <c r="A32" s="21"/>
      <c r="B32" s="21"/>
      <c r="C32" s="30" t="s">
        <v>107</v>
      </c>
      <c r="D32" s="8" t="s">
        <v>63</v>
      </c>
      <c r="E32" s="79"/>
      <c r="F32" s="8">
        <f>F23*2</f>
        <v>3.6</v>
      </c>
      <c r="G32" s="8"/>
      <c r="H32" s="82"/>
      <c r="I32" s="8"/>
      <c r="J32" s="37"/>
      <c r="K32" s="8"/>
      <c r="L32" s="82"/>
      <c r="M32" s="82"/>
    </row>
    <row r="33" spans="1:13" ht="18">
      <c r="A33" s="64">
        <v>3</v>
      </c>
      <c r="B33" s="56" t="s">
        <v>35</v>
      </c>
      <c r="C33" s="57" t="s">
        <v>44</v>
      </c>
      <c r="D33" s="32" t="s">
        <v>80</v>
      </c>
      <c r="E33" s="58"/>
      <c r="F33" s="118">
        <f>F23</f>
        <v>1.8</v>
      </c>
      <c r="G33" s="59"/>
      <c r="H33" s="82"/>
      <c r="I33" s="59"/>
      <c r="J33" s="37"/>
      <c r="K33" s="59"/>
      <c r="L33" s="82"/>
      <c r="M33" s="82"/>
    </row>
    <row r="34" spans="1:13" ht="15.75">
      <c r="A34" s="60"/>
      <c r="B34" s="60"/>
      <c r="C34" s="29" t="s">
        <v>15</v>
      </c>
      <c r="D34" s="6" t="s">
        <v>16</v>
      </c>
      <c r="E34" s="13">
        <f>3.23/1000</f>
        <v>0.00323</v>
      </c>
      <c r="F34" s="6">
        <f>E34*F33</f>
        <v>0.005814</v>
      </c>
      <c r="G34" s="16"/>
      <c r="H34" s="82"/>
      <c r="I34" s="15"/>
      <c r="J34" s="37"/>
      <c r="K34" s="15"/>
      <c r="L34" s="82"/>
      <c r="M34" s="82"/>
    </row>
    <row r="35" spans="1:13" ht="15.75">
      <c r="A35" s="20"/>
      <c r="B35" s="20"/>
      <c r="C35" s="29" t="s">
        <v>29</v>
      </c>
      <c r="D35" s="6" t="s">
        <v>17</v>
      </c>
      <c r="E35" s="61">
        <f>3.62/1000</f>
        <v>0.00362</v>
      </c>
      <c r="F35" s="6">
        <f>E35*F33</f>
        <v>0.006516</v>
      </c>
      <c r="G35" s="6"/>
      <c r="H35" s="82"/>
      <c r="I35" s="6"/>
      <c r="J35" s="37"/>
      <c r="K35" s="6"/>
      <c r="L35" s="82"/>
      <c r="M35" s="82"/>
    </row>
    <row r="36" spans="1:13" ht="15.75">
      <c r="A36" s="20"/>
      <c r="B36" s="20"/>
      <c r="C36" s="29" t="s">
        <v>18</v>
      </c>
      <c r="D36" s="6" t="s">
        <v>16</v>
      </c>
      <c r="E36" s="6"/>
      <c r="F36" s="6">
        <f>F35</f>
        <v>0.006516</v>
      </c>
      <c r="G36" s="6"/>
      <c r="H36" s="82"/>
      <c r="I36" s="6"/>
      <c r="J36" s="37"/>
      <c r="K36" s="3"/>
      <c r="L36" s="82"/>
      <c r="M36" s="82"/>
    </row>
    <row r="37" spans="1:13" ht="15.75">
      <c r="A37" s="62"/>
      <c r="B37" s="62"/>
      <c r="C37" s="17" t="s">
        <v>23</v>
      </c>
      <c r="D37" s="62" t="s">
        <v>20</v>
      </c>
      <c r="E37" s="63">
        <f>0.19/1000</f>
        <v>0.00019</v>
      </c>
      <c r="F37" s="8">
        <f>E37*F33</f>
        <v>0.000342</v>
      </c>
      <c r="G37" s="62"/>
      <c r="H37" s="82"/>
      <c r="I37" s="62"/>
      <c r="J37" s="37"/>
      <c r="K37" s="19"/>
      <c r="L37" s="82"/>
      <c r="M37" s="82"/>
    </row>
    <row r="38" spans="3:13" ht="15.75">
      <c r="C38" s="162" t="s">
        <v>153</v>
      </c>
      <c r="H38" s="82"/>
      <c r="J38" s="37"/>
      <c r="L38" s="82"/>
      <c r="M38" s="82"/>
    </row>
    <row r="39" spans="1:13" ht="47.25">
      <c r="A39" s="64">
        <v>1</v>
      </c>
      <c r="B39" s="43" t="s">
        <v>67</v>
      </c>
      <c r="C39" s="67" t="s">
        <v>78</v>
      </c>
      <c r="D39" s="68" t="s">
        <v>80</v>
      </c>
      <c r="E39" s="66"/>
      <c r="F39" s="120">
        <v>1419</v>
      </c>
      <c r="G39" s="49"/>
      <c r="H39" s="82"/>
      <c r="I39" s="5"/>
      <c r="J39" s="37"/>
      <c r="K39" s="5"/>
      <c r="L39" s="82"/>
      <c r="M39" s="82"/>
    </row>
    <row r="40" spans="1:13" ht="15.75">
      <c r="A40" s="20"/>
      <c r="B40" s="20"/>
      <c r="C40" s="29" t="s">
        <v>15</v>
      </c>
      <c r="D40" s="6" t="s">
        <v>16</v>
      </c>
      <c r="E40" s="13">
        <f>20/1000</f>
        <v>0.02</v>
      </c>
      <c r="F40" s="6">
        <f>E40*F39</f>
        <v>28.38</v>
      </c>
      <c r="G40" s="6"/>
      <c r="H40" s="82"/>
      <c r="I40" s="5"/>
      <c r="J40" s="37"/>
      <c r="K40" s="5"/>
      <c r="L40" s="82"/>
      <c r="M40" s="82"/>
    </row>
    <row r="41" spans="1:13" ht="15.75">
      <c r="A41" s="20"/>
      <c r="B41" s="20"/>
      <c r="C41" s="29" t="s">
        <v>33</v>
      </c>
      <c r="D41" s="6" t="s">
        <v>17</v>
      </c>
      <c r="E41" s="13">
        <f>44.8/1000</f>
        <v>0.0448</v>
      </c>
      <c r="F41" s="6">
        <f>E41*F39</f>
        <v>63.5712</v>
      </c>
      <c r="G41" s="6"/>
      <c r="H41" s="82"/>
      <c r="I41" s="5"/>
      <c r="J41" s="37"/>
      <c r="K41" s="6"/>
      <c r="L41" s="82"/>
      <c r="M41" s="82"/>
    </row>
    <row r="42" spans="1:13" ht="15.75">
      <c r="A42" s="20"/>
      <c r="B42" s="20"/>
      <c r="C42" s="29" t="s">
        <v>18</v>
      </c>
      <c r="D42" s="6" t="s">
        <v>16</v>
      </c>
      <c r="E42" s="6"/>
      <c r="F42" s="51">
        <f>F41</f>
        <v>63.5712</v>
      </c>
      <c r="G42" s="6"/>
      <c r="H42" s="82"/>
      <c r="I42" s="5"/>
      <c r="J42" s="37"/>
      <c r="K42" s="5"/>
      <c r="L42" s="82"/>
      <c r="M42" s="82"/>
    </row>
    <row r="43" spans="1:13" ht="15.75">
      <c r="A43" s="20"/>
      <c r="B43" s="20"/>
      <c r="C43" s="29" t="s">
        <v>23</v>
      </c>
      <c r="D43" s="6" t="s">
        <v>20</v>
      </c>
      <c r="E43" s="13">
        <f>2.1/1000</f>
        <v>0.0021000000000000003</v>
      </c>
      <c r="F43" s="51">
        <f>E43*F39</f>
        <v>2.9799</v>
      </c>
      <c r="G43" s="6"/>
      <c r="H43" s="82"/>
      <c r="I43" s="6"/>
      <c r="J43" s="37"/>
      <c r="K43" s="6"/>
      <c r="L43" s="82"/>
      <c r="M43" s="82"/>
    </row>
    <row r="44" spans="1:13" ht="15.75">
      <c r="A44" s="52"/>
      <c r="B44" s="53"/>
      <c r="C44" s="70" t="s">
        <v>102</v>
      </c>
      <c r="D44" s="33" t="s">
        <v>21</v>
      </c>
      <c r="E44" s="7"/>
      <c r="F44" s="38">
        <f>F39*1.8</f>
        <v>2554.2000000000003</v>
      </c>
      <c r="G44" s="34"/>
      <c r="H44" s="82"/>
      <c r="I44" s="7"/>
      <c r="J44" s="37"/>
      <c r="K44" s="7"/>
      <c r="L44" s="82"/>
      <c r="M44" s="82"/>
    </row>
    <row r="45" spans="1:13" ht="47.25">
      <c r="A45" s="64">
        <v>2</v>
      </c>
      <c r="B45" s="54" t="s">
        <v>68</v>
      </c>
      <c r="C45" s="67" t="s">
        <v>79</v>
      </c>
      <c r="D45" s="68" t="s">
        <v>80</v>
      </c>
      <c r="E45" s="66"/>
      <c r="F45" s="120">
        <v>157</v>
      </c>
      <c r="G45" s="49"/>
      <c r="H45" s="82"/>
      <c r="I45" s="5"/>
      <c r="J45" s="37"/>
      <c r="K45" s="5"/>
      <c r="L45" s="82"/>
      <c r="M45" s="82"/>
    </row>
    <row r="46" spans="1:13" ht="15.75">
      <c r="A46" s="20"/>
      <c r="B46" s="20"/>
      <c r="C46" s="29" t="s">
        <v>15</v>
      </c>
      <c r="D46" s="6" t="s">
        <v>16</v>
      </c>
      <c r="E46" s="6">
        <f>2.06+0.87</f>
        <v>2.93</v>
      </c>
      <c r="F46" s="6">
        <f>E46*F45</f>
        <v>460.01000000000005</v>
      </c>
      <c r="G46" s="6"/>
      <c r="H46" s="82"/>
      <c r="I46" s="5"/>
      <c r="J46" s="37"/>
      <c r="K46" s="5"/>
      <c r="L46" s="82"/>
      <c r="M46" s="82"/>
    </row>
    <row r="47" spans="1:13" ht="15.75">
      <c r="A47" s="52"/>
      <c r="B47" s="53"/>
      <c r="C47" s="70" t="s">
        <v>102</v>
      </c>
      <c r="D47" s="33" t="s">
        <v>21</v>
      </c>
      <c r="E47" s="7"/>
      <c r="F47" s="38">
        <f>F45*1.8</f>
        <v>282.6</v>
      </c>
      <c r="G47" s="34"/>
      <c r="H47" s="82"/>
      <c r="I47" s="7"/>
      <c r="J47" s="37"/>
      <c r="K47" s="7"/>
      <c r="L47" s="82"/>
      <c r="M47" s="82"/>
    </row>
    <row r="48" spans="1:13" ht="18">
      <c r="A48" s="64">
        <v>3</v>
      </c>
      <c r="B48" s="56" t="s">
        <v>35</v>
      </c>
      <c r="C48" s="57" t="s">
        <v>44</v>
      </c>
      <c r="D48" s="32" t="s">
        <v>80</v>
      </c>
      <c r="E48" s="58"/>
      <c r="F48" s="118">
        <f>F39+F45</f>
        <v>1576</v>
      </c>
      <c r="G48" s="59"/>
      <c r="H48" s="82"/>
      <c r="I48" s="59"/>
      <c r="J48" s="37"/>
      <c r="K48" s="59"/>
      <c r="L48" s="82"/>
      <c r="M48" s="82"/>
    </row>
    <row r="49" spans="1:13" ht="15.75">
      <c r="A49" s="60"/>
      <c r="B49" s="60"/>
      <c r="C49" s="29" t="s">
        <v>15</v>
      </c>
      <c r="D49" s="6" t="s">
        <v>16</v>
      </c>
      <c r="E49" s="13">
        <f>3.23/1000</f>
        <v>0.00323</v>
      </c>
      <c r="F49" s="6">
        <f>E49*F48</f>
        <v>5.0904799999999994</v>
      </c>
      <c r="G49" s="16"/>
      <c r="H49" s="82"/>
      <c r="I49" s="15"/>
      <c r="J49" s="37"/>
      <c r="K49" s="15"/>
      <c r="L49" s="82"/>
      <c r="M49" s="82"/>
    </row>
    <row r="50" spans="1:13" ht="15.75">
      <c r="A50" s="20"/>
      <c r="B50" s="20"/>
      <c r="C50" s="29" t="s">
        <v>29</v>
      </c>
      <c r="D50" s="6" t="s">
        <v>17</v>
      </c>
      <c r="E50" s="61">
        <f>3.62/1000</f>
        <v>0.00362</v>
      </c>
      <c r="F50" s="6">
        <f>E50*F48</f>
        <v>5.70512</v>
      </c>
      <c r="G50" s="6"/>
      <c r="H50" s="82"/>
      <c r="I50" s="6"/>
      <c r="J50" s="37"/>
      <c r="K50" s="6"/>
      <c r="L50" s="82"/>
      <c r="M50" s="82"/>
    </row>
    <row r="51" spans="1:13" ht="15.75">
      <c r="A51" s="20"/>
      <c r="B51" s="20"/>
      <c r="C51" s="29" t="s">
        <v>18</v>
      </c>
      <c r="D51" s="6" t="s">
        <v>16</v>
      </c>
      <c r="E51" s="6"/>
      <c r="F51" s="6">
        <f>F50</f>
        <v>5.70512</v>
      </c>
      <c r="G51" s="6"/>
      <c r="H51" s="82"/>
      <c r="I51" s="6"/>
      <c r="J51" s="37"/>
      <c r="K51" s="3"/>
      <c r="L51" s="82"/>
      <c r="M51" s="82"/>
    </row>
    <row r="52" spans="1:13" ht="15.75">
      <c r="A52" s="62"/>
      <c r="B52" s="62"/>
      <c r="C52" s="17" t="s">
        <v>23</v>
      </c>
      <c r="D52" s="62" t="s">
        <v>20</v>
      </c>
      <c r="E52" s="63">
        <f>0.18/1000</f>
        <v>0.00017999999999999998</v>
      </c>
      <c r="F52" s="8">
        <f>E52*F48</f>
        <v>0.28368</v>
      </c>
      <c r="G52" s="62"/>
      <c r="H52" s="82"/>
      <c r="I52" s="62"/>
      <c r="J52" s="37"/>
      <c r="K52" s="19"/>
      <c r="L52" s="82"/>
      <c r="M52" s="82"/>
    </row>
    <row r="53" spans="1:13" ht="15.75">
      <c r="A53" s="226" t="s">
        <v>117</v>
      </c>
      <c r="B53" s="227"/>
      <c r="C53" s="228"/>
      <c r="D53" s="10"/>
      <c r="E53" s="10"/>
      <c r="F53" s="10"/>
      <c r="G53" s="10"/>
      <c r="H53" s="82"/>
      <c r="I53" s="10"/>
      <c r="J53" s="37"/>
      <c r="K53" s="11"/>
      <c r="L53" s="82"/>
      <c r="M53" s="82"/>
    </row>
    <row r="54" spans="1:13" ht="63">
      <c r="A54" s="64">
        <v>4</v>
      </c>
      <c r="B54" s="43" t="s">
        <v>67</v>
      </c>
      <c r="C54" s="67" t="s">
        <v>118</v>
      </c>
      <c r="D54" s="68" t="s">
        <v>80</v>
      </c>
      <c r="E54" s="66"/>
      <c r="F54" s="120">
        <v>164</v>
      </c>
      <c r="G54" s="49"/>
      <c r="H54" s="82"/>
      <c r="I54" s="5"/>
      <c r="J54" s="37"/>
      <c r="K54" s="5"/>
      <c r="L54" s="82"/>
      <c r="M54" s="82"/>
    </row>
    <row r="55" spans="1:13" ht="15.75">
      <c r="A55" s="20"/>
      <c r="B55" s="20"/>
      <c r="C55" s="29" t="s">
        <v>15</v>
      </c>
      <c r="D55" s="6" t="s">
        <v>16</v>
      </c>
      <c r="E55" s="13">
        <f>20/1000</f>
        <v>0.02</v>
      </c>
      <c r="F55" s="6">
        <f>E55*F54</f>
        <v>3.2800000000000002</v>
      </c>
      <c r="G55" s="6"/>
      <c r="H55" s="82"/>
      <c r="I55" s="5"/>
      <c r="J55" s="37"/>
      <c r="K55" s="5"/>
      <c r="L55" s="82"/>
      <c r="M55" s="82"/>
    </row>
    <row r="56" spans="1:13" ht="15.75">
      <c r="A56" s="20"/>
      <c r="B56" s="20"/>
      <c r="C56" s="29" t="s">
        <v>33</v>
      </c>
      <c r="D56" s="6" t="s">
        <v>17</v>
      </c>
      <c r="E56" s="13">
        <f>44.8/1000</f>
        <v>0.0448</v>
      </c>
      <c r="F56" s="6">
        <f>E56*F54</f>
        <v>7.3472</v>
      </c>
      <c r="G56" s="6"/>
      <c r="H56" s="82"/>
      <c r="I56" s="5"/>
      <c r="J56" s="37"/>
      <c r="K56" s="6"/>
      <c r="L56" s="82"/>
      <c r="M56" s="82"/>
    </row>
    <row r="57" spans="1:13" ht="15.75">
      <c r="A57" s="20"/>
      <c r="B57" s="20"/>
      <c r="C57" s="29" t="s">
        <v>18</v>
      </c>
      <c r="D57" s="6" t="s">
        <v>16</v>
      </c>
      <c r="E57" s="6"/>
      <c r="F57" s="51">
        <f>F56</f>
        <v>7.3472</v>
      </c>
      <c r="G57" s="6"/>
      <c r="H57" s="82"/>
      <c r="I57" s="5"/>
      <c r="J57" s="37"/>
      <c r="K57" s="5"/>
      <c r="L57" s="82"/>
      <c r="M57" s="82"/>
    </row>
    <row r="58" spans="1:13" ht="15.75">
      <c r="A58" s="20"/>
      <c r="B58" s="20"/>
      <c r="C58" s="29" t="s">
        <v>23</v>
      </c>
      <c r="D58" s="6" t="s">
        <v>20</v>
      </c>
      <c r="E58" s="13">
        <f>2.1/1000</f>
        <v>0.0021000000000000003</v>
      </c>
      <c r="F58" s="51">
        <f>E58*F54</f>
        <v>0.34440000000000004</v>
      </c>
      <c r="G58" s="6"/>
      <c r="H58" s="82"/>
      <c r="I58" s="6"/>
      <c r="J58" s="37"/>
      <c r="K58" s="6"/>
      <c r="L58" s="82"/>
      <c r="M58" s="82"/>
    </row>
    <row r="59" spans="1:13" ht="15.75">
      <c r="A59" s="52"/>
      <c r="B59" s="53"/>
      <c r="C59" s="70" t="s">
        <v>102</v>
      </c>
      <c r="D59" s="33" t="s">
        <v>21</v>
      </c>
      <c r="E59" s="7"/>
      <c r="F59" s="38">
        <f>F54*1.8</f>
        <v>295.2</v>
      </c>
      <c r="G59" s="34"/>
      <c r="H59" s="82"/>
      <c r="I59" s="7"/>
      <c r="J59" s="37"/>
      <c r="K59" s="7"/>
      <c r="L59" s="82"/>
      <c r="M59" s="82"/>
    </row>
    <row r="60" spans="1:13" ht="63">
      <c r="A60" s="64">
        <v>5</v>
      </c>
      <c r="B60" s="54" t="s">
        <v>68</v>
      </c>
      <c r="C60" s="67" t="s">
        <v>119</v>
      </c>
      <c r="D60" s="68" t="s">
        <v>80</v>
      </c>
      <c r="E60" s="66"/>
      <c r="F60" s="120">
        <v>40</v>
      </c>
      <c r="G60" s="49"/>
      <c r="H60" s="82"/>
      <c r="I60" s="5"/>
      <c r="J60" s="37"/>
      <c r="K60" s="5"/>
      <c r="L60" s="82"/>
      <c r="M60" s="82"/>
    </row>
    <row r="61" spans="1:13" ht="15.75">
      <c r="A61" s="20"/>
      <c r="B61" s="20"/>
      <c r="C61" s="29" t="s">
        <v>15</v>
      </c>
      <c r="D61" s="6" t="s">
        <v>16</v>
      </c>
      <c r="E61" s="6">
        <f>2.06+0.87</f>
        <v>2.93</v>
      </c>
      <c r="F61" s="6">
        <f>E61*F60</f>
        <v>117.2</v>
      </c>
      <c r="G61" s="6"/>
      <c r="H61" s="82"/>
      <c r="I61" s="5"/>
      <c r="J61" s="37"/>
      <c r="K61" s="5"/>
      <c r="L61" s="82"/>
      <c r="M61" s="82"/>
    </row>
    <row r="62" spans="1:13" ht="15.75">
      <c r="A62" s="52"/>
      <c r="B62" s="53"/>
      <c r="C62" s="70" t="s">
        <v>102</v>
      </c>
      <c r="D62" s="33" t="s">
        <v>21</v>
      </c>
      <c r="E62" s="7"/>
      <c r="F62" s="38">
        <f>F60*1.8</f>
        <v>72</v>
      </c>
      <c r="G62" s="34"/>
      <c r="H62" s="82"/>
      <c r="I62" s="7"/>
      <c r="J62" s="37"/>
      <c r="K62" s="7"/>
      <c r="L62" s="82"/>
      <c r="M62" s="82"/>
    </row>
    <row r="63" spans="1:13" ht="18">
      <c r="A63" s="64">
        <v>6</v>
      </c>
      <c r="B63" s="56" t="s">
        <v>35</v>
      </c>
      <c r="C63" s="57" t="s">
        <v>44</v>
      </c>
      <c r="D63" s="32" t="s">
        <v>80</v>
      </c>
      <c r="E63" s="58"/>
      <c r="F63" s="118">
        <f>F54+F60</f>
        <v>204</v>
      </c>
      <c r="G63" s="59"/>
      <c r="H63" s="82"/>
      <c r="I63" s="59"/>
      <c r="J63" s="37"/>
      <c r="K63" s="59"/>
      <c r="L63" s="82"/>
      <c r="M63" s="82"/>
    </row>
    <row r="64" spans="1:13" ht="15.75">
      <c r="A64" s="60"/>
      <c r="B64" s="60"/>
      <c r="C64" s="29" t="s">
        <v>15</v>
      </c>
      <c r="D64" s="6" t="s">
        <v>16</v>
      </c>
      <c r="E64" s="13">
        <f>3.23/1000</f>
        <v>0.00323</v>
      </c>
      <c r="F64" s="6">
        <f>E64*F63</f>
        <v>0.65892</v>
      </c>
      <c r="G64" s="16"/>
      <c r="H64" s="82"/>
      <c r="I64" s="15"/>
      <c r="J64" s="37"/>
      <c r="K64" s="15"/>
      <c r="L64" s="82"/>
      <c r="M64" s="82"/>
    </row>
    <row r="65" spans="1:13" ht="15.75">
      <c r="A65" s="20"/>
      <c r="B65" s="20"/>
      <c r="C65" s="29" t="s">
        <v>29</v>
      </c>
      <c r="D65" s="6" t="s">
        <v>17</v>
      </c>
      <c r="E65" s="61">
        <f>3.62/1000</f>
        <v>0.00362</v>
      </c>
      <c r="F65" s="6">
        <f>E65*F63</f>
        <v>0.73848</v>
      </c>
      <c r="G65" s="6"/>
      <c r="H65" s="82"/>
      <c r="I65" s="6"/>
      <c r="J65" s="37"/>
      <c r="K65" s="6"/>
      <c r="L65" s="82"/>
      <c r="M65" s="82"/>
    </row>
    <row r="66" spans="1:13" ht="15.75">
      <c r="A66" s="20"/>
      <c r="B66" s="20"/>
      <c r="C66" s="29" t="s">
        <v>18</v>
      </c>
      <c r="D66" s="6" t="s">
        <v>16</v>
      </c>
      <c r="E66" s="6"/>
      <c r="F66" s="6">
        <f>F65</f>
        <v>0.73848</v>
      </c>
      <c r="G66" s="6"/>
      <c r="H66" s="82"/>
      <c r="I66" s="6"/>
      <c r="J66" s="37"/>
      <c r="K66" s="3"/>
      <c r="L66" s="82"/>
      <c r="M66" s="82"/>
    </row>
    <row r="67" spans="1:13" ht="15.75">
      <c r="A67" s="62"/>
      <c r="B67" s="62"/>
      <c r="C67" s="17" t="s">
        <v>23</v>
      </c>
      <c r="D67" s="62" t="s">
        <v>20</v>
      </c>
      <c r="E67" s="63">
        <f>0.18/1000</f>
        <v>0.00017999999999999998</v>
      </c>
      <c r="F67" s="8">
        <f>E67*F63</f>
        <v>0.036719999999999996</v>
      </c>
      <c r="G67" s="62"/>
      <c r="H67" s="82"/>
      <c r="I67" s="62"/>
      <c r="J67" s="37"/>
      <c r="K67" s="19"/>
      <c r="L67" s="82"/>
      <c r="M67" s="82"/>
    </row>
    <row r="68" spans="1:13" ht="31.5">
      <c r="A68" s="64">
        <v>7</v>
      </c>
      <c r="B68" s="23" t="s">
        <v>81</v>
      </c>
      <c r="C68" s="121" t="s">
        <v>82</v>
      </c>
      <c r="D68" s="64" t="s">
        <v>80</v>
      </c>
      <c r="E68" s="122"/>
      <c r="F68" s="120">
        <v>25.5</v>
      </c>
      <c r="G68" s="49"/>
      <c r="H68" s="82"/>
      <c r="I68" s="5"/>
      <c r="J68" s="37"/>
      <c r="K68" s="5"/>
      <c r="L68" s="82"/>
      <c r="M68" s="82"/>
    </row>
    <row r="69" spans="1:13" ht="15.75">
      <c r="A69" s="123"/>
      <c r="B69" s="20"/>
      <c r="C69" s="29" t="s">
        <v>15</v>
      </c>
      <c r="D69" s="6" t="s">
        <v>16</v>
      </c>
      <c r="E69" s="5">
        <v>2.12</v>
      </c>
      <c r="F69" s="5">
        <f>E69*F68</f>
        <v>54.06</v>
      </c>
      <c r="G69" s="5"/>
      <c r="H69" s="82"/>
      <c r="I69" s="5"/>
      <c r="J69" s="37"/>
      <c r="K69" s="5"/>
      <c r="L69" s="82"/>
      <c r="M69" s="82"/>
    </row>
    <row r="70" spans="1:13" ht="15.75">
      <c r="A70" s="123"/>
      <c r="B70" s="20"/>
      <c r="C70" s="2" t="s">
        <v>23</v>
      </c>
      <c r="D70" s="51" t="s">
        <v>20</v>
      </c>
      <c r="E70" s="13">
        <v>0.101</v>
      </c>
      <c r="F70" s="6">
        <f>E70*F68</f>
        <v>2.5755000000000003</v>
      </c>
      <c r="G70" s="6"/>
      <c r="H70" s="82"/>
      <c r="I70" s="6"/>
      <c r="J70" s="37"/>
      <c r="K70" s="6"/>
      <c r="L70" s="82"/>
      <c r="M70" s="82"/>
    </row>
    <row r="71" spans="1:13" ht="18">
      <c r="A71" s="124"/>
      <c r="B71" s="21"/>
      <c r="C71" s="125" t="s">
        <v>83</v>
      </c>
      <c r="D71" s="52" t="s">
        <v>99</v>
      </c>
      <c r="E71" s="8">
        <v>1.1</v>
      </c>
      <c r="F71" s="8">
        <f>E71*F68</f>
        <v>28.05</v>
      </c>
      <c r="G71" s="8"/>
      <c r="H71" s="82"/>
      <c r="I71" s="7"/>
      <c r="J71" s="37"/>
      <c r="K71" s="36"/>
      <c r="L71" s="82"/>
      <c r="M71" s="82"/>
    </row>
    <row r="72" spans="1:13" ht="31.5">
      <c r="A72" s="23" t="s">
        <v>84</v>
      </c>
      <c r="B72" s="23" t="s">
        <v>121</v>
      </c>
      <c r="C72" s="26" t="s">
        <v>123</v>
      </c>
      <c r="D72" s="25" t="s">
        <v>80</v>
      </c>
      <c r="E72" s="106"/>
      <c r="F72" s="145">
        <v>59.5</v>
      </c>
      <c r="G72" s="16"/>
      <c r="H72" s="82"/>
      <c r="I72" s="16"/>
      <c r="J72" s="37"/>
      <c r="K72" s="16"/>
      <c r="L72" s="82"/>
      <c r="M72" s="82"/>
    </row>
    <row r="73" spans="1:13" ht="15.75">
      <c r="A73" s="60"/>
      <c r="B73" s="20"/>
      <c r="C73" s="4" t="s">
        <v>15</v>
      </c>
      <c r="D73" s="6" t="s">
        <v>16</v>
      </c>
      <c r="E73" s="12">
        <v>8.44</v>
      </c>
      <c r="F73" s="5">
        <f>E73*F72</f>
        <v>502.17999999999995</v>
      </c>
      <c r="G73" s="12"/>
      <c r="H73" s="82"/>
      <c r="I73" s="12"/>
      <c r="J73" s="37"/>
      <c r="K73" s="12"/>
      <c r="L73" s="82"/>
      <c r="M73" s="82"/>
    </row>
    <row r="74" spans="1:13" ht="15.75">
      <c r="A74" s="60"/>
      <c r="B74" s="20"/>
      <c r="C74" s="15" t="s">
        <v>38</v>
      </c>
      <c r="D74" s="3" t="s">
        <v>20</v>
      </c>
      <c r="E74" s="15">
        <v>1.1</v>
      </c>
      <c r="F74" s="6">
        <f>E74*F72</f>
        <v>65.45</v>
      </c>
      <c r="G74" s="16"/>
      <c r="H74" s="82"/>
      <c r="I74" s="16"/>
      <c r="J74" s="37"/>
      <c r="K74" s="16"/>
      <c r="L74" s="82"/>
      <c r="M74" s="82"/>
    </row>
    <row r="75" spans="1:13" ht="18">
      <c r="A75" s="60"/>
      <c r="B75" s="126"/>
      <c r="C75" s="15" t="s">
        <v>122</v>
      </c>
      <c r="D75" s="109" t="s">
        <v>99</v>
      </c>
      <c r="E75" s="15">
        <v>1.015</v>
      </c>
      <c r="F75" s="6">
        <f>E75*F72</f>
        <v>60.39249999999999</v>
      </c>
      <c r="G75" s="16"/>
      <c r="H75" s="82"/>
      <c r="I75" s="12"/>
      <c r="J75" s="37"/>
      <c r="K75" s="16"/>
      <c r="L75" s="82"/>
      <c r="M75" s="82"/>
    </row>
    <row r="76" spans="1:13" ht="15.75">
      <c r="A76" s="60"/>
      <c r="B76" s="20"/>
      <c r="C76" s="15" t="s">
        <v>124</v>
      </c>
      <c r="D76" s="109" t="s">
        <v>21</v>
      </c>
      <c r="E76" s="110" t="s">
        <v>103</v>
      </c>
      <c r="F76" s="6">
        <v>2.6945</v>
      </c>
      <c r="G76" s="16"/>
      <c r="H76" s="82"/>
      <c r="I76" s="12"/>
      <c r="J76" s="37"/>
      <c r="K76" s="16"/>
      <c r="L76" s="82"/>
      <c r="M76" s="82"/>
    </row>
    <row r="77" spans="1:13" ht="18">
      <c r="A77" s="60"/>
      <c r="B77" s="126"/>
      <c r="C77" s="111" t="s">
        <v>104</v>
      </c>
      <c r="D77" s="109" t="s">
        <v>105</v>
      </c>
      <c r="E77" s="15">
        <v>1.84</v>
      </c>
      <c r="F77" s="6">
        <f>E77*F72</f>
        <v>109.48</v>
      </c>
      <c r="G77" s="16"/>
      <c r="H77" s="82"/>
      <c r="I77" s="5"/>
      <c r="J77" s="37"/>
      <c r="K77" s="16"/>
      <c r="L77" s="82"/>
      <c r="M77" s="82"/>
    </row>
    <row r="78" spans="1:13" ht="18">
      <c r="A78" s="60"/>
      <c r="B78" s="126"/>
      <c r="C78" s="112" t="s">
        <v>85</v>
      </c>
      <c r="D78" s="109" t="s">
        <v>99</v>
      </c>
      <c r="E78" s="15">
        <f>0.34/100</f>
        <v>0.0034000000000000002</v>
      </c>
      <c r="F78" s="6">
        <f>E78*F72</f>
        <v>0.2023</v>
      </c>
      <c r="G78" s="16"/>
      <c r="H78" s="82"/>
      <c r="I78" s="5"/>
      <c r="J78" s="37"/>
      <c r="K78" s="16"/>
      <c r="L78" s="82"/>
      <c r="M78" s="82"/>
    </row>
    <row r="79" spans="1:13" ht="18">
      <c r="A79" s="60"/>
      <c r="B79" s="126"/>
      <c r="C79" s="111" t="s">
        <v>125</v>
      </c>
      <c r="D79" s="109" t="s">
        <v>99</v>
      </c>
      <c r="E79" s="61">
        <f>3.91/100</f>
        <v>0.0391</v>
      </c>
      <c r="F79" s="6">
        <f>E79*F72</f>
        <v>2.3264500000000004</v>
      </c>
      <c r="G79" s="16"/>
      <c r="H79" s="82"/>
      <c r="I79" s="5"/>
      <c r="J79" s="37"/>
      <c r="K79" s="6"/>
      <c r="L79" s="82"/>
      <c r="M79" s="82"/>
    </row>
    <row r="80" spans="1:13" ht="15.75">
      <c r="A80" s="60"/>
      <c r="B80" s="126"/>
      <c r="C80" s="112" t="s">
        <v>91</v>
      </c>
      <c r="D80" s="109" t="s">
        <v>21</v>
      </c>
      <c r="E80" s="15">
        <f>0.22/100</f>
        <v>0.0022</v>
      </c>
      <c r="F80" s="6">
        <f>E80*F72</f>
        <v>0.13090000000000002</v>
      </c>
      <c r="G80" s="16"/>
      <c r="H80" s="82"/>
      <c r="I80" s="16"/>
      <c r="J80" s="37"/>
      <c r="K80" s="16"/>
      <c r="L80" s="82"/>
      <c r="M80" s="82"/>
    </row>
    <row r="81" spans="1:13" ht="15.75">
      <c r="A81" s="60"/>
      <c r="B81" s="126"/>
      <c r="C81" s="112" t="s">
        <v>92</v>
      </c>
      <c r="D81" s="109" t="s">
        <v>21</v>
      </c>
      <c r="E81" s="28">
        <f>0.1/100</f>
        <v>0.001</v>
      </c>
      <c r="F81" s="6">
        <f>E81*F72</f>
        <v>0.059500000000000004</v>
      </c>
      <c r="G81" s="16"/>
      <c r="H81" s="82"/>
      <c r="I81" s="16"/>
      <c r="J81" s="37"/>
      <c r="K81" s="16"/>
      <c r="L81" s="82"/>
      <c r="M81" s="82"/>
    </row>
    <row r="82" spans="1:13" ht="15.75">
      <c r="A82" s="62"/>
      <c r="B82" s="21"/>
      <c r="C82" s="113" t="s">
        <v>24</v>
      </c>
      <c r="D82" s="93" t="s">
        <v>20</v>
      </c>
      <c r="E82" s="17">
        <v>0.46</v>
      </c>
      <c r="F82" s="8">
        <f>E82*F72</f>
        <v>27.37</v>
      </c>
      <c r="G82" s="19"/>
      <c r="H82" s="82"/>
      <c r="I82" s="19"/>
      <c r="J82" s="37"/>
      <c r="K82" s="19"/>
      <c r="L82" s="82"/>
      <c r="M82" s="82"/>
    </row>
    <row r="83" spans="1:13" ht="31.5">
      <c r="A83" s="128">
        <v>9</v>
      </c>
      <c r="B83" s="23" t="s">
        <v>39</v>
      </c>
      <c r="C83" s="116" t="s">
        <v>86</v>
      </c>
      <c r="D83" s="64" t="s">
        <v>80</v>
      </c>
      <c r="E83" s="66"/>
      <c r="F83" s="120">
        <v>51</v>
      </c>
      <c r="G83" s="49"/>
      <c r="H83" s="82"/>
      <c r="I83" s="5"/>
      <c r="J83" s="37"/>
      <c r="K83" s="37"/>
      <c r="L83" s="82"/>
      <c r="M83" s="82"/>
    </row>
    <row r="84" spans="1:13" ht="15.75">
      <c r="A84" s="109"/>
      <c r="B84" s="126"/>
      <c r="C84" s="29" t="s">
        <v>15</v>
      </c>
      <c r="D84" s="6" t="s">
        <v>16</v>
      </c>
      <c r="E84" s="13">
        <f>16.5/1000</f>
        <v>0.0165</v>
      </c>
      <c r="F84" s="6">
        <f>E84*F83</f>
        <v>0.8415</v>
      </c>
      <c r="G84" s="6"/>
      <c r="H84" s="82"/>
      <c r="I84" s="5"/>
      <c r="J84" s="37"/>
      <c r="K84" s="5"/>
      <c r="L84" s="82"/>
      <c r="M84" s="82"/>
    </row>
    <row r="85" spans="1:13" ht="15.75">
      <c r="A85" s="109"/>
      <c r="B85" s="20"/>
      <c r="C85" s="29" t="s">
        <v>33</v>
      </c>
      <c r="D85" s="6" t="s">
        <v>17</v>
      </c>
      <c r="E85" s="13">
        <f>37/1000</f>
        <v>0.037</v>
      </c>
      <c r="F85" s="6">
        <f>E85*F83</f>
        <v>1.887</v>
      </c>
      <c r="G85" s="6"/>
      <c r="H85" s="82"/>
      <c r="I85" s="5"/>
      <c r="J85" s="37"/>
      <c r="K85" s="6"/>
      <c r="L85" s="82"/>
      <c r="M85" s="82"/>
    </row>
    <row r="86" spans="1:13" ht="15.75">
      <c r="A86" s="109"/>
      <c r="B86" s="126"/>
      <c r="C86" s="29" t="s">
        <v>18</v>
      </c>
      <c r="D86" s="6" t="s">
        <v>16</v>
      </c>
      <c r="E86" s="6"/>
      <c r="F86" s="6">
        <f>F85</f>
        <v>1.887</v>
      </c>
      <c r="G86" s="6"/>
      <c r="H86" s="82"/>
      <c r="I86" s="5"/>
      <c r="J86" s="37"/>
      <c r="K86" s="5"/>
      <c r="L86" s="82"/>
      <c r="M86" s="82"/>
    </row>
    <row r="87" spans="1:13" ht="18">
      <c r="A87" s="93"/>
      <c r="B87" s="130"/>
      <c r="C87" s="30" t="s">
        <v>40</v>
      </c>
      <c r="D87" s="93" t="s">
        <v>99</v>
      </c>
      <c r="E87" s="8">
        <v>1.22</v>
      </c>
      <c r="F87" s="8">
        <f>E87*F83</f>
        <v>62.22</v>
      </c>
      <c r="G87" s="8"/>
      <c r="H87" s="82"/>
      <c r="I87" s="7"/>
      <c r="J87" s="37"/>
      <c r="K87" s="8"/>
      <c r="L87" s="82"/>
      <c r="M87" s="82"/>
    </row>
    <row r="88" spans="1:13" ht="63">
      <c r="A88" s="23" t="s">
        <v>120</v>
      </c>
      <c r="B88" s="97" t="s">
        <v>47</v>
      </c>
      <c r="C88" s="26" t="s">
        <v>87</v>
      </c>
      <c r="D88" s="122" t="s">
        <v>80</v>
      </c>
      <c r="E88" s="25"/>
      <c r="F88" s="103">
        <f>F83</f>
        <v>51</v>
      </c>
      <c r="G88" s="6"/>
      <c r="H88" s="82"/>
      <c r="I88" s="6"/>
      <c r="J88" s="37"/>
      <c r="K88" s="3"/>
      <c r="L88" s="82"/>
      <c r="M88" s="82"/>
    </row>
    <row r="89" spans="1:13" ht="15.75">
      <c r="A89" s="20"/>
      <c r="B89" s="20"/>
      <c r="C89" s="29" t="s">
        <v>41</v>
      </c>
      <c r="D89" s="6" t="s">
        <v>17</v>
      </c>
      <c r="E89" s="61">
        <f>(1.85+0.21*2)*6/1000</f>
        <v>0.01362</v>
      </c>
      <c r="F89" s="6">
        <f>E89*F88</f>
        <v>0.69462</v>
      </c>
      <c r="G89" s="6"/>
      <c r="H89" s="82"/>
      <c r="I89" s="6"/>
      <c r="J89" s="37"/>
      <c r="K89" s="6"/>
      <c r="L89" s="82"/>
      <c r="M89" s="82"/>
    </row>
    <row r="90" spans="1:13" ht="15.75">
      <c r="A90" s="20"/>
      <c r="B90" s="20"/>
      <c r="C90" s="29" t="s">
        <v>18</v>
      </c>
      <c r="D90" s="6" t="s">
        <v>16</v>
      </c>
      <c r="E90" s="6"/>
      <c r="F90" s="6">
        <f>F89</f>
        <v>0.69462</v>
      </c>
      <c r="G90" s="6"/>
      <c r="H90" s="82"/>
      <c r="I90" s="6"/>
      <c r="J90" s="37"/>
      <c r="K90" s="3"/>
      <c r="L90" s="82"/>
      <c r="M90" s="82"/>
    </row>
    <row r="91" spans="1:13" ht="15.75">
      <c r="A91" s="20"/>
      <c r="B91" s="20"/>
      <c r="C91" s="29" t="s">
        <v>37</v>
      </c>
      <c r="D91" s="6" t="s">
        <v>17</v>
      </c>
      <c r="E91" s="61">
        <f>(10.5+1.02*2)/1000</f>
        <v>0.012539999999999999</v>
      </c>
      <c r="F91" s="6">
        <f>E91*F88</f>
        <v>0.63954</v>
      </c>
      <c r="G91" s="6"/>
      <c r="H91" s="82"/>
      <c r="I91" s="6"/>
      <c r="J91" s="37"/>
      <c r="K91" s="6"/>
      <c r="L91" s="82"/>
      <c r="M91" s="82"/>
    </row>
    <row r="92" spans="1:13" ht="15.75">
      <c r="A92" s="20"/>
      <c r="B92" s="20"/>
      <c r="C92" s="29" t="s">
        <v>18</v>
      </c>
      <c r="D92" s="6" t="s">
        <v>16</v>
      </c>
      <c r="E92" s="6"/>
      <c r="F92" s="6">
        <f>F91</f>
        <v>0.63954</v>
      </c>
      <c r="G92" s="6"/>
      <c r="H92" s="82"/>
      <c r="I92" s="6"/>
      <c r="J92" s="37"/>
      <c r="K92" s="3"/>
      <c r="L92" s="82"/>
      <c r="M92" s="82"/>
    </row>
    <row r="93" spans="1:13" ht="15.75">
      <c r="A93" s="20"/>
      <c r="B93" s="20"/>
      <c r="C93" s="29" t="s">
        <v>42</v>
      </c>
      <c r="D93" s="6" t="s">
        <v>17</v>
      </c>
      <c r="E93" s="61">
        <f>(1.85+0.21*2)*6/1000</f>
        <v>0.01362</v>
      </c>
      <c r="F93" s="6">
        <f>E93*F88</f>
        <v>0.69462</v>
      </c>
      <c r="G93" s="6"/>
      <c r="H93" s="82"/>
      <c r="I93" s="6"/>
      <c r="J93" s="37"/>
      <c r="K93" s="6"/>
      <c r="L93" s="82"/>
      <c r="M93" s="82"/>
    </row>
    <row r="94" spans="1:13" ht="15.75">
      <c r="A94" s="21"/>
      <c r="B94" s="21"/>
      <c r="C94" s="30" t="s">
        <v>18</v>
      </c>
      <c r="D94" s="8" t="s">
        <v>16</v>
      </c>
      <c r="E94" s="8"/>
      <c r="F94" s="8">
        <f>F93</f>
        <v>0.69462</v>
      </c>
      <c r="G94" s="8"/>
      <c r="H94" s="82"/>
      <c r="I94" s="8"/>
      <c r="J94" s="37"/>
      <c r="K94" s="36"/>
      <c r="L94" s="82"/>
      <c r="M94" s="82"/>
    </row>
    <row r="95" spans="1:13" ht="15.75">
      <c r="A95" s="226" t="s">
        <v>88</v>
      </c>
      <c r="B95" s="227"/>
      <c r="C95" s="228"/>
      <c r="D95" s="10"/>
      <c r="E95" s="10"/>
      <c r="F95" s="10"/>
      <c r="G95" s="10"/>
      <c r="H95" s="82"/>
      <c r="I95" s="10"/>
      <c r="J95" s="37"/>
      <c r="K95" s="11"/>
      <c r="L95" s="82"/>
      <c r="M95" s="82"/>
    </row>
    <row r="96" spans="1:13" ht="31.5">
      <c r="A96" s="131">
        <v>11</v>
      </c>
      <c r="B96" s="23" t="s">
        <v>89</v>
      </c>
      <c r="C96" s="97" t="s">
        <v>126</v>
      </c>
      <c r="D96" s="25" t="s">
        <v>21</v>
      </c>
      <c r="E96" s="106"/>
      <c r="F96" s="104">
        <v>17.782</v>
      </c>
      <c r="G96" s="65"/>
      <c r="H96" s="82"/>
      <c r="I96" s="65"/>
      <c r="J96" s="37"/>
      <c r="K96" s="65"/>
      <c r="L96" s="82"/>
      <c r="M96" s="82"/>
    </row>
    <row r="97" spans="1:13" ht="15.75">
      <c r="A97" s="20"/>
      <c r="B97" s="20"/>
      <c r="C97" s="29" t="s">
        <v>15</v>
      </c>
      <c r="D97" s="6" t="s">
        <v>16</v>
      </c>
      <c r="E97" s="6">
        <v>34.9</v>
      </c>
      <c r="F97" s="41">
        <f>E97*F96</f>
        <v>620.5917999999999</v>
      </c>
      <c r="G97" s="14"/>
      <c r="H97" s="82"/>
      <c r="I97" s="6"/>
      <c r="J97" s="37"/>
      <c r="K97" s="3"/>
      <c r="L97" s="82"/>
      <c r="M97" s="82"/>
    </row>
    <row r="98" spans="1:13" ht="15.75">
      <c r="A98" s="20"/>
      <c r="B98" s="20"/>
      <c r="C98" s="132" t="s">
        <v>38</v>
      </c>
      <c r="D98" s="51" t="s">
        <v>20</v>
      </c>
      <c r="E98" s="6">
        <v>4.07</v>
      </c>
      <c r="F98" s="41">
        <f>E98*F96</f>
        <v>72.37274000000001</v>
      </c>
      <c r="G98" s="14"/>
      <c r="H98" s="82"/>
      <c r="I98" s="6"/>
      <c r="J98" s="37"/>
      <c r="K98" s="6"/>
      <c r="L98" s="82"/>
      <c r="M98" s="82"/>
    </row>
    <row r="99" spans="1:13" ht="15.75">
      <c r="A99" s="20"/>
      <c r="B99" s="126"/>
      <c r="C99" s="132" t="s">
        <v>90</v>
      </c>
      <c r="D99" s="51" t="s">
        <v>21</v>
      </c>
      <c r="E99" s="153" t="s">
        <v>27</v>
      </c>
      <c r="F99" s="117">
        <f>F96</f>
        <v>17.782</v>
      </c>
      <c r="G99" s="14"/>
      <c r="H99" s="82"/>
      <c r="I99" s="6"/>
      <c r="J99" s="37"/>
      <c r="K99" s="3"/>
      <c r="L99" s="82"/>
      <c r="M99" s="82"/>
    </row>
    <row r="100" spans="1:13" ht="15.75">
      <c r="A100" s="20"/>
      <c r="B100" s="20"/>
      <c r="C100" s="132" t="s">
        <v>91</v>
      </c>
      <c r="D100" s="51" t="s">
        <v>69</v>
      </c>
      <c r="E100" s="6">
        <v>3.3</v>
      </c>
      <c r="F100" s="41">
        <f>E100*F96</f>
        <v>58.6806</v>
      </c>
      <c r="G100" s="14"/>
      <c r="H100" s="82"/>
      <c r="I100" s="6"/>
      <c r="J100" s="37"/>
      <c r="K100" s="3"/>
      <c r="L100" s="82"/>
      <c r="M100" s="82"/>
    </row>
    <row r="101" spans="1:13" ht="15.75">
      <c r="A101" s="20"/>
      <c r="B101" s="20"/>
      <c r="C101" s="132" t="s">
        <v>92</v>
      </c>
      <c r="D101" s="51" t="s">
        <v>69</v>
      </c>
      <c r="E101" s="6">
        <v>15.2</v>
      </c>
      <c r="F101" s="41">
        <f>E101*F96</f>
        <v>270.2864</v>
      </c>
      <c r="G101" s="14"/>
      <c r="H101" s="82"/>
      <c r="I101" s="6"/>
      <c r="J101" s="37"/>
      <c r="K101" s="3"/>
      <c r="L101" s="82"/>
      <c r="M101" s="82"/>
    </row>
    <row r="102" spans="1:13" ht="15.75">
      <c r="A102" s="21"/>
      <c r="B102" s="21"/>
      <c r="C102" s="133" t="s">
        <v>28</v>
      </c>
      <c r="D102" s="8" t="s">
        <v>20</v>
      </c>
      <c r="E102" s="8">
        <v>2.78</v>
      </c>
      <c r="F102" s="39">
        <f>E102*F96</f>
        <v>49.43396</v>
      </c>
      <c r="G102" s="40"/>
      <c r="H102" s="82"/>
      <c r="I102" s="8"/>
      <c r="J102" s="37"/>
      <c r="K102" s="36"/>
      <c r="L102" s="82"/>
      <c r="M102" s="82"/>
    </row>
    <row r="103" spans="1:13" ht="31.5">
      <c r="A103" s="64">
        <v>12</v>
      </c>
      <c r="B103" s="92" t="s">
        <v>93</v>
      </c>
      <c r="C103" s="67" t="s">
        <v>94</v>
      </c>
      <c r="D103" s="68" t="s">
        <v>100</v>
      </c>
      <c r="E103" s="66"/>
      <c r="F103" s="120">
        <v>761.6</v>
      </c>
      <c r="G103" s="49"/>
      <c r="H103" s="82"/>
      <c r="I103" s="5"/>
      <c r="J103" s="37"/>
      <c r="K103" s="5"/>
      <c r="L103" s="82"/>
      <c r="M103" s="82"/>
    </row>
    <row r="104" spans="1:13" ht="15.75">
      <c r="A104" s="134"/>
      <c r="B104" s="108"/>
      <c r="C104" s="69" t="s">
        <v>15</v>
      </c>
      <c r="D104" s="6" t="s">
        <v>16</v>
      </c>
      <c r="E104" s="5">
        <v>0.68</v>
      </c>
      <c r="F104" s="129">
        <f>E104*F103</f>
        <v>517.888</v>
      </c>
      <c r="G104" s="49"/>
      <c r="H104" s="82"/>
      <c r="I104" s="5"/>
      <c r="J104" s="37"/>
      <c r="K104" s="5"/>
      <c r="L104" s="82"/>
      <c r="M104" s="82"/>
    </row>
    <row r="105" spans="1:13" ht="15.75">
      <c r="A105" s="134"/>
      <c r="B105" s="108"/>
      <c r="C105" s="135" t="s">
        <v>23</v>
      </c>
      <c r="D105" s="51" t="s">
        <v>20</v>
      </c>
      <c r="E105" s="115">
        <v>0.0003</v>
      </c>
      <c r="F105" s="129">
        <f>E105*F103</f>
        <v>0.22848</v>
      </c>
      <c r="G105" s="49"/>
      <c r="H105" s="82"/>
      <c r="I105" s="5"/>
      <c r="J105" s="37"/>
      <c r="K105" s="5"/>
      <c r="L105" s="82"/>
      <c r="M105" s="82"/>
    </row>
    <row r="106" spans="1:13" ht="15.75">
      <c r="A106" s="134"/>
      <c r="B106" s="108"/>
      <c r="C106" s="135" t="s">
        <v>95</v>
      </c>
      <c r="D106" s="50" t="s">
        <v>69</v>
      </c>
      <c r="E106" s="114">
        <v>0.251</v>
      </c>
      <c r="F106" s="129">
        <f>E106*F103</f>
        <v>191.1616</v>
      </c>
      <c r="G106" s="49"/>
      <c r="H106" s="82"/>
      <c r="I106" s="5"/>
      <c r="J106" s="37"/>
      <c r="K106" s="5"/>
      <c r="L106" s="82"/>
      <c r="M106" s="82"/>
    </row>
    <row r="107" spans="1:13" ht="15.75">
      <c r="A107" s="134"/>
      <c r="B107" s="108"/>
      <c r="C107" s="135" t="s">
        <v>96</v>
      </c>
      <c r="D107" s="50" t="s">
        <v>69</v>
      </c>
      <c r="E107" s="114">
        <v>0.002</v>
      </c>
      <c r="F107" s="129">
        <f>E107*F103</f>
        <v>1.5232</v>
      </c>
      <c r="G107" s="49"/>
      <c r="H107" s="82"/>
      <c r="I107" s="5"/>
      <c r="J107" s="37"/>
      <c r="K107" s="5"/>
      <c r="L107" s="82"/>
      <c r="M107" s="82"/>
    </row>
    <row r="108" spans="1:13" ht="15.75">
      <c r="A108" s="134"/>
      <c r="B108" s="108"/>
      <c r="C108" s="135" t="s">
        <v>97</v>
      </c>
      <c r="D108" s="50" t="s">
        <v>69</v>
      </c>
      <c r="E108" s="114">
        <v>0.027</v>
      </c>
      <c r="F108" s="129">
        <f>E108*F103</f>
        <v>20.563200000000002</v>
      </c>
      <c r="G108" s="49"/>
      <c r="H108" s="82"/>
      <c r="I108" s="5"/>
      <c r="J108" s="37"/>
      <c r="K108" s="5"/>
      <c r="L108" s="82"/>
      <c r="M108" s="82"/>
    </row>
    <row r="109" spans="1:13" ht="15.75">
      <c r="A109" s="52"/>
      <c r="B109" s="53"/>
      <c r="C109" s="70" t="s">
        <v>24</v>
      </c>
      <c r="D109" s="33" t="s">
        <v>20</v>
      </c>
      <c r="E109" s="95">
        <v>0.0019</v>
      </c>
      <c r="F109" s="38">
        <f>E109*F103</f>
        <v>1.44704</v>
      </c>
      <c r="G109" s="34"/>
      <c r="H109" s="82"/>
      <c r="I109" s="7"/>
      <c r="J109" s="37"/>
      <c r="K109" s="7"/>
      <c r="L109" s="82"/>
      <c r="M109" s="82"/>
    </row>
    <row r="110" spans="3:13" ht="15.75">
      <c r="C110" s="162" t="s">
        <v>154</v>
      </c>
      <c r="H110" s="82"/>
      <c r="J110" s="37"/>
      <c r="L110" s="82"/>
      <c r="M110" s="82"/>
    </row>
    <row r="111" spans="1:13" ht="15.75">
      <c r="A111" s="91">
        <v>1</v>
      </c>
      <c r="B111" s="92" t="s">
        <v>57</v>
      </c>
      <c r="C111" s="24" t="s">
        <v>58</v>
      </c>
      <c r="D111" s="66" t="s">
        <v>22</v>
      </c>
      <c r="E111" s="25"/>
      <c r="F111" s="103">
        <v>16</v>
      </c>
      <c r="G111" s="6"/>
      <c r="H111" s="82"/>
      <c r="I111" s="6"/>
      <c r="J111" s="37"/>
      <c r="K111" s="6"/>
      <c r="L111" s="82"/>
      <c r="M111" s="82"/>
    </row>
    <row r="112" spans="1:13" ht="15.75">
      <c r="A112" s="20"/>
      <c r="B112" s="20"/>
      <c r="C112" s="69" t="s">
        <v>15</v>
      </c>
      <c r="D112" s="6" t="s">
        <v>16</v>
      </c>
      <c r="E112" s="13">
        <f>7.7/100</f>
        <v>0.077</v>
      </c>
      <c r="F112" s="6">
        <f>E112*F111</f>
        <v>1.232</v>
      </c>
      <c r="G112" s="6"/>
      <c r="H112" s="82"/>
      <c r="I112" s="3"/>
      <c r="J112" s="37"/>
      <c r="K112" s="3"/>
      <c r="L112" s="82"/>
      <c r="M112" s="82"/>
    </row>
    <row r="113" spans="1:13" ht="15.75">
      <c r="A113" s="93"/>
      <c r="B113" s="53"/>
      <c r="C113" s="94" t="s">
        <v>38</v>
      </c>
      <c r="D113" s="7" t="s">
        <v>20</v>
      </c>
      <c r="E113" s="95">
        <f>6.37/100</f>
        <v>0.0637</v>
      </c>
      <c r="F113" s="7">
        <f>E113*F111</f>
        <v>1.0192</v>
      </c>
      <c r="G113" s="7"/>
      <c r="H113" s="82"/>
      <c r="I113" s="7"/>
      <c r="J113" s="37"/>
      <c r="K113" s="7"/>
      <c r="L113" s="82"/>
      <c r="M113" s="82"/>
    </row>
    <row r="114" spans="1:13" ht="31.5">
      <c r="A114" s="107">
        <v>2</v>
      </c>
      <c r="B114" s="23" t="s">
        <v>30</v>
      </c>
      <c r="C114" s="24" t="s">
        <v>59</v>
      </c>
      <c r="D114" s="25" t="s">
        <v>21</v>
      </c>
      <c r="E114" s="25"/>
      <c r="F114" s="104">
        <v>0.006</v>
      </c>
      <c r="G114" s="6"/>
      <c r="H114" s="82"/>
      <c r="I114" s="6"/>
      <c r="J114" s="37"/>
      <c r="K114" s="6"/>
      <c r="L114" s="82"/>
      <c r="M114" s="82"/>
    </row>
    <row r="115" spans="1:13" ht="15.75">
      <c r="A115" s="20"/>
      <c r="B115" s="20"/>
      <c r="C115" s="69" t="s">
        <v>31</v>
      </c>
      <c r="D115" s="6" t="s">
        <v>17</v>
      </c>
      <c r="E115" s="6">
        <v>0.3</v>
      </c>
      <c r="F115" s="6">
        <f>E115*F114</f>
        <v>0.0018</v>
      </c>
      <c r="G115" s="6"/>
      <c r="H115" s="82"/>
      <c r="I115" s="3"/>
      <c r="J115" s="37"/>
      <c r="K115" s="6"/>
      <c r="L115" s="82"/>
      <c r="M115" s="82"/>
    </row>
    <row r="116" spans="1:13" ht="15.75">
      <c r="A116" s="20"/>
      <c r="B116" s="20"/>
      <c r="C116" s="69" t="s">
        <v>18</v>
      </c>
      <c r="D116" s="6" t="s">
        <v>16</v>
      </c>
      <c r="E116" s="6"/>
      <c r="F116" s="6">
        <f>F115</f>
        <v>0.0018</v>
      </c>
      <c r="G116" s="6"/>
      <c r="H116" s="82"/>
      <c r="I116" s="3"/>
      <c r="J116" s="37"/>
      <c r="K116" s="3"/>
      <c r="L116" s="82"/>
      <c r="M116" s="82"/>
    </row>
    <row r="117" spans="1:13" ht="15.75">
      <c r="A117" s="21"/>
      <c r="B117" s="21"/>
      <c r="C117" s="96" t="s">
        <v>48</v>
      </c>
      <c r="D117" s="8" t="s">
        <v>21</v>
      </c>
      <c r="E117" s="8">
        <v>1.03</v>
      </c>
      <c r="F117" s="8">
        <f>E117*F114</f>
        <v>0.006180000000000001</v>
      </c>
      <c r="G117" s="8"/>
      <c r="H117" s="82"/>
      <c r="I117" s="8"/>
      <c r="J117" s="37"/>
      <c r="K117" s="36"/>
      <c r="L117" s="82"/>
      <c r="M117" s="82"/>
    </row>
    <row r="118" spans="1:13" ht="31.5">
      <c r="A118" s="107">
        <v>3</v>
      </c>
      <c r="B118" s="23" t="s">
        <v>49</v>
      </c>
      <c r="C118" s="24" t="s">
        <v>127</v>
      </c>
      <c r="D118" s="25" t="s">
        <v>80</v>
      </c>
      <c r="E118" s="25"/>
      <c r="F118" s="103">
        <v>634</v>
      </c>
      <c r="G118" s="6"/>
      <c r="H118" s="82"/>
      <c r="I118" s="6"/>
      <c r="J118" s="37"/>
      <c r="K118" s="6"/>
      <c r="L118" s="82"/>
      <c r="M118" s="82"/>
    </row>
    <row r="119" spans="1:13" ht="15.75">
      <c r="A119" s="20"/>
      <c r="B119" s="20"/>
      <c r="C119" s="69" t="s">
        <v>15</v>
      </c>
      <c r="D119" s="6" t="s">
        <v>16</v>
      </c>
      <c r="E119" s="6">
        <v>0.15</v>
      </c>
      <c r="F119" s="6">
        <f>E119*F118</f>
        <v>95.1</v>
      </c>
      <c r="G119" s="6"/>
      <c r="H119" s="82"/>
      <c r="I119" s="3"/>
      <c r="J119" s="37"/>
      <c r="K119" s="3"/>
      <c r="L119" s="82"/>
      <c r="M119" s="82"/>
    </row>
    <row r="120" spans="1:13" ht="15.75">
      <c r="A120" s="20"/>
      <c r="B120" s="20"/>
      <c r="C120" s="69" t="s">
        <v>43</v>
      </c>
      <c r="D120" s="6" t="s">
        <v>17</v>
      </c>
      <c r="E120" s="6">
        <f>2.16/100</f>
        <v>0.0216</v>
      </c>
      <c r="F120" s="6">
        <f>E120*F118</f>
        <v>13.6944</v>
      </c>
      <c r="G120" s="6"/>
      <c r="H120" s="82"/>
      <c r="I120" s="3"/>
      <c r="J120" s="37"/>
      <c r="K120" s="6"/>
      <c r="L120" s="82"/>
      <c r="M120" s="82"/>
    </row>
    <row r="121" spans="1:13" ht="15.75">
      <c r="A121" s="20"/>
      <c r="B121" s="20"/>
      <c r="C121" s="69" t="s">
        <v>18</v>
      </c>
      <c r="D121" s="6" t="s">
        <v>16</v>
      </c>
      <c r="E121" s="6"/>
      <c r="F121" s="6">
        <f>F120</f>
        <v>13.6944</v>
      </c>
      <c r="G121" s="6"/>
      <c r="H121" s="82"/>
      <c r="I121" s="3"/>
      <c r="J121" s="37"/>
      <c r="K121" s="3"/>
      <c r="L121" s="82"/>
      <c r="M121" s="82"/>
    </row>
    <row r="122" spans="1:13" ht="15.75">
      <c r="A122" s="20"/>
      <c r="B122" s="20"/>
      <c r="C122" s="69" t="s">
        <v>50</v>
      </c>
      <c r="D122" s="6" t="s">
        <v>17</v>
      </c>
      <c r="E122" s="6">
        <f>2.73/100</f>
        <v>0.0273</v>
      </c>
      <c r="F122" s="6">
        <f>E122*F118</f>
        <v>17.3082</v>
      </c>
      <c r="G122" s="6"/>
      <c r="H122" s="82"/>
      <c r="I122" s="3"/>
      <c r="J122" s="37"/>
      <c r="K122" s="6"/>
      <c r="L122" s="82"/>
      <c r="M122" s="82"/>
    </row>
    <row r="123" spans="1:13" ht="15.75">
      <c r="A123" s="20"/>
      <c r="B123" s="20"/>
      <c r="C123" s="69" t="s">
        <v>18</v>
      </c>
      <c r="D123" s="6" t="s">
        <v>16</v>
      </c>
      <c r="E123" s="6"/>
      <c r="F123" s="6">
        <f>F122</f>
        <v>17.3082</v>
      </c>
      <c r="G123" s="6"/>
      <c r="H123" s="82"/>
      <c r="I123" s="3"/>
      <c r="J123" s="37"/>
      <c r="K123" s="3"/>
      <c r="L123" s="82"/>
      <c r="M123" s="82"/>
    </row>
    <row r="124" spans="1:13" ht="15.75">
      <c r="A124" s="20"/>
      <c r="B124" s="20"/>
      <c r="C124" s="69" t="s">
        <v>19</v>
      </c>
      <c r="D124" s="6" t="s">
        <v>17</v>
      </c>
      <c r="E124" s="6">
        <f>0.97/100</f>
        <v>0.0097</v>
      </c>
      <c r="F124" s="6">
        <f>E124*F118</f>
        <v>6.1498</v>
      </c>
      <c r="G124" s="6"/>
      <c r="H124" s="82"/>
      <c r="I124" s="3"/>
      <c r="J124" s="37"/>
      <c r="K124" s="6"/>
      <c r="L124" s="82"/>
      <c r="M124" s="82"/>
    </row>
    <row r="125" spans="1:13" ht="15.75">
      <c r="A125" s="20"/>
      <c r="B125" s="20"/>
      <c r="C125" s="69" t="s">
        <v>18</v>
      </c>
      <c r="D125" s="6" t="s">
        <v>16</v>
      </c>
      <c r="E125" s="6"/>
      <c r="F125" s="6">
        <f>F124</f>
        <v>6.1498</v>
      </c>
      <c r="G125" s="6"/>
      <c r="H125" s="82"/>
      <c r="I125" s="3"/>
      <c r="J125" s="37"/>
      <c r="K125" s="3"/>
      <c r="L125" s="82"/>
      <c r="M125" s="82"/>
    </row>
    <row r="126" spans="1:13" ht="18">
      <c r="A126" s="20"/>
      <c r="B126" s="20"/>
      <c r="C126" s="69" t="s">
        <v>36</v>
      </c>
      <c r="D126" s="6" t="s">
        <v>99</v>
      </c>
      <c r="E126" s="6">
        <v>1.22</v>
      </c>
      <c r="F126" s="6">
        <f>E126*F118</f>
        <v>773.48</v>
      </c>
      <c r="G126" s="6"/>
      <c r="H126" s="82"/>
      <c r="I126" s="6"/>
      <c r="J126" s="37"/>
      <c r="K126" s="3"/>
      <c r="L126" s="82"/>
      <c r="M126" s="82"/>
    </row>
    <row r="127" spans="1:13" ht="18">
      <c r="A127" s="21"/>
      <c r="B127" s="21"/>
      <c r="C127" s="96" t="s">
        <v>65</v>
      </c>
      <c r="D127" s="8" t="s">
        <v>99</v>
      </c>
      <c r="E127" s="8">
        <f>7/100</f>
        <v>0.07</v>
      </c>
      <c r="F127" s="8">
        <f>E127*F118</f>
        <v>44.38</v>
      </c>
      <c r="G127" s="8"/>
      <c r="H127" s="82"/>
      <c r="I127" s="8"/>
      <c r="J127" s="37"/>
      <c r="K127" s="36"/>
      <c r="L127" s="82"/>
      <c r="M127" s="82"/>
    </row>
    <row r="128" spans="1:13" ht="31.5">
      <c r="A128" s="107">
        <v>4</v>
      </c>
      <c r="B128" s="43" t="s">
        <v>45</v>
      </c>
      <c r="C128" s="1" t="s">
        <v>146</v>
      </c>
      <c r="D128" s="25" t="s">
        <v>80</v>
      </c>
      <c r="E128" s="22"/>
      <c r="F128" s="105">
        <f>2533*0.18</f>
        <v>455.94</v>
      </c>
      <c r="G128" s="6"/>
      <c r="H128" s="82"/>
      <c r="I128" s="6"/>
      <c r="J128" s="37"/>
      <c r="K128" s="6"/>
      <c r="L128" s="82"/>
      <c r="M128" s="82"/>
    </row>
    <row r="129" spans="1:13" ht="15.75">
      <c r="A129" s="20"/>
      <c r="B129" s="20"/>
      <c r="C129" s="69" t="s">
        <v>15</v>
      </c>
      <c r="D129" s="6" t="s">
        <v>16</v>
      </c>
      <c r="E129" s="13">
        <f>21.6/100</f>
        <v>0.21600000000000003</v>
      </c>
      <c r="F129" s="6">
        <f>E129*F128</f>
        <v>98.48304000000002</v>
      </c>
      <c r="G129" s="6"/>
      <c r="H129" s="82"/>
      <c r="I129" s="3"/>
      <c r="J129" s="37"/>
      <c r="K129" s="3"/>
      <c r="L129" s="82"/>
      <c r="M129" s="82"/>
    </row>
    <row r="130" spans="1:13" ht="15.75">
      <c r="A130" s="20"/>
      <c r="B130" s="20"/>
      <c r="C130" s="69" t="s">
        <v>43</v>
      </c>
      <c r="D130" s="6" t="s">
        <v>17</v>
      </c>
      <c r="E130" s="13">
        <f>1.24/100</f>
        <v>0.0124</v>
      </c>
      <c r="F130" s="6">
        <f>E130*F128</f>
        <v>5.653656</v>
      </c>
      <c r="G130" s="6"/>
      <c r="H130" s="82"/>
      <c r="I130" s="3"/>
      <c r="J130" s="37"/>
      <c r="K130" s="6"/>
      <c r="L130" s="82"/>
      <c r="M130" s="82"/>
    </row>
    <row r="131" spans="1:13" ht="15.75">
      <c r="A131" s="20"/>
      <c r="B131" s="20"/>
      <c r="C131" s="69" t="s">
        <v>18</v>
      </c>
      <c r="D131" s="6" t="s">
        <v>16</v>
      </c>
      <c r="E131" s="6"/>
      <c r="F131" s="6">
        <f>F130</f>
        <v>5.653656</v>
      </c>
      <c r="G131" s="6"/>
      <c r="H131" s="82"/>
      <c r="I131" s="6"/>
      <c r="J131" s="37"/>
      <c r="K131" s="6"/>
      <c r="L131" s="82"/>
      <c r="M131" s="82"/>
    </row>
    <row r="132" spans="1:13" ht="15.75">
      <c r="A132" s="20"/>
      <c r="B132" s="20"/>
      <c r="C132" s="69" t="s">
        <v>37</v>
      </c>
      <c r="D132" s="6" t="s">
        <v>17</v>
      </c>
      <c r="E132" s="13">
        <f>2.58/100</f>
        <v>0.0258</v>
      </c>
      <c r="F132" s="6">
        <f>E132*F128</f>
        <v>11.763252</v>
      </c>
      <c r="G132" s="6"/>
      <c r="H132" s="82"/>
      <c r="I132" s="6"/>
      <c r="J132" s="37"/>
      <c r="K132" s="6"/>
      <c r="L132" s="82"/>
      <c r="M132" s="82"/>
    </row>
    <row r="133" spans="1:13" ht="15.75">
      <c r="A133" s="20"/>
      <c r="B133" s="20"/>
      <c r="C133" s="69" t="s">
        <v>18</v>
      </c>
      <c r="D133" s="6" t="s">
        <v>16</v>
      </c>
      <c r="E133" s="6"/>
      <c r="F133" s="6">
        <f>F132</f>
        <v>11.763252</v>
      </c>
      <c r="G133" s="6"/>
      <c r="H133" s="82"/>
      <c r="I133" s="6"/>
      <c r="J133" s="37"/>
      <c r="K133" s="6"/>
      <c r="L133" s="82"/>
      <c r="M133" s="82"/>
    </row>
    <row r="134" spans="1:13" ht="15.75">
      <c r="A134" s="20"/>
      <c r="B134" s="20"/>
      <c r="C134" s="69" t="s">
        <v>46</v>
      </c>
      <c r="D134" s="6" t="s">
        <v>17</v>
      </c>
      <c r="E134" s="13">
        <f>0.41/100</f>
        <v>0.0040999999999999995</v>
      </c>
      <c r="F134" s="13">
        <f>E134*F128</f>
        <v>1.8693539999999997</v>
      </c>
      <c r="G134" s="6"/>
      <c r="H134" s="82"/>
      <c r="I134" s="6"/>
      <c r="J134" s="37"/>
      <c r="K134" s="6"/>
      <c r="L134" s="82"/>
      <c r="M134" s="82"/>
    </row>
    <row r="135" spans="1:13" ht="15.75">
      <c r="A135" s="20"/>
      <c r="B135" s="20"/>
      <c r="C135" s="69" t="s">
        <v>18</v>
      </c>
      <c r="D135" s="6" t="s">
        <v>16</v>
      </c>
      <c r="E135" s="6"/>
      <c r="F135" s="13">
        <f>F134</f>
        <v>1.8693539999999997</v>
      </c>
      <c r="G135" s="6"/>
      <c r="H135" s="82"/>
      <c r="I135" s="6"/>
      <c r="J135" s="37"/>
      <c r="K135" s="6"/>
      <c r="L135" s="82"/>
      <c r="M135" s="82"/>
    </row>
    <row r="136" spans="1:13" ht="15.75">
      <c r="A136" s="20"/>
      <c r="B136" s="20"/>
      <c r="C136" s="69" t="s">
        <v>25</v>
      </c>
      <c r="D136" s="6" t="s">
        <v>17</v>
      </c>
      <c r="E136" s="13">
        <f>7.6/100</f>
        <v>0.076</v>
      </c>
      <c r="F136" s="6">
        <f>E136*F128</f>
        <v>34.65144</v>
      </c>
      <c r="G136" s="6"/>
      <c r="H136" s="82"/>
      <c r="I136" s="6"/>
      <c r="J136" s="37"/>
      <c r="K136" s="6"/>
      <c r="L136" s="82"/>
      <c r="M136" s="82"/>
    </row>
    <row r="137" spans="1:13" ht="15.75">
      <c r="A137" s="20"/>
      <c r="B137" s="20"/>
      <c r="C137" s="69" t="s">
        <v>18</v>
      </c>
      <c r="D137" s="6" t="s">
        <v>16</v>
      </c>
      <c r="E137" s="6"/>
      <c r="F137" s="6">
        <f>F136</f>
        <v>34.65144</v>
      </c>
      <c r="G137" s="6"/>
      <c r="H137" s="82"/>
      <c r="I137" s="6"/>
      <c r="J137" s="37"/>
      <c r="K137" s="6"/>
      <c r="L137" s="82"/>
      <c r="M137" s="82"/>
    </row>
    <row r="138" spans="1:13" ht="15.75">
      <c r="A138" s="20"/>
      <c r="B138" s="20"/>
      <c r="C138" s="69" t="s">
        <v>26</v>
      </c>
      <c r="D138" s="6" t="s">
        <v>17</v>
      </c>
      <c r="E138" s="13">
        <f>15.1/100</f>
        <v>0.151</v>
      </c>
      <c r="F138" s="6">
        <f>E138*F128</f>
        <v>68.84694</v>
      </c>
      <c r="G138" s="6"/>
      <c r="H138" s="82"/>
      <c r="I138" s="6"/>
      <c r="J138" s="37"/>
      <c r="K138" s="6"/>
      <c r="L138" s="82"/>
      <c r="M138" s="82"/>
    </row>
    <row r="139" spans="1:13" ht="15.75">
      <c r="A139" s="20"/>
      <c r="B139" s="20"/>
      <c r="C139" s="69" t="s">
        <v>18</v>
      </c>
      <c r="D139" s="6" t="s">
        <v>16</v>
      </c>
      <c r="E139" s="6"/>
      <c r="F139" s="6">
        <f>F138</f>
        <v>68.84694</v>
      </c>
      <c r="G139" s="6"/>
      <c r="H139" s="82"/>
      <c r="I139" s="6"/>
      <c r="J139" s="37"/>
      <c r="K139" s="6"/>
      <c r="L139" s="82"/>
      <c r="M139" s="82"/>
    </row>
    <row r="140" spans="1:13" ht="15.75">
      <c r="A140" s="20"/>
      <c r="B140" s="20"/>
      <c r="C140" s="69" t="s">
        <v>19</v>
      </c>
      <c r="D140" s="6" t="s">
        <v>17</v>
      </c>
      <c r="E140" s="13">
        <f>0.97/100</f>
        <v>0.0097</v>
      </c>
      <c r="F140" s="6">
        <f>E140*F128</f>
        <v>4.422618</v>
      </c>
      <c r="G140" s="6"/>
      <c r="H140" s="82"/>
      <c r="I140" s="6"/>
      <c r="J140" s="37"/>
      <c r="K140" s="6"/>
      <c r="L140" s="82"/>
      <c r="M140" s="82"/>
    </row>
    <row r="141" spans="1:13" ht="15.75">
      <c r="A141" s="20"/>
      <c r="B141" s="20"/>
      <c r="C141" s="69" t="s">
        <v>18</v>
      </c>
      <c r="D141" s="6" t="s">
        <v>16</v>
      </c>
      <c r="E141" s="6"/>
      <c r="F141" s="6">
        <f>F140</f>
        <v>4.422618</v>
      </c>
      <c r="G141" s="6"/>
      <c r="H141" s="82"/>
      <c r="I141" s="6"/>
      <c r="J141" s="37"/>
      <c r="K141" s="6"/>
      <c r="L141" s="82"/>
      <c r="M141" s="82"/>
    </row>
    <row r="142" spans="1:13" ht="18">
      <c r="A142" s="20"/>
      <c r="B142" s="20"/>
      <c r="C142" s="69" t="s">
        <v>66</v>
      </c>
      <c r="D142" s="6" t="s">
        <v>99</v>
      </c>
      <c r="E142" s="6">
        <v>1.26</v>
      </c>
      <c r="F142" s="6">
        <f>F128*1.26</f>
        <v>574.4844</v>
      </c>
      <c r="G142" s="6"/>
      <c r="H142" s="82"/>
      <c r="I142" s="6"/>
      <c r="J142" s="37"/>
      <c r="K142" s="6"/>
      <c r="L142" s="82"/>
      <c r="M142" s="82"/>
    </row>
    <row r="143" spans="1:13" ht="18">
      <c r="A143" s="21"/>
      <c r="B143" s="21"/>
      <c r="C143" s="96" t="s">
        <v>65</v>
      </c>
      <c r="D143" s="8" t="s">
        <v>99</v>
      </c>
      <c r="E143" s="18">
        <f>7/100</f>
        <v>0.07</v>
      </c>
      <c r="F143" s="8">
        <f>E143*F128</f>
        <v>31.915800000000004</v>
      </c>
      <c r="G143" s="8"/>
      <c r="H143" s="82"/>
      <c r="I143" s="8"/>
      <c r="J143" s="37"/>
      <c r="K143" s="8"/>
      <c r="L143" s="82"/>
      <c r="M143" s="82"/>
    </row>
    <row r="144" spans="1:13" ht="31.5">
      <c r="A144" s="107">
        <v>5</v>
      </c>
      <c r="B144" s="23" t="s">
        <v>30</v>
      </c>
      <c r="C144" s="24" t="s">
        <v>128</v>
      </c>
      <c r="D144" s="25" t="s">
        <v>21</v>
      </c>
      <c r="E144" s="25"/>
      <c r="F144" s="104">
        <v>1.773</v>
      </c>
      <c r="G144" s="6"/>
      <c r="H144" s="82"/>
      <c r="I144" s="6"/>
      <c r="J144" s="37"/>
      <c r="K144" s="6"/>
      <c r="L144" s="82"/>
      <c r="M144" s="82"/>
    </row>
    <row r="145" spans="1:13" ht="15.75">
      <c r="A145" s="20"/>
      <c r="B145" s="20"/>
      <c r="C145" s="69" t="s">
        <v>31</v>
      </c>
      <c r="D145" s="6" t="s">
        <v>17</v>
      </c>
      <c r="E145" s="6">
        <v>0.3</v>
      </c>
      <c r="F145" s="6">
        <f>E145*F144</f>
        <v>0.5318999999999999</v>
      </c>
      <c r="G145" s="6"/>
      <c r="H145" s="82"/>
      <c r="I145" s="3"/>
      <c r="J145" s="37"/>
      <c r="K145" s="6"/>
      <c r="L145" s="82"/>
      <c r="M145" s="82"/>
    </row>
    <row r="146" spans="1:13" ht="15.75">
      <c r="A146" s="20"/>
      <c r="B146" s="20"/>
      <c r="C146" s="69" t="s">
        <v>18</v>
      </c>
      <c r="D146" s="6" t="s">
        <v>16</v>
      </c>
      <c r="E146" s="6"/>
      <c r="F146" s="6">
        <f>F145</f>
        <v>0.5318999999999999</v>
      </c>
      <c r="G146" s="6"/>
      <c r="H146" s="82"/>
      <c r="I146" s="3"/>
      <c r="J146" s="37"/>
      <c r="K146" s="3"/>
      <c r="L146" s="82"/>
      <c r="M146" s="82"/>
    </row>
    <row r="147" spans="1:13" ht="15.75">
      <c r="A147" s="21"/>
      <c r="B147" s="21"/>
      <c r="C147" s="96" t="s">
        <v>48</v>
      </c>
      <c r="D147" s="8" t="s">
        <v>21</v>
      </c>
      <c r="E147" s="8">
        <v>1.03</v>
      </c>
      <c r="F147" s="8">
        <f>E147*F144</f>
        <v>1.82619</v>
      </c>
      <c r="G147" s="8"/>
      <c r="H147" s="82"/>
      <c r="I147" s="8"/>
      <c r="J147" s="37"/>
      <c r="K147" s="36"/>
      <c r="L147" s="82"/>
      <c r="M147" s="82"/>
    </row>
    <row r="148" spans="1:13" ht="31.5">
      <c r="A148" s="43" t="s">
        <v>101</v>
      </c>
      <c r="B148" s="146" t="s">
        <v>129</v>
      </c>
      <c r="C148" s="27" t="s">
        <v>130</v>
      </c>
      <c r="D148" s="25" t="s">
        <v>100</v>
      </c>
      <c r="E148" s="25"/>
      <c r="F148" s="103">
        <v>2533</v>
      </c>
      <c r="G148" s="6"/>
      <c r="H148" s="82"/>
      <c r="I148" s="147"/>
      <c r="J148" s="37"/>
      <c r="K148" s="35"/>
      <c r="L148" s="82"/>
      <c r="M148" s="82"/>
    </row>
    <row r="149" spans="1:13" ht="15.75">
      <c r="A149" s="148"/>
      <c r="B149" s="20"/>
      <c r="C149" s="69" t="s">
        <v>15</v>
      </c>
      <c r="D149" s="6" t="s">
        <v>16</v>
      </c>
      <c r="E149" s="13">
        <f>(3.75+0.007*4)/100</f>
        <v>0.03778</v>
      </c>
      <c r="F149" s="6">
        <f>E149*F148</f>
        <v>95.69674</v>
      </c>
      <c r="G149" s="6"/>
      <c r="H149" s="82"/>
      <c r="I149" s="6"/>
      <c r="J149" s="37"/>
      <c r="K149" s="6"/>
      <c r="L149" s="82"/>
      <c r="M149" s="82"/>
    </row>
    <row r="150" spans="1:13" ht="15.75">
      <c r="A150" s="148"/>
      <c r="B150" s="20"/>
      <c r="C150" s="69" t="s">
        <v>131</v>
      </c>
      <c r="D150" s="6" t="s">
        <v>17</v>
      </c>
      <c r="E150" s="13">
        <f>0.3/100</f>
        <v>0.003</v>
      </c>
      <c r="F150" s="6">
        <f>E150*F148</f>
        <v>7.599</v>
      </c>
      <c r="G150" s="6"/>
      <c r="H150" s="82"/>
      <c r="I150" s="6"/>
      <c r="J150" s="37"/>
      <c r="K150" s="6"/>
      <c r="L150" s="82"/>
      <c r="M150" s="82"/>
    </row>
    <row r="151" spans="1:13" ht="15.75">
      <c r="A151" s="148"/>
      <c r="B151" s="20"/>
      <c r="C151" s="69" t="s">
        <v>18</v>
      </c>
      <c r="D151" s="6" t="s">
        <v>16</v>
      </c>
      <c r="E151" s="6"/>
      <c r="F151" s="6">
        <f>F150</f>
        <v>7.599</v>
      </c>
      <c r="G151" s="6"/>
      <c r="H151" s="82"/>
      <c r="I151" s="6"/>
      <c r="J151" s="37"/>
      <c r="K151" s="6"/>
      <c r="L151" s="82"/>
      <c r="M151" s="82"/>
    </row>
    <row r="152" spans="1:13" ht="15.75">
      <c r="A152" s="148"/>
      <c r="B152" s="20"/>
      <c r="C152" s="69" t="s">
        <v>25</v>
      </c>
      <c r="D152" s="6" t="s">
        <v>17</v>
      </c>
      <c r="E152" s="61">
        <f>0.37/100</f>
        <v>0.0037</v>
      </c>
      <c r="F152" s="6">
        <f>E152*F148</f>
        <v>9.3721</v>
      </c>
      <c r="G152" s="6"/>
      <c r="H152" s="82"/>
      <c r="I152" s="6"/>
      <c r="J152" s="37"/>
      <c r="K152" s="6"/>
      <c r="L152" s="82"/>
      <c r="M152" s="82"/>
    </row>
    <row r="153" spans="1:13" ht="15.75">
      <c r="A153" s="148"/>
      <c r="B153" s="20"/>
      <c r="C153" s="69" t="s">
        <v>18</v>
      </c>
      <c r="D153" s="6" t="s">
        <v>16</v>
      </c>
      <c r="E153" s="6"/>
      <c r="F153" s="6">
        <f>F152</f>
        <v>9.3721</v>
      </c>
      <c r="G153" s="6"/>
      <c r="H153" s="82"/>
      <c r="I153" s="6"/>
      <c r="J153" s="37"/>
      <c r="K153" s="6"/>
      <c r="L153" s="82"/>
      <c r="M153" s="82"/>
    </row>
    <row r="154" spans="1:13" ht="15.75">
      <c r="A154" s="148"/>
      <c r="B154" s="20"/>
      <c r="C154" s="69" t="s">
        <v>26</v>
      </c>
      <c r="D154" s="6" t="s">
        <v>17</v>
      </c>
      <c r="E154" s="13">
        <f>1.11/100</f>
        <v>0.0111</v>
      </c>
      <c r="F154" s="6">
        <f>E154*F148</f>
        <v>28.116300000000003</v>
      </c>
      <c r="G154" s="6"/>
      <c r="H154" s="82"/>
      <c r="I154" s="6"/>
      <c r="J154" s="37"/>
      <c r="K154" s="6"/>
      <c r="L154" s="82"/>
      <c r="M154" s="82"/>
    </row>
    <row r="155" spans="1:13" ht="15.75">
      <c r="A155" s="148"/>
      <c r="B155" s="20"/>
      <c r="C155" s="69" t="s">
        <v>18</v>
      </c>
      <c r="D155" s="6" t="s">
        <v>16</v>
      </c>
      <c r="E155" s="6"/>
      <c r="F155" s="6">
        <f>F154</f>
        <v>28.116300000000003</v>
      </c>
      <c r="G155" s="6"/>
      <c r="H155" s="82"/>
      <c r="I155" s="6"/>
      <c r="J155" s="37"/>
      <c r="K155" s="6"/>
      <c r="L155" s="82"/>
      <c r="M155" s="82"/>
    </row>
    <row r="156" spans="1:13" ht="15.75">
      <c r="A156" s="148"/>
      <c r="B156" s="20"/>
      <c r="C156" s="69" t="s">
        <v>23</v>
      </c>
      <c r="D156" s="6" t="s">
        <v>20</v>
      </c>
      <c r="E156" s="61">
        <f>0.23/100</f>
        <v>0.0023</v>
      </c>
      <c r="F156" s="6">
        <f>E156*F148</f>
        <v>5.8259</v>
      </c>
      <c r="G156" s="6"/>
      <c r="H156" s="82"/>
      <c r="I156" s="6"/>
      <c r="J156" s="37"/>
      <c r="K156" s="6"/>
      <c r="L156" s="82"/>
      <c r="M156" s="82"/>
    </row>
    <row r="157" spans="1:13" ht="15.75">
      <c r="A157" s="148"/>
      <c r="B157" s="69"/>
      <c r="C157" s="69" t="s">
        <v>132</v>
      </c>
      <c r="D157" s="6" t="s">
        <v>21</v>
      </c>
      <c r="E157" s="61">
        <f>(9.31+1.16*4)/100</f>
        <v>0.13949999999999999</v>
      </c>
      <c r="F157" s="6">
        <f>E157*F148</f>
        <v>353.35349999999994</v>
      </c>
      <c r="G157" s="6"/>
      <c r="H157" s="82"/>
      <c r="I157" s="6"/>
      <c r="J157" s="37"/>
      <c r="K157" s="6"/>
      <c r="L157" s="82"/>
      <c r="M157" s="82"/>
    </row>
    <row r="158" spans="1:13" ht="15.75">
      <c r="A158" s="149"/>
      <c r="B158" s="21"/>
      <c r="C158" s="96" t="s">
        <v>24</v>
      </c>
      <c r="D158" s="8" t="s">
        <v>20</v>
      </c>
      <c r="E158" s="18">
        <f>(1.45+0.02*4)/100</f>
        <v>0.015300000000000001</v>
      </c>
      <c r="F158" s="8">
        <f>E158*F148</f>
        <v>38.7549</v>
      </c>
      <c r="G158" s="8"/>
      <c r="H158" s="82"/>
      <c r="I158" s="8"/>
      <c r="J158" s="37"/>
      <c r="K158" s="8"/>
      <c r="L158" s="82"/>
      <c r="M158" s="82"/>
    </row>
    <row r="159" spans="1:13" ht="31.5">
      <c r="A159" s="56">
        <v>7</v>
      </c>
      <c r="B159" s="23" t="s">
        <v>30</v>
      </c>
      <c r="C159" s="24" t="s">
        <v>133</v>
      </c>
      <c r="D159" s="25" t="s">
        <v>21</v>
      </c>
      <c r="E159" s="25"/>
      <c r="F159" s="104">
        <f>F144/2</f>
        <v>0.8865</v>
      </c>
      <c r="G159" s="6"/>
      <c r="H159" s="82"/>
      <c r="I159" s="6"/>
      <c r="J159" s="37"/>
      <c r="K159" s="6"/>
      <c r="L159" s="82"/>
      <c r="M159" s="82"/>
    </row>
    <row r="160" spans="1:13" ht="15.75">
      <c r="A160" s="91"/>
      <c r="B160" s="20"/>
      <c r="C160" s="69" t="s">
        <v>31</v>
      </c>
      <c r="D160" s="6" t="s">
        <v>17</v>
      </c>
      <c r="E160" s="6">
        <v>0.3</v>
      </c>
      <c r="F160" s="6">
        <f>E160*F159</f>
        <v>0.26594999999999996</v>
      </c>
      <c r="G160" s="6"/>
      <c r="H160" s="82"/>
      <c r="I160" s="3"/>
      <c r="J160" s="37"/>
      <c r="K160" s="6"/>
      <c r="L160" s="82"/>
      <c r="M160" s="82"/>
    </row>
    <row r="161" spans="1:13" ht="15.75">
      <c r="A161" s="91"/>
      <c r="B161" s="20"/>
      <c r="C161" s="69" t="s">
        <v>18</v>
      </c>
      <c r="D161" s="6" t="s">
        <v>16</v>
      </c>
      <c r="E161" s="6"/>
      <c r="F161" s="6">
        <f>F160</f>
        <v>0.26594999999999996</v>
      </c>
      <c r="G161" s="6"/>
      <c r="H161" s="82"/>
      <c r="I161" s="3"/>
      <c r="J161" s="37"/>
      <c r="K161" s="3"/>
      <c r="L161" s="82"/>
      <c r="M161" s="82"/>
    </row>
    <row r="162" spans="1:13" ht="15.75">
      <c r="A162" s="150"/>
      <c r="B162" s="21"/>
      <c r="C162" s="96" t="s">
        <v>48</v>
      </c>
      <c r="D162" s="8" t="s">
        <v>21</v>
      </c>
      <c r="E162" s="8">
        <v>1.03</v>
      </c>
      <c r="F162" s="8">
        <f>E162*F159</f>
        <v>0.913095</v>
      </c>
      <c r="G162" s="8"/>
      <c r="H162" s="82"/>
      <c r="I162" s="8"/>
      <c r="J162" s="37"/>
      <c r="K162" s="36"/>
      <c r="L162" s="82"/>
      <c r="M162" s="82"/>
    </row>
    <row r="163" spans="1:13" ht="31.5">
      <c r="A163" s="56">
        <v>8</v>
      </c>
      <c r="B163" s="97" t="s">
        <v>134</v>
      </c>
      <c r="C163" s="27" t="s">
        <v>135</v>
      </c>
      <c r="D163" s="25" t="s">
        <v>100</v>
      </c>
      <c r="E163" s="25"/>
      <c r="F163" s="103">
        <f>F148</f>
        <v>2533</v>
      </c>
      <c r="G163" s="147"/>
      <c r="H163" s="82"/>
      <c r="I163" s="35"/>
      <c r="J163" s="37"/>
      <c r="K163" s="35"/>
      <c r="L163" s="82"/>
      <c r="M163" s="82"/>
    </row>
    <row r="164" spans="1:13" ht="15.75">
      <c r="A164" s="91"/>
      <c r="B164" s="20"/>
      <c r="C164" s="69" t="s">
        <v>15</v>
      </c>
      <c r="D164" s="6" t="s">
        <v>16</v>
      </c>
      <c r="E164" s="13">
        <f>3.75/100</f>
        <v>0.0375</v>
      </c>
      <c r="F164" s="6">
        <f>E164*F163</f>
        <v>94.9875</v>
      </c>
      <c r="G164" s="6"/>
      <c r="H164" s="82"/>
      <c r="I164" s="6"/>
      <c r="J164" s="37"/>
      <c r="K164" s="6"/>
      <c r="L164" s="82"/>
      <c r="M164" s="82"/>
    </row>
    <row r="165" spans="1:13" ht="15.75">
      <c r="A165" s="91"/>
      <c r="B165" s="20"/>
      <c r="C165" s="69" t="s">
        <v>131</v>
      </c>
      <c r="D165" s="6" t="s">
        <v>17</v>
      </c>
      <c r="E165" s="13">
        <f>0.302/100</f>
        <v>0.00302</v>
      </c>
      <c r="F165" s="6">
        <f>E165*F163</f>
        <v>7.64966</v>
      </c>
      <c r="G165" s="6"/>
      <c r="H165" s="82"/>
      <c r="I165" s="6"/>
      <c r="J165" s="37"/>
      <c r="K165" s="6"/>
      <c r="L165" s="82"/>
      <c r="M165" s="82"/>
    </row>
    <row r="166" spans="1:13" ht="15.75">
      <c r="A166" s="91"/>
      <c r="B166" s="20"/>
      <c r="C166" s="69" t="s">
        <v>18</v>
      </c>
      <c r="D166" s="6" t="s">
        <v>16</v>
      </c>
      <c r="E166" s="13"/>
      <c r="F166" s="6">
        <f>F165</f>
        <v>7.64966</v>
      </c>
      <c r="G166" s="6"/>
      <c r="H166" s="82"/>
      <c r="I166" s="6"/>
      <c r="J166" s="37"/>
      <c r="K166" s="6"/>
      <c r="L166" s="82"/>
      <c r="M166" s="82"/>
    </row>
    <row r="167" spans="1:13" ht="15.75">
      <c r="A167" s="91"/>
      <c r="B167" s="20"/>
      <c r="C167" s="69" t="s">
        <v>25</v>
      </c>
      <c r="D167" s="6" t="s">
        <v>17</v>
      </c>
      <c r="E167" s="13">
        <f>0.37/100</f>
        <v>0.0037</v>
      </c>
      <c r="F167" s="6">
        <f>E167*F163</f>
        <v>9.3721</v>
      </c>
      <c r="G167" s="6"/>
      <c r="H167" s="82"/>
      <c r="I167" s="6"/>
      <c r="J167" s="37"/>
      <c r="K167" s="6"/>
      <c r="L167" s="82"/>
      <c r="M167" s="82"/>
    </row>
    <row r="168" spans="1:13" ht="15.75">
      <c r="A168" s="91"/>
      <c r="B168" s="20"/>
      <c r="C168" s="69" t="s">
        <v>18</v>
      </c>
      <c r="D168" s="6" t="s">
        <v>16</v>
      </c>
      <c r="E168" s="13"/>
      <c r="F168" s="6">
        <f>F167</f>
        <v>9.3721</v>
      </c>
      <c r="G168" s="6"/>
      <c r="H168" s="82"/>
      <c r="I168" s="6"/>
      <c r="J168" s="37"/>
      <c r="K168" s="6"/>
      <c r="L168" s="82"/>
      <c r="M168" s="82"/>
    </row>
    <row r="169" spans="1:13" ht="15.75">
      <c r="A169" s="91"/>
      <c r="B169" s="20"/>
      <c r="C169" s="69" t="s">
        <v>26</v>
      </c>
      <c r="D169" s="6" t="s">
        <v>17</v>
      </c>
      <c r="E169" s="13">
        <f>1.11/100</f>
        <v>0.0111</v>
      </c>
      <c r="F169" s="6">
        <f>E169*F163</f>
        <v>28.116300000000003</v>
      </c>
      <c r="G169" s="6"/>
      <c r="H169" s="82"/>
      <c r="I169" s="6"/>
      <c r="J169" s="37"/>
      <c r="K169" s="6"/>
      <c r="L169" s="82"/>
      <c r="M169" s="82"/>
    </row>
    <row r="170" spans="1:13" ht="15.75">
      <c r="A170" s="91"/>
      <c r="B170" s="20"/>
      <c r="C170" s="69" t="s">
        <v>18</v>
      </c>
      <c r="D170" s="6" t="s">
        <v>16</v>
      </c>
      <c r="E170" s="13"/>
      <c r="F170" s="6">
        <f>F169</f>
        <v>28.116300000000003</v>
      </c>
      <c r="G170" s="6"/>
      <c r="H170" s="82"/>
      <c r="I170" s="6"/>
      <c r="J170" s="37"/>
      <c r="K170" s="6"/>
      <c r="L170" s="82"/>
      <c r="M170" s="82"/>
    </row>
    <row r="171" spans="1:13" ht="15.75">
      <c r="A171" s="91"/>
      <c r="B171" s="20"/>
      <c r="C171" s="69" t="s">
        <v>23</v>
      </c>
      <c r="D171" s="6" t="s">
        <v>20</v>
      </c>
      <c r="E171" s="13">
        <f>0.23/100</f>
        <v>0.0023</v>
      </c>
      <c r="F171" s="6">
        <f>E171*F163</f>
        <v>5.8259</v>
      </c>
      <c r="G171" s="6"/>
      <c r="H171" s="82"/>
      <c r="I171" s="6"/>
      <c r="J171" s="37"/>
      <c r="K171" s="6"/>
      <c r="L171" s="82"/>
      <c r="M171" s="82"/>
    </row>
    <row r="172" spans="1:13" ht="15.75">
      <c r="A172" s="91"/>
      <c r="B172" s="69"/>
      <c r="C172" s="69" t="s">
        <v>136</v>
      </c>
      <c r="D172" s="6" t="s">
        <v>21</v>
      </c>
      <c r="E172" s="13">
        <f>9.74/100</f>
        <v>0.0974</v>
      </c>
      <c r="F172" s="6">
        <f>E172*F163</f>
        <v>246.7142</v>
      </c>
      <c r="G172" s="6"/>
      <c r="H172" s="82"/>
      <c r="I172" s="6"/>
      <c r="J172" s="37"/>
      <c r="K172" s="6"/>
      <c r="L172" s="82"/>
      <c r="M172" s="82"/>
    </row>
    <row r="173" spans="1:13" ht="15.75">
      <c r="A173" s="150"/>
      <c r="B173" s="21"/>
      <c r="C173" s="96" t="s">
        <v>24</v>
      </c>
      <c r="D173" s="8" t="s">
        <v>20</v>
      </c>
      <c r="E173" s="18">
        <f>1.45/100</f>
        <v>0.014499999999999999</v>
      </c>
      <c r="F173" s="8">
        <f>E173*F163</f>
        <v>36.7285</v>
      </c>
      <c r="G173" s="8"/>
      <c r="H173" s="82"/>
      <c r="I173" s="8"/>
      <c r="J173" s="37"/>
      <c r="K173" s="8"/>
      <c r="L173" s="82"/>
      <c r="M173" s="82"/>
    </row>
    <row r="174" spans="3:15" ht="15.75">
      <c r="C174" s="154" t="s">
        <v>106</v>
      </c>
      <c r="D174" s="163"/>
      <c r="E174" s="163"/>
      <c r="F174" s="163"/>
      <c r="G174" s="163"/>
      <c r="H174" s="82"/>
      <c r="I174" s="163"/>
      <c r="J174" s="37"/>
      <c r="K174" s="163"/>
      <c r="L174" s="82"/>
      <c r="M174" s="82"/>
      <c r="N174" s="163"/>
      <c r="O174" s="163"/>
    </row>
    <row r="175" spans="1:13" ht="63">
      <c r="A175" s="56">
        <v>1</v>
      </c>
      <c r="B175" s="56" t="s">
        <v>70</v>
      </c>
      <c r="C175" s="57" t="s">
        <v>71</v>
      </c>
      <c r="D175" s="56" t="s">
        <v>56</v>
      </c>
      <c r="E175" s="56"/>
      <c r="F175" s="118">
        <v>1</v>
      </c>
      <c r="G175" s="35"/>
      <c r="H175" s="82"/>
      <c r="I175" s="35"/>
      <c r="J175" s="37"/>
      <c r="K175" s="35"/>
      <c r="L175" s="82"/>
      <c r="M175" s="82"/>
    </row>
    <row r="176" spans="1:13" ht="15.75">
      <c r="A176" s="60"/>
      <c r="B176" s="60"/>
      <c r="C176" s="29" t="s">
        <v>15</v>
      </c>
      <c r="D176" s="6" t="s">
        <v>16</v>
      </c>
      <c r="E176" s="3">
        <v>3.23</v>
      </c>
      <c r="F176" s="3">
        <f>E176*F175</f>
        <v>3.23</v>
      </c>
      <c r="G176" s="6"/>
      <c r="H176" s="82"/>
      <c r="I176" s="6"/>
      <c r="J176" s="37"/>
      <c r="K176" s="6"/>
      <c r="L176" s="82"/>
      <c r="M176" s="82"/>
    </row>
    <row r="177" spans="1:13" ht="15.75">
      <c r="A177" s="60"/>
      <c r="B177" s="20"/>
      <c r="C177" s="4" t="s">
        <v>72</v>
      </c>
      <c r="D177" s="6" t="s">
        <v>17</v>
      </c>
      <c r="E177" s="3">
        <v>0.15</v>
      </c>
      <c r="F177" s="6">
        <f>E177*F175</f>
        <v>0.15</v>
      </c>
      <c r="G177" s="6"/>
      <c r="H177" s="82"/>
      <c r="I177" s="6"/>
      <c r="J177" s="37"/>
      <c r="K177" s="65"/>
      <c r="L177" s="82"/>
      <c r="M177" s="82"/>
    </row>
    <row r="178" spans="1:13" ht="15.75">
      <c r="A178" s="60"/>
      <c r="B178" s="60"/>
      <c r="C178" s="29" t="s">
        <v>18</v>
      </c>
      <c r="D178" s="6" t="s">
        <v>16</v>
      </c>
      <c r="E178" s="3"/>
      <c r="F178" s="6">
        <f>F177</f>
        <v>0.15</v>
      </c>
      <c r="G178" s="6"/>
      <c r="H178" s="82"/>
      <c r="I178" s="6"/>
      <c r="J178" s="37"/>
      <c r="K178" s="6"/>
      <c r="L178" s="82"/>
      <c r="M178" s="82"/>
    </row>
    <row r="179" spans="1:13" ht="15.75">
      <c r="A179" s="60"/>
      <c r="B179" s="20"/>
      <c r="C179" s="29" t="s">
        <v>73</v>
      </c>
      <c r="D179" s="6" t="s">
        <v>17</v>
      </c>
      <c r="E179" s="3">
        <v>0.286</v>
      </c>
      <c r="F179" s="6">
        <f>E179*F175</f>
        <v>0.286</v>
      </c>
      <c r="G179" s="6"/>
      <c r="H179" s="82"/>
      <c r="I179" s="6"/>
      <c r="J179" s="37"/>
      <c r="K179" s="65"/>
      <c r="L179" s="82"/>
      <c r="M179" s="82"/>
    </row>
    <row r="180" spans="1:13" ht="15.75">
      <c r="A180" s="60"/>
      <c r="B180" s="60"/>
      <c r="C180" s="29" t="s">
        <v>18</v>
      </c>
      <c r="D180" s="6" t="s">
        <v>16</v>
      </c>
      <c r="E180" s="3"/>
      <c r="F180" s="6">
        <f>F179</f>
        <v>0.286</v>
      </c>
      <c r="G180" s="65"/>
      <c r="H180" s="82"/>
      <c r="I180" s="6"/>
      <c r="J180" s="37"/>
      <c r="K180" s="6"/>
      <c r="L180" s="82"/>
      <c r="M180" s="82"/>
    </row>
    <row r="181" spans="1:13" ht="18">
      <c r="A181" s="60"/>
      <c r="B181" s="136"/>
      <c r="C181" s="15" t="s">
        <v>108</v>
      </c>
      <c r="D181" s="3" t="s">
        <v>99</v>
      </c>
      <c r="E181" s="3">
        <v>0.34</v>
      </c>
      <c r="F181" s="6">
        <f>E181*F175</f>
        <v>0.34</v>
      </c>
      <c r="G181" s="6"/>
      <c r="H181" s="82"/>
      <c r="I181" s="5"/>
      <c r="J181" s="37"/>
      <c r="K181" s="6"/>
      <c r="L181" s="82"/>
      <c r="M181" s="82"/>
    </row>
    <row r="182" spans="1:13" ht="15.75">
      <c r="A182" s="60"/>
      <c r="B182" s="60"/>
      <c r="C182" s="4" t="s">
        <v>76</v>
      </c>
      <c r="D182" s="3" t="s">
        <v>56</v>
      </c>
      <c r="E182" s="127" t="s">
        <v>27</v>
      </c>
      <c r="F182" s="6">
        <f>F175</f>
        <v>1</v>
      </c>
      <c r="G182" s="6"/>
      <c r="H182" s="82"/>
      <c r="I182" s="6"/>
      <c r="J182" s="37"/>
      <c r="K182" s="6"/>
      <c r="L182" s="82"/>
      <c r="M182" s="82"/>
    </row>
    <row r="183" spans="1:13" ht="15.75">
      <c r="A183" s="62"/>
      <c r="B183" s="62"/>
      <c r="C183" s="17" t="s">
        <v>28</v>
      </c>
      <c r="D183" s="36" t="s">
        <v>20</v>
      </c>
      <c r="E183" s="36">
        <v>0.649</v>
      </c>
      <c r="F183" s="8">
        <f>E183*F175</f>
        <v>0.649</v>
      </c>
      <c r="G183" s="8"/>
      <c r="H183" s="82"/>
      <c r="I183" s="8"/>
      <c r="J183" s="37"/>
      <c r="K183" s="8"/>
      <c r="L183" s="82"/>
      <c r="M183" s="82"/>
    </row>
    <row r="184" spans="1:13" ht="15.75">
      <c r="A184" s="134"/>
      <c r="B184" s="108"/>
      <c r="C184" s="137" t="s">
        <v>74</v>
      </c>
      <c r="D184" s="50"/>
      <c r="E184" s="5"/>
      <c r="F184" s="129"/>
      <c r="G184" s="49"/>
      <c r="H184" s="82"/>
      <c r="I184" s="5"/>
      <c r="J184" s="37"/>
      <c r="K184" s="5"/>
      <c r="L184" s="82"/>
      <c r="M184" s="82"/>
    </row>
    <row r="185" spans="1:13" ht="15.75">
      <c r="A185" s="134"/>
      <c r="B185" s="108"/>
      <c r="C185" s="15" t="s">
        <v>75</v>
      </c>
      <c r="D185" s="50" t="s">
        <v>56</v>
      </c>
      <c r="E185" s="5"/>
      <c r="F185" s="129">
        <v>1</v>
      </c>
      <c r="G185" s="49"/>
      <c r="H185" s="82"/>
      <c r="I185" s="5"/>
      <c r="J185" s="37"/>
      <c r="K185" s="5"/>
      <c r="L185" s="82"/>
      <c r="M185" s="82"/>
    </row>
    <row r="186" spans="3:15" ht="15.75">
      <c r="C186" s="154" t="s">
        <v>145</v>
      </c>
      <c r="D186" s="154"/>
      <c r="E186" s="154"/>
      <c r="F186" s="154"/>
      <c r="G186" s="154"/>
      <c r="H186" s="82"/>
      <c r="I186" s="154"/>
      <c r="J186" s="37"/>
      <c r="K186" s="154"/>
      <c r="L186" s="82"/>
      <c r="M186" s="82"/>
      <c r="N186" s="154"/>
      <c r="O186" s="154"/>
    </row>
    <row r="187" spans="1:13" ht="78.75">
      <c r="A187" s="91">
        <v>1</v>
      </c>
      <c r="B187" s="151" t="s">
        <v>137</v>
      </c>
      <c r="C187" s="26" t="s">
        <v>142</v>
      </c>
      <c r="D187" s="122" t="s">
        <v>80</v>
      </c>
      <c r="E187" s="106"/>
      <c r="F187" s="103">
        <v>0.5</v>
      </c>
      <c r="G187" s="48"/>
      <c r="H187" s="82"/>
      <c r="I187" s="6"/>
      <c r="J187" s="37"/>
      <c r="K187" s="6"/>
      <c r="L187" s="82"/>
      <c r="M187" s="82"/>
    </row>
    <row r="188" spans="1:13" ht="15.75">
      <c r="A188" s="134"/>
      <c r="B188" s="126"/>
      <c r="C188" s="69" t="s">
        <v>15</v>
      </c>
      <c r="D188" s="6" t="s">
        <v>16</v>
      </c>
      <c r="E188" s="12">
        <v>2.81</v>
      </c>
      <c r="F188" s="5">
        <f>E188*F187</f>
        <v>1.405</v>
      </c>
      <c r="G188" s="12"/>
      <c r="H188" s="82"/>
      <c r="I188" s="12"/>
      <c r="J188" s="37"/>
      <c r="K188" s="12"/>
      <c r="L188" s="82"/>
      <c r="M188" s="82"/>
    </row>
    <row r="189" spans="1:13" ht="15.75">
      <c r="A189" s="134"/>
      <c r="B189" s="126"/>
      <c r="C189" s="152" t="s">
        <v>38</v>
      </c>
      <c r="D189" s="6" t="s">
        <v>20</v>
      </c>
      <c r="E189" s="15">
        <v>0.33</v>
      </c>
      <c r="F189" s="6">
        <f>E189*F187</f>
        <v>0.165</v>
      </c>
      <c r="G189" s="16"/>
      <c r="H189" s="82"/>
      <c r="I189" s="16"/>
      <c r="J189" s="37"/>
      <c r="K189" s="16"/>
      <c r="L189" s="82"/>
      <c r="M189" s="82"/>
    </row>
    <row r="190" spans="1:13" ht="18">
      <c r="A190" s="134"/>
      <c r="B190" s="126"/>
      <c r="C190" s="69" t="s">
        <v>143</v>
      </c>
      <c r="D190" s="6" t="s">
        <v>99</v>
      </c>
      <c r="E190" s="15">
        <v>1.02</v>
      </c>
      <c r="F190" s="6">
        <f>E190*F187</f>
        <v>0.51</v>
      </c>
      <c r="G190" s="16"/>
      <c r="H190" s="82"/>
      <c r="I190" s="5"/>
      <c r="J190" s="37"/>
      <c r="K190" s="16"/>
      <c r="L190" s="82"/>
      <c r="M190" s="82"/>
    </row>
    <row r="191" spans="1:13" ht="18">
      <c r="A191" s="134"/>
      <c r="B191" s="126"/>
      <c r="C191" s="69" t="s">
        <v>138</v>
      </c>
      <c r="D191" s="6" t="s">
        <v>105</v>
      </c>
      <c r="E191" s="15">
        <v>0.717</v>
      </c>
      <c r="F191" s="6">
        <f>E191*F187</f>
        <v>0.3585</v>
      </c>
      <c r="G191" s="16"/>
      <c r="H191" s="82"/>
      <c r="I191" s="5"/>
      <c r="J191" s="37"/>
      <c r="K191" s="16"/>
      <c r="L191" s="82"/>
      <c r="M191" s="82"/>
    </row>
    <row r="192" spans="1:13" ht="18">
      <c r="A192" s="134"/>
      <c r="B192" s="126"/>
      <c r="C192" s="69" t="s">
        <v>139</v>
      </c>
      <c r="D192" s="6" t="s">
        <v>144</v>
      </c>
      <c r="E192" s="15">
        <f>0.13/100</f>
        <v>0.0013</v>
      </c>
      <c r="F192" s="61">
        <f>E192*F187</f>
        <v>0.00065</v>
      </c>
      <c r="G192" s="16"/>
      <c r="H192" s="82"/>
      <c r="I192" s="5"/>
      <c r="J192" s="37"/>
      <c r="K192" s="16"/>
      <c r="L192" s="82"/>
      <c r="M192" s="82"/>
    </row>
    <row r="193" spans="1:13" ht="18">
      <c r="A193" s="134"/>
      <c r="B193" s="20"/>
      <c r="C193" s="69" t="s">
        <v>140</v>
      </c>
      <c r="D193" s="6" t="s">
        <v>144</v>
      </c>
      <c r="E193" s="61">
        <f>1.52/100</f>
        <v>0.0152</v>
      </c>
      <c r="F193" s="61">
        <f>E193*F187</f>
        <v>0.0076</v>
      </c>
      <c r="G193" s="16"/>
      <c r="H193" s="82"/>
      <c r="I193" s="5"/>
      <c r="J193" s="37"/>
      <c r="K193" s="6"/>
      <c r="L193" s="82"/>
      <c r="M193" s="82"/>
    </row>
    <row r="194" spans="1:13" ht="15.75">
      <c r="A194" s="134"/>
      <c r="B194" s="126"/>
      <c r="C194" s="4" t="s">
        <v>141</v>
      </c>
      <c r="D194" s="109" t="s">
        <v>21</v>
      </c>
      <c r="E194" s="15">
        <f>0.09/100</f>
        <v>0.0009</v>
      </c>
      <c r="F194" s="61">
        <f>E194*F187</f>
        <v>0.00045</v>
      </c>
      <c r="G194" s="16"/>
      <c r="H194" s="82"/>
      <c r="I194" s="16"/>
      <c r="J194" s="37"/>
      <c r="K194" s="16"/>
      <c r="L194" s="82"/>
      <c r="M194" s="82"/>
    </row>
    <row r="195" spans="1:13" ht="15.75">
      <c r="A195" s="52"/>
      <c r="B195" s="130"/>
      <c r="C195" s="140" t="s">
        <v>28</v>
      </c>
      <c r="D195" s="93" t="s">
        <v>20</v>
      </c>
      <c r="E195" s="17">
        <v>0.16</v>
      </c>
      <c r="F195" s="8">
        <f>E195*F187</f>
        <v>0.08</v>
      </c>
      <c r="G195" s="19"/>
      <c r="H195" s="82"/>
      <c r="I195" s="19"/>
      <c r="J195" s="37"/>
      <c r="K195" s="19"/>
      <c r="L195" s="82"/>
      <c r="M195" s="82"/>
    </row>
    <row r="196" spans="1:13" ht="15.75">
      <c r="A196" s="80"/>
      <c r="B196" s="81"/>
      <c r="C196" s="164" t="s">
        <v>161</v>
      </c>
      <c r="D196" s="194" t="s">
        <v>20</v>
      </c>
      <c r="E196" s="194"/>
      <c r="F196" s="194"/>
      <c r="G196" s="194"/>
      <c r="H196" s="32"/>
      <c r="I196" s="32"/>
      <c r="J196" s="32"/>
      <c r="K196" s="32"/>
      <c r="L196" s="195"/>
      <c r="M196" s="32"/>
    </row>
    <row r="197" spans="1:13" ht="15.75">
      <c r="A197" s="83"/>
      <c r="B197" s="20"/>
      <c r="C197" s="84" t="s">
        <v>166</v>
      </c>
      <c r="D197" s="85" t="s">
        <v>20</v>
      </c>
      <c r="E197" s="6"/>
      <c r="F197" s="6"/>
      <c r="G197" s="6"/>
      <c r="H197" s="6"/>
      <c r="I197" s="6"/>
      <c r="J197" s="6"/>
      <c r="K197" s="3"/>
      <c r="L197" s="51"/>
      <c r="M197" s="6"/>
    </row>
    <row r="198" spans="1:13" ht="15.75">
      <c r="A198" s="83"/>
      <c r="B198" s="20"/>
      <c r="C198" s="98" t="s">
        <v>12</v>
      </c>
      <c r="D198" s="85" t="s">
        <v>20</v>
      </c>
      <c r="E198" s="6"/>
      <c r="F198" s="6"/>
      <c r="G198" s="6"/>
      <c r="H198" s="6"/>
      <c r="I198" s="6"/>
      <c r="J198" s="6"/>
      <c r="K198" s="3"/>
      <c r="L198" s="51"/>
      <c r="M198" s="6"/>
    </row>
    <row r="199" spans="1:13" ht="15.75">
      <c r="A199" s="86"/>
      <c r="B199" s="87"/>
      <c r="C199" s="99" t="s">
        <v>167</v>
      </c>
      <c r="D199" s="85" t="s">
        <v>20</v>
      </c>
      <c r="E199" s="88"/>
      <c r="F199" s="100"/>
      <c r="G199" s="101"/>
      <c r="H199" s="88"/>
      <c r="I199" s="88"/>
      <c r="J199" s="88"/>
      <c r="K199" s="88"/>
      <c r="L199" s="139"/>
      <c r="M199" s="88"/>
    </row>
    <row r="200" spans="1:13" ht="15.75">
      <c r="A200" s="90"/>
      <c r="B200" s="87"/>
      <c r="C200" s="98" t="s">
        <v>12</v>
      </c>
      <c r="D200" s="85" t="s">
        <v>20</v>
      </c>
      <c r="E200" s="65"/>
      <c r="F200" s="98"/>
      <c r="G200" s="98"/>
      <c r="H200" s="65"/>
      <c r="I200" s="65"/>
      <c r="J200" s="65"/>
      <c r="K200" s="65"/>
      <c r="L200" s="138"/>
      <c r="M200" s="65"/>
    </row>
    <row r="201" spans="1:13" ht="15.75">
      <c r="A201" s="86"/>
      <c r="B201" s="87"/>
      <c r="C201" s="84" t="s">
        <v>168</v>
      </c>
      <c r="D201" s="85" t="s">
        <v>20</v>
      </c>
      <c r="E201" s="88"/>
      <c r="F201" s="89"/>
      <c r="G201" s="88"/>
      <c r="H201" s="88"/>
      <c r="I201" s="88"/>
      <c r="J201" s="88"/>
      <c r="K201" s="88"/>
      <c r="L201" s="139"/>
      <c r="M201" s="88"/>
    </row>
    <row r="202" spans="1:13" s="161" customFormat="1" ht="15.75">
      <c r="A202" s="188"/>
      <c r="B202" s="189"/>
      <c r="C202" s="190" t="s">
        <v>163</v>
      </c>
      <c r="D202" s="191" t="s">
        <v>20</v>
      </c>
      <c r="E202" s="192"/>
      <c r="F202" s="192"/>
      <c r="G202" s="192"/>
      <c r="H202" s="102"/>
      <c r="I202" s="102"/>
      <c r="J202" s="102"/>
      <c r="K202" s="102"/>
      <c r="L202" s="193"/>
      <c r="M202" s="102"/>
    </row>
    <row r="203" spans="1:13" ht="15">
      <c r="A203" s="165"/>
      <c r="B203" s="166"/>
      <c r="C203" s="167" t="s">
        <v>162</v>
      </c>
      <c r="D203" s="168" t="s">
        <v>155</v>
      </c>
      <c r="E203" s="169"/>
      <c r="F203" s="169"/>
      <c r="G203" s="169"/>
      <c r="H203" s="170"/>
      <c r="I203" s="171"/>
      <c r="J203" s="172"/>
      <c r="K203" s="171"/>
      <c r="L203" s="172"/>
      <c r="M203" s="173"/>
    </row>
    <row r="204" spans="1:13" ht="42.75" customHeight="1">
      <c r="A204" s="165"/>
      <c r="B204" s="166"/>
      <c r="C204" s="196" t="s">
        <v>165</v>
      </c>
      <c r="D204" s="175" t="s">
        <v>155</v>
      </c>
      <c r="E204" s="176"/>
      <c r="F204" s="174"/>
      <c r="G204" s="174"/>
      <c r="H204" s="177"/>
      <c r="I204" s="174"/>
      <c r="J204" s="174"/>
      <c r="K204" s="174"/>
      <c r="L204" s="174"/>
      <c r="M204" s="178"/>
    </row>
    <row r="205" spans="1:13" ht="15">
      <c r="A205" s="165"/>
      <c r="B205" s="166"/>
      <c r="C205" s="179" t="s">
        <v>156</v>
      </c>
      <c r="D205" s="168" t="s">
        <v>155</v>
      </c>
      <c r="E205" s="179"/>
      <c r="F205" s="179"/>
      <c r="G205" s="179"/>
      <c r="H205" s="180"/>
      <c r="I205" s="179"/>
      <c r="J205" s="180"/>
      <c r="K205" s="179"/>
      <c r="L205" s="180"/>
      <c r="M205" s="181"/>
    </row>
    <row r="206" spans="1:13" ht="14.25">
      <c r="A206" s="165"/>
      <c r="B206" s="166"/>
      <c r="C206" s="174" t="s">
        <v>157</v>
      </c>
      <c r="D206" s="175" t="s">
        <v>155</v>
      </c>
      <c r="E206" s="176">
        <v>0.18</v>
      </c>
      <c r="F206" s="174"/>
      <c r="G206" s="174"/>
      <c r="H206" s="177"/>
      <c r="I206" s="174"/>
      <c r="J206" s="174"/>
      <c r="K206" s="174"/>
      <c r="L206" s="174"/>
      <c r="M206" s="178"/>
    </row>
    <row r="207" spans="1:13" ht="15.75" thickBot="1">
      <c r="A207" s="182"/>
      <c r="B207" s="183"/>
      <c r="C207" s="184" t="s">
        <v>158</v>
      </c>
      <c r="D207" s="185" t="s">
        <v>155</v>
      </c>
      <c r="E207" s="184"/>
      <c r="F207" s="184"/>
      <c r="G207" s="184"/>
      <c r="H207" s="186"/>
      <c r="I207" s="184"/>
      <c r="J207" s="186"/>
      <c r="K207" s="184"/>
      <c r="L207" s="186"/>
      <c r="M207" s="187"/>
    </row>
  </sheetData>
  <sheetProtection/>
  <mergeCells count="25">
    <mergeCell ref="A53:C53"/>
    <mergeCell ref="A95:C95"/>
    <mergeCell ref="K8:L8"/>
    <mergeCell ref="M8:M11"/>
    <mergeCell ref="K9:L9"/>
    <mergeCell ref="D10:D11"/>
    <mergeCell ref="E10:E11"/>
    <mergeCell ref="F10:F11"/>
    <mergeCell ref="H10:H11"/>
    <mergeCell ref="J10:J11"/>
    <mergeCell ref="L10:L11"/>
    <mergeCell ref="A7:C7"/>
    <mergeCell ref="G7:J7"/>
    <mergeCell ref="A8:A11"/>
    <mergeCell ref="B8:B11"/>
    <mergeCell ref="C8:C11"/>
    <mergeCell ref="D8:F9"/>
    <mergeCell ref="G8:H9"/>
    <mergeCell ref="I8:J9"/>
    <mergeCell ref="A1:M1"/>
    <mergeCell ref="A3:M3"/>
    <mergeCell ref="A4:M4"/>
    <mergeCell ref="A5:M5"/>
    <mergeCell ref="A6:D6"/>
    <mergeCell ref="F6:I6"/>
  </mergeCells>
  <conditionalFormatting sqref="D15:D18 H20:H195 J20:J195 L19:M195">
    <cfRule type="cellIs" priority="3" dxfId="1" operator="equal" stopIfTrue="1">
      <formula>8223.307275</formula>
    </cfRule>
  </conditionalFormatting>
  <conditionalFormatting sqref="B19:D22 F19:J19 F20:G22 I20:I22">
    <cfRule type="cellIs" priority="2" dxfId="1" operator="equal" stopIfTrue="1">
      <formula>8223.307275</formula>
    </cfRule>
  </conditionalFormatting>
  <conditionalFormatting sqref="B103:C109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 papashvili</cp:lastModifiedBy>
  <cp:lastPrinted>2021-10-18T11:30:55Z</cp:lastPrinted>
  <dcterms:created xsi:type="dcterms:W3CDTF">1996-10-08T23:32:33Z</dcterms:created>
  <dcterms:modified xsi:type="dcterms:W3CDTF">2022-01-24T12:32:26Z</dcterms:modified>
  <cp:category/>
  <cp:version/>
  <cp:contentType/>
  <cp:contentStatus/>
</cp:coreProperties>
</file>