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861"/>
  </bookViews>
  <sheets>
    <sheet name="krebsiti" sheetId="25" r:id="rId1"/>
    <sheet name="#1" sheetId="22" r:id="rId2"/>
    <sheet name="#2" sheetId="23" r:id="rId3"/>
    <sheet name="#3" sheetId="27" r:id="rId4"/>
    <sheet name="#4" sheetId="26" r:id="rId5"/>
    <sheet name="moc.uwy." sheetId="3" r:id="rId6"/>
    <sheet name="kal. gr." sheetId="5" r:id="rId7"/>
  </sheets>
  <definedNames>
    <definedName name="_xlnm.Print_Area" localSheetId="1">'#1'!$A$1:$M$1298</definedName>
    <definedName name="_xlnm.Print_Area" localSheetId="2">'#2'!$A$1:$M$245</definedName>
    <definedName name="_xlnm.Print_Area" localSheetId="3">'#3'!$A$1:$M$206</definedName>
    <definedName name="_xlnm.Print_Area" localSheetId="4">'#4'!$A$1:$M$53</definedName>
    <definedName name="_xlnm.Print_Area" localSheetId="6">moc.uwy.!$A$1:$R$204</definedName>
    <definedName name="_xlnm.Print_Area" localSheetId="0">krebsiti!$A$1:$G$21</definedName>
    <definedName name="_xlnm.Print_Titles" localSheetId="1">'#1'!$9:$9</definedName>
    <definedName name="_xlnm.Print_Titles" localSheetId="2">'#2'!$9:$9</definedName>
    <definedName name="_xlnm.Print_Titles" localSheetId="6">moc.uwy.!$4:$5</definedName>
    <definedName name="_xlnm.Print_Titles" localSheetId="0">krebsiti!$7:$7</definedName>
    <definedName name="_xlnm.Print_Titles" localSheetId="5">'#4'!$5:$5</definedName>
  </definedNames>
  <calcPr calcId="162913"/>
</workbook>
</file>

<file path=xl/calcChain.xml><?xml version="1.0" encoding="utf-8"?>
<calcChain xmlns="http://schemas.openxmlformats.org/spreadsheetml/2006/main">
  <c r="F1186" i="22" l="1"/>
  <c r="F989" i="22"/>
  <c r="F987" i="22"/>
  <c r="F983" i="22"/>
  <c r="F982" i="22"/>
  <c r="F31" i="23" l="1"/>
  <c r="F19" i="23"/>
  <c r="F15" i="23"/>
  <c r="F943" i="22" l="1"/>
  <c r="F939" i="22"/>
  <c r="F925" i="22"/>
  <c r="F924" i="22"/>
  <c r="F923" i="22"/>
  <c r="F927" i="22"/>
  <c r="F926" i="22"/>
  <c r="F928" i="22"/>
  <c r="F929" i="22"/>
  <c r="E914" i="22" l="1"/>
  <c r="E913" i="22"/>
  <c r="E912" i="22"/>
  <c r="E911" i="22"/>
  <c r="F915" i="22" s="1"/>
  <c r="F908" i="22"/>
  <c r="F901" i="22"/>
  <c r="F907" i="22" s="1"/>
  <c r="F896" i="22"/>
  <c r="F900" i="22" s="1"/>
  <c r="E891" i="22"/>
  <c r="F889" i="22"/>
  <c r="F890" i="22" s="1"/>
  <c r="F944" i="22"/>
  <c r="F941" i="22"/>
  <c r="E918" i="22"/>
  <c r="E894" i="22"/>
  <c r="F892" i="22"/>
  <c r="N889" i="22"/>
  <c r="F899" i="22" l="1"/>
  <c r="F905" i="22"/>
  <c r="F897" i="22"/>
  <c r="F921" i="22"/>
  <c r="F904" i="22"/>
  <c r="F898" i="22"/>
  <c r="F940" i="22"/>
  <c r="F942" i="22"/>
  <c r="F893" i="22"/>
  <c r="F895" i="22"/>
  <c r="F902" i="22"/>
  <c r="F906" i="22"/>
  <c r="F946" i="22"/>
  <c r="F945" i="22"/>
  <c r="F894" i="22"/>
  <c r="F903" i="22"/>
  <c r="F916" i="22" l="1"/>
  <c r="F919" i="22"/>
  <c r="F920" i="22"/>
  <c r="F918" i="22"/>
  <c r="F932" i="22"/>
  <c r="F933" i="22" s="1"/>
  <c r="F917" i="22"/>
  <c r="F922" i="22"/>
  <c r="F935" i="22" l="1"/>
  <c r="F937" i="22"/>
  <c r="F934" i="22"/>
  <c r="F936" i="22"/>
  <c r="F938" i="22"/>
  <c r="F880" i="22"/>
  <c r="F878" i="22"/>
  <c r="F869" i="22"/>
  <c r="F864" i="22"/>
  <c r="F859" i="22"/>
  <c r="F1237" i="22" l="1"/>
  <c r="F1238" i="22"/>
  <c r="F1239" i="22"/>
  <c r="F1240" i="22"/>
  <c r="F1241" i="22"/>
  <c r="F1242" i="22"/>
  <c r="F1243" i="22"/>
  <c r="F1244" i="22"/>
  <c r="F1245" i="22"/>
  <c r="F1246" i="22"/>
  <c r="F1247" i="22"/>
  <c r="F1124" i="22"/>
  <c r="F1088" i="22"/>
  <c r="F1087" i="22"/>
  <c r="E1062" i="22"/>
  <c r="E1065" i="22"/>
  <c r="E1063" i="22"/>
  <c r="E1059" i="22"/>
  <c r="E1057" i="22"/>
  <c r="F1040" i="22"/>
  <c r="F1046" i="22" s="1"/>
  <c r="F1010" i="22"/>
  <c r="F1001" i="22"/>
  <c r="F991" i="22"/>
  <c r="F990" i="22"/>
  <c r="F988" i="22"/>
  <c r="F986" i="22"/>
  <c r="F985" i="22"/>
  <c r="F975" i="22"/>
  <c r="F972" i="22"/>
  <c r="F411" i="22"/>
  <c r="F414" i="22" s="1"/>
  <c r="F405" i="22"/>
  <c r="F417" i="22"/>
  <c r="F418" i="22" s="1"/>
  <c r="F421" i="22" l="1"/>
  <c r="F419" i="22"/>
  <c r="F423" i="22"/>
  <c r="F420" i="22"/>
  <c r="F422" i="22"/>
  <c r="F413" i="22"/>
  <c r="F412" i="22"/>
  <c r="F416" i="22"/>
  <c r="F415" i="22"/>
  <c r="F406" i="22"/>
  <c r="F410" i="22" l="1"/>
  <c r="F409" i="22"/>
  <c r="F408" i="22"/>
  <c r="F407" i="22"/>
  <c r="E379" i="22"/>
  <c r="E378" i="22"/>
  <c r="F377" i="22"/>
  <c r="F380" i="22" s="1"/>
  <c r="E376" i="22"/>
  <c r="F376" i="22" s="1"/>
  <c r="E375" i="22"/>
  <c r="F375" i="22" s="1"/>
  <c r="F374" i="22"/>
  <c r="D374" i="22"/>
  <c r="E373" i="22"/>
  <c r="F373" i="22" s="1"/>
  <c r="E372" i="22"/>
  <c r="F372" i="22" s="1"/>
  <c r="E371" i="22"/>
  <c r="F371" i="22" s="1"/>
  <c r="F370" i="22"/>
  <c r="E365" i="22"/>
  <c r="E364" i="22"/>
  <c r="E363" i="22"/>
  <c r="E361" i="22"/>
  <c r="E360" i="22"/>
  <c r="E359" i="22"/>
  <c r="E357" i="22"/>
  <c r="F357" i="22" s="1"/>
  <c r="F338" i="22"/>
  <c r="F331" i="22"/>
  <c r="E321" i="22"/>
  <c r="F326" i="22"/>
  <c r="F330" i="22" s="1"/>
  <c r="F319" i="22"/>
  <c r="F236" i="22"/>
  <c r="F328" i="22" l="1"/>
  <c r="F382" i="22"/>
  <c r="F378" i="22"/>
  <c r="F379" i="22"/>
  <c r="F381" i="22"/>
  <c r="E354" i="22"/>
  <c r="F358" i="22"/>
  <c r="E366" i="22" s="1"/>
  <c r="E356" i="22"/>
  <c r="F329" i="22"/>
  <c r="F327" i="22"/>
  <c r="F154" i="22"/>
  <c r="F195" i="22" s="1"/>
  <c r="F315" i="22"/>
  <c r="E313" i="22"/>
  <c r="E312" i="22"/>
  <c r="E311" i="22"/>
  <c r="E309" i="22"/>
  <c r="E308" i="22"/>
  <c r="E307" i="22"/>
  <c r="E305" i="22"/>
  <c r="F305" i="22" s="1"/>
  <c r="F303" i="22"/>
  <c r="E293" i="22"/>
  <c r="E292" i="22"/>
  <c r="E291" i="22"/>
  <c r="F271" i="22"/>
  <c r="E270" i="22"/>
  <c r="F270" i="22" s="1"/>
  <c r="F269" i="22"/>
  <c r="F268" i="22"/>
  <c r="F266" i="22"/>
  <c r="F265" i="22"/>
  <c r="F264" i="22"/>
  <c r="F263" i="22"/>
  <c r="E259" i="22"/>
  <c r="E258" i="22"/>
  <c r="E257" i="22"/>
  <c r="E256" i="22"/>
  <c r="F254" i="22"/>
  <c r="F247" i="22"/>
  <c r="F248" i="22" s="1"/>
  <c r="F246" i="22"/>
  <c r="F245" i="22"/>
  <c r="F243" i="22"/>
  <c r="F242" i="22"/>
  <c r="F240" i="22"/>
  <c r="F239" i="22"/>
  <c r="O236" i="22"/>
  <c r="F426" i="22"/>
  <c r="F428" i="22" s="1"/>
  <c r="F430" i="22" s="1"/>
  <c r="F431" i="22"/>
  <c r="E434" i="22"/>
  <c r="F436" i="22"/>
  <c r="F440" i="22" s="1"/>
  <c r="E438" i="22"/>
  <c r="E441" i="22"/>
  <c r="E442" i="22"/>
  <c r="F445" i="22"/>
  <c r="F447" i="22" s="1"/>
  <c r="F450" i="22"/>
  <c r="F451" i="22" s="1"/>
  <c r="E453" i="22"/>
  <c r="F455" i="22"/>
  <c r="F459" i="22" s="1"/>
  <c r="E457" i="22"/>
  <c r="E460" i="22"/>
  <c r="E461" i="22"/>
  <c r="F233" i="22"/>
  <c r="E231" i="22"/>
  <c r="E230" i="22"/>
  <c r="E229" i="22"/>
  <c r="E227" i="22"/>
  <c r="E226" i="22"/>
  <c r="E225" i="22"/>
  <c r="E223" i="22"/>
  <c r="F223" i="22" s="1"/>
  <c r="F221" i="22"/>
  <c r="E211" i="22"/>
  <c r="E210" i="22"/>
  <c r="E209" i="22"/>
  <c r="F189" i="22"/>
  <c r="E188" i="22"/>
  <c r="F188" i="22" s="1"/>
  <c r="F187" i="22"/>
  <c r="F186" i="22"/>
  <c r="F184" i="22"/>
  <c r="F183" i="22"/>
  <c r="F182" i="22"/>
  <c r="F181" i="22"/>
  <c r="E177" i="22"/>
  <c r="E176" i="22"/>
  <c r="E175" i="22"/>
  <c r="E174" i="22"/>
  <c r="F172" i="22"/>
  <c r="F165" i="22"/>
  <c r="F166" i="22" s="1"/>
  <c r="F164" i="22"/>
  <c r="F163" i="22"/>
  <c r="F161" i="22"/>
  <c r="F160" i="22"/>
  <c r="F158" i="22"/>
  <c r="F157" i="22"/>
  <c r="O154" i="22"/>
  <c r="F151" i="22"/>
  <c r="F432" i="22" l="1"/>
  <c r="F433" i="22"/>
  <c r="F190" i="22"/>
  <c r="F204" i="22"/>
  <c r="F362" i="22"/>
  <c r="F368" i="22" s="1"/>
  <c r="F359" i="22"/>
  <c r="F456" i="22"/>
  <c r="F427" i="22"/>
  <c r="F453" i="22"/>
  <c r="F454" i="22"/>
  <c r="F446" i="22"/>
  <c r="F361" i="22"/>
  <c r="F360" i="22"/>
  <c r="F214" i="22"/>
  <c r="E185" i="22"/>
  <c r="F449" i="22"/>
  <c r="F448" i="22"/>
  <c r="F439" i="22"/>
  <c r="F249" i="22"/>
  <c r="F251" i="22" s="1"/>
  <c r="F452" i="22"/>
  <c r="F215" i="22"/>
  <c r="F219" i="22" s="1"/>
  <c r="F203" i="22"/>
  <c r="F437" i="22"/>
  <c r="F429" i="22"/>
  <c r="F213" i="22"/>
  <c r="F458" i="22"/>
  <c r="F461" i="22"/>
  <c r="F460" i="22"/>
  <c r="F457" i="22"/>
  <c r="F434" i="22"/>
  <c r="F438" i="22"/>
  <c r="F435" i="22"/>
  <c r="F198" i="22"/>
  <c r="F200" i="22"/>
  <c r="F173" i="22"/>
  <c r="F178" i="22" s="1"/>
  <c r="F179" i="22" s="1"/>
  <c r="F202" i="22"/>
  <c r="F442" i="22"/>
  <c r="F441" i="22"/>
  <c r="F199" i="22"/>
  <c r="F167" i="22"/>
  <c r="F197" i="22"/>
  <c r="F201" i="22"/>
  <c r="F196" i="22"/>
  <c r="F72" i="22"/>
  <c r="F122" i="22" s="1"/>
  <c r="F216" i="22" l="1"/>
  <c r="F217" i="22"/>
  <c r="F218" i="22"/>
  <c r="F365" i="22"/>
  <c r="F364" i="22"/>
  <c r="F363" i="22"/>
  <c r="F250" i="22"/>
  <c r="F174" i="22"/>
  <c r="E220" i="22"/>
  <c r="F177" i="22"/>
  <c r="F176" i="22"/>
  <c r="F175" i="22"/>
  <c r="F224" i="22"/>
  <c r="F228" i="22" s="1"/>
  <c r="F234" i="22" s="1"/>
  <c r="E222" i="22"/>
  <c r="F194" i="22"/>
  <c r="F192" i="22"/>
  <c r="F191" i="22"/>
  <c r="F193" i="22"/>
  <c r="F168" i="22"/>
  <c r="F169" i="22"/>
  <c r="F206" i="22"/>
  <c r="F207" i="22"/>
  <c r="F211" i="22"/>
  <c r="F210" i="22"/>
  <c r="F209" i="22"/>
  <c r="F208" i="22"/>
  <c r="F212" i="22"/>
  <c r="F205" i="22"/>
  <c r="F131" i="22"/>
  <c r="F133" i="22"/>
  <c r="F132" i="22"/>
  <c r="F113" i="22"/>
  <c r="F91" i="22"/>
  <c r="F120" i="22"/>
  <c r="E103" i="22"/>
  <c r="F121" i="22"/>
  <c r="F108" i="22"/>
  <c r="E147" i="22"/>
  <c r="E148" i="22"/>
  <c r="E149" i="22"/>
  <c r="E145" i="22"/>
  <c r="E144" i="22"/>
  <c r="E143" i="22"/>
  <c r="F227" i="22" l="1"/>
  <c r="F226" i="22"/>
  <c r="F225" i="22"/>
  <c r="E232" i="22"/>
  <c r="E141" i="22"/>
  <c r="F141" i="22" s="1"/>
  <c r="F231" i="22" l="1"/>
  <c r="F230" i="22"/>
  <c r="F229" i="22"/>
  <c r="E127" i="22"/>
  <c r="E128" i="22"/>
  <c r="E129" i="22"/>
  <c r="F111" i="22"/>
  <c r="F109" i="22"/>
  <c r="F110" i="22"/>
  <c r="F135" i="22"/>
  <c r="F126" i="22"/>
  <c r="F118" i="22"/>
  <c r="E106" i="22"/>
  <c r="F106" i="22" s="1"/>
  <c r="F102" i="22"/>
  <c r="F101" i="22"/>
  <c r="F100" i="22"/>
  <c r="F99" i="22"/>
  <c r="E95" i="22"/>
  <c r="E94" i="22"/>
  <c r="F94" i="22" s="1"/>
  <c r="E93" i="22"/>
  <c r="E92" i="22"/>
  <c r="F96" i="22"/>
  <c r="F90" i="22"/>
  <c r="F83" i="22"/>
  <c r="F85" i="22" s="1"/>
  <c r="F82" i="22"/>
  <c r="F81" i="22"/>
  <c r="F79" i="22"/>
  <c r="F78" i="22"/>
  <c r="F76" i="22"/>
  <c r="F75" i="22"/>
  <c r="O72" i="22"/>
  <c r="E138" i="22" l="1"/>
  <c r="F97" i="22"/>
  <c r="E140" i="22"/>
  <c r="F142" i="22"/>
  <c r="F146" i="22" s="1"/>
  <c r="F152" i="22" s="1"/>
  <c r="F129" i="22"/>
  <c r="F136" i="22"/>
  <c r="F137" i="22"/>
  <c r="F84" i="22"/>
  <c r="F95" i="22"/>
  <c r="F92" i="22"/>
  <c r="F116" i="22"/>
  <c r="F127" i="22"/>
  <c r="F93" i="22"/>
  <c r="F125" i="22"/>
  <c r="F130" i="22"/>
  <c r="F112" i="22"/>
  <c r="F87" i="22"/>
  <c r="F86" i="22"/>
  <c r="F107" i="22"/>
  <c r="F104" i="22"/>
  <c r="F117" i="22"/>
  <c r="F123" i="22"/>
  <c r="F128" i="22"/>
  <c r="F134" i="22"/>
  <c r="F115" i="22"/>
  <c r="F119" i="22"/>
  <c r="F105" i="22"/>
  <c r="F114" i="22"/>
  <c r="F124" i="22"/>
  <c r="F59" i="22"/>
  <c r="F62" i="22" s="1"/>
  <c r="F31" i="22"/>
  <c r="E150" i="22" l="1"/>
  <c r="F147" i="22"/>
  <c r="F148" i="22"/>
  <c r="F149" i="22"/>
  <c r="F139" i="22"/>
  <c r="F143" i="22" l="1"/>
  <c r="F145" i="22"/>
  <c r="F144" i="22"/>
  <c r="E788" i="22"/>
  <c r="F793" i="22"/>
  <c r="E832" i="22" l="1"/>
  <c r="F856" i="22" l="1"/>
  <c r="F854" i="22" l="1"/>
  <c r="F853" i="22"/>
  <c r="F855" i="22"/>
  <c r="F852" i="22"/>
  <c r="F818" i="22" l="1"/>
  <c r="F830" i="22" l="1"/>
  <c r="F835" i="22" s="1"/>
  <c r="F843" i="22"/>
  <c r="F837" i="22"/>
  <c r="F797" i="22"/>
  <c r="F798" i="22"/>
  <c r="F786" i="22"/>
  <c r="F826" i="22"/>
  <c r="F824" i="22"/>
  <c r="F827" i="22" s="1"/>
  <c r="F812" i="22"/>
  <c r="F811" i="22"/>
  <c r="E810" i="22"/>
  <c r="F810" i="22" s="1"/>
  <c r="E809" i="22"/>
  <c r="F809" i="22" s="1"/>
  <c r="E808" i="22"/>
  <c r="F808" i="22" s="1"/>
  <c r="E803" i="22"/>
  <c r="F792" i="22"/>
  <c r="E791" i="22"/>
  <c r="F791" i="22" s="1"/>
  <c r="F790" i="22"/>
  <c r="F789" i="22"/>
  <c r="E807" i="22"/>
  <c r="F832" i="22" l="1"/>
  <c r="F831" i="22"/>
  <c r="F833" i="22"/>
  <c r="F834" i="22"/>
  <c r="F836" i="22"/>
  <c r="F842" i="22"/>
  <c r="F839" i="22"/>
  <c r="F841" i="22"/>
  <c r="F840" i="22"/>
  <c r="F838" i="22"/>
  <c r="F850" i="22"/>
  <c r="F849" i="22"/>
  <c r="F848" i="22"/>
  <c r="F845" i="22"/>
  <c r="F844" i="22"/>
  <c r="F813" i="22"/>
  <c r="F815" i="22" s="1"/>
  <c r="F825" i="22"/>
  <c r="F796" i="22"/>
  <c r="F795" i="22"/>
  <c r="F794" i="22"/>
  <c r="F821" i="22" l="1"/>
  <c r="F822" i="22"/>
  <c r="F819" i="22"/>
  <c r="F820" i="22"/>
  <c r="F823" i="22"/>
  <c r="F814" i="22"/>
  <c r="F787" i="22"/>
  <c r="F804" i="22"/>
  <c r="F799" i="22"/>
  <c r="F803" i="22"/>
  <c r="F802" i="22"/>
  <c r="F800" i="22"/>
  <c r="F801" i="22"/>
  <c r="F816" i="22" l="1"/>
  <c r="F817" i="22"/>
  <c r="F767" i="22" l="1"/>
  <c r="F766" i="22"/>
  <c r="E765" i="22"/>
  <c r="F765" i="22" s="1"/>
  <c r="E764" i="22"/>
  <c r="F764" i="22" s="1"/>
  <c r="E763" i="22"/>
  <c r="F763" i="22" s="1"/>
  <c r="E758" i="22"/>
  <c r="F747" i="22"/>
  <c r="E746" i="22"/>
  <c r="F746" i="22" s="1"/>
  <c r="F745" i="22"/>
  <c r="F744" i="22"/>
  <c r="F781" i="22"/>
  <c r="E762" i="22" l="1"/>
  <c r="F773" i="22"/>
  <c r="F753" i="22"/>
  <c r="F758" i="22" s="1"/>
  <c r="F741" i="22"/>
  <c r="E743" i="22"/>
  <c r="F748" i="22"/>
  <c r="F779" i="22"/>
  <c r="F757" i="22" l="1"/>
  <c r="F755" i="22"/>
  <c r="F754" i="22"/>
  <c r="F759" i="22"/>
  <c r="F756" i="22"/>
  <c r="F768" i="22"/>
  <c r="F769" i="22" s="1"/>
  <c r="F742" i="22"/>
  <c r="F776" i="22"/>
  <c r="F777" i="22"/>
  <c r="F778" i="22"/>
  <c r="F774" i="22"/>
  <c r="F775" i="22"/>
  <c r="F780" i="22"/>
  <c r="F782" i="22"/>
  <c r="F751" i="22"/>
  <c r="F752" i="22"/>
  <c r="F749" i="22"/>
  <c r="F750" i="22"/>
  <c r="F339" i="22"/>
  <c r="F730" i="22"/>
  <c r="C729" i="22"/>
  <c r="C726" i="22"/>
  <c r="E714" i="22"/>
  <c r="E716" i="22"/>
  <c r="F729" i="22" s="1"/>
  <c r="E712" i="22"/>
  <c r="E710" i="22"/>
  <c r="E711" i="22" s="1"/>
  <c r="F726" i="22" s="1"/>
  <c r="E708" i="22"/>
  <c r="E709" i="22" s="1"/>
  <c r="F725" i="22" s="1"/>
  <c r="E706" i="22"/>
  <c r="E707" i="22" s="1"/>
  <c r="E704" i="22"/>
  <c r="E705" i="22" s="1"/>
  <c r="F692" i="22"/>
  <c r="F685" i="22"/>
  <c r="F680" i="22"/>
  <c r="F670" i="22"/>
  <c r="F732" i="22" l="1"/>
  <c r="F723" i="22"/>
  <c r="F770" i="22"/>
  <c r="F771" i="22" s="1"/>
  <c r="F700" i="22"/>
  <c r="F522" i="22"/>
  <c r="F523" i="22" s="1"/>
  <c r="F517" i="22"/>
  <c r="F537" i="22"/>
  <c r="F539" i="22" s="1"/>
  <c r="F532" i="22"/>
  <c r="E530" i="22"/>
  <c r="E529" i="22"/>
  <c r="E528" i="22"/>
  <c r="E520" i="22"/>
  <c r="F512" i="22"/>
  <c r="F514" i="22" s="1"/>
  <c r="F545" i="22"/>
  <c r="F547" i="22" s="1"/>
  <c r="F527" i="22" l="1"/>
  <c r="F530" i="22" s="1"/>
  <c r="F772" i="22"/>
  <c r="F518" i="22"/>
  <c r="F546" i="22"/>
  <c r="F525" i="22"/>
  <c r="F513" i="22"/>
  <c r="F524" i="22"/>
  <c r="F526" i="22"/>
  <c r="F540" i="22"/>
  <c r="F541" i="22"/>
  <c r="F521" i="22"/>
  <c r="F538" i="22"/>
  <c r="F536" i="22"/>
  <c r="F520" i="22"/>
  <c r="F542" i="22"/>
  <c r="F533" i="22"/>
  <c r="F534" i="22"/>
  <c r="F535" i="22"/>
  <c r="F516" i="22"/>
  <c r="F515" i="22"/>
  <c r="F519" i="22"/>
  <c r="F528" i="22" l="1"/>
  <c r="F529" i="22"/>
  <c r="F41" i="22" l="1"/>
  <c r="F40" i="22" l="1"/>
  <c r="F35" i="27" l="1"/>
  <c r="F31" i="27"/>
  <c r="F35" i="23"/>
  <c r="F30" i="23"/>
  <c r="F81" i="23"/>
  <c r="C724" i="22" l="1"/>
  <c r="C725" i="22"/>
  <c r="F724" i="22"/>
  <c r="F349" i="22" l="1"/>
  <c r="F352" i="22" s="1"/>
  <c r="F882" i="22"/>
  <c r="F868" i="22"/>
  <c r="F861" i="22"/>
  <c r="F879" i="22"/>
  <c r="E874" i="22"/>
  <c r="E867" i="22"/>
  <c r="F320" i="22"/>
  <c r="F884" i="22" l="1"/>
  <c r="F353" i="22"/>
  <c r="F350" i="22"/>
  <c r="F883" i="22"/>
  <c r="F874" i="22"/>
  <c r="F351" i="22"/>
  <c r="F867" i="22"/>
  <c r="F881" i="22"/>
  <c r="F860" i="22"/>
  <c r="F885" i="22"/>
  <c r="F862" i="22"/>
  <c r="F863" i="22"/>
  <c r="F876" i="22"/>
  <c r="F870" i="22"/>
  <c r="F875" i="22"/>
  <c r="F865" i="22"/>
  <c r="F872" i="22"/>
  <c r="F877" i="22"/>
  <c r="F871" i="22"/>
  <c r="F866" i="22"/>
  <c r="F873" i="22"/>
  <c r="F385" i="22" l="1"/>
  <c r="F334" i="22"/>
  <c r="E400" i="22"/>
  <c r="E399" i="22"/>
  <c r="E397" i="22"/>
  <c r="F397" i="22" s="1"/>
  <c r="E396" i="22"/>
  <c r="D395" i="22"/>
  <c r="E394" i="22"/>
  <c r="E393" i="22"/>
  <c r="E392" i="22"/>
  <c r="F344" i="22"/>
  <c r="F343" i="22"/>
  <c r="F345" i="22"/>
  <c r="E324" i="22"/>
  <c r="F323" i="22"/>
  <c r="F333" i="22" l="1"/>
  <c r="F335" i="22"/>
  <c r="F336" i="22"/>
  <c r="F332" i="22"/>
  <c r="F337" i="22"/>
  <c r="F355" i="22"/>
  <c r="F325" i="22"/>
  <c r="F324" i="22"/>
  <c r="F342" i="22"/>
  <c r="F346" i="22"/>
  <c r="F384" i="22"/>
  <c r="F388" i="22"/>
  <c r="F392" i="22"/>
  <c r="F393" i="22"/>
  <c r="F396" i="22"/>
  <c r="F322" i="22"/>
  <c r="F341" i="22"/>
  <c r="F387" i="22"/>
  <c r="F386" i="22"/>
  <c r="F398" i="22"/>
  <c r="F391" i="22"/>
  <c r="F394" i="22"/>
  <c r="F395" i="22"/>
  <c r="F367" i="22" l="1"/>
  <c r="F401" i="22"/>
  <c r="F402" i="22"/>
  <c r="F403" i="22"/>
  <c r="F400" i="22"/>
  <c r="F399" i="22"/>
  <c r="F32" i="22" l="1"/>
  <c r="F27" i="22" l="1"/>
  <c r="E24" i="22"/>
  <c r="A1" i="22" l="1"/>
  <c r="F190" i="27" l="1"/>
  <c r="F189" i="27"/>
  <c r="F188" i="27"/>
  <c r="F187" i="27"/>
  <c r="E15" i="27" l="1"/>
  <c r="F49" i="23" l="1"/>
  <c r="F40" i="23" l="1"/>
  <c r="F728" i="22" l="1"/>
  <c r="C728" i="22"/>
  <c r="C727" i="22"/>
  <c r="C723" i="22"/>
  <c r="E713" i="22"/>
  <c r="F719" i="22" s="1"/>
  <c r="F727" i="22" l="1"/>
  <c r="F19" i="22"/>
  <c r="F38" i="22"/>
  <c r="F64" i="22" l="1"/>
  <c r="F66" i="22"/>
  <c r="F37" i="22"/>
  <c r="F95" i="27"/>
  <c r="E93" i="27"/>
  <c r="F76" i="27"/>
  <c r="E74" i="27"/>
  <c r="E33" i="27"/>
  <c r="F25" i="27"/>
  <c r="F17" i="27"/>
  <c r="F38" i="27" s="1"/>
  <c r="E80" i="27"/>
  <c r="E79" i="27"/>
  <c r="E78" i="27"/>
  <c r="E77" i="27"/>
  <c r="F84" i="27"/>
  <c r="F188" i="23"/>
  <c r="F177" i="23"/>
  <c r="E176" i="23"/>
  <c r="E175" i="23"/>
  <c r="E174" i="23"/>
  <c r="E21" i="27"/>
  <c r="E20" i="27"/>
  <c r="E19" i="27"/>
  <c r="E18" i="27"/>
  <c r="F185" i="23"/>
  <c r="F180" i="23"/>
  <c r="F173" i="23"/>
  <c r="F77" i="27" l="1"/>
  <c r="F80" i="27"/>
  <c r="F79" i="27"/>
  <c r="F98" i="27"/>
  <c r="F100" i="27" s="1"/>
  <c r="F21" i="27"/>
  <c r="F19" i="27"/>
  <c r="F18" i="27"/>
  <c r="F20" i="27"/>
  <c r="F78" i="27"/>
  <c r="E167" i="27"/>
  <c r="F161" i="27"/>
  <c r="F168" i="27" s="1"/>
  <c r="F159" i="27"/>
  <c r="F171" i="27" s="1"/>
  <c r="F153" i="27"/>
  <c r="F155" i="27" s="1"/>
  <c r="F146" i="27"/>
  <c r="F152" i="27" s="1"/>
  <c r="E141" i="27"/>
  <c r="F140" i="27"/>
  <c r="F142" i="27" s="1"/>
  <c r="E130" i="27"/>
  <c r="E128" i="27"/>
  <c r="E127" i="27"/>
  <c r="E126" i="27"/>
  <c r="E125" i="27"/>
  <c r="F123" i="27"/>
  <c r="F173" i="27" l="1"/>
  <c r="F172" i="27"/>
  <c r="F141" i="27"/>
  <c r="F165" i="27"/>
  <c r="F169" i="27"/>
  <c r="F164" i="27"/>
  <c r="F170" i="27"/>
  <c r="F148" i="27"/>
  <c r="F132" i="27"/>
  <c r="F121" i="27" s="1"/>
  <c r="F124" i="27" s="1"/>
  <c r="F147" i="27"/>
  <c r="F154" i="27"/>
  <c r="F157" i="27"/>
  <c r="F160" i="27"/>
  <c r="F162" i="27"/>
  <c r="F166" i="27"/>
  <c r="F167" i="27"/>
  <c r="F163" i="27"/>
  <c r="E122" i="27" l="1"/>
  <c r="F138" i="27"/>
  <c r="F139" i="27" s="1"/>
  <c r="F129" i="27"/>
  <c r="F137" i="27"/>
  <c r="F134" i="27"/>
  <c r="F133" i="27"/>
  <c r="F143" i="27" l="1"/>
  <c r="F126" i="27"/>
  <c r="F127" i="27"/>
  <c r="F125" i="27"/>
  <c r="F128" i="27"/>
  <c r="F144" i="27"/>
  <c r="F131" i="27"/>
  <c r="F130" i="27"/>
  <c r="F145" i="27" l="1"/>
  <c r="A1" i="5"/>
  <c r="A1" i="3"/>
  <c r="A1" i="26"/>
  <c r="F118" i="27"/>
  <c r="F117" i="27"/>
  <c r="F116" i="27"/>
  <c r="F115" i="27"/>
  <c r="F114" i="27"/>
  <c r="F101" i="27"/>
  <c r="F103" i="27" s="1"/>
  <c r="E96" i="27"/>
  <c r="F94" i="27"/>
  <c r="E92" i="27"/>
  <c r="D90" i="27"/>
  <c r="E89" i="27"/>
  <c r="E88" i="27"/>
  <c r="F87" i="27"/>
  <c r="E85" i="27"/>
  <c r="F86" i="27"/>
  <c r="F81" i="27"/>
  <c r="F83" i="27" s="1"/>
  <c r="F71" i="27"/>
  <c r="F70" i="27"/>
  <c r="F69" i="27"/>
  <c r="F68" i="27"/>
  <c r="F63" i="27"/>
  <c r="F66" i="27" s="1"/>
  <c r="E62" i="27"/>
  <c r="E48" i="27"/>
  <c r="E47" i="27"/>
  <c r="F46" i="27"/>
  <c r="F41" i="27"/>
  <c r="F45" i="27" s="1"/>
  <c r="E36" i="27"/>
  <c r="F34" i="27"/>
  <c r="F28" i="27"/>
  <c r="F32" i="27" s="1"/>
  <c r="E26" i="27"/>
  <c r="F27" i="27"/>
  <c r="F22" i="27"/>
  <c r="F24" i="27" s="1"/>
  <c r="A1" i="27"/>
  <c r="F222" i="23"/>
  <c r="F226" i="23" s="1"/>
  <c r="F218" i="23"/>
  <c r="F214" i="23" s="1"/>
  <c r="F209" i="23"/>
  <c r="F211" i="23" s="1"/>
  <c r="F201" i="23"/>
  <c r="F202" i="23" s="1"/>
  <c r="F197" i="23"/>
  <c r="F198" i="23" s="1"/>
  <c r="F189" i="23"/>
  <c r="F187" i="23"/>
  <c r="E186" i="23"/>
  <c r="F186" i="23" s="1"/>
  <c r="F184" i="23"/>
  <c r="F183" i="23"/>
  <c r="F182" i="23"/>
  <c r="F181" i="23"/>
  <c r="F179" i="23"/>
  <c r="F178" i="23"/>
  <c r="F176" i="23"/>
  <c r="F175" i="23"/>
  <c r="F174" i="23"/>
  <c r="F172" i="23"/>
  <c r="F155" i="23"/>
  <c r="F157" i="23" s="1"/>
  <c r="F150" i="23"/>
  <c r="F152" i="23" s="1"/>
  <c r="F145" i="23"/>
  <c r="F147" i="23" s="1"/>
  <c r="F140" i="23"/>
  <c r="F142" i="23" s="1"/>
  <c r="F135" i="23"/>
  <c r="F137" i="23" s="1"/>
  <c r="F126" i="23"/>
  <c r="F128" i="23" s="1"/>
  <c r="F119" i="23"/>
  <c r="F121" i="23" s="1"/>
  <c r="F114" i="23"/>
  <c r="F116" i="23" s="1"/>
  <c r="F109" i="23"/>
  <c r="F111" i="23" s="1"/>
  <c r="F94" i="23"/>
  <c r="F95" i="23" s="1"/>
  <c r="F85" i="23"/>
  <c r="F86" i="23" s="1"/>
  <c r="F79" i="23"/>
  <c r="E52" i="23"/>
  <c r="F62" i="23" s="1"/>
  <c r="F45" i="23"/>
  <c r="E43" i="23"/>
  <c r="F43" i="23" s="1"/>
  <c r="F42" i="23"/>
  <c r="F41" i="23"/>
  <c r="F36" i="23"/>
  <c r="F32" i="23"/>
  <c r="E29" i="23"/>
  <c r="F29" i="23" s="1"/>
  <c r="F22" i="23"/>
  <c r="F23" i="23" s="1"/>
  <c r="F21" i="23"/>
  <c r="F20" i="23"/>
  <c r="E18" i="23"/>
  <c r="E17" i="23"/>
  <c r="F17" i="23" s="1"/>
  <c r="E16" i="23"/>
  <c r="F13" i="23"/>
  <c r="A1" i="23"/>
  <c r="F1279" i="22"/>
  <c r="F1281" i="22" s="1"/>
  <c r="F1278" i="22"/>
  <c r="F1274" i="22"/>
  <c r="F1273" i="22"/>
  <c r="F1272" i="22"/>
  <c r="F1271" i="22"/>
  <c r="F1270" i="22"/>
  <c r="F1269" i="22"/>
  <c r="F1268" i="22"/>
  <c r="F1267" i="22"/>
  <c r="F1265" i="22"/>
  <c r="F1266" i="22" s="1"/>
  <c r="F1236" i="22"/>
  <c r="F1235" i="22"/>
  <c r="F1234" i="22"/>
  <c r="F1233" i="22"/>
  <c r="F1232" i="22"/>
  <c r="F1231" i="22"/>
  <c r="F1230" i="22"/>
  <c r="F1229" i="22"/>
  <c r="F1228" i="22"/>
  <c r="F1227" i="22"/>
  <c r="F1226" i="22"/>
  <c r="F1225" i="22"/>
  <c r="F1224" i="22"/>
  <c r="F1223" i="22"/>
  <c r="F1222" i="22"/>
  <c r="F1221" i="22"/>
  <c r="F1220" i="22"/>
  <c r="F1219" i="22"/>
  <c r="F1218" i="22"/>
  <c r="F1217" i="22"/>
  <c r="F1216" i="22"/>
  <c r="F1215" i="22"/>
  <c r="F1214" i="22"/>
  <c r="F1213" i="22"/>
  <c r="F1212" i="22"/>
  <c r="F1211" i="22"/>
  <c r="F1210" i="22"/>
  <c r="F1209" i="22"/>
  <c r="F1208" i="22"/>
  <c r="F1207" i="22"/>
  <c r="F1206" i="22"/>
  <c r="F1205" i="22"/>
  <c r="F1204" i="22"/>
  <c r="F1203" i="22"/>
  <c r="F1202" i="22"/>
  <c r="F1201" i="22"/>
  <c r="F1200" i="22"/>
  <c r="F1199" i="22"/>
  <c r="F1198" i="22"/>
  <c r="F1197" i="22"/>
  <c r="F1196" i="22"/>
  <c r="F1195" i="22"/>
  <c r="F1194" i="22"/>
  <c r="F1193" i="22"/>
  <c r="F1188" i="22"/>
  <c r="E1128" i="22"/>
  <c r="E1127" i="22"/>
  <c r="F1126" i="22"/>
  <c r="F1125" i="22"/>
  <c r="F1115" i="22"/>
  <c r="F1116" i="22" s="1"/>
  <c r="E1112" i="22"/>
  <c r="E1111" i="22"/>
  <c r="E1110" i="22"/>
  <c r="F1109" i="22"/>
  <c r="F1114" i="22" s="1"/>
  <c r="F1108" i="22"/>
  <c r="F1107" i="22"/>
  <c r="F1106" i="22"/>
  <c r="E1103" i="22"/>
  <c r="F1098" i="22"/>
  <c r="E1096" i="22"/>
  <c r="F1093" i="22"/>
  <c r="F1097" i="22" s="1"/>
  <c r="F1091" i="22"/>
  <c r="E1083" i="22"/>
  <c r="E1082" i="22"/>
  <c r="F1078" i="22"/>
  <c r="C1078" i="22"/>
  <c r="C1077" i="22"/>
  <c r="C1076" i="22"/>
  <c r="C1075" i="22"/>
  <c r="C1074" i="22"/>
  <c r="C1073" i="22"/>
  <c r="E1068" i="22"/>
  <c r="F1077" i="22"/>
  <c r="E1064" i="22"/>
  <c r="F1076" i="22" s="1"/>
  <c r="F1075" i="22"/>
  <c r="E1060" i="22"/>
  <c r="F1074" i="22" s="1"/>
  <c r="E1058" i="22"/>
  <c r="E1046" i="22"/>
  <c r="F1043" i="22"/>
  <c r="E1020" i="22"/>
  <c r="F1035" i="22"/>
  <c r="F1037" i="22" s="1"/>
  <c r="E1004" i="22"/>
  <c r="E978" i="22"/>
  <c r="F973" i="22"/>
  <c r="E970" i="22"/>
  <c r="F965" i="22"/>
  <c r="F967" i="22" s="1"/>
  <c r="F960" i="22"/>
  <c r="F963" i="22" s="1"/>
  <c r="F959" i="22"/>
  <c r="E958" i="22"/>
  <c r="F958" i="22" s="1"/>
  <c r="F957" i="22"/>
  <c r="F956" i="22"/>
  <c r="E955" i="22"/>
  <c r="F950" i="22"/>
  <c r="F952" i="22" s="1"/>
  <c r="E734" i="22"/>
  <c r="E733" i="22"/>
  <c r="F699" i="22"/>
  <c r="F698" i="22"/>
  <c r="E697" i="22"/>
  <c r="F697" i="22" s="1"/>
  <c r="E696" i="22"/>
  <c r="F696" i="22" s="1"/>
  <c r="E695" i="22"/>
  <c r="F695" i="22" s="1"/>
  <c r="F689" i="22"/>
  <c r="F683" i="22"/>
  <c r="F679" i="22"/>
  <c r="E678" i="22"/>
  <c r="F678" i="22" s="1"/>
  <c r="F677" i="22"/>
  <c r="F676" i="22"/>
  <c r="F671" i="22"/>
  <c r="F667" i="22"/>
  <c r="F666" i="22"/>
  <c r="F665" i="22"/>
  <c r="F664" i="22"/>
  <c r="E662" i="22"/>
  <c r="E661" i="22"/>
  <c r="E660" i="22"/>
  <c r="E659" i="22"/>
  <c r="E658" i="22"/>
  <c r="E657" i="22"/>
  <c r="E656" i="22"/>
  <c r="F655" i="22"/>
  <c r="F652" i="22"/>
  <c r="F653" i="22" s="1"/>
  <c r="E651" i="22"/>
  <c r="E650" i="22"/>
  <c r="E649" i="22"/>
  <c r="E648" i="22"/>
  <c r="E647" i="22"/>
  <c r="E646" i="22"/>
  <c r="E645" i="22"/>
  <c r="F641" i="22"/>
  <c r="F642" i="22" s="1"/>
  <c r="E640" i="22"/>
  <c r="E639" i="22"/>
  <c r="E638" i="22"/>
  <c r="E637" i="22"/>
  <c r="E636" i="22"/>
  <c r="E635" i="22"/>
  <c r="E634" i="22"/>
  <c r="E633" i="22"/>
  <c r="E632" i="22"/>
  <c r="E631" i="22"/>
  <c r="F630" i="22"/>
  <c r="F644" i="22" s="1"/>
  <c r="F622" i="22"/>
  <c r="F625" i="22" s="1"/>
  <c r="E615" i="22"/>
  <c r="F613" i="22"/>
  <c r="F618" i="22" s="1"/>
  <c r="F612" i="22"/>
  <c r="F611" i="22"/>
  <c r="E609" i="22"/>
  <c r="F604" i="22"/>
  <c r="E602" i="22"/>
  <c r="F599" i="22"/>
  <c r="F594" i="22"/>
  <c r="F596" i="22" s="1"/>
  <c r="E591" i="22"/>
  <c r="E590" i="22"/>
  <c r="E587" i="22"/>
  <c r="F585" i="22"/>
  <c r="F586" i="22" s="1"/>
  <c r="E583" i="22"/>
  <c r="F580" i="22"/>
  <c r="F582" i="22" s="1"/>
  <c r="F575" i="22"/>
  <c r="F577" i="22" s="1"/>
  <c r="F566" i="22"/>
  <c r="F571" i="22" s="1"/>
  <c r="F559" i="22"/>
  <c r="E558" i="22"/>
  <c r="E557" i="22"/>
  <c r="E556" i="22"/>
  <c r="E553" i="22"/>
  <c r="F550" i="22"/>
  <c r="F551" i="22" s="1"/>
  <c r="F504" i="22"/>
  <c r="F506" i="22" s="1"/>
  <c r="F498" i="22"/>
  <c r="F503" i="22" s="1"/>
  <c r="E497" i="22"/>
  <c r="E496" i="22"/>
  <c r="E495" i="22"/>
  <c r="E492" i="22"/>
  <c r="F489" i="22"/>
  <c r="F490" i="22" s="1"/>
  <c r="F484" i="22"/>
  <c r="F486" i="22" s="1"/>
  <c r="E481" i="22"/>
  <c r="E480" i="22"/>
  <c r="E476" i="22"/>
  <c r="F474" i="22"/>
  <c r="E472" i="22"/>
  <c r="F469" i="22"/>
  <c r="F464" i="22"/>
  <c r="F465" i="22" s="1"/>
  <c r="E48" i="22"/>
  <c r="F48" i="22" s="1"/>
  <c r="F47" i="22"/>
  <c r="E45" i="22"/>
  <c r="F45" i="22" s="1"/>
  <c r="F44" i="22"/>
  <c r="F35" i="22"/>
  <c r="F34" i="22"/>
  <c r="F29" i="22"/>
  <c r="F26" i="22"/>
  <c r="F25" i="22"/>
  <c r="F23" i="22"/>
  <c r="F20" i="22"/>
  <c r="F18" i="22"/>
  <c r="F17" i="22"/>
  <c r="F15" i="22"/>
  <c r="F14" i="22"/>
  <c r="F470" i="22" l="1"/>
  <c r="F471" i="22"/>
  <c r="F113" i="23"/>
  <c r="F479" i="22"/>
  <c r="F478" i="22"/>
  <c r="F609" i="22"/>
  <c r="F151" i="23"/>
  <c r="E53" i="23"/>
  <c r="F58" i="23" s="1"/>
  <c r="F146" i="23"/>
  <c r="F47" i="23"/>
  <c r="F48" i="23"/>
  <c r="F141" i="23"/>
  <c r="F210" i="23"/>
  <c r="F76" i="23"/>
  <c r="F78" i="23" s="1"/>
  <c r="F118" i="23"/>
  <c r="F136" i="23"/>
  <c r="F156" i="23"/>
  <c r="F602" i="22"/>
  <c r="F564" i="22"/>
  <c r="F560" i="22"/>
  <c r="F561" i="22" s="1"/>
  <c r="F583" i="22"/>
  <c r="F646" i="22"/>
  <c r="F660" i="22"/>
  <c r="F632" i="22"/>
  <c r="F635" i="22"/>
  <c r="F656" i="22"/>
  <c r="F682" i="22"/>
  <c r="F658" i="22"/>
  <c r="F661" i="22"/>
  <c r="F645" i="22"/>
  <c r="F978" i="22"/>
  <c r="F1280" i="22"/>
  <c r="F576" i="22"/>
  <c r="F639" i="22"/>
  <c r="F672" i="22"/>
  <c r="F673" i="22" s="1"/>
  <c r="F690" i="22"/>
  <c r="F1004" i="22"/>
  <c r="F626" i="22"/>
  <c r="F631" i="22"/>
  <c r="F638" i="22"/>
  <c r="F643" i="22"/>
  <c r="F1112" i="22"/>
  <c r="F481" i="22"/>
  <c r="F499" i="22"/>
  <c r="F500" i="22" s="1"/>
  <c r="F568" i="22"/>
  <c r="F629" i="22"/>
  <c r="F633" i="22"/>
  <c r="F636" i="22"/>
  <c r="F640" i="22"/>
  <c r="F649" i="22"/>
  <c r="F657" i="22"/>
  <c r="F659" i="22"/>
  <c r="F662" i="22"/>
  <c r="F634" i="22"/>
  <c r="F637" i="22"/>
  <c r="F1103" i="22"/>
  <c r="F472" i="22"/>
  <c r="F476" i="22"/>
  <c r="F480" i="22"/>
  <c r="F508" i="22"/>
  <c r="F567" i="22"/>
  <c r="F587" i="22"/>
  <c r="F595" i="22"/>
  <c r="F603" i="22"/>
  <c r="F610" i="22"/>
  <c r="F624" i="22"/>
  <c r="F651" i="22"/>
  <c r="F648" i="22"/>
  <c r="F650" i="22"/>
  <c r="F688" i="22"/>
  <c r="F951" i="22"/>
  <c r="F970" i="22"/>
  <c r="F1002" i="22"/>
  <c r="E1066" i="22"/>
  <c r="F1069" i="22" s="1"/>
  <c r="F1117" i="22"/>
  <c r="F1118" i="22" s="1"/>
  <c r="F1110" i="22"/>
  <c r="F1187" i="22"/>
  <c r="F968" i="22"/>
  <c r="F1045" i="22"/>
  <c r="F584" i="22"/>
  <c r="F605" i="22"/>
  <c r="F969" i="22"/>
  <c r="F1005" i="22"/>
  <c r="F1006" i="22" s="1"/>
  <c r="F1111" i="22"/>
  <c r="F507" i="22"/>
  <c r="F572" i="22"/>
  <c r="F581" i="22"/>
  <c r="F686" i="22"/>
  <c r="F737" i="22"/>
  <c r="F1042" i="22"/>
  <c r="F21" i="22"/>
  <c r="F28" i="22"/>
  <c r="F549" i="22"/>
  <c r="F548" i="22"/>
  <c r="F466" i="22"/>
  <c r="F597" i="22"/>
  <c r="F598" i="22"/>
  <c r="F578" i="22"/>
  <c r="F579" i="22"/>
  <c r="F488" i="22"/>
  <c r="F487" i="22"/>
  <c r="F65" i="22"/>
  <c r="F954" i="22"/>
  <c r="F953" i="22"/>
  <c r="F473" i="22"/>
  <c r="F475" i="22"/>
  <c r="F485" i="22"/>
  <c r="F494" i="22"/>
  <c r="F505" i="22"/>
  <c r="F509" i="22"/>
  <c r="F555" i="22"/>
  <c r="F600" i="22"/>
  <c r="F607" i="22"/>
  <c r="F616" i="22"/>
  <c r="F647" i="22"/>
  <c r="F701" i="22"/>
  <c r="F681" i="22"/>
  <c r="F687" i="22"/>
  <c r="F962" i="22"/>
  <c r="F493" i="22"/>
  <c r="F554" i="22"/>
  <c r="F589" i="22"/>
  <c r="F590" i="22"/>
  <c r="F591" i="22"/>
  <c r="F606" i="22"/>
  <c r="F654" i="22"/>
  <c r="F691" i="22"/>
  <c r="F491" i="22"/>
  <c r="F492" i="22"/>
  <c r="F552" i="22"/>
  <c r="F553" i="22"/>
  <c r="F588" i="22"/>
  <c r="F615" i="22"/>
  <c r="F617" i="22"/>
  <c r="F961" i="22"/>
  <c r="F964" i="22"/>
  <c r="F984" i="22"/>
  <c r="F980" i="22"/>
  <c r="F981" i="22"/>
  <c r="F976" i="22"/>
  <c r="F994" i="22"/>
  <c r="F979" i="22"/>
  <c r="F601" i="22"/>
  <c r="F608" i="22"/>
  <c r="F614" i="22"/>
  <c r="F627" i="22"/>
  <c r="F623" i="22"/>
  <c r="F628" i="22"/>
  <c r="F684" i="22"/>
  <c r="F977" i="22"/>
  <c r="F1073" i="22"/>
  <c r="F966" i="22"/>
  <c r="F971" i="22"/>
  <c r="F1003" i="22"/>
  <c r="F1013" i="22"/>
  <c r="F1024" i="22"/>
  <c r="F1041" i="22"/>
  <c r="F1095" i="22"/>
  <c r="F1096" i="22"/>
  <c r="F1100" i="22"/>
  <c r="F1102" i="22"/>
  <c r="F1123" i="22"/>
  <c r="F1012" i="22"/>
  <c r="F1016" i="22"/>
  <c r="F1039" i="22"/>
  <c r="F1081" i="22"/>
  <c r="F1104" i="22"/>
  <c r="F1099" i="22"/>
  <c r="F1011" i="22"/>
  <c r="F1015" i="22"/>
  <c r="F1031" i="22"/>
  <c r="F1036" i="22"/>
  <c r="F1119" i="22"/>
  <c r="F1094" i="22"/>
  <c r="F1101" i="22"/>
  <c r="F1128" i="22"/>
  <c r="F1127" i="22"/>
  <c r="F1014" i="22"/>
  <c r="F1038" i="22"/>
  <c r="F1044" i="22"/>
  <c r="F1092" i="22"/>
  <c r="F1105" i="22"/>
  <c r="F1189" i="22"/>
  <c r="F1190" i="22"/>
  <c r="F1248" i="22"/>
  <c r="F1249" i="22"/>
  <c r="F1192" i="22"/>
  <c r="F1191" i="22"/>
  <c r="F1113" i="22"/>
  <c r="F64" i="23"/>
  <c r="F65" i="23"/>
  <c r="F67" i="23"/>
  <c r="F63" i="23"/>
  <c r="F37" i="23"/>
  <c r="F38" i="23" s="1"/>
  <c r="F16" i="23"/>
  <c r="F46" i="23"/>
  <c r="F50" i="23"/>
  <c r="F110" i="23"/>
  <c r="F115" i="23"/>
  <c r="F120" i="23"/>
  <c r="F125" i="23"/>
  <c r="F134" i="23"/>
  <c r="F139" i="23"/>
  <c r="F144" i="23"/>
  <c r="F149" i="23"/>
  <c r="F154" i="23"/>
  <c r="F159" i="23"/>
  <c r="F213" i="23"/>
  <c r="F92" i="23"/>
  <c r="F127" i="23"/>
  <c r="F200" i="23"/>
  <c r="F75" i="27"/>
  <c r="F92" i="27"/>
  <c r="F23" i="27"/>
  <c r="F36" i="27"/>
  <c r="F62" i="27"/>
  <c r="F82" i="27"/>
  <c r="F18" i="23"/>
  <c r="F24" i="23"/>
  <c r="F39" i="23"/>
  <c r="F27" i="23"/>
  <c r="F44" i="23"/>
  <c r="F215" i="23"/>
  <c r="F221" i="23"/>
  <c r="F216" i="23"/>
  <c r="F66" i="23"/>
  <c r="F224" i="23"/>
  <c r="F223" i="23"/>
  <c r="F47" i="27"/>
  <c r="F48" i="27"/>
  <c r="F37" i="27"/>
  <c r="F85" i="27"/>
  <c r="F88" i="27"/>
  <c r="F96" i="27"/>
  <c r="F102" i="27"/>
  <c r="F90" i="27"/>
  <c r="F89" i="27"/>
  <c r="F97" i="27"/>
  <c r="F112" i="27"/>
  <c r="F99" i="27"/>
  <c r="F43" i="27"/>
  <c r="F42" i="27"/>
  <c r="F30" i="27"/>
  <c r="F29" i="27"/>
  <c r="F39" i="27"/>
  <c r="F40" i="27"/>
  <c r="F16" i="27"/>
  <c r="F26" i="27"/>
  <c r="F64" i="27"/>
  <c r="F65" i="27"/>
  <c r="F77" i="23" l="1"/>
  <c r="F54" i="23"/>
  <c r="F80" i="23"/>
  <c r="F562" i="22"/>
  <c r="F563" i="22"/>
  <c r="F82" i="23"/>
  <c r="F674" i="22"/>
  <c r="F735" i="22"/>
  <c r="F734" i="22"/>
  <c r="F736" i="22"/>
  <c r="F733" i="22"/>
  <c r="O567" i="22"/>
  <c r="F501" i="22"/>
  <c r="F502" i="22"/>
  <c r="F1007" i="22"/>
  <c r="F1008" i="22"/>
  <c r="F1084" i="22"/>
  <c r="F1083" i="22"/>
  <c r="F1082" i="22"/>
  <c r="F1086" i="22"/>
  <c r="F1085" i="22"/>
  <c r="F1050" i="22"/>
  <c r="F1048" i="22"/>
  <c r="F1051" i="22"/>
  <c r="F1049" i="22"/>
  <c r="F1047" i="22"/>
  <c r="F1021" i="22"/>
  <c r="F1022" i="22"/>
  <c r="F1017" i="22"/>
  <c r="F1023" i="22"/>
  <c r="F1018" i="22"/>
  <c r="F1020" i="22"/>
  <c r="F1019" i="22"/>
  <c r="F1080" i="22"/>
  <c r="F1070" i="22"/>
  <c r="F1071" i="22"/>
  <c r="F558" i="22"/>
  <c r="F557" i="22"/>
  <c r="F556" i="22"/>
  <c r="F497" i="22"/>
  <c r="F496" i="22"/>
  <c r="F495" i="22"/>
  <c r="F467" i="22"/>
  <c r="F468" i="22"/>
  <c r="F1034" i="22"/>
  <c r="F1032" i="22"/>
  <c r="F1033" i="22"/>
  <c r="F1027" i="22"/>
  <c r="F1028" i="22"/>
  <c r="F1029" i="22"/>
  <c r="F1025" i="22"/>
  <c r="F1030" i="22"/>
  <c r="F1026" i="22"/>
  <c r="F998" i="22"/>
  <c r="F999" i="22"/>
  <c r="F995" i="22"/>
  <c r="F1000" i="22"/>
  <c r="F996" i="22"/>
  <c r="F997" i="22"/>
  <c r="F68" i="22"/>
  <c r="F67" i="22"/>
  <c r="F56" i="23"/>
  <c r="F60" i="23"/>
  <c r="F59" i="23"/>
  <c r="F61" i="23"/>
  <c r="F55" i="23"/>
  <c r="N191" i="23"/>
  <c r="N228" i="23" l="1"/>
  <c r="F1052" i="22"/>
  <c r="F1054" i="22"/>
  <c r="F1053" i="22"/>
  <c r="F731" i="22"/>
  <c r="F721" i="22"/>
  <c r="F720" i="22"/>
  <c r="N192" i="27"/>
  <c r="N161" i="23" l="1"/>
  <c r="N70" i="23"/>
  <c r="E267" i="22" l="1"/>
  <c r="F296" i="22"/>
  <c r="F285" i="22"/>
  <c r="F284" i="22"/>
  <c r="F295" i="22"/>
  <c r="F286" i="22"/>
  <c r="F293" i="22" s="1"/>
  <c r="F297" i="22"/>
  <c r="F299" i="22" s="1"/>
  <c r="F272" i="22"/>
  <c r="F275" i="22" s="1"/>
  <c r="F277" i="22"/>
  <c r="F278" i="22" s="1"/>
  <c r="F255" i="22"/>
  <c r="F280" i="22" l="1"/>
  <c r="F298" i="22"/>
  <c r="F289" i="22"/>
  <c r="F283" i="22"/>
  <c r="F288" i="22"/>
  <c r="F291" i="22"/>
  <c r="F300" i="22"/>
  <c r="F282" i="22"/>
  <c r="F273" i="22"/>
  <c r="F301" i="22"/>
  <c r="F294" i="22"/>
  <c r="F257" i="22"/>
  <c r="F292" i="22"/>
  <c r="F276" i="22"/>
  <c r="F259" i="22"/>
  <c r="F274" i="22"/>
  <c r="F290" i="22"/>
  <c r="F279" i="22"/>
  <c r="F256" i="22"/>
  <c r="F258" i="22"/>
  <c r="F281" i="22"/>
  <c r="F287" i="22"/>
  <c r="F260" i="22"/>
  <c r="F261" i="22" s="1"/>
  <c r="E302" i="22" l="1"/>
  <c r="F306" i="22"/>
  <c r="F310" i="22" s="1"/>
  <c r="E304" i="22"/>
  <c r="F312" i="22" l="1"/>
  <c r="F313" i="22"/>
  <c r="F311" i="22"/>
  <c r="F316" i="22"/>
  <c r="F309" i="22"/>
  <c r="F308" i="22"/>
  <c r="F307" i="22"/>
  <c r="E314" i="22"/>
  <c r="N1284" i="22" l="1"/>
  <c r="G18" i="25" l="1"/>
  <c r="G19" i="25" s="1"/>
</calcChain>
</file>

<file path=xl/comments1.xml><?xml version="1.0" encoding="utf-8"?>
<comments xmlns="http://schemas.openxmlformats.org/spreadsheetml/2006/main">
  <authors>
    <author>Author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0.328+1.1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0.22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0,9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0,45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180</t>
        </r>
      </text>
    </comment>
    <comment ref="E56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0,779</t>
        </r>
      </text>
    </comment>
    <comment ref="E73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1,04
</t>
        </r>
      </text>
    </comment>
    <comment ref="E107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1,04
</t>
        </r>
      </text>
    </comment>
  </commentList>
</comments>
</file>

<file path=xl/sharedStrings.xml><?xml version="1.0" encoding="utf-8"?>
<sst xmlns="http://schemas.openxmlformats.org/spreadsheetml/2006/main" count="4269" uniqueCount="971">
  <si>
    <t>##</t>
  </si>
  <si>
    <t>სამუშაოს დასახელება</t>
  </si>
  <si>
    <t>განზ/ ერთეული</t>
  </si>
  <si>
    <t>მოცულობა</t>
  </si>
  <si>
    <t>gauTvaliswinebeli xarjebi</t>
  </si>
  <si>
    <t>SeniSvna</t>
  </si>
  <si>
    <t>moculobaTa uwyisi</t>
  </si>
  <si>
    <t>kg</t>
  </si>
  <si>
    <t>sul</t>
  </si>
  <si>
    <t>lari</t>
  </si>
  <si>
    <t>kalendaruli grafiki</t>
  </si>
  <si>
    <t>sxva manqanebi</t>
  </si>
  <si>
    <t>kac/sT</t>
  </si>
  <si>
    <t>sxva masalebi</t>
  </si>
  <si>
    <t>I</t>
  </si>
  <si>
    <t>IV</t>
  </si>
  <si>
    <t>VI</t>
  </si>
  <si>
    <t>VII</t>
  </si>
  <si>
    <t>m3</t>
  </si>
  <si>
    <t>erTeulze</t>
  </si>
  <si>
    <t>SromiTi resursebi</t>
  </si>
  <si>
    <t>k/sT</t>
  </si>
  <si>
    <t>m/sT</t>
  </si>
  <si>
    <t>manqanebi</t>
  </si>
  <si>
    <t>sabazro</t>
  </si>
  <si>
    <t>jami</t>
  </si>
  <si>
    <t>ლარი</t>
  </si>
  <si>
    <t>15-164-8</t>
  </si>
  <si>
    <t>saerTo samSeneblo samuSaoebi</t>
  </si>
  <si>
    <t>manqana-meqanizmebi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</si>
  <si>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</si>
  <si>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</si>
  <si>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RorRi</t>
  </si>
  <si>
    <t>1-80-7</t>
  </si>
  <si>
    <r>
      <t>m</t>
    </r>
    <r>
      <rPr>
        <b/>
        <vertAlign val="superscript"/>
        <sz val="10"/>
        <rFont val="AcadNusx"/>
      </rPr>
      <t>3</t>
    </r>
  </si>
  <si>
    <t xml:space="preserve">SromiTi resursebi                                                </t>
  </si>
  <si>
    <t xml:space="preserve">kac/sT                                                               </t>
  </si>
  <si>
    <t>11-1-6</t>
  </si>
  <si>
    <t>Sromis danaxarjebi</t>
  </si>
  <si>
    <t>kbm</t>
  </si>
  <si>
    <t>tn</t>
  </si>
  <si>
    <t>xis masala</t>
  </si>
  <si>
    <t>8</t>
  </si>
  <si>
    <t>g/m</t>
  </si>
  <si>
    <t>manq/sT</t>
  </si>
  <si>
    <t>eleqtrodi</t>
  </si>
  <si>
    <t>9</t>
  </si>
  <si>
    <t>kvm</t>
  </si>
  <si>
    <t>10</t>
  </si>
  <si>
    <t>antikoroziuli saRebavi</t>
  </si>
  <si>
    <t>sxva masala</t>
  </si>
  <si>
    <t>1,1</t>
  </si>
  <si>
    <t>c</t>
  </si>
  <si>
    <t>12</t>
  </si>
  <si>
    <t xml:space="preserve">Sromis danaxarjebi </t>
  </si>
  <si>
    <t>samSeneblo nagvis datvirTva xeliT avtoTviTmclelze</t>
  </si>
  <si>
    <t xml:space="preserve">Sromis danaxarjebi  </t>
  </si>
  <si>
    <t>10%</t>
  </si>
  <si>
    <t>18%</t>
  </si>
  <si>
    <t>1-80-3</t>
  </si>
  <si>
    <t>23-1-1.</t>
  </si>
  <si>
    <t>22-8-2.</t>
  </si>
  <si>
    <t>grZ.m.</t>
  </si>
  <si>
    <t>1-81-3</t>
  </si>
  <si>
    <t>6-1-1.</t>
  </si>
  <si>
    <t xml:space="preserve">8-370-3     </t>
  </si>
  <si>
    <t>ც</t>
  </si>
  <si>
    <t>შრომითი რესურსები</t>
  </si>
  <si>
    <t>კაც/სთ</t>
  </si>
  <si>
    <t>2</t>
  </si>
  <si>
    <t>damiwebis konturis mowyoba</t>
  </si>
  <si>
    <t>СНиП
IV-6-82
8-471-1</t>
  </si>
  <si>
    <t>СНиП
IV-6-82
8-472-2</t>
  </si>
  <si>
    <r>
      <t xml:space="preserve">დამიწების მოთუთიებული სალტე </t>
    </r>
    <r>
      <rPr>
        <sz val="11"/>
        <rFont val="Calibri"/>
        <family val="2"/>
        <charset val="204"/>
        <scheme val="minor"/>
      </rPr>
      <t>40x4მმ</t>
    </r>
  </si>
  <si>
    <t>gegmiuri dagroveba</t>
  </si>
  <si>
    <t>kompl</t>
  </si>
  <si>
    <t>kg.</t>
  </si>
  <si>
    <t>7</t>
  </si>
  <si>
    <t>1,2</t>
  </si>
  <si>
    <t>4</t>
  </si>
  <si>
    <t>5</t>
  </si>
  <si>
    <t>6</t>
  </si>
  <si>
    <t>Е1-22</t>
  </si>
  <si>
    <t>II</t>
  </si>
  <si>
    <t>1</t>
  </si>
  <si>
    <t>3</t>
  </si>
  <si>
    <t>21-18-1.</t>
  </si>
  <si>
    <t>გრძ.მ.</t>
  </si>
  <si>
    <t>სხვა მასალები</t>
  </si>
  <si>
    <t>სხვა მასალა</t>
  </si>
  <si>
    <t>კგ</t>
  </si>
  <si>
    <t>Е20-1-255</t>
  </si>
  <si>
    <t>snf 15</t>
  </si>
  <si>
    <t>სულ პირდაპირი დანახარჯები</t>
  </si>
  <si>
    <t>samSeneblo masalis transportirebis xrjebi  (samSeneblo masalis Rirebulebidan)</t>
  </si>
  <si>
    <t>ქვიშის საფარის მოწყობა მილებისთვის</t>
  </si>
  <si>
    <t>კუბ.მ</t>
  </si>
  <si>
    <t>გრძ/მ</t>
  </si>
  <si>
    <t>მანქანები</t>
  </si>
  <si>
    <t>8-281-3,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</si>
  <si>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</si>
  <si>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</si>
  <si>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</si>
  <si>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არმატურა Ф8 АIII ბ.150</t>
  </si>
  <si>
    <t>ტნ</t>
  </si>
  <si>
    <t xml:space="preserve">სხვა მასალა </t>
  </si>
  <si>
    <t>ზედნადები ხარჯები</t>
  </si>
  <si>
    <t>სულ I თავი</t>
  </si>
  <si>
    <t>სკვერის გარე განათების დეკორატიული ლამპიონების მონტაჟი</t>
  </si>
  <si>
    <t>სპილენძის სადენების montaJi</t>
  </si>
  <si>
    <t>21-27-4</t>
  </si>
  <si>
    <t>ზედნადები ხარჯები                                  (მუშა მოსამსახურეთა ძირითადი ხელფასიდან)</t>
  </si>
  <si>
    <t>75%</t>
  </si>
  <si>
    <t>სულ II თავი</t>
  </si>
  <si>
    <t>krebsiTi xarjTaRicxva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</si>
  <si>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</si>
  <si>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</si>
  <si>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</si>
  <si>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</si>
  <si>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</si>
  <si>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</si>
  <si>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        lari</t>
  </si>
  <si>
    <t>zedmeti gruntis datvirTva xeliT avtoTviTmclelze</t>
  </si>
  <si>
    <t>samSeneblo samuSaoebis damTavrebis Semdeg teritoriis dasufTaveba, samSeneblo narCenebis Segroveba, gamotana, avtoTviTmclelze dasatvirTavad</t>
  </si>
  <si>
    <t>horizontaluri damiwebis konturis mowyoba (mrgvali  foladiT)</t>
  </si>
  <si>
    <t>t</t>
  </si>
  <si>
    <t xml:space="preserve">გარე განათების ლამპიონების მონტაჟი  </t>
  </si>
  <si>
    <t>masalis transportirebis xarjebi</t>
  </si>
  <si>
    <t>zednadebi xarjebi</t>
  </si>
  <si>
    <t>dagrovebiTi sapensio gadasaxadi (xelfasidan)</t>
  </si>
  <si>
    <t>dRg</t>
  </si>
  <si>
    <t>masalis transportirebis xarjebi (samS masalis Rirebulebidan)</t>
  </si>
  <si>
    <t>zednadebi xarjebi                 (muSa mosamsaxureTa ZiriTadi xelfasidan)</t>
  </si>
  <si>
    <t xml:space="preserve">ქვიSა </t>
  </si>
  <si>
    <t>olifa</t>
  </si>
  <si>
    <t>gare wyalsadenisa da kanalizaciis qselis montaJi</t>
  </si>
  <si>
    <t>Tve</t>
  </si>
  <si>
    <t>III</t>
  </si>
  <si>
    <t>V</t>
  </si>
  <si>
    <t>RorRis (0-5mm fraqciis) fenilis mowyoba, sisqiT 10sm</t>
  </si>
  <si>
    <t>RorRi  (0-5mm fraqciis)</t>
  </si>
  <si>
    <t>narCenebisa da nagavis datvirTva xeliT avtoTviTmclelze</t>
  </si>
  <si>
    <t>7,1</t>
  </si>
  <si>
    <t>7,2</t>
  </si>
  <si>
    <t>7,3</t>
  </si>
  <si>
    <t>7,4</t>
  </si>
  <si>
    <t>7,5</t>
  </si>
  <si>
    <r>
      <t xml:space="preserve">Zalovani faris montaJi </t>
    </r>
    <r>
      <rPr>
        <b/>
        <sz val="10"/>
        <rFont val="Calibri"/>
        <family val="2"/>
        <charset val="204"/>
        <scheme val="minor"/>
      </rPr>
      <t xml:space="preserve"> MDB   ELG1</t>
    </r>
  </si>
  <si>
    <t>SemaerTebeli furnitura</t>
  </si>
  <si>
    <t>qvabulis mowyoba anZis montajisaTvis</t>
  </si>
  <si>
    <t>Sromis danaxarji</t>
  </si>
  <si>
    <t>1504</t>
  </si>
  <si>
    <t>dasabuTeba</t>
  </si>
  <si>
    <t>samusaos dasaxeleba</t>
  </si>
  <si>
    <t>ganz. erT</t>
  </si>
  <si>
    <t>normatiuli resursebi</t>
  </si>
  <si>
    <t>masala</t>
  </si>
  <si>
    <t>xelfasi</t>
  </si>
  <si>
    <t>sul danaxarjebi</t>
  </si>
  <si>
    <t>11</t>
  </si>
  <si>
    <t>13</t>
  </si>
  <si>
    <t>tn.</t>
  </si>
  <si>
    <t>sul foladis konstruqcia</t>
  </si>
  <si>
    <t>27</t>
  </si>
  <si>
    <t>gruntis ukuCayra</t>
  </si>
  <si>
    <t>0470</t>
  </si>
  <si>
    <t>liTonis konstruqciebis SeRebva antikoroziuli saRebaviT</t>
  </si>
  <si>
    <r>
      <t>xelis CamrTveli gare montaJis 0-1-2  1X20</t>
    </r>
    <r>
      <rPr>
        <sz val="10"/>
        <rFont val="Calibri"/>
        <family val="2"/>
        <charset val="204"/>
        <scheme val="minor"/>
      </rPr>
      <t>A</t>
    </r>
  </si>
  <si>
    <t>1010</t>
  </si>
  <si>
    <r>
      <t xml:space="preserve">rele  </t>
    </r>
    <r>
      <rPr>
        <sz val="10"/>
        <rFont val="Calibri"/>
        <family val="2"/>
        <charset val="204"/>
        <scheme val="minor"/>
      </rPr>
      <t>250v/5A</t>
    </r>
  </si>
  <si>
    <r>
      <t xml:space="preserve">fotorele </t>
    </r>
    <r>
      <rPr>
        <sz val="10"/>
        <rFont val="Calibri"/>
        <family val="2"/>
        <charset val="204"/>
        <scheme val="minor"/>
      </rPr>
      <t>250V  5A</t>
    </r>
  </si>
  <si>
    <t xml:space="preserve">gatana 30 km-ze </t>
  </si>
  <si>
    <r>
      <t xml:space="preserve">kontaqtori </t>
    </r>
    <r>
      <rPr>
        <sz val="10"/>
        <rFont val="Calibri"/>
        <family val="2"/>
        <charset val="204"/>
        <scheme val="minor"/>
      </rPr>
      <t>, 3P, 25 A</t>
    </r>
  </si>
  <si>
    <t>დამიწების მოთუთიებული ღერო,  50X50X5  1500mm</t>
  </si>
  <si>
    <t>lk #1</t>
  </si>
  <si>
    <t xml:space="preserve">ბეტონი ბ.25 </t>
  </si>
  <si>
    <t>Seadgina:  d.ribakova</t>
  </si>
  <si>
    <t>snf 14,1</t>
  </si>
  <si>
    <t>6-1-1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</si>
  <si>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</si>
  <si>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ლ</t>
  </si>
  <si>
    <r>
      <t xml:space="preserve">PVC </t>
    </r>
    <r>
      <rPr>
        <b/>
        <sz val="11"/>
        <rFont val="AcadNusx"/>
      </rPr>
      <t>gofrirebuli miwisqveSa Cadebis narinJisferi sakabelo milis montaJi</t>
    </r>
  </si>
  <si>
    <r>
      <rPr>
        <sz val="11"/>
        <rFont val="Calibri"/>
        <family val="2"/>
        <charset val="204"/>
      </rPr>
      <t xml:space="preserve">PVC </t>
    </r>
    <r>
      <rPr>
        <sz val="11"/>
        <rFont val="AcadNusx"/>
      </rPr>
      <t>gofrirebuli miwisqveSa Cadebis narinJisferi sakabelo mil</t>
    </r>
    <r>
      <rPr>
        <sz val="11"/>
        <rFont val="Calibri"/>
        <family val="2"/>
        <charset val="204"/>
      </rPr>
      <t>i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Ø25მმ</t>
    </r>
  </si>
  <si>
    <r>
      <t xml:space="preserve">avtomaturi amomrTveli   </t>
    </r>
    <r>
      <rPr>
        <sz val="10"/>
        <rFont val="Calibri"/>
        <family val="2"/>
        <charset val="204"/>
        <scheme val="minor"/>
      </rPr>
      <t>1p 6a 6KA</t>
    </r>
  </si>
  <si>
    <r>
      <t xml:space="preserve">avtomaturi amomrTveli  </t>
    </r>
    <r>
      <rPr>
        <sz val="10"/>
        <rFont val="Calibri"/>
        <family val="2"/>
        <charset val="204"/>
        <scheme val="minor"/>
      </rPr>
      <t>1p 16a 6KA</t>
    </r>
  </si>
  <si>
    <t>14</t>
  </si>
  <si>
    <t>16</t>
  </si>
  <si>
    <t>zedmeti gruntis transportireba 30km manZilze da gatana</t>
  </si>
  <si>
    <t>17</t>
  </si>
  <si>
    <t>18</t>
  </si>
  <si>
    <t>19</t>
  </si>
  <si>
    <t>22</t>
  </si>
  <si>
    <t>15</t>
  </si>
  <si>
    <t>foladis konstruqcia</t>
  </si>
  <si>
    <t>WanWiki uxeSi normaluri da gazrdili simtkicis</t>
  </si>
  <si>
    <t>liTonis detalebis antikoroziuli SeRebva</t>
  </si>
  <si>
    <t>0209</t>
  </si>
  <si>
    <t>0926</t>
  </si>
  <si>
    <t>liTonis dgarebi -- kv mili 150*150*3</t>
  </si>
  <si>
    <t>9-17-5 gamoy</t>
  </si>
  <si>
    <t>sul  liTonis konstruqcia</t>
  </si>
  <si>
    <t>26</t>
  </si>
  <si>
    <t>7,6</t>
  </si>
  <si>
    <t>7,7</t>
  </si>
  <si>
    <t>qvabulis damuSaveba  eqskavatoriT</t>
  </si>
  <si>
    <t>wyalsadenisa da wyalarinebis daerTeba -- teqnikuri piroba</t>
  </si>
  <si>
    <t>Sesrulebuli samuSaoebis მოცულობების ექსპერტიზა სსიპ "ლევან სამხარაულის სახელობის სასამართლო ექსპერტიზის ეროვნული ბიუროს" ან აკრედიტაციის მქონე სხვა საექსპერტო იურიდიული პირის მიერ</t>
  </si>
  <si>
    <t>skveris ganaTebis anZebis dabetoneba</t>
  </si>
  <si>
    <t>ganaTebis anZebis dabetoneba</t>
  </si>
  <si>
    <t xml:space="preserve">gare ganatebis el montaJi  </t>
  </si>
  <si>
    <t xml:space="preserve">გეგმიური დაგროვება </t>
  </si>
  <si>
    <t xml:space="preserve"> სამშენებლო სამუSაოები</t>
  </si>
  <si>
    <t xml:space="preserve"> სამონტაჟო სამუშაოები</t>
  </si>
  <si>
    <t>sul xarjTaRricxva    #1</t>
  </si>
  <si>
    <t>lokaluri ხ ა რ ჯ თ ა ღ რ ი ც ვ ხ ვ ა #1</t>
  </si>
  <si>
    <t>sul xarjTaRricxva                       #2</t>
  </si>
  <si>
    <t>lokaluri ხ ა რ ჯ თ ა ღ რ ი ც ვ ხ ვ ა # 2</t>
  </si>
  <si>
    <t>lk #2</t>
  </si>
  <si>
    <t>videomonitoringis  qselis  montaJi</t>
  </si>
  <si>
    <t>lk #3</t>
  </si>
  <si>
    <t>lk #4</t>
  </si>
  <si>
    <t>lk #5</t>
  </si>
  <si>
    <t xml:space="preserve"> gare eleqtro qselis montaJi</t>
  </si>
  <si>
    <t>sul pirdapiri danaxarjebi #1</t>
  </si>
  <si>
    <t>eqskavatori 0,25kbm CamCiT</t>
  </si>
  <si>
    <t>RorRis fenilis datkepna</t>
  </si>
  <si>
    <t>1-118-5,6</t>
  </si>
  <si>
    <t>vibro katoki 6t</t>
  </si>
  <si>
    <t>buldozeri 79kvt/sT 108cx.Z.</t>
  </si>
  <si>
    <t>traqtori 79kvt/sT 108cx.Z.</t>
  </si>
  <si>
    <t>1510</t>
  </si>
  <si>
    <t>webo kauCukis</t>
  </si>
  <si>
    <t>1-23-6</t>
  </si>
  <si>
    <t>zedmeti gruntis transportireba 25-30km manZilze da gatana</t>
  </si>
  <si>
    <t>11-1-11</t>
  </si>
  <si>
    <t xml:space="preserve">betoni b.25 </t>
  </si>
  <si>
    <t>sxva xarjebi</t>
  </si>
  <si>
    <t>armatura Ф6 АIII b.150</t>
  </si>
  <si>
    <t>betonis 10sm fenilis mowyoba</t>
  </si>
  <si>
    <t>1,3</t>
  </si>
  <si>
    <t>sxva manqana</t>
  </si>
  <si>
    <t>tranSeas mowyoba bordiuris  mosawyobad xeliT</t>
  </si>
  <si>
    <t>RorRis (0-5mm fraqciis) fenilis mowyoba bordiuris qveS</t>
  </si>
  <si>
    <t xml:space="preserve">betoni b-15  </t>
  </si>
  <si>
    <t>qviSa-cementis xsnari  m.100</t>
  </si>
  <si>
    <t>III kategoriis gruntis damuSaveba qvabulisaTvis xeliT</t>
  </si>
  <si>
    <t>11-20-1</t>
  </si>
  <si>
    <t xml:space="preserve">cementis xsnari m-200, </t>
  </si>
  <si>
    <t xml:space="preserve">teritoriisa da bilikebis mopirkeTeba vibrodawnexili betonis dekoratiuli filiT </t>
  </si>
  <si>
    <t>liTonis dgarebi --  kv mili 150*150*3  *4c</t>
  </si>
  <si>
    <t>dr+</t>
  </si>
  <si>
    <t>demontaJis samuSaoebi</t>
  </si>
  <si>
    <t>asfaltis safaris demonraJi</t>
  </si>
  <si>
    <t>46-30-1</t>
  </si>
  <si>
    <t>46-29-1</t>
  </si>
  <si>
    <t>qvafenilis qveS betonis safuZvlis demontaJi</t>
  </si>
  <si>
    <t>46-31-2</t>
  </si>
  <si>
    <t>27-9-7</t>
  </si>
  <si>
    <t>wylis dasalevi fantanis demontaJi, dasawyobeba damkveis mier miTiTebul adgilze</t>
  </si>
  <si>
    <t>46-23-2</t>
  </si>
  <si>
    <t xml:space="preserve">sabaRe skamebis demontaJi, dasawyobeba damkveis mier miTiTebul adgilze </t>
  </si>
  <si>
    <t>skveris keTilmowyobis samuSaoebi</t>
  </si>
  <si>
    <t>27-19-2</t>
  </si>
  <si>
    <t xml:space="preserve">armatura  АI </t>
  </si>
  <si>
    <t>kauCukis bordiuris montaJi  135*170</t>
  </si>
  <si>
    <t>kauCukis bordiuris montaJi 135X170</t>
  </si>
  <si>
    <t>kauCukis bordiuri 135*170</t>
  </si>
  <si>
    <t>rk.betonis fenilis mosawyobad qvabulis damuSaveba xeliT</t>
  </si>
  <si>
    <t>snf14,1</t>
  </si>
  <si>
    <t>RorRis fenilis mowyoba rk.betonis filis qveS  10sm sisqis</t>
  </si>
  <si>
    <t>6-1-16</t>
  </si>
  <si>
    <t>monoliTuri rk/betonis  filis mowyoba  12sm sisqis</t>
  </si>
  <si>
    <t xml:space="preserve"> kbm</t>
  </si>
  <si>
    <t>sayalibe fari laminirebuli 10mm</t>
  </si>
  <si>
    <t>webopva kauCukis</t>
  </si>
  <si>
    <t>danam.3
11-49
gamoy.</t>
  </si>
  <si>
    <t>27-7-2</t>
  </si>
  <si>
    <t>qvesagebi fenis mowyoba qviSa xreSovani nareviT (fraqciiT 0-70 mm-mde) sisqiT 15sm, SemdgomSi misi satkepniT Semkvriveba.</t>
  </si>
  <si>
    <t>avtogreideri saSualo tipis 79k.vt. (108cx.Z)</t>
  </si>
  <si>
    <t>1525</t>
  </si>
  <si>
    <t>satkepni sagzao TviTmavali gluvi 18 t</t>
  </si>
  <si>
    <t>1554</t>
  </si>
  <si>
    <t>mosarwyavi manqana 6000l.</t>
  </si>
  <si>
    <t>qviSa xreSovani nareviT (fraqciiT 0-70 mm-mde)</t>
  </si>
  <si>
    <t>wyali</t>
  </si>
  <si>
    <t>27-11-1</t>
  </si>
  <si>
    <t>safuZvlis mowyoba fraqciuli RorRiT (0-40) mm.KsisqiT-12 sm. (ГОСТ 25607-83) SemdgomSi misi satkepniT Semkvriveba.</t>
  </si>
  <si>
    <t>buldozeri 79kvt (108cx.Z.)</t>
  </si>
  <si>
    <t>sagzao mtkepnavi TviTm. gluvi 5t.</t>
  </si>
  <si>
    <t>igive, 10toniani</t>
  </si>
  <si>
    <t>1559</t>
  </si>
  <si>
    <t>RorRis gamanawilebeli</t>
  </si>
  <si>
    <t>RorRi 0-40 mm</t>
  </si>
  <si>
    <t>RorRi 10-20 mm</t>
  </si>
  <si>
    <t>27-63-1.</t>
  </si>
  <si>
    <t>Txevadi bitumis mosxma  (0.6 l/m2)</t>
  </si>
  <si>
    <t>avtogudronatori 3500l</t>
  </si>
  <si>
    <t>Txevadi biTumi, bitumis emulsia</t>
  </si>
  <si>
    <t>tona</t>
  </si>
  <si>
    <t>27-39-1,2;         40-1,2</t>
  </si>
  <si>
    <t xml:space="preserve">safaris qveda fenis mowyoba msxvilmarcvlovani forovani RorRovani a/betonis cxeli nareviT sisqiT 6 sm marka II </t>
  </si>
  <si>
    <t>100kvm</t>
  </si>
  <si>
    <t>a/betonis damgebi</t>
  </si>
  <si>
    <t>a/betoni msxvilmarcvlovani</t>
  </si>
  <si>
    <t>Txevadi bitumis emulsiis mosxma (0.3 l/m2)</t>
  </si>
  <si>
    <t>27-39-1;         40-1</t>
  </si>
  <si>
    <t xml:space="preserve">safaris zeda fenis mowyoba wvrilmarcvlovani mkvrivi RorRovani a/betonis cxeli nareviT tipi “Б” marka II sisqiT 4 sm </t>
  </si>
  <si>
    <t>a/betoni wvrilmarcvlovani</t>
  </si>
  <si>
    <t>asfaltobetonis safaris mowyoba</t>
  </si>
  <si>
    <t>liTonis pergolis mowyoba</t>
  </si>
  <si>
    <t>qvabulis mowyoba liTonis svetebis wertilovani saZirkvlebis mosawyobad</t>
  </si>
  <si>
    <t>RorRis (0-5mm fraqciis) fenilis mowyoba, sisqiT 10sm rk.betonis saZirkvlebis qveS</t>
  </si>
  <si>
    <t>betonis mosamzadebeli fenilis mowyoba wertilovani saZirkvlebis qveS</t>
  </si>
  <si>
    <t>betoni b.10</t>
  </si>
  <si>
    <t>6-1-5</t>
  </si>
  <si>
    <t>liTonis svetebis wertilovani saZirkvlebis mowyoba</t>
  </si>
  <si>
    <t>sayalibe fari 25mm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</si>
  <si>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</si>
  <si>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 </t>
    </r>
  </si>
  <si>
    <t>11-3-5-6</t>
  </si>
  <si>
    <t>wertilovani saZirkvlis kedlebis gidroizolacia</t>
  </si>
  <si>
    <t>Sromis  danaxarji</t>
  </si>
  <si>
    <t>bitumis mastika</t>
  </si>
  <si>
    <t>bitumi dagruntvis</t>
  </si>
  <si>
    <t>sxvadasxva masalebi</t>
  </si>
  <si>
    <t>l</t>
  </si>
  <si>
    <t>1-81-4</t>
  </si>
  <si>
    <t xml:space="preserve">liTonis karkasis mowyoba </t>
  </si>
  <si>
    <t>foladis furceli sisqiT 6mm</t>
  </si>
  <si>
    <t>foladis bagiri  d-10.5</t>
  </si>
  <si>
    <t>9-17-6</t>
  </si>
  <si>
    <t>liTonis konstruqcia:</t>
  </si>
  <si>
    <t>proeqtiT</t>
  </si>
  <si>
    <t>liTonis kvadratuli mili 100*100*4</t>
  </si>
  <si>
    <t>kv mili 20*40*3</t>
  </si>
  <si>
    <r>
      <t xml:space="preserve">liTonis ankeri d-12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=300mm</t>
    </r>
  </si>
  <si>
    <t>skamis zedapiris mopirkeTeba HPL laminatis  "fundermaqsis" paneliT-is filiT</t>
  </si>
  <si>
    <t>31</t>
  </si>
  <si>
    <t>magidis zedapiris mopirketeba alukabondis filiT</t>
  </si>
  <si>
    <t xml:space="preserve">zedmeti gruntis transportireba 25-30km manZilze da gatana </t>
  </si>
  <si>
    <t xml:space="preserve">xis Ria fanCaturis ("besetkis") mowyoba </t>
  </si>
  <si>
    <t>xis mzidi konstruqciebis monoliTuri rkinabetonis saZirkvlis filis mowyoba</t>
  </si>
  <si>
    <t>monoliTuri saZirkvlis filis qveS RorRis fenilis mowyoba, sisqiT 10sm</t>
  </si>
  <si>
    <t xml:space="preserve">monoliTuri rk/betonis saZirkvlis filis mowyoba  </t>
  </si>
  <si>
    <t>sayalibe fari 40mm</t>
  </si>
  <si>
    <t xml:space="preserve">armatura Ф6  АI </t>
  </si>
  <si>
    <t>fanCaturis xis konstruqciis mowyoba</t>
  </si>
  <si>
    <t>xis masala;</t>
  </si>
  <si>
    <t>samSeneblo qanCi</t>
  </si>
  <si>
    <t>antiseptikuri pasta</t>
  </si>
  <si>
    <t>naWedi samSeneblo</t>
  </si>
  <si>
    <t xml:space="preserve">tn   </t>
  </si>
  <si>
    <t>xis masalis antiseptikuri damuSaveba da cecxldacva</t>
  </si>
  <si>
    <t>10-37-1</t>
  </si>
  <si>
    <t>xis konstruqciis cecxldacva</t>
  </si>
  <si>
    <t>fosformJava amoniumi</t>
  </si>
  <si>
    <t>amoniumis sulfati</t>
  </si>
  <si>
    <t>navTis kontaqti</t>
  </si>
  <si>
    <t>10-39-2</t>
  </si>
  <si>
    <t>xis konsreuqciis antiseptikuri damuSaveba</t>
  </si>
  <si>
    <t>pasta antiseptikuri</t>
  </si>
  <si>
    <t>15-165-4</t>
  </si>
  <si>
    <t>xis detalebis damuSaveba gare samuSaoebis xis laqiT</t>
  </si>
  <si>
    <t xml:space="preserve">laqi xis zedapirebis gare dafarvisaTvis </t>
  </si>
  <si>
    <t>sxva samuSaoebi</t>
  </si>
  <si>
    <t>fanCaturis saxuravis mowyoba</t>
  </si>
  <si>
    <t>10-36-4</t>
  </si>
  <si>
    <t>xis molartyvis mowyoba</t>
  </si>
  <si>
    <t>xis ficari 3x.25-32mm</t>
  </si>
  <si>
    <t>lursmani</t>
  </si>
  <si>
    <t>10-36-3</t>
  </si>
  <si>
    <t>10-37-3</t>
  </si>
  <si>
    <t>xis molartyvis cecxldacva</t>
  </si>
  <si>
    <t>m2</t>
  </si>
  <si>
    <t>10-39-3</t>
  </si>
  <si>
    <t>xis molartyvis antiseptireba</t>
  </si>
  <si>
    <t>12-1-1</t>
  </si>
  <si>
    <t>saxuravis mowyoba "Singlis feniliT"</t>
  </si>
  <si>
    <t>saxuravis mosapirkeTebeli masala Singli</t>
  </si>
  <si>
    <t>12-8-5</t>
  </si>
  <si>
    <t xml:space="preserve">კეხის მოწყობა  </t>
  </si>
  <si>
    <t>kexi igive masalis</t>
  </si>
  <si>
    <t>გ/მ</t>
  </si>
  <si>
    <t>sWvali Tunuqis</t>
  </si>
  <si>
    <t>III jgufis gruntis damuSaveba xeliT, qvabulis mowyoba monoliTuri saZirkvlis filis mosawyobad</t>
  </si>
  <si>
    <t>betonis mosamzadebeli 10sm  fenilis mowyoba monoliTuri rk.betonis saZirkvlis filis  qveS</t>
  </si>
  <si>
    <t xml:space="preserve">betoni m-10 </t>
  </si>
  <si>
    <t>armatura Ф10  АIII   X2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</si>
  <si>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200*150*2c *39c </t>
    </r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</si>
  <si>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200*112*2c *39c  </t>
    </r>
  </si>
  <si>
    <r>
      <t>liTonis ankeri   d-12mm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 xml:space="preserve">=260mm  1c*39c  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</si>
  <si>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=250mm  4c*39c 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</si>
  <si>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=200mm  4c*39c </t>
    </r>
  </si>
  <si>
    <t xml:space="preserve">eleqtrodi 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</si>
  <si>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162*112*1c *39c </t>
    </r>
  </si>
  <si>
    <r>
      <t xml:space="preserve">liT armtura  d-12mm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=300mm 2c*39c </t>
    </r>
  </si>
  <si>
    <t>xis masala, mSrali</t>
  </si>
  <si>
    <t>dekoratiuli detali +3,00 niSnulze -- (ix proeqti)</t>
  </si>
  <si>
    <t>moajiris dekoratiuli baliasinebi -- (ix proeqti)</t>
  </si>
  <si>
    <t>fanCaturis magidisa da skamis mowyoba mowyoba</t>
  </si>
  <si>
    <t>liTonis kvadratuli mili 40*60*3</t>
  </si>
  <si>
    <r>
      <t xml:space="preserve">tuia, </t>
    </r>
    <r>
      <rPr>
        <sz val="11"/>
        <rFont val="AcadNusx"/>
      </rPr>
      <t xml:space="preserve">burTisebri oqrosferi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=0,5-1,0m</t>
    </r>
  </si>
  <si>
    <r>
      <t xml:space="preserve">parTenociusi  </t>
    </r>
    <r>
      <rPr>
        <sz val="11"/>
        <rFont val="AcadNusx"/>
      </rPr>
      <t>0,5-1,0m</t>
    </r>
  </si>
  <si>
    <t>himalais kedari mtirala forma</t>
  </si>
  <si>
    <t>iaponuri sofora mtirala forma</t>
  </si>
  <si>
    <t>maradmwvane bza konusis formis</t>
  </si>
  <si>
    <t>Cveulebrivi ifani burTis forma</t>
  </si>
  <si>
    <t>kazakuli Rvia kultivari</t>
  </si>
  <si>
    <t>iaponuri kvido kultivari</t>
  </si>
  <si>
    <t>leilandis kupresociparisi spiralis forma</t>
  </si>
  <si>
    <t>Cveulebrivi uTxovari</t>
  </si>
  <si>
    <t>fitosporumi</t>
  </si>
  <si>
    <t>48-5-6</t>
  </si>
  <si>
    <t>xeebisa da buCqebis dasargavi teritoriss momzadeba xeliT</t>
  </si>
  <si>
    <t>48-7-2</t>
  </si>
  <si>
    <t>xeebisa da buCqebis dargva</t>
  </si>
  <si>
    <t>mosarwyav mosdarecxi 600 l</t>
  </si>
  <si>
    <t>amwe  saavtomobilo svlaze 5t</t>
  </si>
  <si>
    <t>xeebi da buCqebi</t>
  </si>
  <si>
    <t>gamwvaneba - gazonis mowyoba</t>
  </si>
  <si>
    <t>damatebiTi noyieri gruntis Semotana skveris teritoriaze</t>
  </si>
  <si>
    <t>srf 15</t>
  </si>
  <si>
    <t>damatebiTi gruntisGgaSla skveris teritoriaze</t>
  </si>
  <si>
    <t>48-18-4</t>
  </si>
  <si>
    <t>teritoriaze balaxis daTesva</t>
  </si>
  <si>
    <t>mravalwlovani mcenareebis dargva</t>
  </si>
  <si>
    <t>virjiniuli Tovlis xe</t>
  </si>
  <si>
    <r>
      <t xml:space="preserve">TeTri cru akacia kultivari
</t>
    </r>
    <r>
      <rPr>
        <b/>
        <sz val="11"/>
        <rFont val="Calibri"/>
        <family val="2"/>
        <charset val="204"/>
        <scheme val="minor"/>
      </rPr>
      <t>"umbraculifera"</t>
    </r>
    <r>
      <rPr>
        <b/>
        <sz val="11"/>
        <rFont val="AcadNusx"/>
      </rPr>
      <t xml:space="preserve">
burTisebri forma - 5c</t>
    </r>
  </si>
  <si>
    <t>20</t>
  </si>
  <si>
    <t>21</t>
  </si>
  <si>
    <t>23</t>
  </si>
  <si>
    <t>24</t>
  </si>
  <si>
    <t>25</t>
  </si>
  <si>
    <r>
      <t xml:space="preserve">wvrilfoTola bza kultivari
</t>
    </r>
    <r>
      <rPr>
        <b/>
        <sz val="11"/>
        <rFont val="Calibri"/>
        <family val="2"/>
        <charset val="204"/>
        <scheme val="minor"/>
      </rPr>
      <t>"faulkner"</t>
    </r>
    <r>
      <rPr>
        <b/>
        <sz val="11"/>
        <rFont val="AcadNusx"/>
      </rPr>
      <t xml:space="preserve"> burTis formis</t>
    </r>
  </si>
  <si>
    <t>28</t>
  </si>
  <si>
    <t>29</t>
  </si>
  <si>
    <t xml:space="preserve">iaponuri nekerCxali </t>
  </si>
  <si>
    <t>30</t>
  </si>
  <si>
    <t>32</t>
  </si>
  <si>
    <t>33</t>
  </si>
  <si>
    <t>34</t>
  </si>
  <si>
    <t>evropuli Wyoni kultivari</t>
  </si>
  <si>
    <r>
      <t xml:space="preserve">glicinia </t>
    </r>
    <r>
      <rPr>
        <b/>
        <sz val="11"/>
        <rFont val="Calibri"/>
        <family val="2"/>
        <scheme val="minor"/>
      </rPr>
      <t>"WHITE SILK"</t>
    </r>
    <r>
      <rPr>
        <b/>
        <sz val="11"/>
        <rFont val="AcadNusx"/>
      </rPr>
      <t xml:space="preserve"> -19 cali nergis simaRle </t>
    </r>
    <r>
      <rPr>
        <b/>
        <sz val="11"/>
        <rFont val="Calibri"/>
        <family val="2"/>
        <charset val="204"/>
        <scheme val="minor"/>
      </rPr>
      <t>H=</t>
    </r>
    <r>
      <rPr>
        <b/>
        <sz val="11"/>
        <rFont val="AcadNusx"/>
      </rPr>
      <t>1.0-1.2 m saWiroebs myar sayrdens, xviara mcenare</t>
    </r>
  </si>
  <si>
    <r>
      <t xml:space="preserve">glicinia </t>
    </r>
    <r>
      <rPr>
        <b/>
        <sz val="11"/>
        <rFont val="Calibri"/>
        <family val="2"/>
        <scheme val="minor"/>
      </rPr>
      <t>"BLUE DREAM"</t>
    </r>
    <r>
      <rPr>
        <b/>
        <sz val="11"/>
        <rFont val="AcadNusx"/>
      </rPr>
      <t xml:space="preserve"> - nergis simaRle </t>
    </r>
    <r>
      <rPr>
        <b/>
        <sz val="11"/>
        <rFont val="Calibri"/>
        <family val="2"/>
        <scheme val="minor"/>
      </rPr>
      <t>H=</t>
    </r>
    <r>
      <rPr>
        <b/>
        <sz val="11"/>
        <rFont val="AcadNusx"/>
      </rPr>
      <t xml:space="preserve">1.0-1.2 m   </t>
    </r>
  </si>
  <si>
    <r>
      <t xml:space="preserve">oqrowvima - nergis simaRle </t>
    </r>
    <r>
      <rPr>
        <b/>
        <sz val="11"/>
        <rFont val="Calibri"/>
        <family val="2"/>
        <charset val="204"/>
        <scheme val="minor"/>
      </rPr>
      <t>H=</t>
    </r>
    <r>
      <rPr>
        <b/>
        <sz val="11"/>
        <rFont val="AcadNusx"/>
      </rPr>
      <t>1.5-2.0 m</t>
    </r>
  </si>
  <si>
    <r>
      <t xml:space="preserve">maradmwvane kviparosi, nergis simaRle </t>
    </r>
    <r>
      <rPr>
        <b/>
        <sz val="11"/>
        <rFont val="Calibri"/>
        <family val="2"/>
        <charset val="204"/>
        <scheme val="minor"/>
      </rPr>
      <t>H=</t>
    </r>
    <r>
      <rPr>
        <b/>
        <sz val="11"/>
        <rFont val="AcadNusx"/>
      </rPr>
      <t xml:space="preserve">1.5-2.0 m </t>
    </r>
  </si>
  <si>
    <r>
      <t xml:space="preserve">iaponuri priala kvido  </t>
    </r>
    <r>
      <rPr>
        <b/>
        <sz val="11"/>
        <rFont val="Calibri"/>
        <family val="2"/>
        <scheme val="minor"/>
      </rPr>
      <t>H</t>
    </r>
    <r>
      <rPr>
        <b/>
        <sz val="11"/>
        <rFont val="AcadNusx"/>
      </rPr>
      <t>=0,5-1,0m</t>
    </r>
  </si>
  <si>
    <r>
      <t xml:space="preserve">Cveulebrivi nuSi -  nergis simaRle </t>
    </r>
    <r>
      <rPr>
        <b/>
        <sz val="11"/>
        <rFont val="Calibri"/>
        <family val="2"/>
        <scheme val="minor"/>
      </rPr>
      <t>H=</t>
    </r>
    <r>
      <rPr>
        <b/>
        <sz val="11"/>
        <rFont val="AcadNusx"/>
      </rPr>
      <t xml:space="preserve">1.5-2.0 m </t>
    </r>
  </si>
  <si>
    <r>
      <t xml:space="preserve">arRvani, iudas xe, nergis simaRle </t>
    </r>
    <r>
      <rPr>
        <b/>
        <sz val="11"/>
        <rFont val="Cambria"/>
        <family val="1"/>
        <scheme val="major"/>
      </rPr>
      <t xml:space="preserve"> H=</t>
    </r>
    <r>
      <rPr>
        <b/>
        <sz val="11"/>
        <rFont val="AcadNusx"/>
      </rPr>
      <t xml:space="preserve">1.5-2.0 m </t>
    </r>
  </si>
  <si>
    <r>
      <t xml:space="preserve">ambris xe </t>
    </r>
    <r>
      <rPr>
        <b/>
        <sz val="11"/>
        <rFont val="Calibri"/>
        <family val="2"/>
        <charset val="204"/>
        <scheme val="minor"/>
      </rPr>
      <t xml:space="preserve"> -</t>
    </r>
    <r>
      <rPr>
        <b/>
        <sz val="11"/>
        <rFont val="AcadNusx"/>
      </rPr>
      <t xml:space="preserve"> nergis simaRle</t>
    </r>
    <r>
      <rPr>
        <b/>
        <sz val="11"/>
        <rFont val="Cambria"/>
        <family val="1"/>
        <scheme val="major"/>
      </rPr>
      <t xml:space="preserve"> H=</t>
    </r>
    <r>
      <rPr>
        <b/>
        <sz val="11"/>
        <rFont val="AcadNusx"/>
      </rPr>
      <t xml:space="preserve">1.5-2.0 m </t>
    </r>
  </si>
  <si>
    <r>
      <t xml:space="preserve">TaTruli nekerCxali - nergis simaRle        </t>
    </r>
    <r>
      <rPr>
        <b/>
        <sz val="11"/>
        <rFont val="Cambria"/>
        <family val="1"/>
        <scheme val="major"/>
      </rPr>
      <t>H=</t>
    </r>
    <r>
      <rPr>
        <b/>
        <sz val="11"/>
        <rFont val="AcadNusx"/>
      </rPr>
      <t xml:space="preserve">1.5-2.0 m </t>
    </r>
  </si>
  <si>
    <r>
      <t xml:space="preserve">fotinia kultivari </t>
    </r>
    <r>
      <rPr>
        <b/>
        <sz val="11"/>
        <rFont val="Calibri"/>
        <family val="2"/>
        <charset val="204"/>
        <scheme val="minor"/>
      </rPr>
      <t>"red robin"</t>
    </r>
    <r>
      <rPr>
        <b/>
        <sz val="11"/>
        <rFont val="AcadNusx"/>
      </rPr>
      <t xml:space="preserve">
burTis formis nergis simaRle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=1,0-1,5m</t>
    </r>
  </si>
  <si>
    <r>
      <t xml:space="preserve">fotinia kultivari </t>
    </r>
    <r>
      <rPr>
        <b/>
        <sz val="11"/>
        <rFont val="Calibri"/>
        <family val="2"/>
        <charset val="204"/>
        <scheme val="minor"/>
      </rPr>
      <t>"red robin"</t>
    </r>
    <r>
      <rPr>
        <b/>
        <sz val="11"/>
        <rFont val="AcadNusx"/>
      </rPr>
      <t xml:space="preserve">Stampze  nergis simaRle  </t>
    </r>
    <r>
      <rPr>
        <b/>
        <sz val="11"/>
        <rFont val="Calibri"/>
        <family val="2"/>
        <scheme val="minor"/>
      </rPr>
      <t>H</t>
    </r>
    <r>
      <rPr>
        <b/>
        <sz val="11"/>
        <rFont val="AcadNusx"/>
      </rPr>
      <t>=1,00-1,20m</t>
    </r>
  </si>
  <si>
    <r>
      <t xml:space="preserve">Zaxveli maradmwvane  </t>
    </r>
    <r>
      <rPr>
        <b/>
        <sz val="11"/>
        <rFont val="Calibri"/>
        <family val="2"/>
        <scheme val="minor"/>
      </rPr>
      <t>H</t>
    </r>
    <r>
      <rPr>
        <b/>
        <sz val="11"/>
        <rFont val="AcadNusx"/>
      </rPr>
      <t>=0,7-1,0m</t>
    </r>
  </si>
  <si>
    <r>
      <t xml:space="preserve">himalais kedari </t>
    </r>
    <r>
      <rPr>
        <b/>
        <sz val="11"/>
        <rFont val="Calibri"/>
        <family val="2"/>
        <scheme val="minor"/>
      </rPr>
      <t>H</t>
    </r>
    <r>
      <rPr>
        <b/>
        <sz val="11"/>
        <rFont val="AcadNusx"/>
      </rPr>
      <t>=1,5*-2,0m</t>
    </r>
  </si>
  <si>
    <t xml:space="preserve">didyvavila magnolia kultivari </t>
  </si>
  <si>
    <t>yvavilovani mcenareebis dargva</t>
  </si>
  <si>
    <r>
      <t xml:space="preserve">lavanda </t>
    </r>
    <r>
      <rPr>
        <sz val="11"/>
        <rFont val="AcadNusx"/>
      </rPr>
      <t>minimum 30sm buCqSi   15-20 Rero</t>
    </r>
  </si>
  <si>
    <t>tagetesi/begonia 0kvm (1kvm--60c)</t>
  </si>
  <si>
    <r>
      <t xml:space="preserve">vardi Stambze </t>
    </r>
    <r>
      <rPr>
        <b/>
        <sz val="11"/>
        <rFont val="Calibri"/>
        <family val="2"/>
        <charset val="204"/>
        <scheme val="minor"/>
      </rPr>
      <t>"niccolo paganini"</t>
    </r>
  </si>
  <si>
    <r>
      <t xml:space="preserve">vardi </t>
    </r>
    <r>
      <rPr>
        <b/>
        <sz val="11"/>
        <rFont val="Calibri"/>
        <family val="2"/>
        <charset val="204"/>
        <scheme val="minor"/>
      </rPr>
      <t>"POMPONELLA"</t>
    </r>
  </si>
  <si>
    <r>
      <t xml:space="preserve">vardi </t>
    </r>
    <r>
      <rPr>
        <b/>
        <sz val="11"/>
        <rFont val="Calibri"/>
        <family val="2"/>
        <charset val="204"/>
        <scheme val="minor"/>
      </rPr>
      <t>"DON JUAN"</t>
    </r>
  </si>
  <si>
    <r>
      <t xml:space="preserve">vardi </t>
    </r>
    <r>
      <rPr>
        <b/>
        <sz val="11"/>
        <rFont val="Calibri"/>
        <family val="2"/>
        <charset val="204"/>
        <scheme val="minor"/>
      </rPr>
      <t>"CASINO"</t>
    </r>
  </si>
  <si>
    <r>
      <t xml:space="preserve">floqsi </t>
    </r>
    <r>
      <rPr>
        <b/>
        <sz val="11"/>
        <rFont val="Calibri"/>
        <family val="2"/>
        <charset val="204"/>
        <scheme val="minor"/>
      </rPr>
      <t>"EUROPA" -</t>
    </r>
  </si>
  <si>
    <r>
      <t xml:space="preserve">delospera </t>
    </r>
    <r>
      <rPr>
        <b/>
        <sz val="11"/>
        <rFont val="Calibri"/>
        <family val="2"/>
        <charset val="204"/>
        <scheme val="minor"/>
      </rPr>
      <t>"delosperma
cooperi"</t>
    </r>
  </si>
  <si>
    <t>48-19</t>
  </si>
  <si>
    <r>
      <t xml:space="preserve">lavanda </t>
    </r>
    <r>
      <rPr>
        <sz val="11"/>
        <rFont val="AcadNusx"/>
      </rPr>
      <t>minimum 30sm buCqSi  15-20 Rero</t>
    </r>
  </si>
  <si>
    <t>tagetesi/begonia</t>
  </si>
  <si>
    <r>
      <t xml:space="preserve">vardi </t>
    </r>
    <r>
      <rPr>
        <b/>
        <sz val="11"/>
        <rFont val="Calibri"/>
        <family val="2"/>
        <charset val="204"/>
        <scheme val="minor"/>
      </rPr>
      <t>"DON JUAN"   h=0,7-1,0</t>
    </r>
  </si>
  <si>
    <r>
      <t xml:space="preserve">vardi </t>
    </r>
    <r>
      <rPr>
        <b/>
        <sz val="11"/>
        <rFont val="Calibri"/>
        <family val="2"/>
        <charset val="204"/>
        <scheme val="minor"/>
      </rPr>
      <t>"CASINO"  h=0,7*1,0</t>
    </r>
  </si>
  <si>
    <t>35</t>
  </si>
  <si>
    <t>36</t>
  </si>
  <si>
    <t>37</t>
  </si>
  <si>
    <t>38</t>
  </si>
  <si>
    <r>
      <t>aRmosavluri fetvi -</t>
    </r>
    <r>
      <rPr>
        <b/>
        <sz val="11"/>
        <rFont val="Calibri"/>
        <family val="2"/>
        <charset val="204"/>
        <scheme val="minor"/>
      </rPr>
      <t xml:space="preserve">  Pennisetum Orientale
"Karley Rose"</t>
    </r>
  </si>
  <si>
    <t>3,1</t>
  </si>
  <si>
    <t>3,2</t>
  </si>
  <si>
    <t>sankvanZisa da wylis dasalevi biuvetebis gare wyalsadenisa da kanalizaciis qselis montaJi</t>
  </si>
  <si>
    <t>*</t>
  </si>
  <si>
    <t>cali</t>
  </si>
  <si>
    <t xml:space="preserve">sxva manqana  </t>
  </si>
  <si>
    <t>შრომის დანახარჯი</t>
  </si>
  <si>
    <t>სხვა მანქანები</t>
  </si>
  <si>
    <t>16–12–1</t>
  </si>
  <si>
    <t>სფერული ვენტილი დ= 25 მმ</t>
  </si>
  <si>
    <t>16-22</t>
  </si>
  <si>
    <t>milsadenis gidravlikuri gamocda</t>
  </si>
  <si>
    <t>100 g/m</t>
  </si>
  <si>
    <t>16-12-2</t>
  </si>
  <si>
    <t xml:space="preserve">fasonuri nawilebi </t>
  </si>
  <si>
    <t>pl samkapi d-100</t>
  </si>
  <si>
    <t>pl samkapi d-50</t>
  </si>
  <si>
    <r>
      <t>pl muxli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d-100</t>
    </r>
  </si>
  <si>
    <r>
      <t>pl muxli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d-50</t>
    </r>
  </si>
  <si>
    <t>pl gadamyvani  d-100/50</t>
  </si>
  <si>
    <t>pl samkapi  d-100/50</t>
  </si>
  <si>
    <t>pl gadamyvani d-50/50</t>
  </si>
  <si>
    <t>gruntis damuSaveba xeliT, milis montaJisaTvis</t>
  </si>
  <si>
    <t>23-1-1</t>
  </si>
  <si>
    <t xml:space="preserve">wyalsadenis pl milis qveS qviSis safaris mowyoba  </t>
  </si>
  <si>
    <t>qviSa Savi</t>
  </si>
  <si>
    <r>
      <t xml:space="preserve">მილი პლ. d-25*3,5  </t>
    </r>
    <r>
      <rPr>
        <sz val="11"/>
        <rFont val="Calibri"/>
        <family val="2"/>
        <charset val="204"/>
        <scheme val="minor"/>
      </rPr>
      <t>DIZAIN PN20</t>
    </r>
  </si>
  <si>
    <t>სფერული ვენტილის მონტაჟი</t>
  </si>
  <si>
    <t>23-1-2</t>
  </si>
  <si>
    <t>tranSeis Sevseba RorRiT</t>
  </si>
  <si>
    <t>gazinTuli ZenZi</t>
  </si>
  <si>
    <t>22-28-1 gam.</t>
  </si>
  <si>
    <t>fasonuri nawilebi</t>
  </si>
  <si>
    <t xml:space="preserve">tranSeas mowyoba xeliT milebis montaJisaTvis </t>
  </si>
  <si>
    <t>22-8-1</t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</si>
  <si>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150mm</t>
    </r>
  </si>
  <si>
    <t>kanalizaciis pl gofrirebuli mili d-150</t>
  </si>
  <si>
    <t>მილის gadamyvani d-150</t>
  </si>
  <si>
    <t xml:space="preserve"> 23-1-2 </t>
  </si>
  <si>
    <t>23-22-2</t>
  </si>
  <si>
    <t>arsebul kanalizaciis qselSi SeWra (makompleqtebeli nawilebiT)</t>
  </si>
  <si>
    <t>SeWra</t>
  </si>
  <si>
    <t>sasmeli wylis dasalevi fantanis wyalsadenisa da kanalizaciis qselis montaji</t>
  </si>
  <si>
    <t>wyalsadenis qselis montaJi</t>
  </si>
  <si>
    <t>wy pl milebis montaji</t>
  </si>
  <si>
    <t>ცივი წყლისათვის პლასტმასის მილების მოntaJi d-25</t>
  </si>
  <si>
    <t>gruntis ukumiyra xeliT</t>
  </si>
  <si>
    <t>22-23- 1-2-3. misad</t>
  </si>
  <si>
    <r>
      <t xml:space="preserve">quro polieTilenis milisaTvis </t>
    </r>
    <r>
      <rPr>
        <b/>
        <sz val="11"/>
        <rFont val="Arial"/>
        <family val="2"/>
        <charset val="204"/>
      </rPr>
      <t>D50</t>
    </r>
  </si>
  <si>
    <r>
      <t xml:space="preserve">quro polieTilenis milisaTvis </t>
    </r>
    <r>
      <rPr>
        <b/>
        <sz val="11"/>
        <rFont val="Arial"/>
        <family val="2"/>
        <charset val="204"/>
      </rPr>
      <t>D32</t>
    </r>
  </si>
  <si>
    <r>
      <t xml:space="preserve">quro polipropilenis milisaTvis </t>
    </r>
    <r>
      <rPr>
        <b/>
        <sz val="11"/>
        <rFont val="Arial"/>
        <family val="2"/>
        <charset val="204"/>
      </rPr>
      <t>D25</t>
    </r>
  </si>
  <si>
    <r>
      <t xml:space="preserve">quro polipropilenis milisaTvis </t>
    </r>
    <r>
      <rPr>
        <b/>
        <sz val="11"/>
        <rFont val="Arial"/>
        <family val="2"/>
        <charset val="204"/>
      </rPr>
      <t>D20</t>
    </r>
  </si>
  <si>
    <r>
      <t xml:space="preserve">muxli 90gr polieTilenis milisaTvis </t>
    </r>
    <r>
      <rPr>
        <b/>
        <sz val="11"/>
        <rFont val="Arial"/>
        <family val="2"/>
        <charset val="204"/>
      </rPr>
      <t>D50</t>
    </r>
  </si>
  <si>
    <r>
      <t xml:space="preserve">muxli 90gr polieTilenis milisaTvis </t>
    </r>
    <r>
      <rPr>
        <b/>
        <sz val="11"/>
        <rFont val="Arial"/>
        <family val="2"/>
        <charset val="204"/>
      </rPr>
      <t>D32</t>
    </r>
  </si>
  <si>
    <r>
      <t xml:space="preserve">muxli 90gr polipropilenis milisaTvis </t>
    </r>
    <r>
      <rPr>
        <b/>
        <sz val="11"/>
        <rFont val="Arial"/>
        <family val="2"/>
        <charset val="204"/>
      </rPr>
      <t>D25</t>
    </r>
  </si>
  <si>
    <r>
      <t xml:space="preserve">muxli 90gr polipropilenis milisaTvis </t>
    </r>
    <r>
      <rPr>
        <b/>
        <sz val="11"/>
        <rFont val="Arial"/>
        <family val="2"/>
        <charset val="204"/>
      </rPr>
      <t>D20</t>
    </r>
  </si>
  <si>
    <t xml:space="preserve">ყუთი პლასტმასის  (ელექტრომაგნიტური კლაპანისათვის) </t>
  </si>
  <si>
    <t>unagiri 100X32</t>
  </si>
  <si>
    <t>ukusarqveli d-32</t>
  </si>
  <si>
    <r>
      <t xml:space="preserve">wyalsadenis arsebul qselSi SeWra </t>
    </r>
    <r>
      <rPr>
        <sz val="11"/>
        <rFont val="AcadNusx"/>
      </rPr>
      <t>(makompleqtebeli nawilebiT)</t>
    </r>
  </si>
  <si>
    <t xml:space="preserve">1-81-3 </t>
  </si>
  <si>
    <t>betoni ბ.10</t>
  </si>
  <si>
    <t xml:space="preserve">sul pirdapiri danaxarjebi </t>
  </si>
  <si>
    <t>masalis transportirebis xarjebi              (samS masalis Rirebulebidan)</t>
  </si>
  <si>
    <t>lokaluri ხ ა რ ჯ თ ა ღ რ ი ც ვ ხ ვ ა # 3</t>
  </si>
  <si>
    <t>lk#3</t>
  </si>
  <si>
    <t>sul xarjTaRricxva   #3</t>
  </si>
  <si>
    <t>lk#4</t>
  </si>
  <si>
    <t>sul pirdapiri danaxarjebi</t>
  </si>
  <si>
    <t>sul xarjTaRricxva #4</t>
  </si>
  <si>
    <t>gegmiuri dagroveba                                            (inventarisa da danadgarebis Rirebulebis gamoklebiT)</t>
  </si>
  <si>
    <t xml:space="preserve">kanalizaciis gare qseli                                                                                    (d-150 pl)                      </t>
  </si>
  <si>
    <r>
      <rPr>
        <sz val="11"/>
        <rFont val="Calibri"/>
        <family val="2"/>
        <charset val="204"/>
      </rPr>
      <t xml:space="preserve">PVC </t>
    </r>
    <r>
      <rPr>
        <sz val="11"/>
        <rFont val="AcadNusx"/>
      </rPr>
      <t>gofrirebuli miwisqveSa Cadebis narinJisferi sakabelo mil</t>
    </r>
    <r>
      <rPr>
        <sz val="11"/>
        <rFont val="Calibri"/>
        <family val="2"/>
        <charset val="204"/>
      </rPr>
      <t>i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Ø32მმ</t>
    </r>
  </si>
  <si>
    <t>dioduri naTebis dekoratiuli lampioni   250v 2X50vat</t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</si>
  <si>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ПВХ </t>
    </r>
    <r>
      <rPr>
        <sz val="11"/>
        <rFont val="AcadNusx"/>
      </rPr>
      <t>5*6</t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</si>
  <si>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ПВХ </t>
    </r>
    <r>
      <rPr>
        <sz val="11"/>
        <rFont val="AcadNusx"/>
      </rPr>
      <t>3*4</t>
    </r>
    <r>
      <rPr>
        <sz val="11"/>
        <color theme="1"/>
        <rFont val="Calibri"/>
        <family val="2"/>
        <charset val="1"/>
        <scheme val="minor"/>
      </rPr>
      <t/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</si>
  <si>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ПВХ </t>
    </r>
    <r>
      <rPr>
        <sz val="11"/>
        <rFont val="AcadNusx"/>
      </rPr>
      <t>3*2,5</t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</si>
  <si>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ПВХ </t>
    </r>
    <r>
      <rPr>
        <sz val="11"/>
        <rFont val="AcadNusx"/>
      </rPr>
      <t>3*1,5</t>
    </r>
  </si>
  <si>
    <r>
      <t xml:space="preserve">faris korpusi, liTonis hermetuli Sesrulebis                                          </t>
    </r>
    <r>
      <rPr>
        <sz val="10"/>
        <rFont val="Calibri"/>
        <family val="2"/>
        <charset val="204"/>
        <scheme val="minor"/>
      </rPr>
      <t xml:space="preserve"> IP 67 IKOB    400X200X200mm</t>
    </r>
  </si>
  <si>
    <r>
      <t xml:space="preserve">liTonis gamanawilebeli kolofi 10*10*5 </t>
    </r>
    <r>
      <rPr>
        <sz val="10"/>
        <rFont val="Calibri"/>
        <family val="2"/>
        <scheme val="minor"/>
      </rPr>
      <t xml:space="preserve"> IP 67</t>
    </r>
  </si>
  <si>
    <r>
      <t xml:space="preserve">avtomaturi amomrTveli  </t>
    </r>
    <r>
      <rPr>
        <sz val="10"/>
        <rFont val="Calibri"/>
        <family val="2"/>
        <charset val="204"/>
        <scheme val="minor"/>
      </rPr>
      <t>3p25a 6KA</t>
    </r>
  </si>
  <si>
    <r>
      <t xml:space="preserve">avtomaturi amomrTveli  </t>
    </r>
    <r>
      <rPr>
        <sz val="10"/>
        <rFont val="Calibri"/>
        <family val="2"/>
        <charset val="204"/>
        <scheme val="minor"/>
      </rPr>
      <t>3p40a 6KA</t>
    </r>
  </si>
  <si>
    <t>damiwebis Wa d-500</t>
  </si>
  <si>
    <t>СНиП
IV-6-82
8-471-4</t>
  </si>
  <si>
    <t>დამიწების მოთუთიებული ღერო,  d-16 sigrZe 1,50m</t>
  </si>
  <si>
    <t xml:space="preserve">დამიწების მოთუთიებული ღერო,  d-25 sigrZe 3,0m,  </t>
  </si>
  <si>
    <t>gadabmis elementi</t>
  </si>
  <si>
    <t>Cxiris Tavi</t>
  </si>
  <si>
    <t>СНиП
IV-6-82
8-472-1</t>
  </si>
  <si>
    <t>დამიწების მოთუთიებული gamtari d-12</t>
  </si>
  <si>
    <t>horizontaluri damiwebis konturis mowyoba (zolovani foladiT)</t>
  </si>
  <si>
    <t>СНиП
IV-6-82
8-472-3</t>
  </si>
  <si>
    <t>СНиП
IV-6-82
8-472-4</t>
  </si>
  <si>
    <t>СНиП
IV-6-82
8-472-5</t>
  </si>
  <si>
    <t>დამიწების მოთუთიებული gamtari d-8</t>
  </si>
  <si>
    <t>დამიწების მოთუთიებული ღერო,  63X63X6  1500mm</t>
  </si>
  <si>
    <t>СНиП
IV-6-82
8-471-2</t>
  </si>
  <si>
    <t>СНиП
IV-6-82
8-471-3</t>
  </si>
  <si>
    <t>damiwebis vertikaluri eleqtrodebis montaJi (kuTxovani foladiT)</t>
  </si>
  <si>
    <t>damiwebis vertikaluri eleqtrodebis montaJi (mrgvali foladiT)</t>
  </si>
  <si>
    <t>დამიწების მოთუთიებული ღერო,  d-12 sigrZe 1,50m</t>
  </si>
  <si>
    <r>
      <t xml:space="preserve">დამიწების მოთუთიებული სალტე </t>
    </r>
    <r>
      <rPr>
        <sz val="11"/>
        <color rgb="FFFF0000"/>
        <rFont val="Calibri"/>
        <family val="2"/>
        <charset val="204"/>
        <scheme val="minor"/>
      </rPr>
      <t>100x4მმ</t>
    </r>
  </si>
  <si>
    <t xml:space="preserve">ganaTebis liTonis dgarebis montaJi  </t>
  </si>
  <si>
    <t>skami saqanela jaWvebze (xis pergolaZe Camosakidebeli)</t>
  </si>
  <si>
    <r>
      <t xml:space="preserve">skami #1 </t>
    </r>
    <r>
      <rPr>
        <sz val="11"/>
        <rFont val="AcadNusx"/>
      </rPr>
      <t>(ix.proeqti)</t>
    </r>
  </si>
  <si>
    <r>
      <t xml:space="preserve">skami #2 </t>
    </r>
    <r>
      <rPr>
        <sz val="11"/>
        <rFont val="AcadNusx"/>
      </rPr>
      <t>(ix.proeqti)</t>
    </r>
  </si>
  <si>
    <r>
      <t xml:space="preserve">urnebi SeZena montaJi  #1 </t>
    </r>
    <r>
      <rPr>
        <sz val="11"/>
        <rFont val="AcadNusx"/>
      </rPr>
      <t>(ix.proeqti)</t>
    </r>
  </si>
  <si>
    <r>
      <t xml:space="preserve">urnebi SeZena montaJi  #2 </t>
    </r>
    <r>
      <rPr>
        <sz val="11"/>
        <rFont val="AcadNusx"/>
      </rPr>
      <t>(ix.proeqti)</t>
    </r>
  </si>
  <si>
    <t>wylis dasalevi fantani  (ix.proeqti)</t>
  </si>
  <si>
    <t>sayvavile</t>
  </si>
  <si>
    <t>inventarisa da danadgarebis SeZena montaJi</t>
  </si>
  <si>
    <t>gare eleqtro qselis montaJi</t>
  </si>
  <si>
    <t>balaxis Tesli (5komponentiani koindari)</t>
  </si>
  <si>
    <t>დამიწების მოთუთიებული ღერო,  d-18 sigrZe 1,5m</t>
  </si>
  <si>
    <r>
      <t>sabavSvo atraqcioni</t>
    </r>
    <r>
      <rPr>
        <b/>
        <sz val="11"/>
        <rFont val="Calibri"/>
        <family val="2"/>
        <charset val="204"/>
        <scheme val="minor"/>
      </rPr>
      <t xml:space="preserve"> EX A-05</t>
    </r>
  </si>
  <si>
    <t>#1 saproeqto skamebis Caankereba - Camagreba rk.betonis saZirkvlis koWSi</t>
  </si>
  <si>
    <t>qvabulis mowyoba xeliT rk betonis saZirkvlis koWis mosawyobad</t>
  </si>
  <si>
    <t>RorRis fenilis mowyoba rk.betonis saZirkvlis koWis qveS  10sm sisqis</t>
  </si>
  <si>
    <t>6-15-1</t>
  </si>
  <si>
    <t xml:space="preserve">monoliTuri rk/betonis saZirkvlis koWis mowyoba  </t>
  </si>
  <si>
    <t xml:space="preserve">armatura АIII </t>
  </si>
  <si>
    <r>
      <t xml:space="preserve">liTonis furceli </t>
    </r>
    <r>
      <rPr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AcadNusx"/>
      </rPr>
      <t>=10mm</t>
    </r>
  </si>
  <si>
    <r>
      <t xml:space="preserve">liTonis gafarToebul Taviani ankeri                 d-10mm </t>
    </r>
    <r>
      <rPr>
        <sz val="11"/>
        <color theme="1"/>
        <rFont val="Calibri"/>
        <family val="2"/>
        <charset val="204"/>
        <scheme val="minor"/>
      </rPr>
      <t>L</t>
    </r>
    <r>
      <rPr>
        <sz val="11"/>
        <color theme="1"/>
        <rFont val="AcadNusx"/>
      </rPr>
      <t>=150mm</t>
    </r>
  </si>
  <si>
    <t>8-4-7</t>
  </si>
  <si>
    <t>rk betonis saZirkvlis koWis gidroizolacia</t>
  </si>
  <si>
    <t>snf                       15-15</t>
  </si>
  <si>
    <t>lokaluri ხ ა რ ჯ თ ა ღ რ ი ც ვ ხ ვ ა # 4</t>
  </si>
  <si>
    <t>27-56-1</t>
  </si>
  <si>
    <t>parkingis daxazva  (fosforis Semcvelisagzao saRebaviT)</t>
  </si>
  <si>
    <t>1553</t>
  </si>
  <si>
    <t>markirebis manqana (sagzao momniSvneli)</t>
  </si>
  <si>
    <t>saRebavi sagzao</t>
  </si>
  <si>
    <t>vibrodawnexili betonis bordiuris montaJi 100X200</t>
  </si>
  <si>
    <t>vibrodawnexili betonis bordiuri 100*200</t>
  </si>
  <si>
    <t>vibrodawnexili betonis bordiuris montaJi  100X200</t>
  </si>
  <si>
    <t>osb orientirebuli burbuSelis filis fenilis mowyoba</t>
  </si>
  <si>
    <t>osb orientirebuli burbuSelis filis fenila 11mm</t>
  </si>
  <si>
    <t>samSeneblo naWedi</t>
  </si>
  <si>
    <t>10-3-5</t>
  </si>
  <si>
    <t>15-163-2 gamoy</t>
  </si>
  <si>
    <t>saxuravis karnizis xis mopirketebis damuSaveba, SeRebva gare samuSaoebis xis laqiT</t>
  </si>
  <si>
    <t>laqi xis, gare samuSaoebis</t>
  </si>
  <si>
    <t>saxuravis Sida sibrtyis mopirkeTeba  profilirebuli xiT</t>
  </si>
  <si>
    <t>evrovagonka AB (kirovis naZvi-soWi)  12,5-100</t>
  </si>
  <si>
    <t>gare ganaTebis lampionebis demontaJi,  dasawyobeba damkveis mier miTiTebul adgilze</t>
  </si>
  <si>
    <t xml:space="preserve">sabaRe urnebis demontaJi, dasawyobeba damkveis mier miTiTebul adgilze </t>
  </si>
  <si>
    <t>ВЗЕР    25-9-18</t>
  </si>
  <si>
    <t>sabavSvo atraqcionebis qveS kauCukis fenilis demontaji</t>
  </si>
  <si>
    <t>xis moWra da daWra avtoTviTmclelze dasatvirTavad</t>
  </si>
  <si>
    <t>bunebrivi bazaltis bordiuris montaJi  100X200</t>
  </si>
  <si>
    <r>
      <t xml:space="preserve">bunebrivi bazaltis bordiuri 100X200 -- </t>
    </r>
    <r>
      <rPr>
        <sz val="11"/>
        <color rgb="FFFF0000"/>
        <rFont val="AcadNusx"/>
      </rPr>
      <t>arsebuli</t>
    </r>
  </si>
  <si>
    <r>
      <t xml:space="preserve">bunebrivi bazaltis bordiuri   100*200 -- </t>
    </r>
    <r>
      <rPr>
        <sz val="11"/>
        <color rgb="FFFF0000"/>
        <rFont val="AcadNusx"/>
      </rPr>
      <t>axali</t>
    </r>
  </si>
  <si>
    <t>buCqebis moWra avtoTviTmclelze dasatvirTavad</t>
  </si>
  <si>
    <t>1-104-8      1-106-10</t>
  </si>
  <si>
    <t>1-104-4 misadag</t>
  </si>
  <si>
    <t xml:space="preserve">teritoriis bilikebis mopirkeTeba bunebrivi bazaltisa da traventinis filis miqsiT </t>
  </si>
  <si>
    <t>bunebrivi bazaltis fila 30mm  sisqis</t>
  </si>
  <si>
    <t>bunebrivi traventinis fila 30mm  sisqis</t>
  </si>
  <si>
    <t>teritoriis bilikebis mopirkeTeba bunebrivi bazaltisa da traventinis filis miqsiT (sisqiT 30mm) 50-50%</t>
  </si>
  <si>
    <t>damatebiTi noyieri gruntis Semotana skveris teritoriaze 30km manZilidan</t>
  </si>
  <si>
    <t>39</t>
  </si>
  <si>
    <t>40</t>
  </si>
  <si>
    <t>41</t>
  </si>
  <si>
    <t>42</t>
  </si>
  <si>
    <t>43</t>
  </si>
  <si>
    <t>44</t>
  </si>
  <si>
    <r>
      <t xml:space="preserve">dioduri naTebis dekoratiuli lampioni   250v 2X50vat </t>
    </r>
    <r>
      <rPr>
        <b/>
        <sz val="11"/>
        <rFont val="Calibri"/>
        <family val="2"/>
        <charset val="204"/>
        <scheme val="minor"/>
      </rPr>
      <t>IP 65</t>
    </r>
  </si>
  <si>
    <r>
      <t xml:space="preserve">sp. sadeni </t>
    </r>
    <r>
      <rPr>
        <sz val="11"/>
        <rFont val="Calibri"/>
        <family val="2"/>
        <charset val="204"/>
        <scheme val="minor"/>
      </rPr>
      <t xml:space="preserve">ПВХ </t>
    </r>
    <r>
      <rPr>
        <sz val="11"/>
        <rFont val="AcadNusx"/>
      </rPr>
      <t>5*10</t>
    </r>
  </si>
  <si>
    <r>
      <t>ფიტოსპორუმი`ნანა“
(</t>
    </r>
    <r>
      <rPr>
        <b/>
        <sz val="11"/>
        <rFont val="Calibri"/>
        <family val="2"/>
        <charset val="204"/>
        <scheme val="minor"/>
      </rPr>
      <t>„Pittosporum tobira nana“</t>
    </r>
    <r>
      <rPr>
        <b/>
        <sz val="11"/>
        <rFont val="AcadNusx"/>
      </rPr>
      <t>) - ყველა
მხრიდან სიმეტრიულად
განვითარებული.</t>
    </r>
  </si>
  <si>
    <r>
      <t>ბურთის ფორმის
ლოროპეტალუმი(</t>
    </r>
    <r>
      <rPr>
        <b/>
        <sz val="11"/>
        <rFont val="Calibri"/>
        <family val="2"/>
        <charset val="204"/>
        <scheme val="minor"/>
      </rPr>
      <t>„loropetalum
chinense fire dance“</t>
    </r>
    <r>
      <rPr>
        <b/>
        <sz val="11"/>
        <rFont val="AcadNusx"/>
      </rPr>
      <t>) - ყველა
მხრიდან სიმეტრიულად
განვითარებული. ქოთანში
დაფესვიანებული.</t>
    </r>
  </si>
  <si>
    <r>
      <t>ბურთის ფორმის მარადმწვანე
ძახველი (</t>
    </r>
    <r>
      <rPr>
        <b/>
        <sz val="11"/>
        <rFont val="Calibri"/>
        <family val="2"/>
        <charset val="204"/>
        <scheme val="minor"/>
      </rPr>
      <t>„Viburnum tinus (ball)“</t>
    </r>
    <r>
      <rPr>
        <b/>
        <sz val="11"/>
        <rFont val="AcadNusx"/>
      </rPr>
      <t>) -
ყველა მხრიდან სიმეტრიულად
განვითარებული.</t>
    </r>
  </si>
  <si>
    <t xml:space="preserve">skveris teritoriis sarwyavi sistemis el montaJi   </t>
  </si>
  <si>
    <t>sadenis montaji</t>
  </si>
  <si>
    <t>1-80,3</t>
  </si>
  <si>
    <t>საკაბელო თხრილის მოწყობა xeliT</t>
  </si>
  <si>
    <t>კბმ</t>
  </si>
  <si>
    <t>1-22-15</t>
  </si>
  <si>
    <t>eqskavatori 0,5kbm CamCiT</t>
  </si>
  <si>
    <r>
      <rPr>
        <b/>
        <sz val="11"/>
        <rFont val="Calibri"/>
        <family val="2"/>
        <charset val="204"/>
      </rPr>
      <t>PVC ორკედლიანი გოფრირებული მილის</t>
    </r>
    <r>
      <rPr>
        <b/>
        <sz val="11"/>
        <rFont val="AcadNusx"/>
      </rPr>
      <t xml:space="preserve"> </t>
    </r>
    <r>
      <rPr>
        <b/>
        <sz val="11"/>
        <rFont val="Calibri"/>
        <family val="2"/>
        <charset val="204"/>
      </rPr>
      <t xml:space="preserve">Ø25 </t>
    </r>
    <r>
      <rPr>
        <b/>
        <sz val="11"/>
        <rFont val="AcadNusx"/>
      </rPr>
      <t>მმ მოწყობა</t>
    </r>
  </si>
  <si>
    <r>
      <rPr>
        <sz val="11"/>
        <rFont val="Calibri"/>
        <family val="2"/>
        <charset val="204"/>
      </rPr>
      <t>PVCორკედლიანი გოფრირებული მილი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Ø25მმ</t>
    </r>
  </si>
  <si>
    <t>სულ III თავი</t>
  </si>
  <si>
    <t>კ/სთ</t>
  </si>
  <si>
    <r>
      <t xml:space="preserve">sp. sadeni </t>
    </r>
    <r>
      <rPr>
        <sz val="11"/>
        <rFont val="Calibri"/>
        <family val="2"/>
        <charset val="204"/>
        <scheme val="minor"/>
      </rPr>
      <t>NYM 3*4</t>
    </r>
  </si>
  <si>
    <r>
      <t xml:space="preserve">Zalovani faris montaJi, liTonis,   </t>
    </r>
    <r>
      <rPr>
        <b/>
        <sz val="10"/>
        <rFont val="Calibri"/>
        <family val="2"/>
        <charset val="204"/>
        <scheme val="minor"/>
      </rPr>
      <t>MDB   IP 65</t>
    </r>
  </si>
  <si>
    <t>horizontaluri damiwebis konturis mowyoba</t>
  </si>
  <si>
    <t>damiwebis vertikaluri eleqtrodebis montaJi</t>
  </si>
  <si>
    <t>დამიწების მოთუთიებული ღერო,  d-16 sigrZe 3,0m</t>
  </si>
  <si>
    <t>gadabmis elementi galvanizirebuli</t>
  </si>
  <si>
    <t>Rero Tavi galvanizirebuli</t>
  </si>
  <si>
    <t>4,5</t>
  </si>
  <si>
    <t>СНиП
IV-6-82
8-472-8</t>
  </si>
  <si>
    <r>
      <t xml:space="preserve">მოთუთიებული გამტარი,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8mm</t>
    </r>
  </si>
  <si>
    <t>სულ IV თავი</t>
  </si>
  <si>
    <t>სულ  I-II-III-IV თავი</t>
  </si>
  <si>
    <t>სამშენებლო სამუSაოები</t>
  </si>
  <si>
    <t>სამონტაჟო სამუშაოები</t>
  </si>
  <si>
    <t>sul I da II Tavi</t>
  </si>
  <si>
    <t>sul III da IV Tavi</t>
  </si>
  <si>
    <t>skveris avtomaturi sarwyavi qselis montaji</t>
  </si>
  <si>
    <t>III kategoriis gruntis damuSaveba xeliT, milis montaJisaTvis</t>
  </si>
  <si>
    <t>ცივი წყლისათვის პლასტმასის მილების მოntaJi d-20-25</t>
  </si>
  <si>
    <r>
      <t>მილი</t>
    </r>
    <r>
      <rPr>
        <sz val="11"/>
        <rFont val="Calibri"/>
        <family val="2"/>
        <charset val="204"/>
      </rPr>
      <t xml:space="preserve">  SDR 17  25</t>
    </r>
    <r>
      <rPr>
        <sz val="11"/>
        <rFont val="AcadNusx"/>
      </rPr>
      <t xml:space="preserve">mm </t>
    </r>
  </si>
  <si>
    <t>მ</t>
  </si>
  <si>
    <r>
      <t>მილი</t>
    </r>
    <r>
      <rPr>
        <sz val="11"/>
        <rFont val="Calibri"/>
        <family val="2"/>
        <charset val="204"/>
      </rPr>
      <t xml:space="preserve">  SDR 17  20</t>
    </r>
    <r>
      <rPr>
        <sz val="11"/>
        <rFont val="AcadNusx"/>
      </rPr>
      <t xml:space="preserve">mm </t>
    </r>
  </si>
  <si>
    <t>snf 15-15</t>
  </si>
  <si>
    <t>სფერული ვენტილი დ= 20 მმ</t>
  </si>
  <si>
    <t>სფერული ვენტილი დ= 32 მმ</t>
  </si>
  <si>
    <t>18-14-1</t>
  </si>
  <si>
    <t>wylis gamwmendi filtris montaJi</t>
  </si>
  <si>
    <t>wylis gamwmendi filtri meqanikuri d-25 TiTberis</t>
  </si>
  <si>
    <t>sxvadasxva masala</t>
  </si>
  <si>
    <t xml:space="preserve">anakrebi rk betonis Wis mowyoba </t>
  </si>
  <si>
    <t>8,1</t>
  </si>
  <si>
    <t>anakrebi rk/betonis Wis mosawyobad qvabulis mowyoba</t>
  </si>
  <si>
    <t>8,2</t>
  </si>
  <si>
    <t>23-12-2 gam.</t>
  </si>
  <si>
    <r>
      <t>anakrebi rk/betonis Wis montaJi</t>
    </r>
    <r>
      <rPr>
        <sz val="11"/>
        <rFont val="AcadNusx"/>
      </rPr>
      <t xml:space="preserve"> </t>
    </r>
  </si>
  <si>
    <t>Wis Ziri</t>
  </si>
  <si>
    <t>Wis Tavsaxuri cxauriT</t>
  </si>
  <si>
    <t>betoni ბ.15</t>
  </si>
  <si>
    <t>bitumis emulsia</t>
  </si>
  <si>
    <t>8,3</t>
  </si>
  <si>
    <t>gruntis datvirTva xeliT           avtoTviTmclelze</t>
  </si>
  <si>
    <t>snf 15,15</t>
  </si>
  <si>
    <t>sarwyavi sistemis mowyobilobebis montaJi</t>
  </si>
  <si>
    <r>
      <t xml:space="preserve">avtomaturi sarwyavi sistemis makontrolebeli paneli </t>
    </r>
    <r>
      <rPr>
        <sz val="11"/>
        <rFont val="Calibri"/>
        <family val="2"/>
        <charset val="204"/>
        <scheme val="minor"/>
      </rPr>
      <t>12V  IP 65</t>
    </r>
    <r>
      <rPr>
        <sz val="11"/>
        <rFont val="AcadNusx"/>
      </rPr>
      <t xml:space="preserve"> germetuli SesrulebiT</t>
    </r>
  </si>
  <si>
    <r>
      <t xml:space="preserve">wnevis regulatori </t>
    </r>
    <r>
      <rPr>
        <sz val="11"/>
        <rFont val="Calibri"/>
        <family val="2"/>
        <charset val="204"/>
        <scheme val="minor"/>
      </rPr>
      <t xml:space="preserve"> 12V  IP 65</t>
    </r>
    <r>
      <rPr>
        <sz val="11"/>
        <rFont val="AcadNusx"/>
      </rPr>
      <t xml:space="preserve">  daregulirdes 2,0atm</t>
    </r>
  </si>
  <si>
    <t>vantuzi d-20</t>
  </si>
  <si>
    <r>
      <t xml:space="preserve">eleqtromagnituri klapani  </t>
    </r>
    <r>
      <rPr>
        <sz val="11"/>
        <rFont val="Calibri"/>
        <family val="2"/>
        <charset val="204"/>
        <scheme val="minor"/>
      </rPr>
      <t>12V  IP 65</t>
    </r>
  </si>
  <si>
    <t>rotoruli seqciuri saqSeni, teleskopuri</t>
  </si>
  <si>
    <t>gidranti xelis sarwyavisaTvis</t>
  </si>
  <si>
    <t>swrafi mierTebis kvanZi -StuceriT  d-15 SlangiT     (20m)</t>
  </si>
  <si>
    <t>wert</t>
  </si>
  <si>
    <t xml:space="preserve">yuTi pl </t>
  </si>
  <si>
    <t>damcavi cxauri</t>
  </si>
  <si>
    <r>
      <t xml:space="preserve">faris korpusi, liTonis hermetuli Sesrulebis   </t>
    </r>
    <r>
      <rPr>
        <sz val="10"/>
        <rFont val="Calibri"/>
        <family val="2"/>
        <charset val="204"/>
        <scheme val="minor"/>
      </rPr>
      <t xml:space="preserve">MDB  IP 67   IK08   </t>
    </r>
  </si>
  <si>
    <r>
      <t xml:space="preserve">avtomaturi amomrTveli      </t>
    </r>
    <r>
      <rPr>
        <sz val="10"/>
        <rFont val="Calibri"/>
        <family val="2"/>
        <charset val="204"/>
        <scheme val="minor"/>
      </rPr>
      <t>1p25a 6KA</t>
    </r>
  </si>
  <si>
    <r>
      <t xml:space="preserve">avtomaturi amomrTveli      </t>
    </r>
    <r>
      <rPr>
        <sz val="10"/>
        <rFont val="Calibri"/>
        <family val="2"/>
        <charset val="204"/>
        <scheme val="minor"/>
      </rPr>
      <t>1p 16a 6KA</t>
    </r>
  </si>
  <si>
    <r>
      <t xml:space="preserve">qviSis safaris mowyoba milis irgvliv </t>
    </r>
    <r>
      <rPr>
        <sz val="11"/>
        <rFont val="Arial"/>
        <family val="2"/>
        <charset val="204"/>
      </rPr>
      <t>(H=35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</si>
  <si>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r>
      <t>anakrebi Wis rgolebi</t>
    </r>
    <r>
      <rPr>
        <sz val="11"/>
        <rFont val="Calibri"/>
        <family val="2"/>
        <charset val="204"/>
        <scheme val="minor"/>
      </rPr>
      <t xml:space="preserve">    Ø</t>
    </r>
    <r>
      <rPr>
        <sz val="11"/>
        <rFont val="AcadNusx"/>
      </rPr>
      <t>1000mm;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>=1.0m</t>
    </r>
  </si>
  <si>
    <t>arsebuli bordiuris demontaji</t>
  </si>
  <si>
    <t>46-31-14 misadag</t>
  </si>
  <si>
    <t xml:space="preserve">kauCukis fenilis qveS rk.betonis filis demontaJi </t>
  </si>
  <si>
    <t>46-23-3</t>
  </si>
  <si>
    <t>betonis cokolis demontaJi liTonis dekoratiuli moajiris qveS</t>
  </si>
  <si>
    <t>cementis xsnari m-200,  (mSrali)</t>
  </si>
  <si>
    <t xml:space="preserve">sabavSvo atraqionis qveS kauCukis safariani rk.betonis filis mowyoba </t>
  </si>
  <si>
    <t xml:space="preserve">kauCukis masiuri fenilis mowyoba sisqiT 30mm     </t>
  </si>
  <si>
    <t>kauCukis masiuri fenili 30mm</t>
  </si>
  <si>
    <t>svetebi</t>
  </si>
  <si>
    <t>liTonis marTkuTx mili 100*150*3</t>
  </si>
  <si>
    <r>
      <t xml:space="preserve">liTonis ankeri d-12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=450mm</t>
    </r>
  </si>
  <si>
    <t>dioduri lentis montaji</t>
  </si>
  <si>
    <r>
      <t xml:space="preserve">gare ganaTebis dioduri lenturi sanaTi </t>
    </r>
    <r>
      <rPr>
        <b/>
        <sz val="11"/>
        <rFont val="Calibri"/>
        <family val="2"/>
        <charset val="204"/>
        <scheme val="minor"/>
      </rPr>
      <t xml:space="preserve"> IP66  1/12W, 230V</t>
    </r>
  </si>
  <si>
    <t>dioduri lentis draiveri                     230v-48v/120 vat</t>
  </si>
  <si>
    <t>savarjiSo trenaJori                     ix eskizi</t>
  </si>
  <si>
    <t>sabavSvo atraqcionebis demontaji dasawyobeba damkveTis mier miTiTebul adgilze                              (sasrialo 1kompl, saqanela 2 adgiliani 1c, aiwona 1c)</t>
  </si>
  <si>
    <t xml:space="preserve">savarjiSo trenaJorebis kompleqti, demontaji dasawyobeba damkveTis mier miTiTebul adgilze                              </t>
  </si>
  <si>
    <t>rk betonis kibis safexurebis demontaJi</t>
  </si>
  <si>
    <r>
      <t xml:space="preserve">ლეგა წივანა </t>
    </r>
    <r>
      <rPr>
        <b/>
        <sz val="11"/>
        <rFont val="Calibri"/>
        <family val="2"/>
        <charset val="204"/>
        <scheme val="minor"/>
      </rPr>
      <t>- Festuca glauca "Elijah Blue"</t>
    </r>
    <r>
      <rPr>
        <b/>
        <sz val="11"/>
        <rFont val="AcadNusx"/>
      </rPr>
      <t xml:space="preserve">, სიმაღლე არანაკლებ 10 სმ, დიამეტრი არანაკლებ 15 სმ, კონტეინერის ზომა არანაკლებ </t>
    </r>
    <r>
      <rPr>
        <b/>
        <sz val="11"/>
        <rFont val="Calibri"/>
        <family val="2"/>
        <charset val="204"/>
        <scheme val="minor"/>
      </rPr>
      <t>clt 2</t>
    </r>
    <r>
      <rPr>
        <b/>
        <sz val="11"/>
        <rFont val="AcadNusx"/>
      </rPr>
      <t>.</t>
    </r>
  </si>
  <si>
    <r>
      <t>ეულალია, მისკანტუსი</t>
    </r>
    <r>
      <rPr>
        <b/>
        <sz val="11"/>
        <rFont val="Calibri"/>
        <family val="2"/>
        <charset val="204"/>
        <scheme val="minor"/>
      </rPr>
      <t xml:space="preserve"> - miscanthus sinensis "flamingo", </t>
    </r>
    <r>
      <rPr>
        <b/>
        <sz val="11"/>
        <rFont val="AcadNusx"/>
      </rPr>
      <t xml:space="preserve">სიმაღლე არანაკლებ 65 სმ, დიამეტრი არანაკლებ 18 სმ, კონტეინერის ზომა არანაკლებ </t>
    </r>
    <r>
      <rPr>
        <b/>
        <sz val="11"/>
        <rFont val="Calibri"/>
        <family val="2"/>
        <charset val="204"/>
        <scheme val="minor"/>
      </rPr>
      <t>clt 3.</t>
    </r>
  </si>
  <si>
    <r>
      <t xml:space="preserve">არიზონის კვიპაროსი </t>
    </r>
    <r>
      <rPr>
        <b/>
        <sz val="11"/>
        <rFont val="Calibri"/>
        <family val="2"/>
        <charset val="204"/>
        <scheme val="minor"/>
      </rPr>
      <t xml:space="preserve">(„Cupressus arizonica“) </t>
    </r>
    <r>
      <rPr>
        <b/>
        <sz val="11"/>
        <rFont val="AcadNusx"/>
      </rPr>
      <t>- სიმაღლე არანაკლებ 4.5 მ.; მთავარი ღერო სწორი ფორმის. ღეროს გარშემოწერილობა</t>
    </r>
    <r>
      <rPr>
        <b/>
        <sz val="11"/>
        <rFont val="Calibri"/>
        <family val="2"/>
        <charset val="204"/>
        <scheme val="minor"/>
      </rPr>
      <t xml:space="preserve"> (Circ) </t>
    </r>
    <r>
      <rPr>
        <b/>
        <sz val="11"/>
        <rFont val="AcadNusx"/>
      </rPr>
      <t>არანაკლებ 0.2 მ ფესვის ყელიდან 0.1მ სიმაღლეზე. ვარჯის დიამეტრი არანაკლებ 0.7 მ. ვარჯის განტოტვა უნდა იწყებოდეს მცენარის ფესვის ყელიდან არაუმეტეს 0.25 მ სიმაღლეზე, რომლებიც ყველა მხრიდან უნდა იყოს სიმეტრიულად განვითარებული.</t>
    </r>
  </si>
  <si>
    <r>
      <t>ტყემალი (წითელფოთოლა) კულტივარი</t>
    </r>
    <r>
      <rPr>
        <b/>
        <sz val="11"/>
        <rFont val="Calibri"/>
        <family val="2"/>
        <charset val="204"/>
        <scheme val="minor"/>
      </rPr>
      <t xml:space="preserve">'Pissardii' („Prunus cerasifera 'Pissardii'“) </t>
    </r>
    <r>
      <rPr>
        <b/>
        <sz val="11"/>
        <rFont val="AcadNusx"/>
      </rPr>
      <t>- შტამბის სიმაღლე არანაკლებ 1.80 მ., ვარჯს უნდა გააჩნდეს არანაკლებ 6 თანაბრად განვითარებული ტოტი, რომლებიც უნდა იყოს ყველა მხრიდან სიმეტრიულად განვითარებული. ფესვის
ყელიდან 1მ სიმაღლეზე გარშემოწერილობა
არანაკლებ 0.2 მ.</t>
    </r>
  </si>
  <si>
    <r>
      <t xml:space="preserve">სურო </t>
    </r>
    <r>
      <rPr>
        <b/>
        <sz val="11"/>
        <rFont val="Calibri"/>
        <family val="2"/>
        <charset val="204"/>
        <scheme val="minor"/>
      </rPr>
      <t xml:space="preserve">(„Hedera helix 'hibernica'“) - </t>
    </r>
    <r>
      <rPr>
        <b/>
        <sz val="11"/>
        <rFont val="AcadNusx"/>
      </rPr>
      <t>მცენარეს უნდა ჰქონდეს არანაკლებ 5 თანაბრად განვითარებული ღერო; მცენარის სიმღლე არანაკლებ 3 მ.</t>
    </r>
  </si>
  <si>
    <r>
      <t xml:space="preserve">მაგნოლია სულანჟისშტამბზე </t>
    </r>
    <r>
      <rPr>
        <b/>
        <sz val="11"/>
        <rFont val="Calibri"/>
        <family val="2"/>
        <charset val="204"/>
        <scheme val="minor"/>
      </rPr>
      <t>(„magnolia soulangeana stamp“)</t>
    </r>
    <r>
      <rPr>
        <b/>
        <sz val="11"/>
        <rFont val="AcadNusx"/>
      </rPr>
      <t xml:space="preserve"> - სიმაღლე არანაკლებ 3.5 მეტრი. შტამბის სიმაღლე არანაკლებ 1.80 მ. ვარჯს უნდა გააჩნდეს არანაკლებ 6 თანაბრად განვითარებული ტოტი, რომლებიც ყველა მხრიდან უნდა იყოს სიმეტრიულად განვითარებული. ფესვის ყელიდან 1მ სიმაღლეზე გარშემოწერილობა არანაკლებ 0.2 მ.</t>
    </r>
  </si>
  <si>
    <t>sabavSvo atraqcioni "saqanela"    ix eskizi</t>
  </si>
  <si>
    <r>
      <t xml:space="preserve">sabavSvo atraqcioni sasrialo    ix eskizi </t>
    </r>
    <r>
      <rPr>
        <b/>
        <sz val="11"/>
        <rFont val="Calibri"/>
        <family val="2"/>
        <charset val="204"/>
        <scheme val="minor"/>
      </rPr>
      <t xml:space="preserve"> EX A36</t>
    </r>
  </si>
  <si>
    <t>savarjiSo trenaJorebi</t>
  </si>
  <si>
    <t>gruntis damuSaveba xeliT,  dekoratiuli moajiris liTonis dgarebis qveS monoliTuri rk.betonis wertilovani saZirkvlis mosawyobad  (biji 2,0m, dgari 165c)</t>
  </si>
  <si>
    <t>RorRis safuZvlis mowyoba dekoratiuli moajiris liTonis dgarebis, rk.betonis  wertilovani saZirkvlis qveS</t>
  </si>
  <si>
    <t xml:space="preserve">RorRi </t>
  </si>
  <si>
    <t>6-1-22</t>
  </si>
  <si>
    <t xml:space="preserve">dekoratiuli Robis qveS rk/betonis cokolis mowyoba </t>
  </si>
  <si>
    <t>yalibis fari 25mm</t>
  </si>
  <si>
    <r>
      <t>m</t>
    </r>
    <r>
      <rPr>
        <vertAlign val="superscript"/>
        <sz val="10"/>
        <rFont val="AcadNusx"/>
      </rPr>
      <t>2</t>
    </r>
  </si>
  <si>
    <t>xe masala</t>
  </si>
  <si>
    <t>betoni b.25</t>
  </si>
  <si>
    <t>sayalibe fari  25mm</t>
  </si>
  <si>
    <t>15-5-7</t>
  </si>
  <si>
    <t>cementis xsnari m-200</t>
  </si>
  <si>
    <t>7-21-10    gam.</t>
  </si>
  <si>
    <t>amwe - kranis momsaxureoba 10t</t>
  </si>
  <si>
    <t>liTonis Robe</t>
  </si>
  <si>
    <t>liTonis konstruqcia samontaJo</t>
  </si>
  <si>
    <t>dekoratiuli liTonis SemoRobvis mowyoba  rk.betonis cokolze</t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</si>
  <si>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 xml:space="preserve">-III </t>
    </r>
  </si>
  <si>
    <r>
      <t>armatura</t>
    </r>
    <r>
      <rPr>
        <sz val="11"/>
        <color rgb="FFFF0000"/>
        <rFont val="Arial"/>
        <family val="2"/>
        <charset val="204"/>
      </rPr>
      <t xml:space="preserve"> A</t>
    </r>
    <r>
      <rPr>
        <sz val="11"/>
        <color rgb="FFFF0000"/>
        <rFont val="AcadNusx"/>
      </rPr>
      <t>-I</t>
    </r>
  </si>
  <si>
    <t>dekoratiuli moajiris liTonis dgarebis qveS monoliTuri rk.betonis wertilovani saZirkvlis mowyoba  (biji ***m ***c)</t>
  </si>
  <si>
    <r>
      <t xml:space="preserve">betoni </t>
    </r>
    <r>
      <rPr>
        <sz val="11"/>
        <rFont val="Arial"/>
        <family val="2"/>
        <charset val="204"/>
      </rPr>
      <t>B10</t>
    </r>
  </si>
  <si>
    <t>rk.betonis kibeebis mowyoba</t>
  </si>
  <si>
    <t>1-81-7</t>
  </si>
  <si>
    <t>qvabulis damuSaveba rk.betonis kibis mosawyobad</t>
  </si>
  <si>
    <t>RorRis safuZvlis mowyoba rk.betonis kibeebis qveS</t>
  </si>
  <si>
    <t>6-11-3</t>
  </si>
  <si>
    <t>#1 rk.betonis kibis mowyoba</t>
  </si>
  <si>
    <t>4,1,344</t>
  </si>
  <si>
    <r>
      <t xml:space="preserve">betoni </t>
    </r>
    <r>
      <rPr>
        <sz val="11"/>
        <rFont val="Arial"/>
        <family val="2"/>
        <charset val="204"/>
      </rPr>
      <t>B25</t>
    </r>
  </si>
  <si>
    <t>5,1,138</t>
  </si>
  <si>
    <t>yalibis fari</t>
  </si>
  <si>
    <t>5,1,1</t>
  </si>
  <si>
    <t>1,10,28</t>
  </si>
  <si>
    <t>qanCi samSeneblo</t>
  </si>
  <si>
    <t>1,10,15</t>
  </si>
  <si>
    <t>1,1,12</t>
  </si>
  <si>
    <r>
      <t xml:space="preserve">armatura </t>
    </r>
    <r>
      <rPr>
        <sz val="11"/>
        <color rgb="FFFF0000"/>
        <rFont val="Arial"/>
        <family val="2"/>
        <charset val="204"/>
      </rPr>
      <t>A-III</t>
    </r>
  </si>
  <si>
    <t>1,1,10</t>
  </si>
  <si>
    <r>
      <t xml:space="preserve">armatura </t>
    </r>
    <r>
      <rPr>
        <sz val="11"/>
        <color rgb="FFFF0000"/>
        <rFont val="Arial"/>
        <family val="2"/>
        <charset val="204"/>
      </rPr>
      <t>A-I</t>
    </r>
  </si>
  <si>
    <t>rk betonis kedlis gidroizolacia</t>
  </si>
  <si>
    <t>mastika bitumis</t>
  </si>
  <si>
    <t xml:space="preserve">samSeneblo nagvis gatana 30 km-ze </t>
  </si>
  <si>
    <t xml:space="preserve">ტრენაჟორი „ბიცეპსი“ 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                </t>
  </si>
  <si>
    <t>komp.</t>
  </si>
  <si>
    <t xml:space="preserve">ტრენაჟორი „განზიდვა ფეხებით“   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</t>
  </si>
  <si>
    <t xml:space="preserve">ტრენაჟორი „ველოტრენაჟორი“ 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              </t>
  </si>
  <si>
    <t xml:space="preserve">ტრენაჟორი „სტეპერი“_x000D_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              </t>
  </si>
  <si>
    <t xml:space="preserve">ტრენაჟორი „პრესი“ 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     </t>
  </si>
  <si>
    <t xml:space="preserve">ტრენაჟორი „სხეულის ამზიდი"_x000D_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</t>
  </si>
  <si>
    <t xml:space="preserve">ტრენაჟორი „აზიდვა მკერდიდან“       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</t>
  </si>
  <si>
    <t xml:space="preserve">ტრენაჟორი „ზურგის კუნთებისთვის“  _x000D_
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                       </t>
  </si>
  <si>
    <t>ტრენაჟორებისათვის საჩრდილობელი  ფანჩატური,  მიწოდება-მონტაჟი (შესაბამისი მასალებისა და სამუშაოების ღირებულების გათვალისწინებით) ესკიზის და ნახაზის შესაბამისად</t>
  </si>
  <si>
    <t xml:space="preserve">betonis cokolis demontaJi </t>
  </si>
  <si>
    <t>liTonis SemoRobvis (badiT, kustarulad) demontaJi</t>
  </si>
  <si>
    <t>betonis dekoratiuli filisa da breCeiT mopirkeTebis demontaJi</t>
  </si>
  <si>
    <t>talaveris demontaJi</t>
  </si>
  <si>
    <t xml:space="preserve">sasmeli wylis wyaro -- (betonisa da  qvis wyoba) </t>
  </si>
  <si>
    <t>27-19-1</t>
  </si>
  <si>
    <t>bunebrivi bazaltis bordiuris montaJi 150X300</t>
  </si>
  <si>
    <t>betonis bordiuris montaJi  150X300</t>
  </si>
  <si>
    <t xml:space="preserve">betonis bordiuri 150X300 </t>
  </si>
  <si>
    <t xml:space="preserve">teritoriisa da bilikebis mopirkeTeba betonis dekoratiuli eko filiT </t>
  </si>
  <si>
    <t xml:space="preserve">teritoriisa da bilikis mopirketeba  betonis dekoratiuli eko filiT </t>
  </si>
  <si>
    <t xml:space="preserve">betonis dekoratiuli eko fila </t>
  </si>
  <si>
    <t>qviSis fenilis mowyoba, sisqiT 10sm</t>
  </si>
  <si>
    <t>11-1-3</t>
  </si>
  <si>
    <t>qviSa</t>
  </si>
  <si>
    <t>qviSisa daRorRis fenilis datkepna</t>
  </si>
  <si>
    <t xml:space="preserve">zedmeti gruntis transportireba 30km manZilze da gatana </t>
  </si>
  <si>
    <t>liTonis mili d-200*4</t>
  </si>
  <si>
    <t>liTonis marTkuTx mili 100*100*3</t>
  </si>
  <si>
    <t>foladis furceli sisqiT 10mm</t>
  </si>
  <si>
    <r>
      <t xml:space="preserve">liTonis ankeri d-16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>=450mm</t>
    </r>
  </si>
  <si>
    <r>
      <t xml:space="preserve">liTonis moajiris mowyoba - rk.betonis kedelze Caankereba </t>
    </r>
    <r>
      <rPr>
        <sz val="11"/>
        <rFont val="AcadNusx"/>
      </rPr>
      <t xml:space="preserve">(moc eskiozis mixedviT)  </t>
    </r>
  </si>
  <si>
    <t>saparkinge bordiuri</t>
  </si>
  <si>
    <t xml:space="preserve">avtofarexebis demontaJi </t>
  </si>
  <si>
    <t>m.S. dekoratiuli skami</t>
  </si>
  <si>
    <t>rk betonis saZirkvlis gidroizolacia</t>
  </si>
  <si>
    <t>15-5-10</t>
  </si>
  <si>
    <t>SromiTi danaxarji</t>
  </si>
  <si>
    <t xml:space="preserve">manqanebi </t>
  </si>
  <si>
    <t>kubm</t>
  </si>
  <si>
    <r>
      <t xml:space="preserve">skamis zedapiris mopirketeba maRali xarisxis xis imitaciis polimeruli masaliT </t>
    </r>
    <r>
      <rPr>
        <b/>
        <sz val="11"/>
        <rFont val="Calibri"/>
        <family val="2"/>
        <charset val="204"/>
        <scheme val="minor"/>
      </rPr>
      <t>"TEPPA DECK"</t>
    </r>
    <r>
      <rPr>
        <b/>
        <sz val="11"/>
        <rFont val="AcadNusx"/>
      </rPr>
      <t xml:space="preserve"> </t>
    </r>
    <r>
      <rPr>
        <sz val="11"/>
        <rFont val="AcadNusx"/>
      </rPr>
      <t>(sisqiT 20-22mm)</t>
    </r>
  </si>
  <si>
    <t>kv milebiT mowyobili liT karkasi kv.mili 40*20*2</t>
  </si>
  <si>
    <r>
      <t xml:space="preserve">maRali xarisxis xis imitaciis polimeruli masaliT </t>
    </r>
    <r>
      <rPr>
        <sz val="11"/>
        <rFont val="Calibri"/>
        <family val="2"/>
        <charset val="204"/>
        <scheme val="minor"/>
      </rPr>
      <t xml:space="preserve">"TEPPA DECK"    </t>
    </r>
    <r>
      <rPr>
        <sz val="11"/>
        <rFont val="AcadNusx"/>
      </rPr>
      <t>(sisqiT 20-22mm)</t>
    </r>
  </si>
  <si>
    <t>bazaltis fila  sisqe 25-30 mm (damuSavebuli,  zedapiriT)</t>
  </si>
  <si>
    <t xml:space="preserve">rk.betonis cokolebis mowyoba         </t>
  </si>
  <si>
    <t xml:space="preserve">pandusis rk.betonis cokolis mowyoba      </t>
  </si>
  <si>
    <t xml:space="preserve">monoliTuri rk.betonis kedlis (cokolis) mowyoba  </t>
  </si>
  <si>
    <t>rk.betonis kedlis Tavis ("qudis") mopirkeTeba bunebrivi bazaltis filiT</t>
  </si>
  <si>
    <t>kedlebis gare zedapirebis Selesva qvisa cementis xsnariT armirebul liTonis badeze</t>
  </si>
  <si>
    <t>15-60-3</t>
  </si>
  <si>
    <t>qviSa cementis xsnari m-100</t>
  </si>
  <si>
    <t>samagri detalebi</t>
  </si>
  <si>
    <t>bade lesvis 20X20</t>
  </si>
  <si>
    <t>kedlebis gare zedapirebis dekoratiuli lesva ("espanka")</t>
  </si>
  <si>
    <t>15-53-2</t>
  </si>
  <si>
    <t>dekoratiuli baTqaSi</t>
  </si>
  <si>
    <t>xsnartumbo 3,0kbm/sT</t>
  </si>
  <si>
    <t>15_168-7</t>
  </si>
  <si>
    <t>fiTxi fasadis</t>
  </si>
  <si>
    <t>zumfara</t>
  </si>
  <si>
    <t>grunti fasadis</t>
  </si>
  <si>
    <t>wyal-emulsiis saRebavi</t>
  </si>
  <si>
    <t xml:space="preserve">kedlebis maRalxarisxovani SeRebva safasade saRebaviT </t>
  </si>
  <si>
    <t>RorRis fenilis mowyoba rk.betonis cokolis qveS  10sm sisqis</t>
  </si>
  <si>
    <t>betonis mosamzadebeli fenilis mowyoba rk.betonis cokolis qveS  10sm sisqis</t>
  </si>
  <si>
    <t xml:space="preserve">monoliTuri rk.betonis cokolis mowyoba  </t>
  </si>
  <si>
    <t>qvabulis mowyoba xeliT rk.betonis cokolis mosawyobad</t>
  </si>
  <si>
    <t>cokolis kedlis rk.betonis zedapirebis mopirkeTeba bunebrivi bazaltis filiT</t>
  </si>
  <si>
    <t>RorRis fenilis mowyoba rk.betonis cokolis saZirkvlis qveS  10sm sisqis</t>
  </si>
  <si>
    <t>betonis mosamzadebeli fenilis mowyoba rk.betonis cokolis saZirkvlis qveS  10sm sisqis</t>
  </si>
  <si>
    <t>cokolis rk.betonis kedlebis zedapirebis mopirkeTeba bunebrivi bazaltis filiT</t>
  </si>
  <si>
    <r>
      <rPr>
        <b/>
        <sz val="11"/>
        <rFont val="Calibri"/>
        <family val="2"/>
        <charset val="204"/>
        <scheme val="minor"/>
      </rPr>
      <t>MAS 109</t>
    </r>
    <r>
      <rPr>
        <b/>
        <sz val="11"/>
        <rFont val="AcadNusx"/>
      </rPr>
      <t xml:space="preserve">
mravalfuqciuri xis atraqcioni
zoma: 6X8
usafrTxo zona: 7.5X9.5</t>
    </r>
  </si>
  <si>
    <t>q.Tbilisi municipalitetis sofel diRomSi, wminda giorgis ubanSi, daviT
aRmaSeneblis II Sesaxvevisa da irodion surgulaZis quCebis kveTasTan arsebul
miwis nakveTze (s/k: 01.72.14.064.360</t>
  </si>
  <si>
    <t>teritoriis mosamzadebeli samuSaoebi</t>
  </si>
  <si>
    <t>1-116-3  1-116-6</t>
  </si>
  <si>
    <t>teritoriis planireba (meqanizebuli wesiT da xeliT)</t>
  </si>
  <si>
    <t>10000kvm</t>
  </si>
  <si>
    <t>buldozeri 79kvm - 108cx.Z.</t>
  </si>
  <si>
    <t>avtogreideri 79kvm - 108cx.Z.</t>
  </si>
  <si>
    <t>46-23-2 gamoy</t>
  </si>
  <si>
    <t>arsebuli dazianebuli betonis  kedlis demontaJi da gatana</t>
  </si>
  <si>
    <t>arsebuli dazianebuli qvis wyobis kedlis betonis saZirkvlis demontaJi</t>
  </si>
  <si>
    <t>46-24-2</t>
  </si>
  <si>
    <t>saavtomobilo savali nawilismonoliTuri brk.betonis safaris demontaJi</t>
  </si>
  <si>
    <t>r21-87</t>
  </si>
  <si>
    <t>kedlis demontaJis Sedegad narCenebis Segroveba gamotana, avtoTviTmclelze dasatvirTavad</t>
  </si>
  <si>
    <t>kedlis demontaJis narCenebis datvirTva xeliT avtoTviTmclelze</t>
  </si>
  <si>
    <t>rk.betonis sayrdeni kedlis mowyobis samuSaoebi</t>
  </si>
  <si>
    <t>qvabulis damuSaveba rk.betonis kedlis saZirkvlis mosawyobad xeliT da sadrenaJe sistemis mosawyobad</t>
  </si>
  <si>
    <t>qvabulis damuSaveba rk.betonis saZirkvlis mosawyobad eqskavatoriT avtoTviTmclelze datvirTviT</t>
  </si>
  <si>
    <t>eqskavatori  0,5kbm CamCiT</t>
  </si>
  <si>
    <t>qvabulis damuSaveba xeliT saproeqto niSnulamde</t>
  </si>
  <si>
    <t>qviSis safuZvlis mowyoba rk.betonis kedlis saZirkvlis qveS</t>
  </si>
  <si>
    <t>RorRis safuZvlis mowyoba rk.betonis kedlis saZirkvlis qveS</t>
  </si>
  <si>
    <t>monoliTuri rk betonis sayrdeni kedlis saZirkvlis horizontaluri filis mowyoba</t>
  </si>
  <si>
    <t>yalibis fari  40mm</t>
  </si>
  <si>
    <t>rk betonis sayrdeni kedlis vertikaluri filis mowyoba</t>
  </si>
  <si>
    <t>yalibis fari  25mm</t>
  </si>
  <si>
    <t>rk betonis kedlebis gidroizolacia</t>
  </si>
  <si>
    <t xml:space="preserve">betonis mosamzadebeli fenis mowyoba rk.betonis saZirkvlis qveS  </t>
  </si>
  <si>
    <t>1-31-6</t>
  </si>
  <si>
    <t>buldozeri 96(130)</t>
  </si>
  <si>
    <t>gruntis ukuCayra teqnikis saSualebiT</t>
  </si>
  <si>
    <t>eqskavatori 0,5kbm</t>
  </si>
  <si>
    <t>gruntis ukuCayra xeliT</t>
  </si>
  <si>
    <t>1-1</t>
  </si>
  <si>
    <r>
      <t xml:space="preserve">monoliTuri rk.betonis sayrdeni kedeli                                         </t>
    </r>
    <r>
      <rPr>
        <b/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AcadNusx"/>
      </rPr>
      <t xml:space="preserve">=2,70m, </t>
    </r>
  </si>
  <si>
    <t>zedmeti gruntis datvirTva eqskavatoriT avtoTviTmclelze</t>
  </si>
  <si>
    <t>gruntis uკაჩაყრა eqskavatoriT,  mosworeba</t>
  </si>
  <si>
    <t>2-2</t>
  </si>
  <si>
    <r>
      <t xml:space="preserve">monoliTuri rk.betonis sayrdeni kedeli                                         </t>
    </r>
    <r>
      <rPr>
        <b/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AcadNusx"/>
      </rPr>
      <t xml:space="preserve">=0,75 --- 1,25 m, </t>
    </r>
  </si>
  <si>
    <t>3-3</t>
  </si>
  <si>
    <r>
      <t xml:space="preserve">monoliTuri rk.betonis sayrdeni kedeli                                         </t>
    </r>
    <r>
      <rPr>
        <b/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AcadNusx"/>
      </rPr>
      <t xml:space="preserve">=1,50 --- 1,80 m, </t>
    </r>
  </si>
  <si>
    <t>rk.betonis kedlebze da cokolze liTonis dekoratiuli moajiris mowyoba</t>
  </si>
  <si>
    <t xml:space="preserve">gatana 30 km-ze               </t>
  </si>
  <si>
    <t xml:space="preserve">             </t>
  </si>
  <si>
    <t>saavtomobilo savali nawilis monoliTuri brk.betonis safaris demontaJi</t>
  </si>
  <si>
    <t>qvabulis damuSaveba rk.betonis kedlis saZirkvlis mosawyobad xeliT</t>
  </si>
  <si>
    <t>rk betonis kedlebisa da cokolebis mopirketeba  keTilmowyoba</t>
  </si>
  <si>
    <t>rk.betonis kedlebis Sida da gare zedapiris mopirkeTeba granitis filiT (30mm sisqis)</t>
  </si>
  <si>
    <t>rk.betonis cokolis Sida da gare zedapiris mopirkeTeba granitis filiT (30mm sisqis)</t>
  </si>
  <si>
    <t xml:space="preserve">rk.betonis kedlebis Sida da gare zedapiris mopirkeTeba niCbisis fleTili qviT </t>
  </si>
  <si>
    <t>niCbisis qva fleTili</t>
  </si>
  <si>
    <t>15-5-14</t>
  </si>
  <si>
    <t>granitis fila 30mm sisqis gaprialebuli</t>
  </si>
  <si>
    <t>15-5-2</t>
  </si>
  <si>
    <t>sayrdeni kedlebis zeda sibrtyeebis ("qudi") mopirkeTeba granitis filiT</t>
  </si>
  <si>
    <t>teritoriisa da bilikis mopirketeba vibrodawnexili betonis dekoratiuli filiT "kolormiqsi"</t>
  </si>
  <si>
    <t>skveris teritoriaze arsebuli kedlebis cokolebis reabilitacia, keTilmowyoba  **g/m</t>
  </si>
  <si>
    <r>
      <t>ნეკერჩხალი (ლეკა) კულტივარი</t>
    </r>
    <r>
      <rPr>
        <b/>
        <sz val="11"/>
        <rFont val="Calibri"/>
        <family val="2"/>
        <charset val="204"/>
        <scheme val="minor"/>
      </rPr>
      <t xml:space="preserve"> 'Crimson King' („Acer platanoides 'Crimson King'“)</t>
    </r>
    <r>
      <rPr>
        <b/>
        <sz val="11"/>
        <rFont val="AcadNusx"/>
      </rPr>
      <t xml:space="preserve"> - შტამბის სიმაღლე არანაკლებ 1.80 მ., ვარჯს უნდა გააჩნდეს არანაკლებ 6 თანაბრად განვითარებული ტოტი, რომლებიც ყველა მხრიდან უნდა იყოს სიმეტრიულად განვითარებული. ფესვის ყელიდან 1მ სიმაღლეზე გარშემოწერილობა არანაკლებ 0.2 მ</t>
    </r>
  </si>
  <si>
    <r>
      <t>მინდვრის ნეკერჩხალი</t>
    </r>
    <r>
      <rPr>
        <b/>
        <sz val="11"/>
        <rFont val="Calibri"/>
        <family val="2"/>
        <charset val="204"/>
        <scheme val="minor"/>
      </rPr>
      <t xml:space="preserve"> („acer campestre“)</t>
    </r>
    <r>
      <rPr>
        <b/>
        <sz val="11"/>
        <rFont val="AcadNusx"/>
      </rPr>
      <t xml:space="preserve"> - სიმაღლე არანაკლებ 4.0 მ., მთავარი ღერო სწორი ფორმის. ღეროს გარშემოწერილობა </t>
    </r>
    <r>
      <rPr>
        <b/>
        <sz val="11"/>
        <rFont val="Calibri"/>
        <family val="2"/>
        <charset val="204"/>
        <scheme val="minor"/>
      </rPr>
      <t>(circ</t>
    </r>
    <r>
      <rPr>
        <b/>
        <sz val="11"/>
        <rFont val="AcadNusx"/>
      </rPr>
      <t>) არანაკლებ 0.2 მ ფესვის ყელიდან 1მ სიმაღლეზე. ვარჯის დიამტრი არანაკლებ 0.7 მ. ვარჯის განტოტვა უნდა იწყებოდეს მცენარის ფესვის ყელიდან არანაკლებ 1.80 მ სიმაღლეზე. ვარჯს უნდა გააჩნდეს არანაკლებ 6 თანაბრად განვითარებული ტოტი, რომლებიც ყველა მხრიდან უნდა იყოს სიმეტრიულად განვითარებული.</t>
    </r>
  </si>
  <si>
    <r>
      <t>მინდვრის ნეკერჩხალი</t>
    </r>
    <r>
      <rPr>
        <b/>
        <sz val="11"/>
        <rFont val="Calibri"/>
        <family val="2"/>
        <charset val="204"/>
        <scheme val="minor"/>
      </rPr>
      <t xml:space="preserve"> („acer campestre“) </t>
    </r>
    <r>
      <rPr>
        <b/>
        <sz val="11"/>
        <rFont val="AcadNusx"/>
      </rPr>
      <t xml:space="preserve">- სიმაღლე არანაკლებ 4.0 მ., მთავარი ღერო სწორი ფორმის. ღეროს გარშემოწერილობა </t>
    </r>
    <r>
      <rPr>
        <b/>
        <sz val="11"/>
        <rFont val="Calibri"/>
        <family val="2"/>
        <charset val="204"/>
        <scheme val="minor"/>
      </rPr>
      <t xml:space="preserve">(circ) </t>
    </r>
    <r>
      <rPr>
        <b/>
        <sz val="11"/>
        <rFont val="AcadNusx"/>
      </rPr>
      <t>არანაკლებ 0.2 მ ფესვის ყელიდან 1მ სიმაღლეზე. ვარჯის დიამტრი არანაკლებ 0.7 მ. ვარჯის განტოტვა უნდა იწყებოდეს მცენარის ფესვის ყელიდან არანაკლებ 1.80 მ სიმაღლეზე. ვარჯს უნდა გააჩნდეს არანაკლებ 6 თანაბრად განვითარებული ტოტი, რომლებიც ყველა მხრიდან უნდა იყოს სიმეტრიულად განვითარებული.</t>
    </r>
  </si>
  <si>
    <r>
      <t xml:space="preserve">მაგნოლია სულანჟის შტამბზე </t>
    </r>
    <r>
      <rPr>
        <b/>
        <sz val="11"/>
        <rFont val="Calibri"/>
        <family val="2"/>
        <charset val="204"/>
        <scheme val="minor"/>
      </rPr>
      <t>(„magnolia soulangeana stamp“)</t>
    </r>
    <r>
      <rPr>
        <b/>
        <sz val="11"/>
        <rFont val="AcadNusx"/>
      </rPr>
      <t xml:space="preserve"> - სიმაღლე არანაკლებ 3.5 მეტრი. შტამბის სიმაღლე არანაკლებ 1.80 მ. ვარჯს უნდა გააჩნდეს არანაკლებ 6 თანაბრად განვითარებული ტოტი, რომლებიც ყველა მხრიდან უნდა იყოს სიმეტრიულად განვითარებული. ფესვის ყელიდან 1მ სიმაღლეზე გარშემოწერილობა არანაკლებ 0.2 მ.</t>
    </r>
  </si>
  <si>
    <r>
      <t xml:space="preserve">ირმის რქა </t>
    </r>
    <r>
      <rPr>
        <b/>
        <sz val="11"/>
        <rFont val="Calibri"/>
        <family val="2"/>
        <charset val="204"/>
        <scheme val="minor"/>
      </rPr>
      <t>(„Lagestroemia indica“)</t>
    </r>
    <r>
      <rPr>
        <b/>
        <sz val="11"/>
        <rFont val="AcadNusx"/>
      </rPr>
      <t xml:space="preserve"> - სიმაღლე არანაკლებ 3.5 მ.; მთავარი ღერო სწორი ფორმის. ღეროს გარშემოწერილობა </t>
    </r>
    <r>
      <rPr>
        <b/>
        <sz val="11"/>
        <rFont val="Calibri"/>
        <family val="2"/>
        <charset val="204"/>
        <scheme val="minor"/>
      </rPr>
      <t>(Circ)</t>
    </r>
    <r>
      <rPr>
        <b/>
        <sz val="11"/>
        <rFont val="AcadNusx"/>
      </rPr>
      <t xml:space="preserve"> არანაკლებ 0.2 მ ფესვის ყელიდან 1მ სიმაღლეზე. ვარჯის დიამეტრი არანაკლებ 0.7 მ. ვარჯის განტოტვა უნდა იწყებოდეს მცენარის ფესვის ყელიდან არანაკლებ 1.80 მ სიმაღლეზე. ვარჯს უნდა გააჩნდეს არანაკლებ 6 თანაბრად განვითარებული ტოტი, რომლებიც ყველა მხრიდან უნდა იყოს სიმეტრიულად განვითარებული.</t>
    </r>
  </si>
  <si>
    <r>
      <t xml:space="preserve">ოლეანდრე </t>
    </r>
    <r>
      <rPr>
        <b/>
        <sz val="11"/>
        <rFont val="Calibri"/>
        <family val="2"/>
        <charset val="204"/>
        <scheme val="minor"/>
      </rPr>
      <t>- Nerium oleander</t>
    </r>
    <r>
      <rPr>
        <b/>
        <sz val="11"/>
        <rFont val="AcadNusx"/>
      </rPr>
      <t xml:space="preserve"> (სხვადასხვა ფერის), სიმაღლე არანაკლებ 1.75 მ., დიამეტრი არანაკლებ 80 სმ, კონტეინერის ზომა არანაკლებ Clt 65, არანაკლებ 10 თანაბრად განვითარებული ღერო.</t>
    </r>
  </si>
  <si>
    <r>
      <t>ეულალია, მისკანტუსი -</t>
    </r>
    <r>
      <rPr>
        <b/>
        <sz val="11"/>
        <rFont val="Calibri"/>
        <family val="2"/>
        <charset val="204"/>
        <scheme val="minor"/>
      </rPr>
      <t xml:space="preserve"> Miscanthus sinensis "Adagio", </t>
    </r>
    <r>
      <rPr>
        <b/>
        <sz val="11"/>
        <rFont val="AcadNusx"/>
      </rPr>
      <t>სიმაღლე არანაკლებ 65 სმ, დიამეტრი არანაკლებ 18 სმ, კონტეინერის ზომა არანაკლებ</t>
    </r>
    <r>
      <rPr>
        <b/>
        <sz val="11"/>
        <rFont val="Calibri"/>
        <family val="2"/>
        <charset val="204"/>
        <scheme val="minor"/>
      </rPr>
      <t xml:space="preserve"> clt 3.</t>
    </r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</si>
  <si>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</si>
  <si>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</si>
  <si>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</si>
  <si>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</si>
  <si>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</si>
  <si>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</si>
  <si>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</si>
  <si>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</si>
  <si>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</si>
  <si>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</si>
  <si>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</si>
  <si>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კანადური კონიკა - მარადმწვანე,
წიწვოვანი მცენარე. იზრდება,
დაახლოებით 2 მ-ის სიმაღლის; აქვს ღია
შეფერილობა. არის ყინვაგამძლე. ხარობს
ფხვიერ ნიადაგზე; დასარგავად
სასურველია ჩრდილიანი, ქარისგან
დაცული ადგილების შერჩევა.
წიწვები იზრდება, დაახლოებით 1 სმ
სიგრძის, გვირგვინის ქვედა ნაწილი 80 სმ-
ს აღწევს. ფესვები აქვს მოკლე, ნიადაგთან
ახლოს განთავსებული</t>
  </si>
  <si>
    <t>kibis safexurebis zedapirebis mopirketeba granitis filiT</t>
  </si>
  <si>
    <t>granitis fila 30mm sisqis Termulad damuSavebuli</t>
  </si>
  <si>
    <t>xis pergolis mowyoba</t>
  </si>
  <si>
    <t>pergolis xis dgarebis rk betonis saZirkvlis mowyoba</t>
  </si>
  <si>
    <t>qvabulis mowyoba lenturi saZirkvlis mosawyobad</t>
  </si>
  <si>
    <t>RorRis fenilis mowyoba rk.bet saZirkvlis qveS</t>
  </si>
  <si>
    <t>rk.betonis lenturi saZirkvlis mowyoba</t>
  </si>
  <si>
    <t>sayalibe fari</t>
  </si>
  <si>
    <t>sxava masala</t>
  </si>
  <si>
    <t>armatura Ф8АIII</t>
  </si>
  <si>
    <t>armatura Ф6АI</t>
  </si>
  <si>
    <t>xis pergolis montaJi rk.betonis lentur saZirkvelSi (mocemuli eskizis mixedviT)</t>
  </si>
  <si>
    <t xml:space="preserve">grZiva  70*70  </t>
  </si>
  <si>
    <t>10-4-1</t>
  </si>
  <si>
    <t>su xis masala</t>
  </si>
  <si>
    <r>
      <t xml:space="preserve">eleqtrodi   </t>
    </r>
    <r>
      <rPr>
        <b/>
        <sz val="11"/>
        <rFont val="AcadNusx"/>
      </rPr>
      <t>(proeqtiT)</t>
    </r>
  </si>
  <si>
    <t>xis konstruqciis antiseptireba</t>
  </si>
  <si>
    <t>pergolis xis detalebis damuSaveba gare samuSaoebis xis laqiT</t>
  </si>
  <si>
    <t>qvabulis mowyoba xeliT rk.betonis kedlebis (cokolis) mosawyobad</t>
  </si>
  <si>
    <t>xis iribana  100*100   0,70g/m*15c</t>
  </si>
  <si>
    <t>xis koWi 150*100      2,5g/m*15c</t>
  </si>
  <si>
    <t>xis dgari  150*100    2,0g/m*15c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</si>
  <si>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162*112*1c *10c                         </t>
    </r>
    <r>
      <rPr>
        <b/>
        <sz val="11"/>
        <rFont val="AcadNusx"/>
      </rPr>
      <t>(proeqtiT)</t>
    </r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</si>
  <si>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200*150*2c *10c                              </t>
    </r>
    <r>
      <rPr>
        <b/>
        <sz val="11"/>
        <rFont val="AcadNusx"/>
      </rPr>
      <t>(proeqtiT)</t>
    </r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</si>
  <si>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200*112*2c *10c     </t>
    </r>
    <r>
      <rPr>
        <b/>
        <sz val="11"/>
        <rFont val="AcadNusx"/>
      </rPr>
      <t>(proeqtiT)</t>
    </r>
  </si>
  <si>
    <r>
      <t>liTonis ankeri                                            d-12mm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 xml:space="preserve">=260mm  1c*10c  </t>
    </r>
    <r>
      <rPr>
        <b/>
        <sz val="11"/>
        <rFont val="AcadNusx"/>
      </rPr>
      <t>(proeqtiT)</t>
    </r>
  </si>
  <si>
    <r>
      <t xml:space="preserve">liT armtura                        d-12mm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=300mm 2c*10c    </t>
    </r>
    <r>
      <rPr>
        <b/>
        <sz val="11"/>
        <rFont val="AcadNusx"/>
      </rPr>
      <t>(proeqtiT)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</si>
  <si>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=250mm  4c*10c             </t>
    </r>
    <r>
      <rPr>
        <b/>
        <sz val="11"/>
        <rFont val="AcadNusx"/>
      </rPr>
      <t>(proeqtiT)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</si>
  <si>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=200mm  4c*10c     </t>
    </r>
    <r>
      <rPr>
        <b/>
        <sz val="11"/>
        <rFont val="AcadNusx"/>
      </rPr>
      <t>(proeqtiT)</t>
    </r>
  </si>
  <si>
    <r>
      <t>sabavSvo atraqcioni "aiwona"    ix eskizi</t>
    </r>
    <r>
      <rPr>
        <b/>
        <sz val="11"/>
        <rFont val="Calibri"/>
        <family val="2"/>
        <charset val="204"/>
        <scheme val="minor"/>
      </rPr>
      <t xml:space="preserve">   EX AW-05</t>
    </r>
  </si>
  <si>
    <r>
      <t>sabavSvo atraqcioni "bzriala</t>
    </r>
    <r>
      <rPr>
        <b/>
        <sz val="11"/>
        <rFont val="Calibri"/>
        <family val="2"/>
        <charset val="204"/>
        <scheme val="minor"/>
      </rPr>
      <t xml:space="preserve"> "              EX C-05</t>
    </r>
  </si>
  <si>
    <r>
      <t xml:space="preserve">sabavSvo atraqcioni sasrialo (koSkiT kibiT CamosasrialebliT 2 adgiliani saqaneliT)                        ix eskizi </t>
    </r>
    <r>
      <rPr>
        <b/>
        <sz val="11"/>
        <rFont val="Calibri"/>
        <family val="2"/>
        <charset val="204"/>
        <scheme val="minor"/>
      </rPr>
      <t xml:space="preserve"> EX A37</t>
    </r>
    <r>
      <rPr>
        <sz val="11"/>
        <color theme="1"/>
        <rFont val="Calibri"/>
        <family val="2"/>
        <charset val="1"/>
        <scheme val="minor"/>
      </rPr>
      <t/>
    </r>
  </si>
  <si>
    <t>vibrodawnexili betonis dekoratiuli fila "kolormiqsi"</t>
  </si>
  <si>
    <r>
      <t>ფეტვი -</t>
    </r>
    <r>
      <rPr>
        <b/>
        <sz val="11"/>
        <rFont val="Calibri"/>
        <family val="2"/>
        <charset val="204"/>
        <scheme val="minor"/>
      </rPr>
      <t xml:space="preserve"> Pennisetum orientale</t>
    </r>
  </si>
  <si>
    <r>
      <t xml:space="preserve">ფეტვი </t>
    </r>
    <r>
      <rPr>
        <b/>
        <sz val="11"/>
        <rFont val="Calibri"/>
        <family val="2"/>
        <charset val="204"/>
        <scheme val="minor"/>
      </rPr>
      <t>- Pennisetum orientale</t>
    </r>
  </si>
  <si>
    <t>demontaJis samuSaoebis Semdeg teritoriis dasufTaveba,  narCenebis Segroveba, gamotana, avtoTviTmclelze dasatvirTavad</t>
  </si>
  <si>
    <t>inventaris SeZena montaJi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</si>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</sst>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</numFmts>
  <fonts count="1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b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name val="Calibri"/>
      <family val="2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sz val="10"/>
      <name val="Calibri"/>
      <family val="2"/>
      <scheme val="minor"/>
    </font>
    <font>
      <sz val="11"/>
      <color rgb="FFFF0000"/>
      <name val="AcadNusx"/>
    </font>
    <font>
      <sz val="11"/>
      <color rgb="FF000000"/>
      <name val="AcadNusx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AcadMtavr"/>
    </font>
    <font>
      <sz val="10"/>
      <color rgb="FF000000"/>
      <name val="AcadNusx"/>
    </font>
    <font>
      <b/>
      <sz val="10"/>
      <color rgb="FF000000"/>
      <name val="AcadNusx"/>
    </font>
    <font>
      <b/>
      <sz val="11"/>
      <color rgb="FF000000"/>
      <name val="AcadNusx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2"/>
      <color rgb="FFFF0000"/>
      <name val="AcadNusx"/>
    </font>
    <font>
      <b/>
      <sz val="12"/>
      <color rgb="FFFF0000"/>
      <name val="AcadNusx"/>
    </font>
    <font>
      <sz val="8"/>
      <name val="Calibri"/>
      <family val="2"/>
      <charset val="204"/>
      <scheme val="minor"/>
    </font>
    <font>
      <sz val="11"/>
      <name val="AcadMtavr"/>
    </font>
    <font>
      <b/>
      <sz val="10"/>
      <name val="AcadMtavr"/>
    </font>
    <font>
      <sz val="12"/>
      <name val="AcadMtavr"/>
    </font>
    <font>
      <b/>
      <sz val="11"/>
      <color rgb="FF000000"/>
      <name val="AcadMtavr"/>
    </font>
    <font>
      <sz val="11"/>
      <color rgb="FF333333"/>
      <name val="Arial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vertAlign val="superscript"/>
      <sz val="10"/>
      <name val="Sylfaen"/>
      <family val="1"/>
      <charset val="204"/>
    </font>
    <font>
      <sz val="11"/>
      <name val="AcadNusx"/>
      <family val="2"/>
      <charset val="204"/>
    </font>
    <font>
      <sz val="9"/>
      <name val="AcadNusx"/>
    </font>
    <font>
      <sz val="10"/>
      <color rgb="FFFF0000"/>
      <name val="AcadNusx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cadNusx"/>
    </font>
    <font>
      <sz val="11"/>
      <color rgb="FFFF0000"/>
      <name val="Times New Roman"/>
      <family val="1"/>
      <charset val="204"/>
    </font>
    <font>
      <i/>
      <sz val="11"/>
      <name val="AcadNusx"/>
    </font>
    <font>
      <b/>
      <i/>
      <sz val="11"/>
      <name val="AcadNusx"/>
    </font>
    <font>
      <b/>
      <sz val="11"/>
      <color rgb="FF0000FF"/>
      <name val="AcadNusx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rgb="FF0000FF"/>
      <name val="AcadMtav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cadNusx"/>
    </font>
    <font>
      <sz val="11"/>
      <color theme="1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cadMtavr"/>
    </font>
    <font>
      <sz val="11"/>
      <color theme="1"/>
      <name val="AcadMtavr"/>
    </font>
    <font>
      <sz val="10"/>
      <color theme="1"/>
      <name val="Times New Roman"/>
      <family val="1"/>
    </font>
    <font>
      <b/>
      <sz val="11"/>
      <color rgb="FFFF0000"/>
      <name val="AcadNusx"/>
    </font>
    <font>
      <sz val="12"/>
      <color theme="0"/>
      <name val="AcadNusx"/>
    </font>
    <font>
      <b/>
      <sz val="10"/>
      <color theme="1"/>
      <name val="Times New Roman"/>
      <family val="1"/>
      <charset val="204"/>
    </font>
    <font>
      <sz val="10"/>
      <color theme="0"/>
      <name val="AcadNusx"/>
    </font>
    <font>
      <sz val="11"/>
      <color rgb="FFFF0000"/>
      <name val="Arial"/>
      <family val="2"/>
      <charset val="204"/>
    </font>
    <font>
      <b/>
      <sz val="12"/>
      <color theme="1"/>
      <name val="AcadNusx"/>
    </font>
    <font>
      <sz val="10"/>
      <color rgb="FFFF0000"/>
      <name val="AcadMtavr"/>
    </font>
    <font>
      <sz val="10"/>
      <color theme="1"/>
      <name val="AcadMtavr"/>
    </font>
    <font>
      <b/>
      <sz val="10"/>
      <color theme="0"/>
      <name val="AcadNusx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Grigolia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10">
    <xf numFmtId="0" fontId="0" fillId="0" borderId="0"/>
    <xf numFmtId="0" fontId="11" fillId="0" borderId="0"/>
    <xf numFmtId="0" fontId="17" fillId="0" borderId="0"/>
    <xf numFmtId="0" fontId="19" fillId="0" borderId="0"/>
    <xf numFmtId="0" fontId="21" fillId="0" borderId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4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45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43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58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8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9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0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52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3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36" fillId="0" borderId="0"/>
    <xf numFmtId="0" fontId="21" fillId="0" borderId="0"/>
    <xf numFmtId="0" fontId="60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61" fillId="0" borderId="0"/>
    <xf numFmtId="0" fontId="17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7" fillId="0" borderId="0"/>
    <xf numFmtId="0" fontId="59" fillId="0" borderId="0"/>
    <xf numFmtId="0" fontId="17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54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0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1" fillId="0" borderId="0"/>
    <xf numFmtId="0" fontId="21" fillId="0" borderId="0"/>
    <xf numFmtId="0" fontId="17" fillId="0" borderId="0"/>
    <xf numFmtId="0" fontId="17" fillId="0" borderId="0"/>
    <xf numFmtId="0" fontId="59" fillId="0" borderId="0"/>
    <xf numFmtId="0" fontId="3" fillId="0" borderId="0"/>
    <xf numFmtId="0" fontId="3" fillId="0" borderId="0"/>
    <xf numFmtId="0" fontId="17" fillId="0" borderId="0"/>
    <xf numFmtId="0" fontId="63" fillId="3" borderId="0" applyNumberFormat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1" fillId="0" borderId="0"/>
    <xf numFmtId="0" fontId="11" fillId="0" borderId="0"/>
    <xf numFmtId="0" fontId="17" fillId="0" borderId="0"/>
    <xf numFmtId="0" fontId="18" fillId="0" borderId="0"/>
  </cellStyleXfs>
  <cellXfs count="12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20" fillId="28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2" fillId="0" borderId="1" xfId="902" applyNumberFormat="1" applyFont="1" applyFill="1" applyBorder="1" applyAlignment="1">
      <alignment horizontal="center" vertical="center" wrapText="1"/>
    </xf>
    <xf numFmtId="2" fontId="12" fillId="0" borderId="1" xfId="903" applyNumberFormat="1" applyFont="1" applyFill="1" applyBorder="1" applyAlignment="1">
      <alignment horizontal="center" vertical="center" wrapText="1"/>
    </xf>
    <xf numFmtId="2" fontId="12" fillId="0" borderId="1" xfId="90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64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4" fillId="0" borderId="1" xfId="900" applyNumberFormat="1" applyFont="1" applyFill="1" applyBorder="1" applyAlignment="1">
      <alignment horizontal="center" vertical="center" wrapText="1"/>
    </xf>
    <xf numFmtId="2" fontId="12" fillId="0" borderId="1" xfId="900" applyNumberFormat="1" applyFont="1" applyFill="1" applyBorder="1" applyAlignment="1">
      <alignment horizontal="center" vertical="center" wrapText="1"/>
    </xf>
    <xf numFmtId="49" fontId="12" fillId="0" borderId="1" xfId="900" applyNumberFormat="1" applyFont="1" applyFill="1" applyBorder="1" applyAlignment="1">
      <alignment horizontal="left" vertical="center" wrapText="1"/>
    </xf>
    <xf numFmtId="0" fontId="7" fillId="0" borderId="1" xfId="900" applyNumberFormat="1" applyFont="1" applyFill="1" applyBorder="1" applyAlignment="1">
      <alignment horizontal="center" vertical="center" wrapText="1"/>
    </xf>
    <xf numFmtId="0" fontId="12" fillId="0" borderId="1" xfId="900" applyNumberFormat="1" applyFont="1" applyFill="1" applyBorder="1" applyAlignment="1">
      <alignment horizontal="center" vertical="center" wrapText="1"/>
    </xf>
    <xf numFmtId="49" fontId="20" fillId="0" borderId="1" xfId="900" applyNumberFormat="1" applyFont="1" applyFill="1" applyBorder="1" applyAlignment="1">
      <alignment horizontal="left" vertical="center" wrapText="1"/>
    </xf>
    <xf numFmtId="0" fontId="20" fillId="0" borderId="1" xfId="900" applyNumberFormat="1" applyFont="1" applyFill="1" applyBorder="1" applyAlignment="1">
      <alignment horizontal="center" vertical="center" wrapText="1"/>
    </xf>
    <xf numFmtId="49" fontId="12" fillId="0" borderId="1" xfId="900" applyNumberFormat="1" applyFont="1" applyFill="1" applyBorder="1" applyAlignment="1">
      <alignment vertical="center" wrapText="1"/>
    </xf>
    <xf numFmtId="2" fontId="12" fillId="0" borderId="19" xfId="900" applyNumberFormat="1" applyFont="1" applyFill="1" applyBorder="1" applyAlignment="1">
      <alignment horizontal="center" vertical="center" wrapText="1"/>
    </xf>
    <xf numFmtId="2" fontId="13" fillId="0" borderId="1" xfId="900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90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633" applyNumberFormat="1" applyFont="1" applyFill="1" applyBorder="1" applyAlignment="1">
      <alignment horizontal="center" vertical="center" wrapText="1"/>
    </xf>
    <xf numFmtId="0" fontId="20" fillId="2" borderId="1" xfId="646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2" fontId="20" fillId="2" borderId="1" xfId="902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49" fontId="64" fillId="0" borderId="1" xfId="905" applyNumberFormat="1" applyFont="1" applyFill="1" applyBorder="1" applyAlignment="1">
      <alignment horizontal="center" vertical="center" wrapText="1"/>
    </xf>
    <xf numFmtId="49" fontId="7" fillId="0" borderId="1" xfId="870" applyNumberFormat="1" applyFont="1" applyFill="1" applyBorder="1" applyAlignment="1">
      <alignment horizontal="center" vertical="center" wrapText="1"/>
    </xf>
    <xf numFmtId="49" fontId="12" fillId="0" borderId="1" xfId="870" applyNumberFormat="1" applyFont="1" applyFill="1" applyBorder="1" applyAlignment="1">
      <alignment horizontal="left" vertical="center" wrapText="1"/>
    </xf>
    <xf numFmtId="0" fontId="12" fillId="0" borderId="1" xfId="87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0" fillId="0" borderId="1" xfId="902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/>
    </xf>
    <xf numFmtId="0" fontId="12" fillId="0" borderId="1" xfId="900" applyNumberFormat="1" applyFont="1" applyFill="1" applyBorder="1" applyAlignment="1">
      <alignment horizontal="center" vertical="center"/>
    </xf>
    <xf numFmtId="49" fontId="75" fillId="0" borderId="1" xfId="90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 applyProtection="1">
      <alignment horizontal="center" vertical="center" wrapText="1"/>
    </xf>
    <xf numFmtId="0" fontId="76" fillId="0" borderId="1" xfId="90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2" fontId="14" fillId="2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64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78" fillId="0" borderId="0" xfId="0" applyNumberFormat="1" applyFont="1" applyFill="1" applyAlignment="1">
      <alignment horizontal="center" vertical="center"/>
    </xf>
    <xf numFmtId="0" fontId="20" fillId="0" borderId="1" xfId="900" applyNumberFormat="1" applyFont="1" applyFill="1" applyBorder="1" applyAlignment="1" applyProtection="1">
      <alignment horizontal="center" vertical="center" wrapText="1"/>
    </xf>
    <xf numFmtId="49" fontId="64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49" fontId="64" fillId="0" borderId="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49" fontId="81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vertical="center" wrapText="1"/>
    </xf>
    <xf numFmtId="2" fontId="20" fillId="0" borderId="1" xfId="900" applyNumberFormat="1" applyFont="1" applyFill="1" applyBorder="1" applyAlignment="1">
      <alignment horizontal="center" vertical="center" wrapText="1"/>
    </xf>
    <xf numFmtId="0" fontId="12" fillId="0" borderId="1" xfId="633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12" fillId="0" borderId="1" xfId="633" applyNumberFormat="1" applyFont="1" applyFill="1" applyBorder="1" applyAlignment="1">
      <alignment horizontal="left" vertical="center" wrapText="1"/>
    </xf>
    <xf numFmtId="49" fontId="20" fillId="0" borderId="1" xfId="633" applyNumberFormat="1" applyFont="1" applyFill="1" applyBorder="1" applyAlignment="1">
      <alignment horizontal="left" vertical="center" wrapText="1"/>
    </xf>
    <xf numFmtId="49" fontId="64" fillId="0" borderId="1" xfId="633" applyNumberFormat="1" applyFont="1" applyFill="1" applyBorder="1" applyAlignment="1">
      <alignment horizontal="center" vertical="center" wrapText="1"/>
    </xf>
    <xf numFmtId="0" fontId="12" fillId="0" borderId="19" xfId="633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1" xfId="1" applyNumberFormat="1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 applyProtection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0" borderId="1" xfId="901" applyNumberFormat="1" applyFont="1" applyFill="1" applyBorder="1" applyAlignment="1">
      <alignment horizontal="left" vertical="center" wrapText="1"/>
    </xf>
    <xf numFmtId="49" fontId="12" fillId="0" borderId="1" xfId="90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left" vertical="center" wrapText="1"/>
    </xf>
    <xf numFmtId="49" fontId="12" fillId="0" borderId="1" xfId="90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20" fillId="26" borderId="1" xfId="0" applyNumberFormat="1" applyFont="1" applyFill="1" applyBorder="1" applyAlignment="1">
      <alignment vertical="center" wrapText="1"/>
    </xf>
    <xf numFmtId="49" fontId="64" fillId="0" borderId="1" xfId="901" applyNumberFormat="1" applyFont="1" applyFill="1" applyBorder="1" applyAlignment="1">
      <alignment horizontal="center" vertical="center" wrapText="1"/>
    </xf>
    <xf numFmtId="0" fontId="12" fillId="0" borderId="1" xfId="901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64" fillId="0" borderId="1" xfId="735" applyNumberFormat="1" applyFont="1" applyFill="1" applyBorder="1" applyAlignment="1">
      <alignment horizontal="center" vertical="center" wrapText="1"/>
    </xf>
    <xf numFmtId="49" fontId="20" fillId="0" borderId="1" xfId="735" applyNumberFormat="1" applyFont="1" applyFill="1" applyBorder="1" applyAlignment="1">
      <alignment horizontal="left" vertical="center" wrapText="1"/>
    </xf>
    <xf numFmtId="0" fontId="12" fillId="0" borderId="1" xfId="735" applyNumberFormat="1" applyFont="1" applyFill="1" applyBorder="1" applyAlignment="1">
      <alignment horizontal="center" vertical="center" wrapText="1"/>
    </xf>
    <xf numFmtId="49" fontId="7" fillId="0" borderId="1" xfId="735" applyNumberFormat="1" applyFont="1" applyFill="1" applyBorder="1" applyAlignment="1">
      <alignment horizontal="center" vertical="center" wrapText="1"/>
    </xf>
    <xf numFmtId="49" fontId="12" fillId="0" borderId="1" xfId="735" applyNumberFormat="1" applyFont="1" applyFill="1" applyBorder="1" applyAlignment="1">
      <alignment horizontal="left" vertical="center" wrapText="1"/>
    </xf>
    <xf numFmtId="49" fontId="7" fillId="0" borderId="1" xfId="904" applyNumberFormat="1" applyFont="1" applyFill="1" applyBorder="1" applyAlignment="1">
      <alignment horizontal="center" vertical="center" wrapText="1"/>
    </xf>
    <xf numFmtId="49" fontId="12" fillId="0" borderId="1" xfId="904" applyNumberFormat="1" applyFont="1" applyFill="1" applyBorder="1" applyAlignment="1">
      <alignment horizontal="left" vertical="center" wrapText="1"/>
    </xf>
    <xf numFmtId="49" fontId="64" fillId="0" borderId="1" xfId="904" applyNumberFormat="1" applyFont="1" applyFill="1" applyBorder="1" applyAlignment="1">
      <alignment horizontal="center" vertical="center" wrapText="1"/>
    </xf>
    <xf numFmtId="0" fontId="12" fillId="0" borderId="1" xfId="904" applyNumberFormat="1" applyFont="1" applyFill="1" applyBorder="1" applyAlignment="1">
      <alignment horizontal="center" vertical="center" wrapText="1"/>
    </xf>
    <xf numFmtId="49" fontId="64" fillId="0" borderId="1" xfId="870" applyNumberFormat="1" applyFont="1" applyFill="1" applyBorder="1" applyAlignment="1">
      <alignment horizontal="center" vertical="center" wrapText="1"/>
    </xf>
    <xf numFmtId="49" fontId="20" fillId="0" borderId="1" xfId="870" applyNumberFormat="1" applyFont="1" applyFill="1" applyBorder="1" applyAlignment="1">
      <alignment horizontal="left" vertical="center" wrapText="1"/>
    </xf>
    <xf numFmtId="49" fontId="12" fillId="0" borderId="2" xfId="870" applyNumberFormat="1" applyFont="1" applyFill="1" applyBorder="1" applyAlignment="1">
      <alignment horizontal="left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49" fontId="7" fillId="0" borderId="4" xfId="870" applyNumberFormat="1" applyFont="1" applyFill="1" applyBorder="1" applyAlignment="1">
      <alignment horizontal="center" vertical="center" wrapText="1"/>
    </xf>
    <xf numFmtId="49" fontId="64" fillId="2" borderId="1" xfId="646" applyNumberFormat="1" applyFont="1" applyFill="1" applyBorder="1" applyAlignment="1">
      <alignment horizontal="center" vertical="center" wrapText="1"/>
    </xf>
    <xf numFmtId="49" fontId="64" fillId="2" borderId="19" xfId="0" applyNumberFormat="1" applyFont="1" applyFill="1" applyBorder="1" applyAlignment="1">
      <alignment horizontal="center" vertical="center" wrapText="1"/>
    </xf>
    <xf numFmtId="49" fontId="64" fillId="2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2" fontId="20" fillId="2" borderId="17" xfId="0" applyNumberFormat="1" applyFont="1" applyFill="1" applyBorder="1" applyAlignment="1">
      <alignment horizontal="center" vertical="center" wrapText="1"/>
    </xf>
    <xf numFmtId="2" fontId="12" fillId="0" borderId="2" xfId="902" applyNumberFormat="1" applyFont="1" applyFill="1" applyBorder="1" applyAlignment="1">
      <alignment horizontal="center" vertical="center" wrapText="1"/>
    </xf>
    <xf numFmtId="2" fontId="12" fillId="0" borderId="2" xfId="903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vertical="center" wrapText="1"/>
    </xf>
    <xf numFmtId="167" fontId="12" fillId="0" borderId="0" xfId="0" applyNumberFormat="1" applyFont="1" applyFill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49" fontId="81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20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8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4" fillId="26" borderId="1" xfId="0" applyNumberFormat="1" applyFont="1" applyFill="1" applyBorder="1" applyAlignment="1">
      <alignment horizontal="center" vertical="center" wrapText="1"/>
    </xf>
    <xf numFmtId="49" fontId="64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49" fontId="78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19" xfId="633" applyNumberFormat="1" applyFont="1" applyFill="1" applyBorder="1" applyAlignment="1">
      <alignment horizontal="center" vertical="center" wrapText="1"/>
    </xf>
    <xf numFmtId="0" fontId="20" fillId="0" borderId="1" xfId="901" applyNumberFormat="1" applyFont="1" applyFill="1" applyBorder="1" applyAlignment="1">
      <alignment horizontal="center" vertical="center" wrapText="1"/>
    </xf>
    <xf numFmtId="0" fontId="20" fillId="0" borderId="1" xfId="735" applyNumberFormat="1" applyFont="1" applyFill="1" applyBorder="1" applyAlignment="1">
      <alignment horizontal="center" vertical="center" wrapText="1"/>
    </xf>
    <xf numFmtId="0" fontId="20" fillId="0" borderId="1" xfId="87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20" fillId="26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7" fillId="0" borderId="1" xfId="901" applyNumberFormat="1" applyFont="1" applyFill="1" applyBorder="1" applyAlignment="1">
      <alignment horizontal="center" vertical="center" wrapText="1"/>
    </xf>
    <xf numFmtId="0" fontId="64" fillId="0" borderId="1" xfId="900" applyNumberFormat="1" applyFont="1" applyFill="1" applyBorder="1" applyAlignment="1">
      <alignment horizontal="center" vertical="center"/>
    </xf>
    <xf numFmtId="0" fontId="7" fillId="0" borderId="1" xfId="900" applyNumberFormat="1" applyFont="1" applyFill="1" applyBorder="1" applyAlignment="1">
      <alignment horizontal="center" vertical="center"/>
    </xf>
    <xf numFmtId="0" fontId="75" fillId="0" borderId="1" xfId="90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4" fillId="0" borderId="1" xfId="0" applyNumberFormat="1" applyFont="1" applyFill="1" applyBorder="1" applyAlignment="1" applyProtection="1">
      <alignment horizontal="center" vertical="center" wrapText="1"/>
    </xf>
    <xf numFmtId="0" fontId="64" fillId="0" borderId="1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Border="1" applyAlignment="1">
      <alignment horizontal="center" vertical="center" wrapText="1"/>
    </xf>
    <xf numFmtId="49" fontId="20" fillId="0" borderId="2" xfId="0" applyNumberFormat="1" applyFont="1" applyFill="1" applyBorder="1" applyAlignment="1" applyProtection="1">
      <alignment vertical="center" wrapText="1"/>
    </xf>
    <xf numFmtId="49" fontId="12" fillId="0" borderId="1" xfId="0" applyNumberFormat="1" applyFont="1" applyFill="1" applyBorder="1" applyAlignment="1" applyProtection="1">
      <alignment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8" xfId="90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2" fontId="71" fillId="0" borderId="17" xfId="0" applyNumberFormat="1" applyFont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9" fontId="14" fillId="29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right" vertical="center" wrapText="1"/>
    </xf>
    <xf numFmtId="49" fontId="85" fillId="0" borderId="4" xfId="0" applyNumberFormat="1" applyFont="1" applyBorder="1" applyAlignment="1">
      <alignment horizontal="center" vertical="center" wrapText="1"/>
    </xf>
    <xf numFmtId="49" fontId="71" fillId="0" borderId="4" xfId="0" applyNumberFormat="1" applyFont="1" applyBorder="1" applyAlignment="1">
      <alignment horizontal="center" vertical="center" wrapText="1"/>
    </xf>
    <xf numFmtId="49" fontId="84" fillId="0" borderId="4" xfId="0" applyNumberFormat="1" applyFont="1" applyBorder="1" applyAlignment="1">
      <alignment horizontal="center" vertical="center" wrapText="1"/>
    </xf>
    <xf numFmtId="0" fontId="86" fillId="29" borderId="4" xfId="0" applyNumberFormat="1" applyFont="1" applyFill="1" applyBorder="1" applyAlignment="1">
      <alignment horizontal="center" vertical="center" wrapText="1"/>
    </xf>
    <xf numFmtId="49" fontId="84" fillId="0" borderId="19" xfId="0" applyNumberFormat="1" applyFont="1" applyBorder="1" applyAlignment="1">
      <alignment horizontal="center" vertical="center" wrapText="1"/>
    </xf>
    <xf numFmtId="49" fontId="85" fillId="0" borderId="17" xfId="0" applyNumberFormat="1" applyFont="1" applyBorder="1" applyAlignment="1">
      <alignment horizontal="center" vertical="center" wrapText="1"/>
    </xf>
    <xf numFmtId="49" fontId="84" fillId="0" borderId="17" xfId="0" applyNumberFormat="1" applyFont="1" applyBorder="1" applyAlignment="1">
      <alignment horizontal="center" vertical="center" wrapText="1"/>
    </xf>
    <xf numFmtId="0" fontId="84" fillId="0" borderId="17" xfId="0" applyNumberFormat="1" applyFont="1" applyBorder="1" applyAlignment="1">
      <alignment horizontal="center" vertical="center" wrapText="1"/>
    </xf>
    <xf numFmtId="49" fontId="71" fillId="0" borderId="17" xfId="0" applyNumberFormat="1" applyFont="1" applyBorder="1" applyAlignment="1">
      <alignment horizontal="center" vertical="center" wrapText="1"/>
    </xf>
    <xf numFmtId="2" fontId="86" fillId="30" borderId="17" xfId="0" applyNumberFormat="1" applyFont="1" applyFill="1" applyBorder="1" applyAlignment="1">
      <alignment horizontal="center" vertical="center" wrapText="1"/>
    </xf>
    <xf numFmtId="0" fontId="86" fillId="31" borderId="17" xfId="0" applyNumberFormat="1" applyFont="1" applyFill="1" applyBorder="1" applyAlignment="1">
      <alignment horizontal="center" vertical="center" wrapText="1"/>
    </xf>
    <xf numFmtId="0" fontId="86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9" fontId="86" fillId="31" borderId="17" xfId="0" applyNumberFormat="1" applyFont="1" applyFill="1" applyBorder="1" applyAlignment="1">
      <alignment horizontal="center" vertical="center" wrapText="1"/>
    </xf>
    <xf numFmtId="9" fontId="20" fillId="29" borderId="1" xfId="0" applyNumberFormat="1" applyFont="1" applyFill="1" applyBorder="1" applyAlignment="1">
      <alignment horizontal="center" vertical="center" wrapText="1"/>
    </xf>
    <xf numFmtId="2" fontId="86" fillId="0" borderId="17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3" fillId="26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49" fontId="15" fillId="0" borderId="0" xfId="0" applyNumberFormat="1" applyFont="1" applyFill="1"/>
    <xf numFmtId="2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4" fillId="0" borderId="1" xfId="1" quotePrefix="1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Alignment="1">
      <alignment horizontal="center" vertical="top" wrapText="1"/>
    </xf>
    <xf numFmtId="49" fontId="20" fillId="0" borderId="2" xfId="0" applyNumberFormat="1" applyFont="1" applyFill="1" applyBorder="1" applyAlignment="1">
      <alignment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0" fontId="64" fillId="0" borderId="2" xfId="0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26" borderId="0" xfId="0" applyFont="1" applyFill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64" fillId="29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49" fontId="7" fillId="0" borderId="18" xfId="870" applyNumberFormat="1" applyFont="1" applyFill="1" applyBorder="1" applyAlignment="1">
      <alignment horizontal="center" vertical="center" wrapText="1"/>
    </xf>
    <xf numFmtId="49" fontId="20" fillId="2" borderId="1" xfId="901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49" fontId="7" fillId="27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Alignment="1">
      <alignment horizontal="right" wrapText="1"/>
    </xf>
    <xf numFmtId="2" fontId="90" fillId="0" borderId="0" xfId="0" applyNumberFormat="1" applyFont="1" applyFill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3" fillId="0" borderId="1" xfId="90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3" fillId="0" borderId="1" xfId="900" applyNumberFormat="1" applyFont="1" applyFill="1" applyBorder="1" applyAlignment="1">
      <alignment horizontal="center" vertical="center" wrapText="1"/>
    </xf>
    <xf numFmtId="0" fontId="93" fillId="0" borderId="1" xfId="900" applyNumberFormat="1" applyFont="1" applyFill="1" applyBorder="1" applyAlignment="1">
      <alignment horizontal="center" vertical="center" wrapText="1"/>
    </xf>
    <xf numFmtId="2" fontId="96" fillId="30" borderId="17" xfId="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wrapText="1"/>
    </xf>
    <xf numFmtId="0" fontId="95" fillId="0" borderId="0" xfId="0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20" fillId="0" borderId="1" xfId="646" applyNumberFormat="1" applyFont="1" applyBorder="1" applyAlignment="1">
      <alignment horizontal="left" vertical="center" wrapText="1"/>
    </xf>
    <xf numFmtId="0" fontId="70" fillId="0" borderId="1" xfId="90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94" fillId="26" borderId="1" xfId="0" applyNumberFormat="1" applyFont="1" applyFill="1" applyBorder="1" applyAlignment="1">
      <alignment horizontal="center" vertical="center" wrapText="1"/>
    </xf>
    <xf numFmtId="0" fontId="94" fillId="26" borderId="1" xfId="0" applyNumberFormat="1" applyFont="1" applyFill="1" applyBorder="1" applyAlignment="1">
      <alignment horizontal="center" vertical="center" wrapText="1"/>
    </xf>
    <xf numFmtId="0" fontId="83" fillId="26" borderId="1" xfId="0" applyNumberFormat="1" applyFont="1" applyFill="1" applyBorder="1" applyAlignment="1">
      <alignment horizontal="center" vertical="center" wrapText="1"/>
    </xf>
    <xf numFmtId="49" fontId="83" fillId="2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2" fontId="90" fillId="0" borderId="0" xfId="0" applyNumberFormat="1" applyFont="1" applyFill="1" applyAlignment="1">
      <alignment horizontal="right" vertical="center" wrapText="1"/>
    </xf>
    <xf numFmtId="49" fontId="12" fillId="0" borderId="1" xfId="633" applyNumberFormat="1" applyFont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2" fillId="0" borderId="19" xfId="633" applyNumberFormat="1" applyFont="1" applyBorder="1" applyAlignment="1">
      <alignment horizontal="center" vertical="center" wrapText="1"/>
    </xf>
    <xf numFmtId="0" fontId="12" fillId="0" borderId="1" xfId="633" applyFont="1" applyBorder="1" applyAlignment="1">
      <alignment horizontal="center" vertical="center" wrapText="1"/>
    </xf>
    <xf numFmtId="49" fontId="20" fillId="0" borderId="1" xfId="900" applyNumberFormat="1" applyFont="1" applyFill="1" applyBorder="1" applyAlignment="1">
      <alignment vertical="center" wrapText="1"/>
    </xf>
    <xf numFmtId="49" fontId="99" fillId="0" borderId="1" xfId="900" applyNumberFormat="1" applyFont="1" applyFill="1" applyBorder="1" applyAlignment="1">
      <alignment horizontal="center" vertical="center" wrapText="1"/>
    </xf>
    <xf numFmtId="49" fontId="64" fillId="2" borderId="1" xfId="900" applyNumberFormat="1" applyFont="1" applyFill="1" applyBorder="1" applyAlignment="1">
      <alignment horizontal="center" vertical="center" wrapText="1"/>
    </xf>
    <xf numFmtId="0" fontId="64" fillId="2" borderId="1" xfId="900" applyNumberFormat="1" applyFont="1" applyFill="1" applyBorder="1" applyAlignment="1">
      <alignment horizontal="center" vertical="center" wrapText="1"/>
    </xf>
    <xf numFmtId="0" fontId="20" fillId="2" borderId="1" xfId="900" applyNumberFormat="1" applyFont="1" applyFill="1" applyBorder="1" applyAlignment="1">
      <alignment horizontal="center" vertical="center" wrapText="1"/>
    </xf>
    <xf numFmtId="49" fontId="101" fillId="0" borderId="1" xfId="681" applyNumberFormat="1" applyFont="1" applyFill="1" applyBorder="1" applyAlignment="1">
      <alignment horizontal="left" vertical="center" wrapText="1"/>
    </xf>
    <xf numFmtId="49" fontId="73" fillId="0" borderId="1" xfId="681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20" fillId="0" borderId="1" xfId="2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49" fontId="12" fillId="27" borderId="1" xfId="0" applyNumberFormat="1" applyFont="1" applyFill="1" applyBorder="1" applyAlignment="1">
      <alignment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 wrapText="1"/>
    </xf>
    <xf numFmtId="0" fontId="20" fillId="29" borderId="1" xfId="0" applyNumberFormat="1" applyFont="1" applyFill="1" applyBorder="1" applyAlignment="1">
      <alignment horizontal="center" vertical="center" wrapText="1"/>
    </xf>
    <xf numFmtId="49" fontId="20" fillId="29" borderId="1" xfId="0" applyNumberFormat="1" applyFont="1" applyFill="1" applyBorder="1" applyAlignment="1">
      <alignment vertical="center" wrapText="1"/>
    </xf>
    <xf numFmtId="49" fontId="103" fillId="0" borderId="1" xfId="0" applyNumberFormat="1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7" fillId="27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7" fillId="29" borderId="1" xfId="0" applyNumberFormat="1" applyFont="1" applyFill="1" applyBorder="1" applyAlignment="1">
      <alignment horizontal="center" vertical="center" wrapText="1"/>
    </xf>
    <xf numFmtId="49" fontId="6" fillId="32" borderId="1" xfId="0" applyNumberFormat="1" applyFont="1" applyFill="1" applyBorder="1" applyAlignment="1">
      <alignment horizontal="center" vertical="center" wrapText="1"/>
    </xf>
    <xf numFmtId="49" fontId="13" fillId="32" borderId="2" xfId="0" applyNumberFormat="1" applyFont="1" applyFill="1" applyBorder="1" applyAlignment="1">
      <alignment vertical="center" wrapText="1"/>
    </xf>
    <xf numFmtId="49" fontId="13" fillId="32" borderId="19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3" fillId="32" borderId="3" xfId="0" applyNumberFormat="1" applyFont="1" applyFill="1" applyBorder="1" applyAlignment="1">
      <alignment horizontal="center" vertical="center" wrapText="1"/>
    </xf>
    <xf numFmtId="0" fontId="20" fillId="29" borderId="20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102" fillId="0" borderId="0" xfId="0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10" fontId="14" fillId="28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4" borderId="1" xfId="899" applyNumberFormat="1" applyFont="1" applyFill="1" applyBorder="1" applyAlignment="1">
      <alignment horizontal="center" vertical="center" wrapText="1"/>
    </xf>
    <xf numFmtId="49" fontId="20" fillId="34" borderId="1" xfId="899" applyNumberFormat="1" applyFont="1" applyFill="1" applyBorder="1" applyAlignment="1">
      <alignment horizontal="center" vertical="center" wrapText="1"/>
    </xf>
    <xf numFmtId="49" fontId="64" fillId="34" borderId="1" xfId="899" applyNumberFormat="1" applyFont="1" applyFill="1" applyBorder="1" applyAlignment="1">
      <alignment horizontal="center" vertical="center" wrapText="1"/>
    </xf>
    <xf numFmtId="0" fontId="12" fillId="34" borderId="1" xfId="899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2" fontId="71" fillId="0" borderId="17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4" fillId="35" borderId="1" xfId="0" applyNumberFormat="1" applyFont="1" applyFill="1" applyBorder="1" applyAlignment="1">
      <alignment horizontal="center" vertical="center" wrapText="1"/>
    </xf>
    <xf numFmtId="49" fontId="70" fillId="0" borderId="1" xfId="2" applyNumberFormat="1" applyFont="1" applyFill="1" applyBorder="1" applyAlignment="1">
      <alignment vertical="center" wrapText="1"/>
    </xf>
    <xf numFmtId="0" fontId="70" fillId="0" borderId="1" xfId="2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6" fillId="35" borderId="1" xfId="0" applyNumberFormat="1" applyFont="1" applyFill="1" applyBorder="1" applyAlignment="1">
      <alignment horizontal="center" vertical="center" wrapText="1"/>
    </xf>
    <xf numFmtId="49" fontId="16" fillId="35" borderId="1" xfId="0" applyNumberFormat="1" applyFont="1" applyFill="1" applyBorder="1" applyAlignment="1">
      <alignment horizontal="center" vertical="center" wrapText="1"/>
    </xf>
    <xf numFmtId="0" fontId="16" fillId="35" borderId="1" xfId="0" applyNumberFormat="1" applyFont="1" applyFill="1" applyBorder="1" applyAlignment="1">
      <alignment horizontal="center" vertical="center" wrapText="1"/>
    </xf>
    <xf numFmtId="0" fontId="14" fillId="35" borderId="1" xfId="0" applyNumberFormat="1" applyFont="1" applyFill="1" applyBorder="1" applyAlignment="1">
      <alignment horizontal="center" vertical="center" wrapText="1"/>
    </xf>
    <xf numFmtId="2" fontId="14" fillId="35" borderId="1" xfId="0" applyNumberFormat="1" applyFont="1" applyFill="1" applyBorder="1" applyAlignment="1">
      <alignment horizontal="center" vertical="center" wrapText="1"/>
    </xf>
    <xf numFmtId="9" fontId="20" fillId="28" borderId="1" xfId="0" applyNumberFormat="1" applyFont="1" applyFill="1" applyBorder="1" applyAlignment="1">
      <alignment horizontal="center" vertical="center" wrapText="1"/>
    </xf>
    <xf numFmtId="49" fontId="7" fillId="35" borderId="1" xfId="899" applyNumberFormat="1" applyFont="1" applyFill="1" applyBorder="1" applyAlignment="1">
      <alignment horizontal="center" vertical="center" wrapText="1"/>
    </xf>
    <xf numFmtId="49" fontId="20" fillId="35" borderId="1" xfId="899" applyNumberFormat="1" applyFont="1" applyFill="1" applyBorder="1" applyAlignment="1">
      <alignment horizontal="center" vertical="center" wrapText="1"/>
    </xf>
    <xf numFmtId="49" fontId="64" fillId="35" borderId="1" xfId="899" applyNumberFormat="1" applyFont="1" applyFill="1" applyBorder="1" applyAlignment="1">
      <alignment horizontal="center" vertical="center" wrapText="1"/>
    </xf>
    <xf numFmtId="0" fontId="12" fillId="35" borderId="1" xfId="899" applyNumberFormat="1" applyFont="1" applyFill="1" applyBorder="1" applyAlignment="1">
      <alignment horizontal="center" vertical="center" wrapText="1"/>
    </xf>
    <xf numFmtId="49" fontId="64" fillId="35" borderId="1" xfId="0" applyNumberFormat="1" applyFont="1" applyFill="1" applyBorder="1" applyAlignment="1">
      <alignment horizontal="center" vertical="center" wrapText="1"/>
    </xf>
    <xf numFmtId="49" fontId="20" fillId="35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left" vertical="center" wrapText="1"/>
    </xf>
    <xf numFmtId="0" fontId="105" fillId="0" borderId="1" xfId="0" applyFont="1" applyFill="1" applyBorder="1" applyAlignment="1">
      <alignment horizontal="left" vertical="center" wrapText="1"/>
    </xf>
    <xf numFmtId="4" fontId="104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2" fontId="12" fillId="0" borderId="1" xfId="907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vertical="center" wrapText="1"/>
    </xf>
    <xf numFmtId="2" fontId="70" fillId="0" borderId="0" xfId="0" applyNumberFormat="1" applyFont="1" applyFill="1" applyAlignment="1">
      <alignment horizontal="righ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64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9" fontId="82" fillId="0" borderId="1" xfId="633" applyNumberFormat="1" applyFont="1" applyFill="1" applyBorder="1" applyAlignment="1">
      <alignment horizontal="center" vertical="center" wrapText="1"/>
    </xf>
    <xf numFmtId="49" fontId="7" fillId="2" borderId="1" xfId="90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4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top" wrapText="1"/>
    </xf>
    <xf numFmtId="49" fontId="20" fillId="29" borderId="1" xfId="0" applyNumberFormat="1" applyFont="1" applyFill="1" applyBorder="1" applyAlignment="1">
      <alignment horizontal="left" vertical="center" wrapText="1"/>
    </xf>
    <xf numFmtId="0" fontId="5" fillId="29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top" wrapText="1"/>
    </xf>
    <xf numFmtId="49" fontId="69" fillId="0" borderId="1" xfId="0" applyNumberFormat="1" applyFont="1" applyFill="1" applyBorder="1" applyAlignment="1">
      <alignment horizontal="center" vertical="top" wrapText="1"/>
    </xf>
    <xf numFmtId="49" fontId="7" fillId="0" borderId="1" xfId="900" applyNumberFormat="1" applyFont="1" applyFill="1" applyBorder="1" applyAlignment="1">
      <alignment horizontal="center" vertical="top" wrapText="1"/>
    </xf>
    <xf numFmtId="49" fontId="7" fillId="0" borderId="1" xfId="633" applyNumberFormat="1" applyFont="1" applyFill="1" applyBorder="1" applyAlignment="1">
      <alignment horizontal="center" vertical="center" wrapText="1"/>
    </xf>
    <xf numFmtId="2" fontId="106" fillId="0" borderId="0" xfId="0" applyNumberFormat="1" applyFont="1" applyAlignment="1">
      <alignment horizontal="right" vertical="center" wrapText="1"/>
    </xf>
    <xf numFmtId="0" fontId="0" fillId="26" borderId="0" xfId="0" applyNumberFormat="1" applyFill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65" fillId="0" borderId="1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top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7" fillId="0" borderId="19" xfId="90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7" fillId="33" borderId="4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Alignment="1">
      <alignment horizontal="center" vertical="center" wrapText="1"/>
    </xf>
    <xf numFmtId="0" fontId="70" fillId="0" borderId="0" xfId="0" applyFont="1" applyFill="1" applyAlignment="1">
      <alignment horizontal="right" vertical="center" wrapText="1"/>
    </xf>
    <xf numFmtId="2" fontId="12" fillId="0" borderId="19" xfId="477" applyNumberFormat="1" applyFont="1" applyFill="1" applyBorder="1" applyAlignment="1">
      <alignment horizontal="center" vertical="center" wrapText="1"/>
    </xf>
    <xf numFmtId="0" fontId="20" fillId="0" borderId="1" xfId="477" applyNumberFormat="1" applyFont="1" applyFill="1" applyBorder="1" applyAlignment="1" applyProtection="1">
      <alignment horizontal="center" vertical="center" wrapText="1"/>
    </xf>
    <xf numFmtId="2" fontId="12" fillId="0" borderId="1" xfId="477" applyNumberFormat="1" applyFont="1" applyFill="1" applyBorder="1" applyAlignment="1" applyProtection="1">
      <alignment horizontal="center" vertical="center" wrapText="1"/>
    </xf>
    <xf numFmtId="0" fontId="12" fillId="0" borderId="1" xfId="477" applyNumberFormat="1" applyFont="1" applyFill="1" applyBorder="1" applyAlignment="1" applyProtection="1">
      <alignment horizontal="center" vertical="center" wrapText="1"/>
    </xf>
    <xf numFmtId="0" fontId="12" fillId="0" borderId="1" xfId="477" applyNumberFormat="1" applyFont="1" applyFill="1" applyBorder="1" applyAlignment="1">
      <alignment horizontal="center" vertical="center" wrapText="1"/>
    </xf>
    <xf numFmtId="49" fontId="7" fillId="0" borderId="1" xfId="477" applyNumberFormat="1" applyFont="1" applyFill="1" applyBorder="1" applyAlignment="1">
      <alignment horizontal="center" vertical="center" wrapText="1"/>
    </xf>
    <xf numFmtId="2" fontId="12" fillId="0" borderId="1" xfId="477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9" fontId="78" fillId="0" borderId="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top" wrapText="1"/>
    </xf>
    <xf numFmtId="49" fontId="98" fillId="0" borderId="1" xfId="477" applyNumberFormat="1" applyFont="1" applyFill="1" applyBorder="1" applyAlignment="1">
      <alignment horizontal="center" vertical="center" wrapText="1"/>
    </xf>
    <xf numFmtId="49" fontId="75" fillId="0" borderId="1" xfId="477" applyNumberFormat="1" applyFont="1" applyFill="1" applyBorder="1" applyAlignment="1">
      <alignment horizontal="center" vertical="top" wrapText="1"/>
    </xf>
    <xf numFmtId="49" fontId="64" fillId="0" borderId="1" xfId="477" applyNumberFormat="1" applyFont="1" applyFill="1" applyBorder="1" applyAlignment="1">
      <alignment horizontal="center" vertical="center" wrapText="1"/>
    </xf>
    <xf numFmtId="49" fontId="75" fillId="0" borderId="1" xfId="477" applyNumberFormat="1" applyFont="1" applyFill="1" applyBorder="1" applyAlignment="1">
      <alignment horizontal="center" vertical="center" wrapText="1"/>
    </xf>
    <xf numFmtId="2" fontId="70" fillId="0" borderId="0" xfId="0" applyNumberFormat="1" applyFont="1" applyAlignment="1">
      <alignment horizontal="right" wrapText="1"/>
    </xf>
    <xf numFmtId="0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1" xfId="681" applyNumberFormat="1" applyFont="1" applyFill="1" applyBorder="1" applyAlignment="1">
      <alignment horizontal="center" vertical="center" wrapText="1"/>
    </xf>
    <xf numFmtId="49" fontId="7" fillId="0" borderId="1" xfId="630" applyNumberFormat="1" applyFont="1" applyFill="1" applyBorder="1" applyAlignment="1">
      <alignment horizontal="center" vertical="center" wrapText="1"/>
    </xf>
    <xf numFmtId="49" fontId="64" fillId="0" borderId="1" xfId="677" applyNumberFormat="1" applyFont="1" applyFill="1" applyBorder="1" applyAlignment="1">
      <alignment horizontal="center" vertical="center" wrapText="1"/>
    </xf>
    <xf numFmtId="49" fontId="7" fillId="0" borderId="1" xfId="677" applyNumberFormat="1" applyFont="1" applyFill="1" applyBorder="1" applyAlignment="1">
      <alignment horizontal="center" vertical="center" wrapText="1"/>
    </xf>
    <xf numFmtId="0" fontId="7" fillId="0" borderId="1" xfId="677" applyNumberFormat="1" applyFont="1" applyFill="1" applyBorder="1" applyAlignment="1">
      <alignment horizontal="center" vertical="center" wrapText="1"/>
    </xf>
    <xf numFmtId="0" fontId="12" fillId="0" borderId="1" xfId="677" applyNumberFormat="1" applyFont="1" applyFill="1" applyBorder="1" applyAlignment="1">
      <alignment horizontal="center" vertical="center" wrapText="1"/>
    </xf>
    <xf numFmtId="2" fontId="12" fillId="0" borderId="1" xfId="630" applyNumberFormat="1" applyFont="1" applyBorder="1" applyAlignment="1">
      <alignment horizontal="center" vertical="center" wrapText="1"/>
    </xf>
    <xf numFmtId="49" fontId="7" fillId="0" borderId="2" xfId="677" applyNumberFormat="1" applyFont="1" applyFill="1" applyBorder="1" applyAlignment="1">
      <alignment horizontal="center" vertical="center" wrapText="1"/>
    </xf>
    <xf numFmtId="0" fontId="7" fillId="0" borderId="2" xfId="677" applyNumberFormat="1" applyFont="1" applyFill="1" applyBorder="1" applyAlignment="1">
      <alignment horizontal="center" vertical="center" wrapText="1"/>
    </xf>
    <xf numFmtId="0" fontId="12" fillId="0" borderId="2" xfId="677" applyNumberFormat="1" applyFont="1" applyFill="1" applyBorder="1" applyAlignment="1">
      <alignment horizontal="center" vertical="center" wrapText="1"/>
    </xf>
    <xf numFmtId="2" fontId="12" fillId="0" borderId="1" xfId="677" applyNumberFormat="1" applyFont="1" applyFill="1" applyBorder="1" applyAlignment="1">
      <alignment horizontal="center" vertical="center" wrapText="1"/>
    </xf>
    <xf numFmtId="49" fontId="64" fillId="0" borderId="1" xfId="630" applyNumberFormat="1" applyFont="1" applyFill="1" applyBorder="1" applyAlignment="1">
      <alignment horizontal="center" vertical="center" wrapText="1"/>
    </xf>
    <xf numFmtId="0" fontId="7" fillId="0" borderId="1" xfId="630" applyNumberFormat="1" applyFont="1" applyFill="1" applyBorder="1" applyAlignment="1">
      <alignment horizontal="center" vertical="center" wrapText="1"/>
    </xf>
    <xf numFmtId="0" fontId="12" fillId="0" borderId="1" xfId="630" applyNumberFormat="1" applyFont="1" applyFill="1" applyBorder="1" applyAlignment="1">
      <alignment horizontal="center" vertical="center" wrapText="1"/>
    </xf>
    <xf numFmtId="2" fontId="12" fillId="0" borderId="1" xfId="630" applyNumberFormat="1" applyFont="1" applyFill="1" applyBorder="1" applyAlignment="1">
      <alignment horizontal="center" vertical="center" wrapText="1"/>
    </xf>
    <xf numFmtId="2" fontId="12" fillId="0" borderId="1" xfId="899" applyNumberFormat="1" applyFont="1" applyFill="1" applyBorder="1" applyAlignment="1">
      <alignment horizontal="center" vertical="center" wrapText="1"/>
    </xf>
    <xf numFmtId="0" fontId="7" fillId="0" borderId="1" xfId="630" applyNumberFormat="1" applyFont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9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64" fillId="27" borderId="1" xfId="0" applyNumberFormat="1" applyFont="1" applyFill="1" applyBorder="1" applyAlignment="1">
      <alignment horizontal="center" vertical="center" wrapText="1"/>
    </xf>
    <xf numFmtId="0" fontId="107" fillId="27" borderId="1" xfId="0" applyNumberFormat="1" applyFont="1" applyFill="1" applyBorder="1" applyAlignment="1">
      <alignment horizontal="center" vertical="center" wrapText="1"/>
    </xf>
    <xf numFmtId="0" fontId="20" fillId="27" borderId="1" xfId="0" applyNumberFormat="1" applyFont="1" applyFill="1" applyBorder="1" applyAlignment="1">
      <alignment horizontal="center" vertical="center" wrapText="1"/>
    </xf>
    <xf numFmtId="2" fontId="12" fillId="27" borderId="1" xfId="90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49" fontId="88" fillId="0" borderId="1" xfId="0" applyNumberFormat="1" applyFont="1" applyBorder="1" applyAlignment="1">
      <alignment horizontal="center" vertical="center"/>
    </xf>
    <xf numFmtId="0" fontId="107" fillId="0" borderId="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07" fillId="0" borderId="2" xfId="0" applyNumberFormat="1" applyFont="1" applyBorder="1" applyAlignment="1">
      <alignment horizontal="center" vertical="center" wrapText="1"/>
    </xf>
    <xf numFmtId="2" fontId="12" fillId="0" borderId="1" xfId="902" applyNumberFormat="1" applyFont="1" applyBorder="1" applyAlignment="1">
      <alignment horizontal="center" vertical="center" wrapText="1"/>
    </xf>
    <xf numFmtId="2" fontId="12" fillId="0" borderId="1" xfId="903" applyNumberFormat="1" applyFont="1" applyBorder="1" applyAlignment="1">
      <alignment horizontal="center" vertical="center" wrapText="1"/>
    </xf>
    <xf numFmtId="2" fontId="13" fillId="27" borderId="1" xfId="0" applyNumberFormat="1" applyFont="1" applyFill="1" applyBorder="1" applyAlignment="1">
      <alignment horizontal="center" vertical="center" wrapText="1"/>
    </xf>
    <xf numFmtId="0" fontId="12" fillId="27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03" fillId="0" borderId="1" xfId="2" applyNumberFormat="1" applyFont="1" applyBorder="1" applyAlignment="1">
      <alignment horizontal="center" vertical="center" wrapText="1"/>
    </xf>
    <xf numFmtId="0" fontId="70" fillId="27" borderId="1" xfId="0" applyNumberFormat="1" applyFont="1" applyFill="1" applyBorder="1" applyAlignment="1">
      <alignment horizontal="center" vertical="center" wrapText="1"/>
    </xf>
    <xf numFmtId="2" fontId="12" fillId="0" borderId="1" xfId="907" applyNumberFormat="1" applyFont="1" applyBorder="1" applyAlignment="1">
      <alignment horizontal="center" vertical="center" wrapText="1"/>
    </xf>
    <xf numFmtId="2" fontId="12" fillId="27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107" fillId="0" borderId="19" xfId="0" applyNumberFormat="1" applyFont="1" applyBorder="1" applyAlignment="1">
      <alignment horizontal="center" vertical="center" wrapText="1"/>
    </xf>
    <xf numFmtId="49" fontId="7" fillId="29" borderId="1" xfId="0" applyNumberFormat="1" applyFont="1" applyFill="1" applyBorder="1" applyAlignment="1">
      <alignment horizontal="center" vertical="center" wrapText="1"/>
    </xf>
    <xf numFmtId="0" fontId="64" fillId="29" borderId="1" xfId="0" applyNumberFormat="1" applyFont="1" applyFill="1" applyBorder="1" applyAlignment="1">
      <alignment horizontal="center" vertical="center" wrapText="1"/>
    </xf>
    <xf numFmtId="2" fontId="12" fillId="0" borderId="1" xfId="900" applyNumberFormat="1" applyFont="1" applyFill="1" applyBorder="1" applyAlignment="1">
      <alignment horizontal="center" vertical="center"/>
    </xf>
    <xf numFmtId="49" fontId="64" fillId="0" borderId="1" xfId="633" applyNumberFormat="1" applyFont="1" applyBorder="1" applyAlignment="1">
      <alignment horizontal="center" vertical="center" wrapText="1"/>
    </xf>
    <xf numFmtId="0" fontId="7" fillId="0" borderId="1" xfId="633" applyNumberFormat="1" applyFont="1" applyBorder="1" applyAlignment="1">
      <alignment horizontal="center" vertical="center" wrapText="1"/>
    </xf>
    <xf numFmtId="0" fontId="20" fillId="0" borderId="1" xfId="633" applyNumberFormat="1" applyFont="1" applyBorder="1" applyAlignment="1">
      <alignment horizontal="center" vertical="center" wrapText="1"/>
    </xf>
    <xf numFmtId="49" fontId="64" fillId="0" borderId="19" xfId="633" applyNumberFormat="1" applyFont="1" applyBorder="1" applyAlignment="1">
      <alignment horizontal="center" vertical="center" wrapText="1"/>
    </xf>
    <xf numFmtId="49" fontId="7" fillId="0" borderId="1" xfId="682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12" fillId="0" borderId="1" xfId="682" applyNumberFormat="1" applyFont="1" applyBorder="1" applyAlignment="1">
      <alignment horizontal="center" vertical="center" wrapText="1"/>
    </xf>
    <xf numFmtId="49" fontId="7" fillId="0" borderId="1" xfId="633" applyNumberFormat="1" applyFont="1" applyBorder="1" applyAlignment="1">
      <alignment horizontal="center" vertical="center" wrapText="1"/>
    </xf>
    <xf numFmtId="0" fontId="7" fillId="0" borderId="19" xfId="633" applyNumberFormat="1" applyFont="1" applyBorder="1" applyAlignment="1">
      <alignment horizontal="center" vertical="center" wrapText="1"/>
    </xf>
    <xf numFmtId="0" fontId="12" fillId="0" borderId="19" xfId="633" applyNumberFormat="1" applyFont="1" applyBorder="1" applyAlignment="1">
      <alignment horizontal="center" vertical="center" wrapText="1"/>
    </xf>
    <xf numFmtId="49" fontId="7" fillId="0" borderId="19" xfId="633" applyNumberFormat="1" applyFont="1" applyBorder="1" applyAlignment="1">
      <alignment horizontal="center" vertical="center" wrapText="1"/>
    </xf>
    <xf numFmtId="0" fontId="12" fillId="0" borderId="1" xfId="633" applyNumberFormat="1" applyFont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Alignment="1">
      <alignment horizontal="center" wrapText="1"/>
    </xf>
    <xf numFmtId="49" fontId="12" fillId="0" borderId="19" xfId="0" applyNumberFormat="1" applyFont="1" applyFill="1" applyBorder="1" applyAlignment="1">
      <alignment horizontal="center" vertical="top" wrapText="1"/>
    </xf>
    <xf numFmtId="49" fontId="64" fillId="0" borderId="2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2" fontId="12" fillId="0" borderId="20" xfId="900" applyNumberFormat="1" applyFont="1" applyFill="1" applyBorder="1" applyAlignment="1">
      <alignment horizontal="center" vertical="center"/>
    </xf>
    <xf numFmtId="2" fontId="12" fillId="0" borderId="3" xfId="900" applyNumberFormat="1" applyFont="1" applyFill="1" applyBorder="1" applyAlignment="1">
      <alignment horizontal="center" vertical="center"/>
    </xf>
    <xf numFmtId="49" fontId="64" fillId="0" borderId="1" xfId="0" quotePrefix="1" applyNumberFormat="1" applyFont="1" applyFill="1" applyBorder="1" applyAlignment="1" applyProtection="1">
      <alignment horizontal="center" vertical="center" wrapText="1"/>
    </xf>
    <xf numFmtId="49" fontId="7" fillId="0" borderId="1" xfId="0" quotePrefix="1" applyNumberFormat="1" applyFont="1" applyFill="1" applyBorder="1" applyAlignment="1" applyProtection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12" fillId="0" borderId="1" xfId="908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9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49" fontId="93" fillId="0" borderId="1" xfId="0" applyNumberFormat="1" applyFont="1" applyFill="1" applyBorder="1" applyAlignment="1">
      <alignment horizontal="center" vertical="top" wrapText="1"/>
    </xf>
    <xf numFmtId="49" fontId="93" fillId="0" borderId="1" xfId="0" applyNumberFormat="1" applyFont="1" applyFill="1" applyBorder="1" applyAlignment="1">
      <alignment horizontal="center" vertical="center" wrapText="1"/>
    </xf>
    <xf numFmtId="49" fontId="83" fillId="26" borderId="1" xfId="0" applyNumberFormat="1" applyFont="1" applyFill="1" applyBorder="1" applyAlignment="1">
      <alignment horizontal="center" vertical="top" wrapText="1"/>
    </xf>
    <xf numFmtId="49" fontId="12" fillId="0" borderId="1" xfId="900" applyNumberFormat="1" applyFont="1" applyFill="1" applyBorder="1" applyAlignment="1">
      <alignment horizontal="center" vertical="top" wrapText="1"/>
    </xf>
    <xf numFmtId="49" fontId="12" fillId="2" borderId="1" xfId="900" applyNumberFormat="1" applyFont="1" applyFill="1" applyBorder="1" applyAlignment="1">
      <alignment horizontal="center" vertical="top" wrapText="1"/>
    </xf>
    <xf numFmtId="49" fontId="112" fillId="0" borderId="19" xfId="0" applyNumberFormat="1" applyFont="1" applyFill="1" applyBorder="1" applyAlignment="1">
      <alignment horizontal="center" vertical="top" wrapText="1"/>
    </xf>
    <xf numFmtId="49" fontId="20" fillId="35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center" wrapText="1"/>
    </xf>
    <xf numFmtId="49" fontId="113" fillId="2" borderId="1" xfId="477" applyNumberFormat="1" applyFont="1" applyFill="1" applyBorder="1" applyAlignment="1">
      <alignment horizontal="center" vertical="top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49" fontId="13" fillId="35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71" fillId="0" borderId="1" xfId="0" applyNumberFormat="1" applyFont="1" applyBorder="1" applyAlignment="1">
      <alignment horizontal="center" vertical="top" wrapText="1"/>
    </xf>
    <xf numFmtId="49" fontId="71" fillId="0" borderId="1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64" fillId="2" borderId="2" xfId="0" applyNumberFormat="1" applyFont="1" applyFill="1" applyBorder="1" applyAlignment="1">
      <alignment horizontal="center" vertical="center" wrapText="1"/>
    </xf>
    <xf numFmtId="49" fontId="114" fillId="0" borderId="0" xfId="0" applyNumberFormat="1" applyFont="1"/>
    <xf numFmtId="0" fontId="7" fillId="0" borderId="1" xfId="0" applyNumberFormat="1" applyFont="1" applyBorder="1" applyAlignment="1" applyProtection="1">
      <alignment horizontal="center" vertical="center" wrapText="1"/>
    </xf>
    <xf numFmtId="0" fontId="107" fillId="0" borderId="1" xfId="0" applyNumberFormat="1" applyFont="1" applyFill="1" applyBorder="1" applyAlignment="1">
      <alignment horizontal="center" vertical="center" wrapText="1"/>
    </xf>
    <xf numFmtId="49" fontId="72" fillId="0" borderId="0" xfId="0" applyNumberFormat="1" applyFont="1"/>
    <xf numFmtId="49" fontId="72" fillId="0" borderId="0" xfId="0" applyNumberFormat="1" applyFont="1" applyFill="1"/>
    <xf numFmtId="0" fontId="64" fillId="26" borderId="1" xfId="0" applyNumberFormat="1" applyFont="1" applyFill="1" applyBorder="1" applyAlignment="1">
      <alignment horizontal="center" vertical="center" wrapText="1"/>
    </xf>
    <xf numFmtId="0" fontId="20" fillId="26" borderId="1" xfId="0" applyNumberFormat="1" applyFont="1" applyFill="1" applyBorder="1" applyAlignment="1">
      <alignment horizontal="center" vertical="center" wrapText="1"/>
    </xf>
    <xf numFmtId="0" fontId="64" fillId="35" borderId="1" xfId="1" applyNumberFormat="1" applyFont="1" applyFill="1" applyBorder="1" applyAlignment="1" applyProtection="1">
      <alignment horizontal="center" vertical="center" wrapText="1"/>
    </xf>
    <xf numFmtId="0" fontId="20" fillId="35" borderId="1" xfId="900" applyNumberFormat="1" applyFont="1" applyFill="1" applyBorder="1" applyAlignment="1" applyProtection="1">
      <alignment horizontal="center" vertical="center" wrapText="1"/>
    </xf>
    <xf numFmtId="2" fontId="12" fillId="0" borderId="3" xfId="477" applyNumberFormat="1" applyFont="1" applyFill="1" applyBorder="1" applyAlignment="1">
      <alignment horizontal="center" vertical="center" wrapText="1"/>
    </xf>
    <xf numFmtId="2" fontId="12" fillId="0" borderId="1" xfId="2" applyNumberFormat="1" applyFont="1" applyBorder="1" applyAlignment="1">
      <alignment horizontal="center" vertical="center" wrapText="1"/>
    </xf>
    <xf numFmtId="0" fontId="20" fillId="0" borderId="1" xfId="477" applyNumberFormat="1" applyFont="1" applyFill="1" applyBorder="1" applyAlignment="1">
      <alignment horizontal="center" vertical="center" wrapText="1"/>
    </xf>
    <xf numFmtId="2" fontId="12" fillId="0" borderId="1" xfId="477" applyNumberFormat="1" applyFont="1" applyFill="1" applyBorder="1" applyAlignment="1">
      <alignment horizontal="center" vertical="center"/>
    </xf>
    <xf numFmtId="2" fontId="12" fillId="0" borderId="1" xfId="477" applyNumberFormat="1" applyFont="1" applyFill="1" applyBorder="1" applyAlignment="1">
      <alignment horizontal="center" vertical="top"/>
    </xf>
    <xf numFmtId="2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84" fillId="0" borderId="4" xfId="0" applyNumberFormat="1" applyFont="1" applyBorder="1" applyAlignment="1">
      <alignment horizontal="center" vertical="center" wrapText="1"/>
    </xf>
    <xf numFmtId="2" fontId="71" fillId="0" borderId="4" xfId="0" applyNumberFormat="1" applyFont="1" applyBorder="1" applyAlignment="1">
      <alignment horizontal="center" vertical="center" wrapText="1"/>
    </xf>
    <xf numFmtId="0" fontId="86" fillId="0" borderId="17" xfId="0" applyNumberFormat="1" applyFont="1" applyFill="1" applyBorder="1" applyAlignment="1">
      <alignment horizontal="center" vertical="center" wrapText="1"/>
    </xf>
    <xf numFmtId="0" fontId="86" fillId="29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/>
    <xf numFmtId="0" fontId="13" fillId="0" borderId="0" xfId="0" applyNumberFormat="1" applyFont="1"/>
    <xf numFmtId="2" fontId="13" fillId="0" borderId="0" xfId="0" applyNumberFormat="1" applyFont="1"/>
    <xf numFmtId="0" fontId="6" fillId="0" borderId="0" xfId="0" applyNumberFormat="1" applyFont="1" applyFill="1"/>
    <xf numFmtId="0" fontId="64" fillId="0" borderId="1" xfId="0" applyNumberFormat="1" applyFont="1" applyBorder="1" applyAlignment="1">
      <alignment horizontal="center" vertical="center" wrapText="1"/>
    </xf>
    <xf numFmtId="0" fontId="70" fillId="0" borderId="1" xfId="0" applyNumberFormat="1" applyFont="1" applyBorder="1" applyAlignment="1">
      <alignment horizontal="center" vertical="center" wrapText="1"/>
    </xf>
    <xf numFmtId="0" fontId="93" fillId="0" borderId="0" xfId="0" applyFont="1" applyFill="1" applyAlignment="1">
      <alignment horizontal="center" wrapText="1"/>
    </xf>
    <xf numFmtId="0" fontId="93" fillId="0" borderId="0" xfId="0" applyFont="1" applyFill="1" applyAlignment="1">
      <alignment horizontal="right" vertical="center" wrapText="1"/>
    </xf>
    <xf numFmtId="0" fontId="93" fillId="0" borderId="0" xfId="0" applyFont="1" applyFill="1" applyAlignment="1">
      <alignment horizontal="center" vertical="center" wrapText="1"/>
    </xf>
    <xf numFmtId="49" fontId="111" fillId="0" borderId="0" xfId="0" applyNumberFormat="1" applyFont="1" applyFill="1" applyAlignment="1">
      <alignment vertical="center" wrapText="1"/>
    </xf>
    <xf numFmtId="49" fontId="7" fillId="0" borderId="19" xfId="633" applyNumberFormat="1" applyFont="1" applyFill="1" applyBorder="1" applyAlignment="1">
      <alignment horizontal="center" vertical="top" wrapText="1"/>
    </xf>
    <xf numFmtId="49" fontId="64" fillId="0" borderId="1" xfId="654" applyNumberFormat="1" applyFont="1" applyFill="1" applyBorder="1" applyAlignment="1">
      <alignment horizontal="center" vertical="center" wrapText="1"/>
    </xf>
    <xf numFmtId="0" fontId="12" fillId="0" borderId="1" xfId="654" applyNumberFormat="1" applyFont="1" applyFill="1" applyBorder="1" applyAlignment="1">
      <alignment horizontal="center" vertical="center" wrapText="1"/>
    </xf>
    <xf numFmtId="0" fontId="20" fillId="0" borderId="1" xfId="654" applyNumberFormat="1" applyFont="1" applyFill="1" applyBorder="1" applyAlignment="1">
      <alignment horizontal="center" vertical="center" wrapText="1"/>
    </xf>
    <xf numFmtId="49" fontId="7" fillId="0" borderId="1" xfId="654" applyNumberFormat="1" applyFont="1" applyFill="1" applyBorder="1" applyAlignment="1">
      <alignment horizontal="center" vertical="center" wrapText="1"/>
    </xf>
    <xf numFmtId="49" fontId="64" fillId="32" borderId="1" xfId="0" applyNumberFormat="1" applyFont="1" applyFill="1" applyBorder="1" applyAlignment="1">
      <alignment horizontal="center" vertical="center" wrapText="1"/>
    </xf>
    <xf numFmtId="0" fontId="20" fillId="32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17" fillId="0" borderId="0" xfId="0" applyNumberFormat="1" applyFont="1" applyFill="1" applyAlignment="1">
      <alignment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0" fontId="94" fillId="0" borderId="1" xfId="0" applyNumberFormat="1" applyFont="1" applyFill="1" applyBorder="1" applyAlignment="1">
      <alignment horizontal="center" vertical="center" wrapText="1"/>
    </xf>
    <xf numFmtId="49" fontId="7" fillId="35" borderId="1" xfId="0" applyNumberFormat="1" applyFont="1" applyFill="1" applyBorder="1" applyAlignment="1">
      <alignment horizontal="center" vertical="center" wrapText="1"/>
    </xf>
    <xf numFmtId="0" fontId="20" fillId="35" borderId="1" xfId="0" applyNumberFormat="1" applyFont="1" applyFill="1" applyBorder="1" applyAlignment="1">
      <alignment horizontal="center" vertical="center" wrapText="1"/>
    </xf>
    <xf numFmtId="49" fontId="64" fillId="0" borderId="1" xfId="909" applyNumberFormat="1" applyFont="1" applyFill="1" applyBorder="1" applyAlignment="1">
      <alignment horizontal="center" vertical="center" wrapText="1"/>
    </xf>
    <xf numFmtId="0" fontId="20" fillId="0" borderId="1" xfId="909" applyNumberFormat="1" applyFont="1" applyFill="1" applyBorder="1" applyAlignment="1">
      <alignment horizontal="center" vertical="center" wrapText="1"/>
    </xf>
    <xf numFmtId="2" fontId="118" fillId="0" borderId="1" xfId="0" applyNumberFormat="1" applyFont="1" applyFill="1" applyBorder="1" applyAlignment="1">
      <alignment horizontal="center" vertical="center" wrapText="1"/>
    </xf>
    <xf numFmtId="49" fontId="7" fillId="0" borderId="1" xfId="909" applyNumberFormat="1" applyFont="1" applyFill="1" applyBorder="1" applyAlignment="1">
      <alignment horizontal="center" vertical="center" wrapText="1"/>
    </xf>
    <xf numFmtId="2" fontId="11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0" fillId="0" borderId="1" xfId="909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49" fontId="20" fillId="0" borderId="1" xfId="909" applyNumberFormat="1" applyFont="1" applyFill="1" applyBorder="1" applyAlignment="1">
      <alignment horizontal="left" vertical="center" wrapText="1"/>
    </xf>
    <xf numFmtId="0" fontId="64" fillId="0" borderId="1" xfId="90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49" fontId="20" fillId="0" borderId="1" xfId="908" applyNumberFormat="1" applyFont="1" applyFill="1" applyBorder="1" applyAlignment="1">
      <alignment horizontal="left" vertical="center" wrapText="1"/>
    </xf>
    <xf numFmtId="49" fontId="20" fillId="0" borderId="1" xfId="681" applyNumberFormat="1" applyFont="1" applyFill="1" applyBorder="1" applyAlignment="1">
      <alignment horizontal="left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2" fontId="20" fillId="0" borderId="19" xfId="900" applyNumberFormat="1" applyFont="1" applyFill="1" applyBorder="1" applyAlignment="1">
      <alignment horizontal="center" vertical="center" wrapText="1"/>
    </xf>
    <xf numFmtId="49" fontId="11" fillId="0" borderId="1" xfId="633" applyNumberFormat="1" applyFont="1" applyFill="1" applyBorder="1" applyAlignment="1">
      <alignment horizontal="center" vertical="center" wrapText="1"/>
    </xf>
    <xf numFmtId="2" fontId="12" fillId="0" borderId="1" xfId="504" applyNumberFormat="1" applyFont="1" applyFill="1" applyBorder="1" applyAlignment="1">
      <alignment horizontal="center" vertical="center" wrapText="1"/>
    </xf>
    <xf numFmtId="49" fontId="64" fillId="0" borderId="1" xfId="681" applyNumberFormat="1" applyFont="1" applyFill="1" applyBorder="1" applyAlignment="1">
      <alignment horizontal="center" vertical="center" wrapText="1"/>
    </xf>
    <xf numFmtId="0" fontId="7" fillId="0" borderId="1" xfId="633" applyNumberFormat="1" applyFont="1" applyFill="1" applyBorder="1" applyAlignment="1">
      <alignment horizontal="center" vertical="center" wrapText="1"/>
    </xf>
    <xf numFmtId="2" fontId="20" fillId="0" borderId="1" xfId="681" applyNumberFormat="1" applyFont="1" applyFill="1" applyBorder="1" applyAlignment="1">
      <alignment horizontal="center" vertical="center" wrapText="1"/>
    </xf>
    <xf numFmtId="49" fontId="82" fillId="0" borderId="1" xfId="0" applyNumberFormat="1" applyFont="1" applyFill="1" applyBorder="1" applyAlignment="1">
      <alignment horizontal="center" vertical="center" wrapText="1"/>
    </xf>
    <xf numFmtId="0" fontId="7" fillId="3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 applyProtection="1">
      <alignment horizontal="center" vertical="center" wrapText="1"/>
    </xf>
    <xf numFmtId="49" fontId="7" fillId="0" borderId="1" xfId="1" quotePrefix="1" applyNumberFormat="1" applyFont="1" applyFill="1" applyBorder="1" applyAlignment="1" applyProtection="1">
      <alignment horizontal="center" vertical="center" wrapText="1"/>
    </xf>
    <xf numFmtId="0" fontId="64" fillId="0" borderId="1" xfId="681" applyNumberFormat="1" applyFont="1" applyFill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49" fontId="121" fillId="0" borderId="1" xfId="0" applyNumberFormat="1" applyFont="1" applyBorder="1" applyAlignment="1">
      <alignment horizontal="left" vertical="center" wrapText="1"/>
    </xf>
    <xf numFmtId="0" fontId="64" fillId="0" borderId="1" xfId="633" applyNumberFormat="1" applyFont="1" applyFill="1" applyBorder="1" applyAlignment="1">
      <alignment horizontal="center" vertical="center" wrapText="1"/>
    </xf>
    <xf numFmtId="2" fontId="106" fillId="0" borderId="0" xfId="0" applyNumberFormat="1" applyFont="1" applyAlignment="1">
      <alignment wrapText="1"/>
    </xf>
    <xf numFmtId="49" fontId="84" fillId="0" borderId="1" xfId="0" applyNumberFormat="1" applyFont="1" applyBorder="1" applyAlignment="1">
      <alignment horizontal="center" vertical="center" wrapText="1"/>
    </xf>
    <xf numFmtId="49" fontId="84" fillId="0" borderId="19" xfId="0" applyNumberFormat="1" applyFont="1" applyFill="1" applyBorder="1" applyAlignment="1">
      <alignment horizontal="center" vertical="center" wrapText="1"/>
    </xf>
    <xf numFmtId="49" fontId="85" fillId="0" borderId="17" xfId="0" applyNumberFormat="1" applyFont="1" applyFill="1" applyBorder="1" applyAlignment="1">
      <alignment horizontal="center" vertical="center" wrapText="1"/>
    </xf>
    <xf numFmtId="49" fontId="84" fillId="0" borderId="17" xfId="0" applyNumberFormat="1" applyFont="1" applyFill="1" applyBorder="1" applyAlignment="1">
      <alignment horizontal="center" vertical="center" wrapText="1"/>
    </xf>
    <xf numFmtId="0" fontId="84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83" fillId="2" borderId="1" xfId="0" applyFont="1" applyFill="1" applyBorder="1" applyAlignment="1">
      <alignment horizontal="center" vertical="center" wrapText="1"/>
    </xf>
    <xf numFmtId="0" fontId="13" fillId="0" borderId="1" xfId="90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124" fillId="0" borderId="1" xfId="0" applyNumberFormat="1" applyFont="1" applyBorder="1" applyAlignment="1">
      <alignment horizontal="center" vertical="center" wrapText="1"/>
    </xf>
    <xf numFmtId="2" fontId="124" fillId="0" borderId="1" xfId="0" applyNumberFormat="1" applyFont="1" applyFill="1" applyBorder="1" applyAlignment="1">
      <alignment horizontal="center" vertical="center" wrapText="1"/>
    </xf>
    <xf numFmtId="0" fontId="124" fillId="0" borderId="19" xfId="0" applyNumberFormat="1" applyFont="1" applyBorder="1" applyAlignment="1">
      <alignment horizontal="center" vertical="center" wrapText="1"/>
    </xf>
    <xf numFmtId="0" fontId="124" fillId="0" borderId="1" xfId="0" applyNumberFormat="1" applyFont="1" applyBorder="1" applyAlignment="1">
      <alignment horizontal="center" vertical="center" wrapText="1"/>
    </xf>
    <xf numFmtId="0" fontId="124" fillId="0" borderId="1" xfId="0" applyNumberFormat="1" applyFont="1" applyFill="1" applyBorder="1" applyAlignment="1">
      <alignment horizontal="center" vertical="center" wrapText="1"/>
    </xf>
    <xf numFmtId="49" fontId="12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top" wrapText="1"/>
    </xf>
    <xf numFmtId="49" fontId="72" fillId="0" borderId="1" xfId="0" applyNumberFormat="1" applyFont="1" applyFill="1" applyBorder="1" applyAlignment="1">
      <alignment horizontal="center" vertical="top"/>
    </xf>
    <xf numFmtId="0" fontId="8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64" fillId="0" borderId="1" xfId="900" applyNumberFormat="1" applyFont="1" applyFill="1" applyBorder="1" applyAlignment="1">
      <alignment horizontal="center" vertical="top" wrapText="1"/>
    </xf>
    <xf numFmtId="49" fontId="69" fillId="0" borderId="1" xfId="90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vertical="center" wrapText="1"/>
    </xf>
    <xf numFmtId="49" fontId="7" fillId="0" borderId="1" xfId="899" applyNumberFormat="1" applyFont="1" applyFill="1" applyBorder="1" applyAlignment="1">
      <alignment horizontal="center" vertical="center" wrapText="1"/>
    </xf>
    <xf numFmtId="49" fontId="20" fillId="0" borderId="1" xfId="899" applyNumberFormat="1" applyFont="1" applyFill="1" applyBorder="1" applyAlignment="1">
      <alignment horizontal="center" vertical="center" wrapText="1"/>
    </xf>
    <xf numFmtId="49" fontId="64" fillId="0" borderId="1" xfId="899" applyNumberFormat="1" applyFont="1" applyFill="1" applyBorder="1" applyAlignment="1">
      <alignment horizontal="center" vertical="center" wrapText="1"/>
    </xf>
    <xf numFmtId="0" fontId="12" fillId="0" borderId="1" xfId="899" applyNumberFormat="1" applyFont="1" applyFill="1" applyBorder="1" applyAlignment="1">
      <alignment horizontal="center" vertical="center" wrapText="1"/>
    </xf>
    <xf numFmtId="49" fontId="20" fillId="0" borderId="1" xfId="646" applyNumberFormat="1" applyFont="1" applyFill="1" applyBorder="1" applyAlignment="1">
      <alignment horizontal="left" vertical="center" wrapText="1"/>
    </xf>
    <xf numFmtId="49" fontId="64" fillId="0" borderId="1" xfId="0" applyNumberFormat="1" applyFont="1" applyFill="1" applyBorder="1" applyAlignment="1">
      <alignment vertical="center" wrapText="1"/>
    </xf>
    <xf numFmtId="0" fontId="104" fillId="0" borderId="1" xfId="0" applyFont="1" applyFill="1" applyBorder="1" applyAlignment="1">
      <alignment horizontal="left" vertical="center" wrapText="1"/>
    </xf>
    <xf numFmtId="0" fontId="104" fillId="0" borderId="1" xfId="0" applyFont="1" applyFill="1" applyBorder="1" applyAlignment="1">
      <alignment horizontal="center" vertical="center" wrapText="1"/>
    </xf>
    <xf numFmtId="0" fontId="104" fillId="0" borderId="1" xfId="3" applyFont="1" applyFill="1" applyBorder="1" applyAlignment="1">
      <alignment horizontal="left" vertical="center" wrapText="1"/>
    </xf>
    <xf numFmtId="49" fontId="69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900" applyNumberFormat="1" applyFont="1" applyFill="1" applyBorder="1" applyAlignment="1">
      <alignment vertical="top" wrapText="1"/>
    </xf>
    <xf numFmtId="49" fontId="65" fillId="0" borderId="1" xfId="0" applyNumberFormat="1" applyFont="1" applyFill="1" applyBorder="1" applyAlignment="1">
      <alignment vertical="top" wrapText="1"/>
    </xf>
    <xf numFmtId="49" fontId="67" fillId="0" borderId="1" xfId="900" applyNumberFormat="1" applyFont="1" applyFill="1" applyBorder="1" applyAlignment="1">
      <alignment horizontal="center" vertical="top" wrapText="1"/>
    </xf>
    <xf numFmtId="49" fontId="7" fillId="0" borderId="1" xfId="901" applyNumberFormat="1" applyFont="1" applyFill="1" applyBorder="1" applyAlignment="1">
      <alignment vertical="center" wrapText="1"/>
    </xf>
    <xf numFmtId="0" fontId="7" fillId="0" borderId="19" xfId="630" applyNumberFormat="1" applyFont="1" applyFill="1" applyBorder="1" applyAlignment="1">
      <alignment horizontal="center" vertical="center" wrapText="1"/>
    </xf>
    <xf numFmtId="0" fontId="20" fillId="0" borderId="19" xfId="630" applyNumberFormat="1" applyFont="1" applyFill="1" applyBorder="1" applyAlignment="1">
      <alignment horizontal="center" vertical="center" wrapText="1"/>
    </xf>
    <xf numFmtId="49" fontId="64" fillId="0" borderId="1" xfId="630" applyNumberFormat="1" applyFont="1" applyFill="1" applyBorder="1" applyAlignment="1">
      <alignment vertical="center" wrapText="1"/>
    </xf>
    <xf numFmtId="0" fontId="12" fillId="0" borderId="19" xfId="63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7" fillId="0" borderId="1" xfId="0" applyNumberFormat="1" applyFont="1" applyBorder="1" applyAlignment="1">
      <alignment horizontal="center" vertical="center" wrapText="1"/>
    </xf>
    <xf numFmtId="49" fontId="7" fillId="0" borderId="19" xfId="682" applyNumberFormat="1" applyFont="1" applyFill="1" applyBorder="1" applyAlignment="1">
      <alignment horizontal="center" vertical="center" wrapText="1"/>
    </xf>
    <xf numFmtId="0" fontId="7" fillId="0" borderId="1" xfId="682" applyNumberFormat="1" applyFont="1" applyFill="1" applyBorder="1" applyAlignment="1">
      <alignment horizontal="center" vertical="center" wrapText="1"/>
    </xf>
    <xf numFmtId="0" fontId="12" fillId="0" borderId="1" xfId="682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64" fillId="27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69" fillId="2" borderId="1" xfId="900" applyNumberFormat="1" applyFont="1" applyFill="1" applyBorder="1" applyAlignment="1">
      <alignment horizontal="center" vertical="top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0" fillId="2" borderId="1" xfId="2" applyNumberFormat="1" applyFont="1" applyFill="1" applyBorder="1" applyAlignment="1">
      <alignment horizontal="center" vertical="center" wrapText="1"/>
    </xf>
    <xf numFmtId="2" fontId="12" fillId="26" borderId="1" xfId="0" applyNumberFormat="1" applyFont="1" applyFill="1" applyBorder="1" applyAlignment="1">
      <alignment horizontal="center" vertical="center" wrapText="1"/>
    </xf>
    <xf numFmtId="0" fontId="126" fillId="0" borderId="1" xfId="633" applyNumberFormat="1" applyFont="1" applyFill="1" applyBorder="1" applyAlignment="1">
      <alignment horizontal="center" vertical="center" wrapText="1"/>
    </xf>
    <xf numFmtId="49" fontId="64" fillId="36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2" fontId="12" fillId="0" borderId="2" xfId="902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1" fillId="0" borderId="0" xfId="0" applyNumberFormat="1" applyFont="1" applyFill="1" applyAlignment="1">
      <alignment vertical="center" wrapText="1"/>
    </xf>
    <xf numFmtId="0" fontId="93" fillId="0" borderId="1" xfId="0" applyNumberFormat="1" applyFont="1" applyFill="1" applyBorder="1" applyAlignment="1">
      <alignment horizontal="center" vertical="center" wrapText="1"/>
    </xf>
    <xf numFmtId="0" fontId="20" fillId="35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33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 applyProtection="1">
      <alignment horizontal="left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20" fillId="0" borderId="1" xfId="1" applyNumberFormat="1" applyFont="1" applyFill="1" applyBorder="1" applyAlignment="1" applyProtection="1">
      <alignment vertical="center" wrapText="1"/>
    </xf>
    <xf numFmtId="0" fontId="12" fillId="0" borderId="1" xfId="1" applyNumberFormat="1" applyFont="1" applyFill="1" applyBorder="1" applyAlignment="1" applyProtection="1">
      <alignment vertical="center" wrapText="1"/>
    </xf>
    <xf numFmtId="0" fontId="20" fillId="35" borderId="1" xfId="0" applyNumberFormat="1" applyFont="1" applyFill="1" applyBorder="1" applyAlignment="1" applyProtection="1">
      <alignment vertical="center" wrapText="1"/>
    </xf>
    <xf numFmtId="0" fontId="12" fillId="0" borderId="1" xfId="633" applyNumberFormat="1" applyFont="1" applyFill="1" applyBorder="1" applyAlignment="1">
      <alignment horizontal="left" vertical="center" wrapText="1"/>
    </xf>
    <xf numFmtId="0" fontId="12" fillId="0" borderId="1" xfId="900" applyNumberFormat="1" applyFont="1" applyFill="1" applyBorder="1" applyAlignment="1">
      <alignment horizontal="left" vertical="top" wrapText="1"/>
    </xf>
    <xf numFmtId="0" fontId="12" fillId="0" borderId="1" xfId="3" applyNumberFormat="1" applyFont="1" applyFill="1" applyBorder="1" applyAlignment="1">
      <alignment vertical="top" wrapText="1"/>
    </xf>
    <xf numFmtId="0" fontId="20" fillId="0" borderId="1" xfId="900" applyNumberFormat="1" applyFont="1" applyFill="1" applyBorder="1" applyAlignment="1">
      <alignment horizontal="left" vertical="center" wrapText="1"/>
    </xf>
    <xf numFmtId="0" fontId="12" fillId="0" borderId="1" xfId="90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70" fillId="0" borderId="1" xfId="0" applyNumberFormat="1" applyFont="1" applyFill="1" applyBorder="1" applyAlignment="1">
      <alignment vertical="center" wrapText="1"/>
    </xf>
    <xf numFmtId="0" fontId="20" fillId="0" borderId="1" xfId="633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12" fillId="0" borderId="1" xfId="477" applyNumberFormat="1" applyFont="1" applyFill="1" applyBorder="1" applyAlignment="1">
      <alignment horizontal="left" vertical="top" wrapText="1"/>
    </xf>
    <xf numFmtId="0" fontId="12" fillId="0" borderId="1" xfId="681" applyNumberFormat="1" applyFont="1" applyFill="1" applyBorder="1" applyAlignment="1">
      <alignment vertical="top" wrapText="1"/>
    </xf>
    <xf numFmtId="0" fontId="12" fillId="0" borderId="1" xfId="477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70" fillId="0" borderId="1" xfId="0" applyNumberFormat="1" applyFont="1" applyBorder="1" applyAlignment="1">
      <alignment vertical="center" wrapText="1"/>
    </xf>
    <xf numFmtId="0" fontId="70" fillId="0" borderId="1" xfId="0" applyNumberFormat="1" applyFont="1" applyBorder="1" applyAlignment="1">
      <alignment horizontal="left" vertical="center" wrapText="1"/>
    </xf>
    <xf numFmtId="0" fontId="20" fillId="0" borderId="1" xfId="477" applyNumberFormat="1" applyFont="1" applyFill="1" applyBorder="1" applyAlignment="1">
      <alignment vertical="center" wrapText="1"/>
    </xf>
    <xf numFmtId="0" fontId="12" fillId="0" borderId="1" xfId="477" applyNumberFormat="1" applyFont="1" applyFill="1" applyBorder="1" applyAlignment="1">
      <alignment horizontal="left" vertical="center" wrapText="1"/>
    </xf>
    <xf numFmtId="0" fontId="14" fillId="0" borderId="2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vertical="center" wrapText="1"/>
    </xf>
    <xf numFmtId="0" fontId="12" fillId="0" borderId="1" xfId="630" applyNumberFormat="1" applyFont="1" applyFill="1" applyBorder="1" applyAlignment="1">
      <alignment horizontal="left" vertical="center" wrapText="1"/>
    </xf>
    <xf numFmtId="0" fontId="12" fillId="0" borderId="1" xfId="681" applyNumberFormat="1" applyFont="1" applyFill="1" applyBorder="1" applyAlignment="1">
      <alignment horizontal="left" vertical="center" wrapText="1"/>
    </xf>
    <xf numFmtId="0" fontId="13" fillId="0" borderId="19" xfId="0" applyNumberFormat="1" applyFont="1" applyBorder="1" applyAlignment="1">
      <alignment vertical="center" wrapText="1"/>
    </xf>
    <xf numFmtId="0" fontId="12" fillId="0" borderId="1" xfId="677" applyNumberFormat="1" applyFont="1" applyFill="1" applyBorder="1" applyAlignment="1">
      <alignment horizontal="left" vertical="center" wrapText="1"/>
    </xf>
    <xf numFmtId="0" fontId="12" fillId="0" borderId="2" xfId="677" applyNumberFormat="1" applyFont="1" applyFill="1" applyBorder="1" applyAlignment="1">
      <alignment horizontal="left" vertical="center" wrapText="1"/>
    </xf>
    <xf numFmtId="0" fontId="20" fillId="0" borderId="1" xfId="630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vertical="center" wrapText="1"/>
    </xf>
    <xf numFmtId="0" fontId="12" fillId="0" borderId="1" xfId="630" applyNumberFormat="1" applyFont="1" applyFill="1" applyBorder="1" applyAlignment="1">
      <alignment vertical="center" wrapText="1"/>
    </xf>
    <xf numFmtId="0" fontId="20" fillId="27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vertical="center" wrapText="1"/>
    </xf>
    <xf numFmtId="0" fontId="12" fillId="27" borderId="1" xfId="0" applyNumberFormat="1" applyFont="1" applyFill="1" applyBorder="1" applyAlignment="1">
      <alignment horizontal="left" vertical="center" wrapText="1"/>
    </xf>
    <xf numFmtId="0" fontId="70" fillId="0" borderId="1" xfId="2" applyNumberFormat="1" applyFont="1" applyBorder="1" applyAlignment="1">
      <alignment vertical="center" wrapText="1"/>
    </xf>
    <xf numFmtId="0" fontId="12" fillId="29" borderId="2" xfId="0" applyNumberFormat="1" applyFont="1" applyFill="1" applyBorder="1" applyAlignment="1">
      <alignment vertical="center" wrapText="1"/>
    </xf>
    <xf numFmtId="0" fontId="12" fillId="29" borderId="19" xfId="0" applyNumberFormat="1" applyFont="1" applyFill="1" applyBorder="1" applyAlignment="1">
      <alignment vertical="center" wrapText="1"/>
    </xf>
    <xf numFmtId="0" fontId="20" fillId="29" borderId="1" xfId="0" applyNumberFormat="1" applyFont="1" applyFill="1" applyBorder="1" applyAlignment="1">
      <alignment horizontal="left" vertical="center" wrapText="1"/>
    </xf>
    <xf numFmtId="0" fontId="109" fillId="27" borderId="1" xfId="0" applyNumberFormat="1" applyFont="1" applyFill="1" applyBorder="1" applyAlignment="1">
      <alignment horizontal="left" vertical="center" wrapText="1"/>
    </xf>
    <xf numFmtId="0" fontId="12" fillId="27" borderId="2" xfId="0" applyNumberFormat="1" applyFont="1" applyFill="1" applyBorder="1" applyAlignment="1">
      <alignment vertical="center" wrapText="1"/>
    </xf>
    <xf numFmtId="0" fontId="12" fillId="27" borderId="2" xfId="0" applyNumberFormat="1" applyFont="1" applyFill="1" applyBorder="1" applyAlignment="1">
      <alignment horizontal="left" vertical="center" wrapText="1"/>
    </xf>
    <xf numFmtId="0" fontId="20" fillId="0" borderId="1" xfId="633" applyNumberFormat="1" applyFont="1" applyBorder="1" applyAlignment="1">
      <alignment horizontal="left" vertical="center" wrapText="1"/>
    </xf>
    <xf numFmtId="0" fontId="12" fillId="0" borderId="19" xfId="633" applyNumberFormat="1" applyFont="1" applyBorder="1" applyAlignment="1">
      <alignment horizontal="left" vertical="center" wrapText="1"/>
    </xf>
    <xf numFmtId="0" fontId="12" fillId="0" borderId="1" xfId="633" applyNumberFormat="1" applyFont="1" applyBorder="1" applyAlignment="1">
      <alignment horizontal="left" vertical="center" wrapText="1"/>
    </xf>
    <xf numFmtId="0" fontId="110" fillId="0" borderId="1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left" vertical="center" wrapText="1"/>
    </xf>
    <xf numFmtId="0" fontId="12" fillId="0" borderId="19" xfId="900" applyNumberFormat="1" applyFont="1" applyFill="1" applyBorder="1" applyAlignment="1">
      <alignment horizontal="left" vertical="top" wrapText="1"/>
    </xf>
    <xf numFmtId="0" fontId="20" fillId="2" borderId="1" xfId="90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2" fillId="0" borderId="1" xfId="682" applyNumberFormat="1" applyFont="1" applyFill="1" applyBorder="1" applyAlignment="1">
      <alignment horizontal="left" vertical="center" wrapText="1"/>
    </xf>
    <xf numFmtId="0" fontId="12" fillId="29" borderId="18" xfId="0" applyNumberFormat="1" applyFont="1" applyFill="1" applyBorder="1" applyAlignment="1">
      <alignment vertical="center" wrapText="1"/>
    </xf>
    <xf numFmtId="0" fontId="20" fillId="0" borderId="1" xfId="2" applyNumberFormat="1" applyFont="1" applyFill="1" applyBorder="1" applyAlignment="1">
      <alignment horizontal="left" vertical="center" wrapText="1"/>
    </xf>
    <xf numFmtId="0" fontId="20" fillId="0" borderId="2" xfId="901" applyNumberFormat="1" applyFont="1" applyFill="1" applyBorder="1" applyAlignment="1">
      <alignment vertical="center" wrapText="1"/>
    </xf>
    <xf numFmtId="0" fontId="20" fillId="0" borderId="1" xfId="901" applyNumberFormat="1" applyFont="1" applyFill="1" applyBorder="1" applyAlignment="1">
      <alignment horizontal="left" vertical="center" wrapText="1"/>
    </xf>
    <xf numFmtId="0" fontId="12" fillId="0" borderId="1" xfId="901" applyNumberFormat="1" applyFont="1" applyFill="1" applyBorder="1" applyAlignment="1">
      <alignment horizontal="left" vertical="center" wrapText="1"/>
    </xf>
    <xf numFmtId="0" fontId="20" fillId="32" borderId="1" xfId="0" applyNumberFormat="1" applyFont="1" applyFill="1" applyBorder="1" applyAlignment="1">
      <alignment horizontal="left" vertical="center" wrapText="1"/>
    </xf>
    <xf numFmtId="0" fontId="20" fillId="32" borderId="1" xfId="2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right" vertical="center" wrapText="1"/>
    </xf>
    <xf numFmtId="0" fontId="71" fillId="0" borderId="4" xfId="0" applyNumberFormat="1" applyFont="1" applyBorder="1" applyAlignment="1">
      <alignment horizontal="center" vertical="center" wrapText="1"/>
    </xf>
    <xf numFmtId="0" fontId="71" fillId="0" borderId="17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0" fontId="7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Fill="1"/>
    <xf numFmtId="0" fontId="109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/>
    <xf numFmtId="49" fontId="7" fillId="0" borderId="18" xfId="633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2" fontId="12" fillId="0" borderId="19" xfId="902" applyNumberFormat="1" applyFont="1" applyFill="1" applyBorder="1" applyAlignment="1">
      <alignment horizontal="center" vertical="center" wrapText="1"/>
    </xf>
    <xf numFmtId="49" fontId="12" fillId="0" borderId="1" xfId="681" applyNumberFormat="1" applyFont="1" applyFill="1" applyBorder="1" applyAlignment="1">
      <alignment horizontal="left" vertical="center" wrapText="1"/>
    </xf>
    <xf numFmtId="2" fontId="20" fillId="29" borderId="17" xfId="0" applyNumberFormat="1" applyFont="1" applyFill="1" applyBorder="1" applyAlignment="1">
      <alignment horizontal="center" vertical="center" wrapText="1"/>
    </xf>
    <xf numFmtId="2" fontId="20" fillId="29" borderId="1" xfId="0" applyNumberFormat="1" applyFont="1" applyFill="1" applyBorder="1" applyAlignment="1">
      <alignment horizontal="center" vertical="center" wrapText="1"/>
    </xf>
    <xf numFmtId="49" fontId="64" fillId="37" borderId="1" xfId="0" applyNumberFormat="1" applyFont="1" applyFill="1" applyBorder="1" applyAlignment="1">
      <alignment horizontal="center" vertical="center" wrapText="1"/>
    </xf>
    <xf numFmtId="49" fontId="20" fillId="37" borderId="1" xfId="0" applyNumberFormat="1" applyFont="1" applyFill="1" applyBorder="1" applyAlignment="1">
      <alignment horizontal="center" vertical="center" wrapText="1"/>
    </xf>
    <xf numFmtId="0" fontId="20" fillId="37" borderId="1" xfId="0" applyNumberFormat="1" applyFont="1" applyFill="1" applyBorder="1" applyAlignment="1">
      <alignment horizontal="center" vertical="center" wrapText="1"/>
    </xf>
    <xf numFmtId="2" fontId="20" fillId="37" borderId="19" xfId="0" applyNumberFormat="1" applyFont="1" applyFill="1" applyBorder="1" applyAlignment="1">
      <alignment horizontal="center" vertical="center" wrapText="1"/>
    </xf>
    <xf numFmtId="2" fontId="14" fillId="37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8" xfId="900" applyNumberFormat="1" applyFont="1" applyFill="1" applyBorder="1" applyAlignment="1">
      <alignment horizontal="center" vertical="center" wrapText="1"/>
    </xf>
    <xf numFmtId="0" fontId="70" fillId="0" borderId="1" xfId="633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20" fillId="26" borderId="1" xfId="0" applyNumberFormat="1" applyFont="1" applyFill="1" applyBorder="1" applyAlignment="1">
      <alignment horizontal="left" vertical="center" wrapText="1"/>
    </xf>
    <xf numFmtId="49" fontId="64" fillId="26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wrapText="1"/>
    </xf>
    <xf numFmtId="49" fontId="12" fillId="0" borderId="19" xfId="0" applyNumberFormat="1" applyFont="1" applyBorder="1" applyAlignment="1">
      <alignment horizontal="left" vertical="center" wrapText="1"/>
    </xf>
    <xf numFmtId="2" fontId="20" fillId="0" borderId="1" xfId="633" applyNumberFormat="1" applyFont="1" applyFill="1" applyBorder="1" applyAlignment="1">
      <alignment horizontal="center" vertical="center" wrapText="1"/>
    </xf>
    <xf numFmtId="2" fontId="12" fillId="0" borderId="1" xfId="633" applyNumberFormat="1" applyFont="1" applyFill="1" applyBorder="1" applyAlignment="1">
      <alignment horizontal="center" vertical="center" wrapText="1"/>
    </xf>
    <xf numFmtId="2" fontId="12" fillId="0" borderId="1" xfId="682" applyNumberFormat="1" applyFont="1" applyFill="1" applyBorder="1" applyAlignment="1">
      <alignment horizontal="center" vertical="center" wrapText="1"/>
    </xf>
    <xf numFmtId="49" fontId="128" fillId="0" borderId="2" xfId="0" applyNumberFormat="1" applyFont="1" applyFill="1" applyBorder="1" applyAlignment="1">
      <alignment horizontal="center" vertical="top" wrapText="1"/>
    </xf>
    <xf numFmtId="49" fontId="20" fillId="0" borderId="2" xfId="1" applyNumberFormat="1" applyFont="1" applyFill="1" applyBorder="1" applyAlignment="1" applyProtection="1">
      <alignment horizontal="left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03" fillId="0" borderId="1" xfId="900" applyNumberFormat="1" applyFont="1" applyFill="1" applyBorder="1" applyAlignment="1">
      <alignment horizontal="center" vertical="center" wrapText="1"/>
    </xf>
    <xf numFmtId="0" fontId="107" fillId="0" borderId="1" xfId="900" applyNumberFormat="1" applyFont="1" applyFill="1" applyBorder="1" applyAlignment="1">
      <alignment horizontal="center" vertical="center" wrapText="1"/>
    </xf>
    <xf numFmtId="0" fontId="107" fillId="0" borderId="19" xfId="63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33" borderId="1" xfId="0" applyNumberFormat="1" applyFont="1" applyFill="1" applyBorder="1" applyAlignment="1">
      <alignment horizontal="left" vertical="center" wrapText="1"/>
    </xf>
    <xf numFmtId="49" fontId="64" fillId="33" borderId="4" xfId="0" applyNumberFormat="1" applyFont="1" applyFill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/>
    </xf>
    <xf numFmtId="49" fontId="7" fillId="27" borderId="2" xfId="0" applyNumberFormat="1" applyFont="1" applyFill="1" applyBorder="1" applyAlignment="1">
      <alignment horizontal="center" vertical="center" wrapText="1"/>
    </xf>
    <xf numFmtId="0" fontId="20" fillId="29" borderId="2" xfId="0" applyNumberFormat="1" applyFont="1" applyFill="1" applyBorder="1" applyAlignment="1">
      <alignment horizontal="left" vertical="center" wrapText="1"/>
    </xf>
    <xf numFmtId="0" fontId="12" fillId="29" borderId="2" xfId="0" applyNumberFormat="1" applyFont="1" applyFill="1" applyBorder="1" applyAlignment="1">
      <alignment horizontal="left" vertical="center" wrapText="1"/>
    </xf>
    <xf numFmtId="0" fontId="12" fillId="29" borderId="18" xfId="0" applyNumberFormat="1" applyFont="1" applyFill="1" applyBorder="1" applyAlignment="1">
      <alignment horizontal="left" vertical="center" wrapText="1"/>
    </xf>
    <xf numFmtId="49" fontId="7" fillId="29" borderId="2" xfId="0" applyNumberFormat="1" applyFont="1" applyFill="1" applyBorder="1" applyAlignment="1">
      <alignment horizontal="center" vertical="center" wrapText="1"/>
    </xf>
    <xf numFmtId="0" fontId="7" fillId="29" borderId="2" xfId="0" applyNumberFormat="1" applyFont="1" applyFill="1" applyBorder="1" applyAlignment="1">
      <alignment horizontal="center" vertical="center" wrapText="1"/>
    </xf>
    <xf numFmtId="0" fontId="12" fillId="29" borderId="1" xfId="0" applyNumberFormat="1" applyFont="1" applyFill="1" applyBorder="1" applyAlignment="1">
      <alignment horizontal="left" vertical="center" wrapText="1"/>
    </xf>
    <xf numFmtId="2" fontId="12" fillId="32" borderId="1" xfId="0" applyNumberFormat="1" applyFont="1" applyFill="1" applyBorder="1" applyAlignment="1">
      <alignment horizontal="center" vertical="center" wrapText="1"/>
    </xf>
    <xf numFmtId="4" fontId="104" fillId="3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9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9" xfId="633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2" xfId="2" applyNumberFormat="1" applyFont="1" applyFill="1" applyBorder="1" applyAlignment="1">
      <alignment horizontal="left" vertical="center" wrapText="1"/>
    </xf>
    <xf numFmtId="0" fontId="20" fillId="0" borderId="19" xfId="2" applyNumberFormat="1" applyFont="1" applyFill="1" applyBorder="1" applyAlignment="1">
      <alignment horizontal="center" vertical="center" wrapText="1"/>
    </xf>
    <xf numFmtId="49" fontId="64" fillId="0" borderId="1" xfId="2" applyNumberFormat="1" applyFont="1" applyBorder="1" applyAlignment="1">
      <alignment horizontal="center" vertical="center" wrapText="1"/>
    </xf>
    <xf numFmtId="49" fontId="12" fillId="33" borderId="1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70" fillId="0" borderId="1" xfId="2" applyNumberFormat="1" applyFont="1" applyBorder="1" applyAlignment="1">
      <alignment vertical="center" wrapText="1"/>
    </xf>
    <xf numFmtId="0" fontId="70" fillId="0" borderId="1" xfId="2" applyFont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49" fontId="12" fillId="0" borderId="19" xfId="633" applyNumberFormat="1" applyFont="1" applyFill="1" applyBorder="1" applyAlignment="1">
      <alignment horizontal="left" vertical="center" wrapText="1"/>
    </xf>
    <xf numFmtId="49" fontId="7" fillId="0" borderId="1" xfId="682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4" fillId="0" borderId="19" xfId="633" applyNumberFormat="1" applyFont="1" applyFill="1" applyBorder="1" applyAlignment="1">
      <alignment horizontal="center" vertical="center" wrapText="1"/>
    </xf>
    <xf numFmtId="2" fontId="122" fillId="0" borderId="0" xfId="0" applyNumberFormat="1" applyFont="1" applyAlignment="1">
      <alignment vertical="center" wrapText="1"/>
    </xf>
    <xf numFmtId="0" fontId="15" fillId="0" borderId="0" xfId="0" applyFont="1" applyFill="1" applyAlignment="1">
      <alignment horizontal="center" wrapText="1"/>
    </xf>
    <xf numFmtId="49" fontId="131" fillId="0" borderId="1" xfId="0" applyNumberFormat="1" applyFont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vertical="center" wrapText="1"/>
    </xf>
    <xf numFmtId="49" fontId="70" fillId="0" borderId="19" xfId="0" applyNumberFormat="1" applyFont="1" applyFill="1" applyBorder="1" applyAlignment="1">
      <alignment vertical="center" wrapText="1"/>
    </xf>
    <xf numFmtId="0" fontId="70" fillId="0" borderId="1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4" fillId="0" borderId="19" xfId="0" applyFont="1" applyBorder="1" applyAlignment="1">
      <alignment horizontal="left" vertical="center" wrapText="1"/>
    </xf>
    <xf numFmtId="0" fontId="104" fillId="0" borderId="19" xfId="0" applyFont="1" applyBorder="1" applyAlignment="1">
      <alignment horizontal="center" vertical="center" wrapText="1"/>
    </xf>
    <xf numFmtId="4" fontId="104" fillId="0" borderId="19" xfId="0" applyNumberFormat="1" applyFont="1" applyBorder="1" applyAlignment="1">
      <alignment horizontal="center" vertical="center" wrapText="1"/>
    </xf>
    <xf numFmtId="0" fontId="104" fillId="0" borderId="1" xfId="0" applyFont="1" applyBorder="1" applyAlignment="1">
      <alignment horizontal="left" vertical="center" wrapText="1"/>
    </xf>
    <xf numFmtId="0" fontId="104" fillId="27" borderId="1" xfId="3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vertical="top" wrapText="1"/>
    </xf>
    <xf numFmtId="2" fontId="13" fillId="29" borderId="1" xfId="0" applyNumberFormat="1" applyFont="1" applyFill="1" applyBorder="1" applyAlignment="1">
      <alignment horizontal="center" vertical="center" wrapText="1"/>
    </xf>
    <xf numFmtId="49" fontId="64" fillId="29" borderId="1" xfId="2" applyNumberFormat="1" applyFont="1" applyFill="1" applyBorder="1" applyAlignment="1">
      <alignment horizontal="center" vertical="center" wrapText="1"/>
    </xf>
    <xf numFmtId="0" fontId="12" fillId="29" borderId="1" xfId="2" applyNumberFormat="1" applyFont="1" applyFill="1" applyBorder="1" applyAlignment="1">
      <alignment horizontal="left" vertical="center" wrapText="1"/>
    </xf>
    <xf numFmtId="49" fontId="7" fillId="29" borderId="1" xfId="2" applyNumberFormat="1" applyFont="1" applyFill="1" applyBorder="1" applyAlignment="1">
      <alignment horizontal="center" vertical="center" wrapText="1"/>
    </xf>
    <xf numFmtId="0" fontId="12" fillId="29" borderId="1" xfId="2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3" fillId="0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left" vertical="center" wrapText="1"/>
    </xf>
    <xf numFmtId="0" fontId="13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70" fillId="0" borderId="0" xfId="0" applyNumberFormat="1" applyFont="1" applyAlignment="1">
      <alignment horizontal="center" wrapText="1"/>
    </xf>
    <xf numFmtId="0" fontId="133" fillId="0" borderId="19" xfId="0" applyNumberFormat="1" applyFont="1" applyBorder="1" applyAlignment="1">
      <alignment horizontal="center" vertical="center" wrapText="1"/>
    </xf>
    <xf numFmtId="0" fontId="133" fillId="0" borderId="1" xfId="0" applyNumberFormat="1" applyFont="1" applyBorder="1" applyAlignment="1">
      <alignment horizontal="center" vertical="center" wrapText="1"/>
    </xf>
    <xf numFmtId="49" fontId="125" fillId="0" borderId="1" xfId="0" applyNumberFormat="1" applyFont="1" applyFill="1" applyBorder="1" applyAlignment="1">
      <alignment horizontal="center" vertical="center"/>
    </xf>
    <xf numFmtId="49" fontId="64" fillId="0" borderId="2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20" fillId="0" borderId="1" xfId="2" applyNumberFormat="1" applyFont="1" applyFill="1" applyBorder="1" applyAlignment="1">
      <alignment horizontal="left" vertical="center" wrapText="1"/>
    </xf>
    <xf numFmtId="2" fontId="119" fillId="0" borderId="1" xfId="0" applyNumberFormat="1" applyFont="1" applyFill="1" applyBorder="1" applyAlignment="1">
      <alignment horizontal="center" vertical="center"/>
    </xf>
    <xf numFmtId="49" fontId="20" fillId="0" borderId="1" xfId="90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9" xfId="633" applyNumberFormat="1" applyFont="1" applyFill="1" applyBorder="1" applyAlignment="1">
      <alignment vertical="center" wrapText="1"/>
    </xf>
    <xf numFmtId="49" fontId="12" fillId="0" borderId="1" xfId="633" applyNumberFormat="1" applyFont="1" applyFill="1" applyBorder="1" applyAlignment="1">
      <alignment vertical="center" wrapText="1"/>
    </xf>
    <xf numFmtId="0" fontId="12" fillId="0" borderId="19" xfId="682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vertical="center" wrapText="1"/>
    </xf>
    <xf numFmtId="0" fontId="64" fillId="2" borderId="1" xfId="1" applyNumberFormat="1" applyFont="1" applyFill="1" applyBorder="1" applyAlignment="1" applyProtection="1">
      <alignment horizontal="center" vertical="center" wrapText="1"/>
    </xf>
    <xf numFmtId="0" fontId="20" fillId="2" borderId="1" xfId="90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2" fontId="93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49" fontId="12" fillId="0" borderId="1" xfId="2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34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0" fontId="135" fillId="0" borderId="1" xfId="0" quotePrefix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6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7" fillId="0" borderId="1" xfId="507" applyNumberFormat="1" applyFont="1" applyFill="1" applyBorder="1" applyAlignment="1">
      <alignment horizontal="center" vertical="center" wrapText="1"/>
    </xf>
    <xf numFmtId="0" fontId="12" fillId="0" borderId="1" xfId="507" applyNumberFormat="1" applyFont="1" applyFill="1" applyBorder="1" applyAlignment="1">
      <alignment horizontal="center" vertical="center" wrapText="1"/>
    </xf>
    <xf numFmtId="2" fontId="137" fillId="0" borderId="1" xfId="507" applyNumberFormat="1" applyFont="1" applyFill="1" applyBorder="1" applyAlignment="1">
      <alignment horizontal="center" vertical="center" wrapText="1"/>
    </xf>
    <xf numFmtId="2" fontId="137" fillId="0" borderId="1" xfId="507" applyNumberFormat="1" applyFont="1" applyFill="1" applyBorder="1" applyAlignment="1">
      <alignment horizontal="center" vertical="top" wrapText="1"/>
    </xf>
    <xf numFmtId="2" fontId="12" fillId="0" borderId="1" xfId="507" applyNumberFormat="1" applyFont="1" applyFill="1" applyBorder="1" applyAlignment="1">
      <alignment horizontal="center" vertical="top" wrapText="1"/>
    </xf>
    <xf numFmtId="49" fontId="64" fillId="0" borderId="2" xfId="870" applyNumberFormat="1" applyFont="1" applyFill="1" applyBorder="1" applyAlignment="1">
      <alignment horizontal="center" vertical="center" wrapText="1"/>
    </xf>
    <xf numFmtId="49" fontId="20" fillId="0" borderId="2" xfId="901" applyNumberFormat="1" applyFont="1" applyFill="1" applyBorder="1" applyAlignment="1">
      <alignment horizontal="left" vertical="center" wrapText="1"/>
    </xf>
    <xf numFmtId="49" fontId="64" fillId="0" borderId="4" xfId="901" applyNumberFormat="1" applyFont="1" applyFill="1" applyBorder="1" applyAlignment="1">
      <alignment horizontal="center" vertical="center" wrapText="1"/>
    </xf>
    <xf numFmtId="49" fontId="7" fillId="0" borderId="1" xfId="87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3" fillId="0" borderId="1" xfId="0" applyNumberFormat="1" applyFont="1" applyBorder="1" applyAlignment="1">
      <alignment horizontal="center" vertical="center" wrapText="1"/>
    </xf>
    <xf numFmtId="0" fontId="70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7" fillId="0" borderId="19" xfId="633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0" fillId="0" borderId="1" xfId="65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0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2" xfId="900" applyNumberFormat="1" applyFont="1" applyFill="1" applyBorder="1" applyAlignment="1">
      <alignment horizontal="center" vertical="center" wrapText="1"/>
    </xf>
    <xf numFmtId="49" fontId="7" fillId="0" borderId="19" xfId="900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vertical="center" wrapText="1"/>
    </xf>
    <xf numFmtId="2" fontId="12" fillId="28" borderId="1" xfId="0" applyNumberFormat="1" applyFont="1" applyFill="1" applyBorder="1" applyAlignment="1">
      <alignment horizontal="center" vertical="center" wrapText="1"/>
    </xf>
    <xf numFmtId="2" fontId="13" fillId="28" borderId="1" xfId="0" applyNumberFormat="1" applyFont="1" applyFill="1" applyBorder="1" applyAlignment="1">
      <alignment horizontal="center" vertical="center" wrapText="1"/>
    </xf>
    <xf numFmtId="2" fontId="12" fillId="28" borderId="1" xfId="900" applyNumberFormat="1" applyFont="1" applyFill="1" applyBorder="1" applyAlignment="1">
      <alignment horizontal="center" vertical="center" wrapText="1"/>
    </xf>
    <xf numFmtId="0" fontId="12" fillId="28" borderId="2" xfId="0" applyNumberFormat="1" applyFont="1" applyFill="1" applyBorder="1" applyAlignment="1">
      <alignment horizontal="center" vertical="center" wrapText="1"/>
    </xf>
    <xf numFmtId="0" fontId="20" fillId="28" borderId="2" xfId="0" applyNumberFormat="1" applyFont="1" applyFill="1" applyBorder="1" applyAlignment="1">
      <alignment horizontal="center" vertical="center" wrapText="1"/>
    </xf>
    <xf numFmtId="0" fontId="20" fillId="28" borderId="1" xfId="900" applyNumberFormat="1" applyFont="1" applyFill="1" applyBorder="1" applyAlignment="1">
      <alignment horizontal="center" vertical="center" wrapText="1"/>
    </xf>
    <xf numFmtId="0" fontId="12" fillId="28" borderId="1" xfId="900" applyNumberFormat="1" applyFont="1" applyFill="1" applyBorder="1" applyAlignment="1">
      <alignment horizontal="center" vertical="center" wrapText="1"/>
    </xf>
    <xf numFmtId="0" fontId="12" fillId="28" borderId="1" xfId="0" applyNumberFormat="1" applyFont="1" applyFill="1" applyBorder="1" applyAlignment="1">
      <alignment horizontal="center" vertical="center" wrapText="1"/>
    </xf>
    <xf numFmtId="0" fontId="70" fillId="28" borderId="1" xfId="0" applyNumberFormat="1" applyFont="1" applyFill="1" applyBorder="1" applyAlignment="1">
      <alignment horizontal="center" vertical="center" wrapText="1"/>
    </xf>
    <xf numFmtId="0" fontId="20" fillId="28" borderId="19" xfId="0" applyNumberFormat="1" applyFont="1" applyFill="1" applyBorder="1" applyAlignment="1">
      <alignment horizontal="center" vertical="center" wrapText="1"/>
    </xf>
    <xf numFmtId="0" fontId="13" fillId="28" borderId="1" xfId="0" applyNumberFormat="1" applyFont="1" applyFill="1" applyBorder="1" applyAlignment="1">
      <alignment horizontal="center" vertical="center" wrapText="1"/>
    </xf>
    <xf numFmtId="0" fontId="20" fillId="28" borderId="1" xfId="633" applyNumberFormat="1" applyFont="1" applyFill="1" applyBorder="1" applyAlignment="1">
      <alignment horizontal="center" vertical="center" wrapText="1"/>
    </xf>
    <xf numFmtId="0" fontId="12" fillId="28" borderId="1" xfId="682" applyNumberFormat="1" applyFont="1" applyFill="1" applyBorder="1" applyAlignment="1">
      <alignment horizontal="center" vertical="center" wrapText="1"/>
    </xf>
    <xf numFmtId="0" fontId="12" fillId="28" borderId="19" xfId="633" applyNumberFormat="1" applyFont="1" applyFill="1" applyBorder="1" applyAlignment="1">
      <alignment horizontal="center" vertical="center" wrapText="1"/>
    </xf>
    <xf numFmtId="0" fontId="12" fillId="28" borderId="1" xfId="633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5" fillId="2" borderId="1" xfId="900" applyNumberFormat="1" applyFont="1" applyFill="1" applyBorder="1" applyAlignment="1">
      <alignment horizontal="center" vertical="center" wrapText="1"/>
    </xf>
    <xf numFmtId="49" fontId="98" fillId="2" borderId="1" xfId="900" applyNumberFormat="1" applyFont="1" applyFill="1" applyBorder="1" applyAlignment="1">
      <alignment horizontal="center" vertical="center" wrapText="1"/>
    </xf>
    <xf numFmtId="0" fontId="64" fillId="2" borderId="3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2" fontId="76" fillId="0" borderId="3" xfId="900" applyNumberFormat="1" applyFont="1" applyFill="1" applyBorder="1" applyAlignment="1">
      <alignment horizontal="center" vertical="center" wrapText="1"/>
    </xf>
    <xf numFmtId="2" fontId="76" fillId="0" borderId="1" xfId="900" applyNumberFormat="1" applyFont="1" applyFill="1" applyBorder="1" applyAlignment="1">
      <alignment horizontal="center" vertical="center" wrapText="1"/>
    </xf>
    <xf numFmtId="2" fontId="12" fillId="0" borderId="3" xfId="90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70" fillId="0" borderId="1" xfId="900" applyNumberFormat="1" applyFont="1" applyFill="1" applyBorder="1" applyAlignment="1">
      <alignment horizontal="left" vertical="top" wrapText="1"/>
    </xf>
    <xf numFmtId="0" fontId="70" fillId="0" borderId="3" xfId="0" applyNumberFormat="1" applyFont="1" applyFill="1" applyBorder="1" applyAlignment="1">
      <alignment horizontal="center" vertical="center" wrapText="1"/>
    </xf>
    <xf numFmtId="49" fontId="7" fillId="0" borderId="3" xfId="900" applyNumberFormat="1" applyFont="1" applyFill="1" applyBorder="1" applyAlignment="1">
      <alignment horizontal="center" vertical="center" wrapText="1"/>
    </xf>
    <xf numFmtId="49" fontId="12" fillId="0" borderId="19" xfId="900" applyNumberFormat="1" applyFont="1" applyFill="1" applyBorder="1" applyAlignment="1">
      <alignment horizontal="left" vertical="top" wrapText="1"/>
    </xf>
    <xf numFmtId="2" fontId="12" fillId="0" borderId="20" xfId="90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 applyProtection="1">
      <alignment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0" fillId="2" borderId="1" xfId="900" applyNumberFormat="1" applyFont="1" applyFill="1" applyBorder="1" applyAlignment="1">
      <alignment horizontal="center" vertical="top" wrapText="1"/>
    </xf>
    <xf numFmtId="0" fontId="103" fillId="0" borderId="3" xfId="0" applyNumberFormat="1" applyFont="1" applyFill="1" applyBorder="1" applyAlignment="1">
      <alignment horizontal="center" vertical="center" wrapText="1"/>
    </xf>
    <xf numFmtId="49" fontId="110" fillId="0" borderId="1" xfId="900" applyNumberFormat="1" applyFont="1" applyFill="1" applyBorder="1" applyAlignment="1">
      <alignment horizontal="left" vertical="top" wrapText="1"/>
    </xf>
    <xf numFmtId="49" fontId="70" fillId="0" borderId="2" xfId="90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0" fillId="0" borderId="14" xfId="0" applyNumberFormat="1" applyFont="1" applyFill="1" applyBorder="1" applyAlignment="1">
      <alignment horizontal="center" vertical="center" wrapText="1"/>
    </xf>
    <xf numFmtId="2" fontId="12" fillId="0" borderId="1" xfId="900" applyNumberFormat="1" applyFont="1" applyFill="1" applyBorder="1" applyAlignment="1">
      <alignment vertical="center" wrapText="1"/>
    </xf>
    <xf numFmtId="49" fontId="12" fillId="29" borderId="1" xfId="900" applyNumberFormat="1" applyFont="1" applyFill="1" applyBorder="1" applyAlignment="1">
      <alignment horizontal="left" vertical="top" wrapText="1"/>
    </xf>
    <xf numFmtId="49" fontId="7" fillId="29" borderId="1" xfId="900" applyNumberFormat="1" applyFont="1" applyFill="1" applyBorder="1" applyAlignment="1">
      <alignment horizontal="center" vertical="center" wrapText="1"/>
    </xf>
    <xf numFmtId="0" fontId="20" fillId="29" borderId="1" xfId="633" applyNumberFormat="1" applyFont="1" applyFill="1" applyBorder="1" applyAlignment="1">
      <alignment horizontal="center" vertical="center" wrapText="1"/>
    </xf>
    <xf numFmtId="49" fontId="20" fillId="29" borderId="1" xfId="900" applyNumberFormat="1" applyFont="1" applyFill="1" applyBorder="1" applyAlignment="1">
      <alignment horizontal="left" vertical="top" wrapText="1"/>
    </xf>
    <xf numFmtId="0" fontId="129" fillId="29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2" fillId="0" borderId="1" xfId="715" applyFont="1" applyFill="1" applyBorder="1" applyAlignment="1" applyProtection="1">
      <alignment horizontal="center" vertical="center" wrapText="1"/>
    </xf>
    <xf numFmtId="49" fontId="7" fillId="0" borderId="2" xfId="870" applyNumberFormat="1" applyFont="1" applyFill="1" applyBorder="1" applyAlignment="1">
      <alignment horizontal="center" vertical="top" wrapText="1"/>
    </xf>
    <xf numFmtId="49" fontId="7" fillId="0" borderId="18" xfId="870" applyNumberFormat="1" applyFont="1" applyFill="1" applyBorder="1" applyAlignment="1">
      <alignment horizontal="center" vertical="top" wrapText="1"/>
    </xf>
    <xf numFmtId="49" fontId="7" fillId="0" borderId="19" xfId="870" applyNumberFormat="1" applyFont="1" applyFill="1" applyBorder="1" applyAlignment="1">
      <alignment horizontal="center" vertical="top" wrapText="1"/>
    </xf>
    <xf numFmtId="49" fontId="65" fillId="0" borderId="2" xfId="0" applyNumberFormat="1" applyFont="1" applyFill="1" applyBorder="1" applyAlignment="1">
      <alignment horizontal="center" vertical="top" wrapText="1"/>
    </xf>
    <xf numFmtId="49" fontId="65" fillId="0" borderId="19" xfId="0" applyNumberFormat="1" applyFont="1" applyFill="1" applyBorder="1" applyAlignment="1">
      <alignment horizontal="center" vertical="top" wrapText="1"/>
    </xf>
    <xf numFmtId="49" fontId="65" fillId="0" borderId="18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2" xfId="630" applyNumberFormat="1" applyFont="1" applyFill="1" applyBorder="1" applyAlignment="1">
      <alignment horizontal="center" vertical="top" wrapText="1"/>
    </xf>
    <xf numFmtId="49" fontId="7" fillId="0" borderId="18" xfId="630" applyNumberFormat="1" applyFont="1" applyFill="1" applyBorder="1" applyAlignment="1">
      <alignment horizontal="center" vertical="top" wrapText="1"/>
    </xf>
    <xf numFmtId="49" fontId="7" fillId="0" borderId="19" xfId="630" applyNumberFormat="1" applyFont="1" applyFill="1" applyBorder="1" applyAlignment="1">
      <alignment horizontal="center" vertical="top" wrapText="1"/>
    </xf>
    <xf numFmtId="49" fontId="113" fillId="0" borderId="2" xfId="0" applyNumberFormat="1" applyFont="1" applyFill="1" applyBorder="1" applyAlignment="1">
      <alignment horizontal="center" vertical="top" wrapText="1"/>
    </xf>
    <xf numFmtId="49" fontId="113" fillId="0" borderId="18" xfId="0" applyNumberFormat="1" applyFont="1" applyFill="1" applyBorder="1" applyAlignment="1">
      <alignment horizontal="center" vertical="top" wrapText="1"/>
    </xf>
    <xf numFmtId="49" fontId="113" fillId="0" borderId="19" xfId="0" applyNumberFormat="1" applyFont="1" applyFill="1" applyBorder="1" applyAlignment="1">
      <alignment horizontal="center" vertical="top" wrapText="1"/>
    </xf>
    <xf numFmtId="49" fontId="65" fillId="0" borderId="1" xfId="0" applyNumberFormat="1" applyFont="1" applyFill="1" applyBorder="1" applyAlignment="1">
      <alignment horizontal="center" vertical="top" wrapText="1"/>
    </xf>
    <xf numFmtId="49" fontId="112" fillId="0" borderId="2" xfId="0" applyNumberFormat="1" applyFont="1" applyFill="1" applyBorder="1" applyAlignment="1">
      <alignment horizontal="center" vertical="top" wrapText="1"/>
    </xf>
    <xf numFmtId="49" fontId="112" fillId="0" borderId="18" xfId="0" applyNumberFormat="1" applyFont="1" applyFill="1" applyBorder="1" applyAlignment="1">
      <alignment horizontal="center" vertical="top" wrapText="1"/>
    </xf>
    <xf numFmtId="49" fontId="112" fillId="0" borderId="19" xfId="0" applyNumberFormat="1" applyFont="1" applyFill="1" applyBorder="1" applyAlignment="1">
      <alignment horizontal="center" vertical="top" wrapText="1"/>
    </xf>
    <xf numFmtId="49" fontId="1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65" fillId="0" borderId="2" xfId="0" applyNumberFormat="1" applyFont="1" applyFill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7" fillId="0" borderId="2" xfId="633" applyNumberFormat="1" applyFont="1" applyFill="1" applyBorder="1" applyAlignment="1">
      <alignment horizontal="center" vertical="top" wrapText="1"/>
    </xf>
    <xf numFmtId="49" fontId="7" fillId="0" borderId="18" xfId="633" applyNumberFormat="1" applyFont="1" applyFill="1" applyBorder="1" applyAlignment="1">
      <alignment horizontal="center" vertical="top" wrapText="1"/>
    </xf>
    <xf numFmtId="49" fontId="7" fillId="0" borderId="19" xfId="633" applyNumberFormat="1" applyFont="1" applyFill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20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74" fillId="0" borderId="2" xfId="900" applyNumberFormat="1" applyFont="1" applyFill="1" applyBorder="1" applyAlignment="1">
      <alignment horizontal="center" vertical="top" wrapText="1"/>
    </xf>
    <xf numFmtId="49" fontId="74" fillId="0" borderId="19" xfId="90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vertical="center" wrapText="1"/>
    </xf>
    <xf numFmtId="0" fontId="20" fillId="0" borderId="19" xfId="0" applyNumberFormat="1" applyFont="1" applyFill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2" fillId="0" borderId="2" xfId="477" applyNumberFormat="1" applyFont="1" applyFill="1" applyBorder="1" applyAlignment="1">
      <alignment horizontal="center" vertical="top" wrapText="1"/>
    </xf>
    <xf numFmtId="49" fontId="12" fillId="0" borderId="18" xfId="477" applyNumberFormat="1" applyFont="1" applyFill="1" applyBorder="1" applyAlignment="1">
      <alignment horizontal="center" vertical="top" wrapText="1"/>
    </xf>
    <xf numFmtId="49" fontId="12" fillId="0" borderId="19" xfId="477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67" fillId="0" borderId="2" xfId="900" applyNumberFormat="1" applyFont="1" applyFill="1" applyBorder="1" applyAlignment="1">
      <alignment horizontal="center" vertical="top" wrapText="1"/>
    </xf>
    <xf numFmtId="49" fontId="67" fillId="0" borderId="19" xfId="90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top" wrapText="1"/>
    </xf>
    <xf numFmtId="49" fontId="7" fillId="0" borderId="2" xfId="900" applyNumberFormat="1" applyFont="1" applyFill="1" applyBorder="1" applyAlignment="1">
      <alignment horizontal="center" vertical="center" wrapText="1"/>
    </xf>
    <xf numFmtId="49" fontId="7" fillId="0" borderId="19" xfId="900" applyNumberFormat="1" applyFont="1" applyFill="1" applyBorder="1" applyAlignment="1">
      <alignment horizontal="center" vertical="center" wrapText="1"/>
    </xf>
    <xf numFmtId="49" fontId="7" fillId="0" borderId="18" xfId="90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900" applyNumberFormat="1" applyFont="1" applyFill="1" applyBorder="1" applyAlignment="1">
      <alignment horizontal="center" vertical="top" wrapText="1"/>
    </xf>
    <xf numFmtId="49" fontId="7" fillId="0" borderId="18" xfId="90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2" fontId="12" fillId="0" borderId="2" xfId="902" applyNumberFormat="1" applyFont="1" applyFill="1" applyBorder="1" applyAlignment="1">
      <alignment horizontal="center" vertical="center" wrapText="1"/>
    </xf>
    <xf numFmtId="2" fontId="12" fillId="0" borderId="18" xfId="902" applyNumberFormat="1" applyFont="1" applyFill="1" applyBorder="1" applyAlignment="1">
      <alignment horizontal="center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49" fontId="7" fillId="0" borderId="19" xfId="87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" xfId="901" applyNumberFormat="1" applyFont="1" applyFill="1" applyBorder="1" applyAlignment="1">
      <alignment horizontal="center" vertical="center" wrapText="1"/>
    </xf>
    <xf numFmtId="49" fontId="7" fillId="0" borderId="18" xfId="901" applyNumberFormat="1" applyFont="1" applyFill="1" applyBorder="1" applyAlignment="1">
      <alignment horizontal="center" vertical="center" wrapText="1"/>
    </xf>
    <xf numFmtId="49" fontId="7" fillId="0" borderId="19" xfId="901" applyNumberFormat="1" applyFont="1" applyFill="1" applyBorder="1" applyAlignment="1">
      <alignment horizontal="center" vertical="center" wrapText="1"/>
    </xf>
    <xf numFmtId="49" fontId="7" fillId="0" borderId="19" xfId="900" applyNumberFormat="1" applyFont="1" applyFill="1" applyBorder="1" applyAlignment="1">
      <alignment horizontal="center" vertical="top" wrapText="1"/>
    </xf>
    <xf numFmtId="49" fontId="7" fillId="0" borderId="1" xfId="901" applyNumberFormat="1" applyFont="1" applyFill="1" applyBorder="1" applyAlignment="1">
      <alignment horizontal="center" vertical="center" wrapText="1"/>
    </xf>
    <xf numFmtId="49" fontId="7" fillId="0" borderId="2" xfId="735" applyNumberFormat="1" applyFont="1" applyFill="1" applyBorder="1" applyAlignment="1">
      <alignment horizontal="center" vertical="center" wrapText="1"/>
    </xf>
    <xf numFmtId="49" fontId="7" fillId="0" borderId="18" xfId="735" applyNumberFormat="1" applyFont="1" applyFill="1" applyBorder="1" applyAlignment="1">
      <alignment horizontal="center" vertical="center" wrapText="1"/>
    </xf>
    <xf numFmtId="49" fontId="7" fillId="0" borderId="19" xfId="735" applyNumberFormat="1" applyFont="1" applyFill="1" applyBorder="1" applyAlignment="1">
      <alignment horizontal="center" vertical="center" wrapText="1"/>
    </xf>
    <xf numFmtId="49" fontId="7" fillId="0" borderId="2" xfId="633" applyNumberFormat="1" applyFont="1" applyFill="1" applyBorder="1" applyAlignment="1">
      <alignment horizontal="center" vertical="center" wrapText="1"/>
    </xf>
    <xf numFmtId="49" fontId="7" fillId="0" borderId="18" xfId="633" applyNumberFormat="1" applyFont="1" applyFill="1" applyBorder="1" applyAlignment="1">
      <alignment horizontal="center" vertical="center" wrapText="1"/>
    </xf>
    <xf numFmtId="49" fontId="7" fillId="0" borderId="19" xfId="633" applyNumberFormat="1" applyFont="1" applyFill="1" applyBorder="1" applyAlignment="1">
      <alignment horizontal="center" vertical="center" wrapText="1"/>
    </xf>
    <xf numFmtId="49" fontId="7" fillId="0" borderId="1" xfId="90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49" fontId="67" fillId="0" borderId="18" xfId="0" applyNumberFormat="1" applyFont="1" applyFill="1" applyBorder="1" applyAlignment="1">
      <alignment horizontal="center" vertical="center" wrapText="1"/>
    </xf>
    <xf numFmtId="49" fontId="7" fillId="0" borderId="2" xfId="909" applyNumberFormat="1" applyFont="1" applyFill="1" applyBorder="1" applyAlignment="1">
      <alignment horizontal="center" vertical="center" wrapText="1"/>
    </xf>
    <xf numFmtId="49" fontId="7" fillId="0" borderId="18" xfId="909" applyNumberFormat="1" applyFont="1" applyFill="1" applyBorder="1" applyAlignment="1">
      <alignment horizontal="center" vertical="center" wrapText="1"/>
    </xf>
    <xf numFmtId="49" fontId="7" fillId="0" borderId="19" xfId="909" applyNumberFormat="1" applyFont="1" applyFill="1" applyBorder="1" applyAlignment="1">
      <alignment horizontal="center" vertical="center" wrapText="1"/>
    </xf>
    <xf numFmtId="49" fontId="7" fillId="0" borderId="2" xfId="681" applyNumberFormat="1" applyFont="1" applyFill="1" applyBorder="1" applyAlignment="1">
      <alignment horizontal="center" vertical="center" wrapText="1"/>
    </xf>
    <xf numFmtId="49" fontId="7" fillId="0" borderId="18" xfId="681" applyNumberFormat="1" applyFont="1" applyFill="1" applyBorder="1" applyAlignment="1">
      <alignment horizontal="center" vertical="center" wrapText="1"/>
    </xf>
    <xf numFmtId="49" fontId="7" fillId="0" borderId="19" xfId="681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910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0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6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1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5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Book1_axalqalaqis skola " xfId="904"/>
    <cellStyle name="Normal_gare wyalsadfenigagarini 10" xfId="907"/>
    <cellStyle name="Normal_gare wyalsadfenigagarini 2 2" xfId="899"/>
    <cellStyle name="Normal_gare wyalsadfenigagarini_SUSTI DENEBI_axalqalaqis skola " xfId="903"/>
    <cellStyle name="Normal_qavtarazis mravalfunqciuri kompleqsis xarjTaRricxva" xfId="909"/>
    <cellStyle name="Normal_SUSTI DENEBI" xfId="902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Лист1" xfId="908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3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  <color rgb="FFCCFF33"/>
      <color rgb="FFFF99FF"/>
      <color rgb="FF0000FF"/>
      <color rgb="FFFFCCFF"/>
      <color rgb="FF00FF99"/>
      <color rgb="FFCCCC00"/>
      <color rgb="FFFF66FF"/>
      <color rgb="FF66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204311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204311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204311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857</xdr:row>
      <xdr:rowOff>204311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857</xdr:row>
      <xdr:rowOff>204311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639</xdr:row>
      <xdr:rowOff>0</xdr:rowOff>
    </xdr:from>
    <xdr:to>
      <xdr:col>2</xdr:col>
      <xdr:colOff>276225</xdr:colOff>
      <xdr:row>857</xdr:row>
      <xdr:rowOff>204311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428750" y="22717125"/>
          <a:ext cx="7620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857</xdr:row>
      <xdr:rowOff>200500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200500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857</xdr:row>
      <xdr:rowOff>200500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200500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857</xdr:row>
      <xdr:rowOff>200500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200500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54768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52863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7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52863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7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52863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7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52863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7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858</xdr:row>
      <xdr:rowOff>52863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7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52863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7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204311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204311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204311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857</xdr:row>
      <xdr:rowOff>204311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857</xdr:row>
      <xdr:rowOff>204311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639</xdr:row>
      <xdr:rowOff>0</xdr:rowOff>
    </xdr:from>
    <xdr:to>
      <xdr:col>2</xdr:col>
      <xdr:colOff>276225</xdr:colOff>
      <xdr:row>857</xdr:row>
      <xdr:rowOff>204311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1428750" y="22717125"/>
          <a:ext cx="76200" cy="20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857</xdr:row>
      <xdr:rowOff>200500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200500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857</xdr:row>
      <xdr:rowOff>200500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200500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1491615</xdr:colOff>
      <xdr:row>857</xdr:row>
      <xdr:rowOff>200500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1524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857</xdr:row>
      <xdr:rowOff>200500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2838170</xdr:colOff>
      <xdr:row>858</xdr:row>
      <xdr:rowOff>54768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2670" cy="28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73819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73819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73819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858</xdr:row>
      <xdr:rowOff>73819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858</xdr:row>
      <xdr:rowOff>73819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639</xdr:row>
      <xdr:rowOff>0</xdr:rowOff>
    </xdr:from>
    <xdr:to>
      <xdr:col>2</xdr:col>
      <xdr:colOff>276225</xdr:colOff>
      <xdr:row>858</xdr:row>
      <xdr:rowOff>35719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1428750" y="22717125"/>
          <a:ext cx="76200" cy="261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102394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102394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102394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102394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102394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102394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169069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200027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200027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200027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200027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200027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200027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73819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73819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73819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858</xdr:row>
      <xdr:rowOff>73819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639</xdr:row>
      <xdr:rowOff>0</xdr:rowOff>
    </xdr:from>
    <xdr:to>
      <xdr:col>2</xdr:col>
      <xdr:colOff>247650</xdr:colOff>
      <xdr:row>858</xdr:row>
      <xdr:rowOff>73819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1400175" y="22717125"/>
          <a:ext cx="76200" cy="30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639</xdr:row>
      <xdr:rowOff>0</xdr:rowOff>
    </xdr:from>
    <xdr:to>
      <xdr:col>2</xdr:col>
      <xdr:colOff>276225</xdr:colOff>
      <xdr:row>858</xdr:row>
      <xdr:rowOff>35719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1428750" y="22717125"/>
          <a:ext cx="76200" cy="261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102394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102394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102394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102394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639</xdr:row>
      <xdr:rowOff>0</xdr:rowOff>
    </xdr:from>
    <xdr:to>
      <xdr:col>2</xdr:col>
      <xdr:colOff>1476375</xdr:colOff>
      <xdr:row>858</xdr:row>
      <xdr:rowOff>102394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705100" y="22717125"/>
          <a:ext cx="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102394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639</xdr:row>
      <xdr:rowOff>0</xdr:rowOff>
    </xdr:from>
    <xdr:to>
      <xdr:col>2</xdr:col>
      <xdr:colOff>2835930</xdr:colOff>
      <xdr:row>858</xdr:row>
      <xdr:rowOff>169069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3324225" y="22717125"/>
          <a:ext cx="740430" cy="39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638</xdr:row>
      <xdr:rowOff>107157</xdr:rowOff>
    </xdr:from>
    <xdr:to>
      <xdr:col>2</xdr:col>
      <xdr:colOff>2835930</xdr:colOff>
      <xdr:row>858</xdr:row>
      <xdr:rowOff>211930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3095625" y="137612438"/>
          <a:ext cx="740430" cy="50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8"/>
  <sheetViews>
    <sheetView tabSelected="1" zoomScale="80" zoomScaleNormal="80" workbookViewId="0">
      <selection activeCell="C21" sqref="C21"/>
    </sheetView>
  </sheetViews>
  <sheetFormatPr defaultRowHeight="15"/>
  <cols>
    <col min="2" max="2" width="22.42578125" customWidth="1"/>
    <col min="3" max="3" width="43.5703125" customWidth="1"/>
    <col min="4" max="6" width="14" customWidth="1"/>
    <col min="7" max="7" width="15" style="233" customWidth="1"/>
    <col min="8" max="8" width="19" customWidth="1"/>
  </cols>
  <sheetData>
    <row r="1" spans="1:9" s="152" customFormat="1" ht="23.25" customHeight="1">
      <c r="A1" s="1102" t="s">
        <v>114</v>
      </c>
      <c r="B1" s="1102"/>
      <c r="C1" s="1102"/>
      <c r="D1" s="1102"/>
      <c r="E1" s="1102"/>
      <c r="F1" s="1102"/>
      <c r="G1" s="1102"/>
      <c r="H1" s="407" t="s">
        <v>250</v>
      </c>
    </row>
    <row r="2" spans="1:9" s="152" customFormat="1" ht="15.75">
      <c r="A2" s="8"/>
      <c r="B2" s="8"/>
      <c r="C2" s="8"/>
      <c r="D2" s="8"/>
      <c r="E2" s="8"/>
      <c r="F2" s="8"/>
      <c r="G2" s="231"/>
    </row>
    <row r="3" spans="1:9" s="152" customFormat="1" ht="48" customHeight="1">
      <c r="A3" s="1102" t="s">
        <v>857</v>
      </c>
      <c r="B3" s="1102"/>
      <c r="C3" s="1102"/>
      <c r="D3" s="1102"/>
      <c r="E3" s="1102"/>
      <c r="F3" s="1102"/>
      <c r="G3" s="1102"/>
    </row>
    <row r="4" spans="1:9" s="152" customFormat="1" ht="15.75">
      <c r="A4" s="8"/>
      <c r="B4" s="8"/>
      <c r="C4" s="8"/>
      <c r="D4" s="8"/>
      <c r="E4" s="8"/>
      <c r="F4" s="8"/>
      <c r="G4" s="231"/>
    </row>
    <row r="5" spans="1:9" s="152" customFormat="1" ht="23.25" customHeight="1">
      <c r="A5" s="1103" t="s">
        <v>0</v>
      </c>
      <c r="B5" s="1103" t="s">
        <v>115</v>
      </c>
      <c r="C5" s="1103" t="s">
        <v>116</v>
      </c>
      <c r="D5" s="1103" t="s">
        <v>117</v>
      </c>
      <c r="E5" s="1103"/>
      <c r="F5" s="1103"/>
      <c r="G5" s="1103"/>
    </row>
    <row r="6" spans="1:9" s="152" customFormat="1" ht="31.5">
      <c r="A6" s="1103"/>
      <c r="B6" s="1103"/>
      <c r="C6" s="1103"/>
      <c r="D6" s="10" t="s">
        <v>118</v>
      </c>
      <c r="E6" s="10" t="s">
        <v>119</v>
      </c>
      <c r="F6" s="10" t="s">
        <v>120</v>
      </c>
      <c r="G6" s="156" t="s">
        <v>121</v>
      </c>
    </row>
    <row r="7" spans="1:9" s="152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56">
        <v>7</v>
      </c>
    </row>
    <row r="8" spans="1:9" s="152" customFormat="1" ht="15.75">
      <c r="A8" s="154"/>
      <c r="B8" s="154"/>
      <c r="C8" s="154"/>
      <c r="D8" s="66"/>
      <c r="E8" s="66"/>
      <c r="F8" s="66"/>
      <c r="G8" s="66"/>
    </row>
    <row r="9" spans="1:9" s="152" customFormat="1" ht="15.75">
      <c r="A9" s="10">
        <v>1</v>
      </c>
      <c r="B9" s="10" t="s">
        <v>174</v>
      </c>
      <c r="C9" s="65" t="s">
        <v>28</v>
      </c>
      <c r="D9" s="13"/>
      <c r="E9" s="12"/>
      <c r="F9" s="12"/>
      <c r="G9" s="156"/>
      <c r="I9" s="153"/>
    </row>
    <row r="10" spans="1:9" s="152" customFormat="1" ht="15.75">
      <c r="A10" s="10">
        <v>2</v>
      </c>
      <c r="B10" s="349" t="s">
        <v>217</v>
      </c>
      <c r="C10" s="65" t="s">
        <v>586</v>
      </c>
      <c r="D10" s="13"/>
      <c r="E10" s="12"/>
      <c r="F10" s="12"/>
      <c r="G10" s="156"/>
    </row>
    <row r="11" spans="1:9" s="152" customFormat="1" ht="31.5">
      <c r="A11" s="386">
        <v>3</v>
      </c>
      <c r="B11" s="349" t="s">
        <v>219</v>
      </c>
      <c r="C11" s="65" t="s">
        <v>135</v>
      </c>
      <c r="D11" s="13"/>
      <c r="E11" s="156"/>
      <c r="F11" s="156"/>
      <c r="G11" s="156"/>
    </row>
    <row r="12" spans="1:9" s="152" customFormat="1" ht="31.5">
      <c r="A12" s="386">
        <v>4</v>
      </c>
      <c r="B12" s="349" t="s">
        <v>220</v>
      </c>
      <c r="C12" s="65" t="s">
        <v>585</v>
      </c>
      <c r="D12" s="13"/>
      <c r="E12" s="12"/>
      <c r="F12" s="12"/>
      <c r="G12" s="156"/>
    </row>
    <row r="13" spans="1:9" s="152" customFormat="1" ht="31.5" hidden="1">
      <c r="A13" s="386">
        <v>5</v>
      </c>
      <c r="B13" s="349" t="s">
        <v>221</v>
      </c>
      <c r="C13" s="65" t="s">
        <v>218</v>
      </c>
      <c r="D13" s="156"/>
      <c r="E13" s="156"/>
      <c r="F13" s="156"/>
      <c r="G13" s="156"/>
    </row>
    <row r="14" spans="1:9" s="152" customFormat="1" ht="15.75">
      <c r="A14" s="386"/>
      <c r="B14" s="386"/>
      <c r="C14" s="246"/>
      <c r="D14" s="156"/>
      <c r="E14" s="156"/>
      <c r="F14" s="156"/>
      <c r="G14" s="156"/>
    </row>
    <row r="15" spans="1:9" s="152" customFormat="1" ht="31.5" hidden="1">
      <c r="A15" s="377"/>
      <c r="B15" s="377"/>
      <c r="C15" s="382" t="s">
        <v>205</v>
      </c>
      <c r="D15" s="156"/>
      <c r="E15" s="156"/>
      <c r="F15" s="156"/>
      <c r="G15" s="156"/>
    </row>
    <row r="16" spans="1:9" s="152" customFormat="1" ht="15.75">
      <c r="A16" s="377"/>
      <c r="B16" s="377"/>
      <c r="C16" s="377"/>
      <c r="D16" s="156"/>
      <c r="E16" s="156"/>
      <c r="F16" s="156"/>
      <c r="G16" s="156"/>
    </row>
    <row r="17" spans="1:8" s="152" customFormat="1" ht="35.25" customHeight="1">
      <c r="A17" s="230"/>
      <c r="B17" s="230"/>
      <c r="C17" s="154" t="s">
        <v>25</v>
      </c>
      <c r="D17" s="66"/>
      <c r="E17" s="66"/>
      <c r="F17" s="66"/>
      <c r="G17" s="66"/>
      <c r="H17" s="406"/>
    </row>
    <row r="18" spans="1:8" ht="94.5" hidden="1">
      <c r="A18" s="346"/>
      <c r="B18" s="346"/>
      <c r="C18" s="202" t="s">
        <v>206</v>
      </c>
      <c r="D18" s="348">
        <v>2.1999999999999999E-2</v>
      </c>
      <c r="E18" s="346"/>
      <c r="F18" s="346"/>
      <c r="G18" s="347">
        <f>G17*D18</f>
        <v>0</v>
      </c>
    </row>
    <row r="19" spans="1:8" ht="15.75" hidden="1">
      <c r="A19" s="230"/>
      <c r="B19" s="230"/>
      <c r="C19" s="154"/>
      <c r="D19" s="66"/>
      <c r="E19" s="66"/>
      <c r="F19" s="66"/>
      <c r="G19" s="66">
        <f>G17+G18</f>
        <v>0</v>
      </c>
    </row>
    <row r="20" spans="1:8">
      <c r="C20" s="232"/>
    </row>
    <row r="21" spans="1:8" ht="15.75">
      <c r="C21" s="96"/>
    </row>
    <row r="28" spans="1:8">
      <c r="C28" s="299"/>
    </row>
  </sheetData>
  <mergeCells count="6">
    <mergeCell ref="A1:G1"/>
    <mergeCell ref="A3:G3"/>
    <mergeCell ref="A5:A6"/>
    <mergeCell ref="B5:B6"/>
    <mergeCell ref="C5:C6"/>
    <mergeCell ref="D5:G5"/>
  </mergeCells>
  <pageMargins left="0.87" right="0.70866141732283505" top="0.9" bottom="0.69" header="0.43" footer="0.37"/>
  <pageSetup paperSize="9" scale="85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1306"/>
  <sheetViews>
    <sheetView topLeftCell="A1060" zoomScale="80" zoomScaleNormal="80" workbookViewId="0">
      <selection activeCell="F1289" sqref="F1289"/>
    </sheetView>
  </sheetViews>
  <sheetFormatPr defaultRowHeight="15.75"/>
  <cols>
    <col min="1" max="1" width="5.7109375" style="552" customWidth="1"/>
    <col min="2" max="2" width="11.42578125" style="554" customWidth="1"/>
    <col min="3" max="3" width="63.5703125" style="816" customWidth="1"/>
    <col min="4" max="4" width="8.7109375" style="557" customWidth="1"/>
    <col min="5" max="5" width="10.5703125" style="576" customWidth="1"/>
    <col min="6" max="6" width="13" style="577" customWidth="1"/>
    <col min="7" max="7" width="9.5703125" style="578" customWidth="1"/>
    <col min="8" max="8" width="12.5703125" style="578" customWidth="1"/>
    <col min="9" max="9" width="8.42578125" style="578" customWidth="1"/>
    <col min="10" max="10" width="12.140625" style="578" customWidth="1"/>
    <col min="11" max="11" width="9.28515625" style="578" customWidth="1"/>
    <col min="12" max="12" width="12.28515625" style="578" customWidth="1"/>
    <col min="13" max="13" width="13.7109375" style="578" customWidth="1"/>
    <col min="14" max="14" width="33.42578125" style="172" customWidth="1"/>
    <col min="15" max="15" width="67.7109375" style="535" customWidth="1"/>
    <col min="16" max="17" width="19.28515625" customWidth="1"/>
  </cols>
  <sheetData>
    <row r="1" spans="1:15" s="72" customFormat="1" ht="30" customHeight="1">
      <c r="A1" s="1161" t="str">
        <f>krebsiti!A3</f>
        <v>q.Tbilisi municipalitetis sofel diRomSi, wminda giorgis ubanSi, daviT
aRmaSeneblis II Sesaxvevisa da irodion surgulaZis quCebis kveTasTan arsebul
miwis nakveTze (s/k: 01.72.14.064.360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245" t="s">
        <v>250</v>
      </c>
      <c r="O1" s="393"/>
    </row>
    <row r="2" spans="1:15" s="72" customFormat="1" hidden="1">
      <c r="A2" s="585"/>
      <c r="B2" s="585"/>
      <c r="C2" s="736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173"/>
      <c r="O2" s="393"/>
    </row>
    <row r="3" spans="1:15" s="72" customFormat="1">
      <c r="A3" s="1161" t="s">
        <v>214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73"/>
      <c r="O3" s="393"/>
    </row>
    <row r="4" spans="1:15" s="72" customFormat="1">
      <c r="A4" s="289"/>
      <c r="B4" s="96"/>
      <c r="C4" s="145"/>
      <c r="D4" s="96"/>
      <c r="E4" s="145"/>
      <c r="F4" s="145"/>
      <c r="G4" s="288"/>
      <c r="H4" s="288"/>
      <c r="I4" s="288"/>
      <c r="J4" s="288"/>
      <c r="K4" s="288"/>
      <c r="L4" s="288"/>
      <c r="M4" s="288"/>
      <c r="N4" s="173"/>
      <c r="O4" s="393"/>
    </row>
    <row r="5" spans="1:15" s="72" customFormat="1">
      <c r="A5" s="1161" t="s">
        <v>28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73"/>
      <c r="O5" s="393"/>
    </row>
    <row r="6" spans="1:15" s="72" customFormat="1">
      <c r="A6" s="237"/>
      <c r="B6" s="97"/>
      <c r="C6" s="145"/>
      <c r="D6" s="97"/>
      <c r="E6" s="409"/>
      <c r="F6" s="409"/>
      <c r="G6" s="71"/>
      <c r="H6" s="71"/>
      <c r="I6" s="71"/>
      <c r="J6" s="71"/>
      <c r="K6" s="71"/>
      <c r="L6" s="71"/>
      <c r="M6" s="71"/>
      <c r="N6" s="173"/>
      <c r="O6" s="393"/>
    </row>
    <row r="7" spans="1:15" s="72" customFormat="1">
      <c r="A7" s="1139" t="s">
        <v>0</v>
      </c>
      <c r="B7" s="1162" t="s">
        <v>152</v>
      </c>
      <c r="C7" s="1163" t="s">
        <v>153</v>
      </c>
      <c r="D7" s="1162" t="s">
        <v>154</v>
      </c>
      <c r="E7" s="1165" t="s">
        <v>155</v>
      </c>
      <c r="F7" s="1165"/>
      <c r="G7" s="1166" t="s">
        <v>156</v>
      </c>
      <c r="H7" s="1166"/>
      <c r="I7" s="1166" t="s">
        <v>157</v>
      </c>
      <c r="J7" s="1166"/>
      <c r="K7" s="1167" t="s">
        <v>29</v>
      </c>
      <c r="L7" s="1168"/>
      <c r="M7" s="1166" t="s">
        <v>158</v>
      </c>
      <c r="N7" s="173"/>
      <c r="O7" s="393"/>
    </row>
    <row r="8" spans="1:15" s="72" customFormat="1" ht="31.5">
      <c r="A8" s="1139"/>
      <c r="B8" s="1162"/>
      <c r="C8" s="1164"/>
      <c r="D8" s="1162"/>
      <c r="E8" s="411" t="s">
        <v>19</v>
      </c>
      <c r="F8" s="411" t="s">
        <v>8</v>
      </c>
      <c r="G8" s="412" t="s">
        <v>19</v>
      </c>
      <c r="H8" s="412" t="s">
        <v>8</v>
      </c>
      <c r="I8" s="412" t="s">
        <v>19</v>
      </c>
      <c r="J8" s="412" t="s">
        <v>8</v>
      </c>
      <c r="K8" s="412" t="s">
        <v>19</v>
      </c>
      <c r="L8" s="412" t="s">
        <v>8</v>
      </c>
      <c r="M8" s="1166"/>
      <c r="N8" s="173"/>
      <c r="O8" s="393"/>
    </row>
    <row r="9" spans="1:15" s="584" customFormat="1">
      <c r="A9" s="537" t="s">
        <v>84</v>
      </c>
      <c r="B9" s="538" t="s">
        <v>69</v>
      </c>
      <c r="C9" s="737" t="s">
        <v>85</v>
      </c>
      <c r="D9" s="538" t="s">
        <v>79</v>
      </c>
      <c r="E9" s="411" t="s">
        <v>80</v>
      </c>
      <c r="F9" s="411" t="s">
        <v>81</v>
      </c>
      <c r="G9" s="412" t="s">
        <v>77</v>
      </c>
      <c r="H9" s="412" t="s">
        <v>42</v>
      </c>
      <c r="I9" s="412" t="s">
        <v>46</v>
      </c>
      <c r="J9" s="412" t="s">
        <v>48</v>
      </c>
      <c r="K9" s="412" t="s">
        <v>159</v>
      </c>
      <c r="L9" s="412" t="s">
        <v>53</v>
      </c>
      <c r="M9" s="412" t="s">
        <v>160</v>
      </c>
      <c r="N9" s="582"/>
      <c r="O9" s="583"/>
    </row>
    <row r="10" spans="1:15" s="287" customFormat="1" ht="27" customHeight="1">
      <c r="A10" s="539" t="s">
        <v>174</v>
      </c>
      <c r="B10" s="294"/>
      <c r="C10" s="296" t="s">
        <v>28</v>
      </c>
      <c r="D10" s="294"/>
      <c r="E10" s="559"/>
      <c r="F10" s="560"/>
      <c r="G10" s="412"/>
      <c r="H10" s="412"/>
      <c r="I10" s="412"/>
      <c r="J10" s="412"/>
      <c r="K10" s="412"/>
      <c r="L10" s="412"/>
      <c r="M10" s="412"/>
      <c r="N10" s="286"/>
      <c r="O10" s="527"/>
    </row>
    <row r="11" spans="1:15" s="69" customFormat="1" ht="16.5" hidden="1">
      <c r="A11" s="542"/>
      <c r="B11" s="260"/>
      <c r="C11" s="878"/>
      <c r="D11" s="260"/>
      <c r="E11" s="243"/>
      <c r="F11" s="76"/>
      <c r="G11" s="22"/>
      <c r="H11" s="412"/>
      <c r="I11" s="22"/>
      <c r="J11" s="412"/>
      <c r="K11" s="22"/>
      <c r="L11" s="412"/>
      <c r="M11" s="412"/>
      <c r="N11" s="274"/>
      <c r="O11" s="528"/>
    </row>
    <row r="12" spans="1:15" s="74" customFormat="1" ht="16.5" hidden="1">
      <c r="A12" s="543"/>
      <c r="B12" s="375"/>
      <c r="C12" s="738" t="s">
        <v>251</v>
      </c>
      <c r="D12" s="375"/>
      <c r="E12" s="561"/>
      <c r="F12" s="562"/>
      <c r="G12" s="22"/>
      <c r="H12" s="412"/>
      <c r="I12" s="22"/>
      <c r="J12" s="412"/>
      <c r="K12" s="21"/>
      <c r="L12" s="412"/>
      <c r="M12" s="412"/>
      <c r="N12" s="274"/>
      <c r="O12" s="529"/>
    </row>
    <row r="13" spans="1:15" s="74" customFormat="1" ht="16.5" hidden="1">
      <c r="A13" s="1107" t="s">
        <v>84</v>
      </c>
      <c r="B13" s="260" t="s">
        <v>253</v>
      </c>
      <c r="C13" s="739" t="s">
        <v>252</v>
      </c>
      <c r="D13" s="260" t="s">
        <v>47</v>
      </c>
      <c r="E13" s="243"/>
      <c r="F13" s="76">
        <v>0</v>
      </c>
      <c r="G13" s="22"/>
      <c r="H13" s="412"/>
      <c r="I13" s="22"/>
      <c r="J13" s="412"/>
      <c r="K13" s="21"/>
      <c r="L13" s="412"/>
      <c r="M13" s="412"/>
      <c r="N13" s="274"/>
      <c r="O13" s="529"/>
    </row>
    <row r="14" spans="1:15" s="74" customFormat="1" ht="16.5" hidden="1">
      <c r="A14" s="1108"/>
      <c r="B14" s="260"/>
      <c r="C14" s="740" t="s">
        <v>54</v>
      </c>
      <c r="D14" s="44" t="s">
        <v>12</v>
      </c>
      <c r="E14" s="555">
        <v>0.20499999999999999</v>
      </c>
      <c r="F14" s="202">
        <f>F13*E14</f>
        <v>0</v>
      </c>
      <c r="G14" s="13"/>
      <c r="H14" s="13"/>
      <c r="I14" s="13"/>
      <c r="J14" s="13"/>
      <c r="K14" s="13"/>
      <c r="L14" s="156"/>
      <c r="M14" s="156"/>
      <c r="N14" s="274"/>
      <c r="O14" s="529"/>
    </row>
    <row r="15" spans="1:15" s="74" customFormat="1" ht="16.5" hidden="1">
      <c r="A15" s="1109"/>
      <c r="B15" s="260"/>
      <c r="C15" s="741" t="s">
        <v>11</v>
      </c>
      <c r="D15" s="426" t="s">
        <v>9</v>
      </c>
      <c r="E15" s="555">
        <v>7.8E-2</v>
      </c>
      <c r="F15" s="202">
        <f>F13*E15</f>
        <v>0</v>
      </c>
      <c r="G15" s="13"/>
      <c r="H15" s="13"/>
      <c r="I15" s="13"/>
      <c r="J15" s="13"/>
      <c r="K15" s="13"/>
      <c r="L15" s="156"/>
      <c r="M15" s="156"/>
      <c r="N15" s="274"/>
      <c r="O15" s="529"/>
    </row>
    <row r="16" spans="1:15" s="74" customFormat="1" ht="31.5" hidden="1">
      <c r="A16" s="1107" t="s">
        <v>69</v>
      </c>
      <c r="B16" s="271" t="s">
        <v>256</v>
      </c>
      <c r="C16" s="739" t="s">
        <v>797</v>
      </c>
      <c r="D16" s="260" t="s">
        <v>47</v>
      </c>
      <c r="E16" s="243"/>
      <c r="F16" s="76">
        <v>0</v>
      </c>
      <c r="G16" s="22"/>
      <c r="H16" s="412"/>
      <c r="I16" s="22"/>
      <c r="J16" s="412"/>
      <c r="K16" s="21"/>
      <c r="L16" s="412"/>
      <c r="M16" s="412"/>
      <c r="N16" s="274"/>
      <c r="O16" s="529"/>
    </row>
    <row r="17" spans="1:15" s="74" customFormat="1" ht="16.5" hidden="1">
      <c r="A17" s="1108"/>
      <c r="B17" s="271"/>
      <c r="C17" s="742" t="s">
        <v>54</v>
      </c>
      <c r="D17" s="44" t="s">
        <v>12</v>
      </c>
      <c r="E17" s="555">
        <v>0.32300000000000001</v>
      </c>
      <c r="F17" s="202">
        <f>F16*E17</f>
        <v>0</v>
      </c>
      <c r="G17" s="13"/>
      <c r="H17" s="13"/>
      <c r="I17" s="13"/>
      <c r="J17" s="13"/>
      <c r="K17" s="13"/>
      <c r="L17" s="156"/>
      <c r="M17" s="156"/>
      <c r="N17" s="274"/>
      <c r="O17" s="529"/>
    </row>
    <row r="18" spans="1:15" s="74" customFormat="1" ht="16.5" hidden="1">
      <c r="A18" s="1109"/>
      <c r="B18" s="271"/>
      <c r="C18" s="741" t="s">
        <v>11</v>
      </c>
      <c r="D18" s="426" t="s">
        <v>9</v>
      </c>
      <c r="E18" s="555">
        <v>1.4999999999999999E-2</v>
      </c>
      <c r="F18" s="202">
        <f>F16*E18</f>
        <v>0</v>
      </c>
      <c r="G18" s="13"/>
      <c r="H18" s="13"/>
      <c r="I18" s="13"/>
      <c r="J18" s="13"/>
      <c r="K18" s="13"/>
      <c r="L18" s="156"/>
      <c r="M18" s="156"/>
      <c r="N18" s="274"/>
      <c r="O18" s="529"/>
    </row>
    <row r="19" spans="1:15" s="74" customFormat="1" ht="16.5" hidden="1">
      <c r="A19" s="1107" t="s">
        <v>85</v>
      </c>
      <c r="B19" s="260" t="s">
        <v>254</v>
      </c>
      <c r="C19" s="716" t="s">
        <v>255</v>
      </c>
      <c r="D19" s="260" t="s">
        <v>39</v>
      </c>
      <c r="E19" s="401"/>
      <c r="F19" s="24">
        <f>F16*0.05</f>
        <v>0</v>
      </c>
      <c r="G19" s="412"/>
      <c r="H19" s="412"/>
      <c r="I19" s="412"/>
      <c r="J19" s="412"/>
      <c r="K19" s="412"/>
      <c r="L19" s="412"/>
      <c r="M19" s="156"/>
      <c r="N19" s="274"/>
      <c r="O19" s="529"/>
    </row>
    <row r="20" spans="1:15" s="74" customFormat="1" ht="16.5" hidden="1">
      <c r="A20" s="1108"/>
      <c r="B20" s="260"/>
      <c r="C20" s="742" t="s">
        <v>54</v>
      </c>
      <c r="D20" s="44" t="s">
        <v>12</v>
      </c>
      <c r="E20" s="555">
        <v>7.3</v>
      </c>
      <c r="F20" s="202">
        <f>F19*E20</f>
        <v>0</v>
      </c>
      <c r="G20" s="13"/>
      <c r="H20" s="13"/>
      <c r="I20" s="13"/>
      <c r="J20" s="13"/>
      <c r="K20" s="13"/>
      <c r="L20" s="156"/>
      <c r="M20" s="156"/>
      <c r="N20" s="274"/>
      <c r="O20" s="529"/>
    </row>
    <row r="21" spans="1:15" s="74" customFormat="1" ht="16.5" hidden="1">
      <c r="A21" s="1109"/>
      <c r="B21" s="260"/>
      <c r="C21" s="741" t="s">
        <v>11</v>
      </c>
      <c r="D21" s="426" t="s">
        <v>9</v>
      </c>
      <c r="E21" s="555">
        <v>2.9</v>
      </c>
      <c r="F21" s="202">
        <f>F19*E21</f>
        <v>0</v>
      </c>
      <c r="G21" s="13"/>
      <c r="H21" s="13"/>
      <c r="I21" s="13"/>
      <c r="J21" s="13"/>
      <c r="K21" s="13"/>
      <c r="L21" s="156"/>
      <c r="M21" s="156"/>
      <c r="N21" s="274"/>
      <c r="O21" s="529"/>
    </row>
    <row r="22" spans="1:15" s="74" customFormat="1" ht="16.5" hidden="1">
      <c r="A22" s="1107" t="s">
        <v>79</v>
      </c>
      <c r="B22" s="260" t="s">
        <v>257</v>
      </c>
      <c r="C22" s="739" t="s">
        <v>715</v>
      </c>
      <c r="D22" s="260" t="s">
        <v>43</v>
      </c>
      <c r="E22" s="243"/>
      <c r="F22" s="76">
        <v>0</v>
      </c>
      <c r="G22" s="22"/>
      <c r="H22" s="412"/>
      <c r="I22" s="22"/>
      <c r="J22" s="412"/>
      <c r="K22" s="21"/>
      <c r="L22" s="156"/>
      <c r="M22" s="412"/>
      <c r="N22" s="274"/>
      <c r="O22" s="529"/>
    </row>
    <row r="23" spans="1:15" s="74" customFormat="1" ht="16.5" hidden="1">
      <c r="A23" s="1109"/>
      <c r="B23" s="260"/>
      <c r="C23" s="544" t="s">
        <v>54</v>
      </c>
      <c r="D23" s="401" t="s">
        <v>12</v>
      </c>
      <c r="E23" s="401">
        <v>0.78500000000000003</v>
      </c>
      <c r="F23" s="411">
        <f>F22*E23</f>
        <v>0</v>
      </c>
      <c r="G23" s="412"/>
      <c r="H23" s="412"/>
      <c r="I23" s="412"/>
      <c r="J23" s="412"/>
      <c r="K23" s="412"/>
      <c r="L23" s="156"/>
      <c r="M23" s="412"/>
      <c r="N23" s="274"/>
      <c r="O23" s="529"/>
    </row>
    <row r="24" spans="1:15" s="74" customFormat="1" ht="31.5" hidden="1">
      <c r="A24" s="1107" t="s">
        <v>80</v>
      </c>
      <c r="B24" s="260" t="s">
        <v>716</v>
      </c>
      <c r="C24" s="739" t="s">
        <v>622</v>
      </c>
      <c r="D24" s="260" t="s">
        <v>47</v>
      </c>
      <c r="E24" s="872">
        <f>92.12+43.63</f>
        <v>135.75</v>
      </c>
      <c r="F24" s="76"/>
      <c r="G24" s="22"/>
      <c r="H24" s="412"/>
      <c r="I24" s="22"/>
      <c r="J24" s="412"/>
      <c r="K24" s="21"/>
      <c r="L24" s="156"/>
      <c r="M24" s="412"/>
      <c r="N24" s="274"/>
      <c r="O24" s="529"/>
    </row>
    <row r="25" spans="1:15" s="74" customFormat="1" ht="16.5" hidden="1">
      <c r="A25" s="1108"/>
      <c r="B25" s="260"/>
      <c r="C25" s="742" t="s">
        <v>54</v>
      </c>
      <c r="D25" s="44" t="s">
        <v>12</v>
      </c>
      <c r="E25" s="555">
        <v>0.12</v>
      </c>
      <c r="F25" s="202">
        <f>F24*E25</f>
        <v>0</v>
      </c>
      <c r="G25" s="13"/>
      <c r="H25" s="13"/>
      <c r="I25" s="13"/>
      <c r="J25" s="13"/>
      <c r="K25" s="13"/>
      <c r="L25" s="156"/>
      <c r="M25" s="156"/>
      <c r="N25" s="274"/>
      <c r="O25" s="529"/>
    </row>
    <row r="26" spans="1:15" s="74" customFormat="1" ht="16.5" hidden="1">
      <c r="A26" s="1109"/>
      <c r="B26" s="260"/>
      <c r="C26" s="741" t="s">
        <v>11</v>
      </c>
      <c r="D26" s="426" t="s">
        <v>9</v>
      </c>
      <c r="E26" s="555">
        <v>0</v>
      </c>
      <c r="F26" s="202">
        <f>F24*E26</f>
        <v>0</v>
      </c>
      <c r="G26" s="13"/>
      <c r="H26" s="13"/>
      <c r="I26" s="13"/>
      <c r="J26" s="13"/>
      <c r="K26" s="13"/>
      <c r="L26" s="156"/>
      <c r="M26" s="156"/>
      <c r="N26" s="274"/>
      <c r="O26" s="529"/>
    </row>
    <row r="27" spans="1:15" s="74" customFormat="1" ht="31.5" hidden="1">
      <c r="A27" s="1107" t="s">
        <v>81</v>
      </c>
      <c r="B27" s="260" t="s">
        <v>718</v>
      </c>
      <c r="C27" s="739" t="s">
        <v>717</v>
      </c>
      <c r="D27" s="260" t="s">
        <v>39</v>
      </c>
      <c r="E27" s="243"/>
      <c r="F27" s="76">
        <f>F24*0.12</f>
        <v>0</v>
      </c>
      <c r="G27" s="22"/>
      <c r="H27" s="412"/>
      <c r="I27" s="22"/>
      <c r="J27" s="412"/>
      <c r="K27" s="21"/>
      <c r="L27" s="412"/>
      <c r="M27" s="412"/>
      <c r="N27" s="274"/>
      <c r="O27" s="529"/>
    </row>
    <row r="28" spans="1:15" s="74" customFormat="1" ht="16.5" hidden="1">
      <c r="A28" s="1108"/>
      <c r="B28" s="260"/>
      <c r="C28" s="742" t="s">
        <v>54</v>
      </c>
      <c r="D28" s="44" t="s">
        <v>12</v>
      </c>
      <c r="E28" s="555">
        <v>22</v>
      </c>
      <c r="F28" s="202">
        <f>F27*E28</f>
        <v>0</v>
      </c>
      <c r="G28" s="13"/>
      <c r="H28" s="13"/>
      <c r="I28" s="13"/>
      <c r="J28" s="13"/>
      <c r="K28" s="13"/>
      <c r="L28" s="156"/>
      <c r="M28" s="156"/>
      <c r="N28" s="274"/>
      <c r="O28" s="529"/>
    </row>
    <row r="29" spans="1:15" s="74" customFormat="1" ht="16.5" hidden="1">
      <c r="A29" s="1109"/>
      <c r="B29" s="260"/>
      <c r="C29" s="741" t="s">
        <v>11</v>
      </c>
      <c r="D29" s="426" t="s">
        <v>9</v>
      </c>
      <c r="E29" s="555">
        <v>16.8</v>
      </c>
      <c r="F29" s="202">
        <f>F27*E29</f>
        <v>0</v>
      </c>
      <c r="G29" s="13"/>
      <c r="H29" s="13"/>
      <c r="I29" s="13"/>
      <c r="J29" s="13"/>
      <c r="K29" s="13"/>
      <c r="L29" s="156"/>
      <c r="M29" s="156"/>
      <c r="N29" s="274"/>
      <c r="O29" s="529"/>
    </row>
    <row r="30" spans="1:15" s="74" customFormat="1" ht="16.5" hidden="1">
      <c r="A30" s="1107" t="s">
        <v>77</v>
      </c>
      <c r="B30" s="260" t="s">
        <v>718</v>
      </c>
      <c r="C30" s="739" t="s">
        <v>733</v>
      </c>
      <c r="D30" s="260" t="s">
        <v>39</v>
      </c>
      <c r="E30" s="243"/>
      <c r="F30" s="76">
        <v>0</v>
      </c>
      <c r="G30" s="13"/>
      <c r="H30" s="13"/>
      <c r="I30" s="13"/>
      <c r="J30" s="13"/>
      <c r="K30" s="13"/>
      <c r="L30" s="156"/>
      <c r="M30" s="156"/>
      <c r="N30" s="274"/>
      <c r="O30" s="529"/>
    </row>
    <row r="31" spans="1:15" s="74" customFormat="1" ht="16.5" hidden="1">
      <c r="A31" s="1108"/>
      <c r="B31" s="260"/>
      <c r="C31" s="742" t="s">
        <v>54</v>
      </c>
      <c r="D31" s="44" t="s">
        <v>12</v>
      </c>
      <c r="E31" s="555">
        <v>22</v>
      </c>
      <c r="F31" s="202">
        <f>F30*E31</f>
        <v>0</v>
      </c>
      <c r="G31" s="13"/>
      <c r="H31" s="13"/>
      <c r="I31" s="13"/>
      <c r="J31" s="13"/>
      <c r="K31" s="13"/>
      <c r="L31" s="156"/>
      <c r="M31" s="156"/>
      <c r="N31" s="274"/>
      <c r="O31" s="529"/>
    </row>
    <row r="32" spans="1:15" s="74" customFormat="1" ht="16.5" hidden="1">
      <c r="A32" s="1109"/>
      <c r="B32" s="260"/>
      <c r="C32" s="741" t="s">
        <v>11</v>
      </c>
      <c r="D32" s="426" t="s">
        <v>9</v>
      </c>
      <c r="E32" s="555">
        <v>16.8</v>
      </c>
      <c r="F32" s="202">
        <f>F30*E32</f>
        <v>0</v>
      </c>
      <c r="G32" s="13"/>
      <c r="H32" s="13"/>
      <c r="I32" s="13"/>
      <c r="J32" s="13"/>
      <c r="K32" s="13"/>
      <c r="L32" s="156"/>
      <c r="M32" s="156"/>
      <c r="N32" s="274"/>
      <c r="O32" s="529"/>
    </row>
    <row r="33" spans="1:15" s="74" customFormat="1" ht="31.5" hidden="1">
      <c r="A33" s="1107" t="s">
        <v>42</v>
      </c>
      <c r="B33" s="717" t="s">
        <v>621</v>
      </c>
      <c r="C33" s="716" t="s">
        <v>796</v>
      </c>
      <c r="D33" s="15" t="s">
        <v>43</v>
      </c>
      <c r="E33" s="15"/>
      <c r="F33" s="24">
        <v>0</v>
      </c>
      <c r="G33" s="700"/>
      <c r="H33" s="700"/>
      <c r="I33" s="700"/>
      <c r="J33" s="700"/>
      <c r="K33" s="700"/>
      <c r="L33" s="156"/>
      <c r="M33" s="700"/>
      <c r="N33" s="274"/>
      <c r="O33" s="529"/>
    </row>
    <row r="34" spans="1:15" s="74" customFormat="1" ht="16.5" hidden="1">
      <c r="A34" s="1108"/>
      <c r="B34" s="260" t="s">
        <v>24</v>
      </c>
      <c r="C34" s="742" t="s">
        <v>54</v>
      </c>
      <c r="D34" s="44" t="s">
        <v>12</v>
      </c>
      <c r="E34" s="718">
        <v>0.41599999999999998</v>
      </c>
      <c r="F34" s="202">
        <f>F33*E34</f>
        <v>0</v>
      </c>
      <c r="G34" s="13"/>
      <c r="H34" s="13"/>
      <c r="I34" s="13"/>
      <c r="J34" s="13"/>
      <c r="K34" s="13"/>
      <c r="L34" s="156"/>
      <c r="M34" s="156"/>
      <c r="N34" s="274"/>
      <c r="O34" s="529"/>
    </row>
    <row r="35" spans="1:15" s="74" customFormat="1" ht="16.5" hidden="1">
      <c r="A35" s="1109"/>
      <c r="B35" s="260"/>
      <c r="C35" s="741" t="s">
        <v>11</v>
      </c>
      <c r="D35" s="426" t="s">
        <v>9</v>
      </c>
      <c r="E35" s="718">
        <v>8.0000000000000002E-3</v>
      </c>
      <c r="F35" s="202">
        <f>F33*E35</f>
        <v>0</v>
      </c>
      <c r="G35" s="13"/>
      <c r="H35" s="13"/>
      <c r="I35" s="13"/>
      <c r="J35" s="13"/>
      <c r="K35" s="13"/>
      <c r="L35" s="156"/>
      <c r="M35" s="156"/>
      <c r="N35" s="274"/>
      <c r="O35" s="529"/>
    </row>
    <row r="36" spans="1:15" s="74" customFormat="1" ht="31.5" hidden="1">
      <c r="A36" s="1107" t="s">
        <v>46</v>
      </c>
      <c r="B36" s="260" t="s">
        <v>259</v>
      </c>
      <c r="C36" s="857" t="s">
        <v>719</v>
      </c>
      <c r="D36" s="858" t="s">
        <v>39</v>
      </c>
      <c r="E36" s="859"/>
      <c r="F36" s="23">
        <v>0</v>
      </c>
      <c r="G36" s="13"/>
      <c r="H36" s="13"/>
      <c r="I36" s="13"/>
      <c r="J36" s="13"/>
      <c r="K36" s="13"/>
      <c r="L36" s="156"/>
      <c r="M36" s="156"/>
      <c r="N36" s="274"/>
      <c r="O36" s="529"/>
    </row>
    <row r="37" spans="1:15" s="74" customFormat="1" ht="16.5" hidden="1">
      <c r="A37" s="1108"/>
      <c r="B37" s="260"/>
      <c r="C37" s="742" t="s">
        <v>54</v>
      </c>
      <c r="D37" s="44" t="s">
        <v>12</v>
      </c>
      <c r="E37" s="555">
        <v>13.2</v>
      </c>
      <c r="F37" s="202">
        <f>F36*E37</f>
        <v>0</v>
      </c>
      <c r="G37" s="13"/>
      <c r="H37" s="13"/>
      <c r="I37" s="13"/>
      <c r="J37" s="13"/>
      <c r="K37" s="13"/>
      <c r="L37" s="156"/>
      <c r="M37" s="156"/>
      <c r="N37" s="274"/>
      <c r="O37" s="529"/>
    </row>
    <row r="38" spans="1:15" s="74" customFormat="1" ht="16.5" hidden="1">
      <c r="A38" s="1109"/>
      <c r="B38" s="260"/>
      <c r="C38" s="741" t="s">
        <v>11</v>
      </c>
      <c r="D38" s="426" t="s">
        <v>9</v>
      </c>
      <c r="E38" s="555">
        <v>9.6300000000000008</v>
      </c>
      <c r="F38" s="202">
        <f>F36*E38</f>
        <v>0</v>
      </c>
      <c r="G38" s="13"/>
      <c r="H38" s="13"/>
      <c r="I38" s="13"/>
      <c r="J38" s="13"/>
      <c r="K38" s="13"/>
      <c r="L38" s="156"/>
      <c r="M38" s="156"/>
      <c r="N38" s="274"/>
      <c r="O38" s="529"/>
    </row>
    <row r="39" spans="1:15" s="74" customFormat="1" ht="16.5" hidden="1">
      <c r="A39" s="1107" t="s">
        <v>48</v>
      </c>
      <c r="B39" s="260" t="s">
        <v>259</v>
      </c>
      <c r="C39" s="857" t="s">
        <v>795</v>
      </c>
      <c r="D39" s="858" t="s">
        <v>39</v>
      </c>
      <c r="E39" s="859"/>
      <c r="F39" s="23">
        <v>0</v>
      </c>
      <c r="G39" s="13"/>
      <c r="H39" s="13"/>
      <c r="I39" s="13"/>
      <c r="J39" s="13"/>
      <c r="K39" s="13"/>
      <c r="L39" s="156"/>
      <c r="M39" s="156"/>
      <c r="N39" s="274"/>
      <c r="O39" s="529"/>
    </row>
    <row r="40" spans="1:15" s="74" customFormat="1" ht="16.5" hidden="1">
      <c r="A40" s="1108"/>
      <c r="B40" s="260"/>
      <c r="C40" s="742" t="s">
        <v>54</v>
      </c>
      <c r="D40" s="44" t="s">
        <v>12</v>
      </c>
      <c r="E40" s="555">
        <v>13.2</v>
      </c>
      <c r="F40" s="202">
        <f>F39*E40</f>
        <v>0</v>
      </c>
      <c r="G40" s="13"/>
      <c r="H40" s="13"/>
      <c r="I40" s="13"/>
      <c r="J40" s="13"/>
      <c r="K40" s="13"/>
      <c r="L40" s="156"/>
      <c r="M40" s="156"/>
      <c r="N40" s="274"/>
      <c r="O40" s="529"/>
    </row>
    <row r="41" spans="1:15" s="74" customFormat="1" ht="16.5" hidden="1">
      <c r="A41" s="1109"/>
      <c r="B41" s="260"/>
      <c r="C41" s="741" t="s">
        <v>11</v>
      </c>
      <c r="D41" s="426" t="s">
        <v>9</v>
      </c>
      <c r="E41" s="555">
        <v>9.6300000000000008</v>
      </c>
      <c r="F41" s="202">
        <f>F39*E41</f>
        <v>0</v>
      </c>
      <c r="G41" s="13"/>
      <c r="H41" s="13"/>
      <c r="I41" s="13"/>
      <c r="J41" s="13"/>
      <c r="K41" s="13"/>
      <c r="L41" s="156"/>
      <c r="M41" s="156"/>
      <c r="N41" s="274"/>
      <c r="O41" s="529"/>
    </row>
    <row r="42" spans="1:15" s="74" customFormat="1" ht="31.5" hidden="1">
      <c r="A42" s="918" t="s">
        <v>159</v>
      </c>
      <c r="B42" s="260" t="s">
        <v>24</v>
      </c>
      <c r="C42" s="739" t="s">
        <v>799</v>
      </c>
      <c r="D42" s="260" t="s">
        <v>75</v>
      </c>
      <c r="E42" s="243"/>
      <c r="F42" s="76">
        <v>0</v>
      </c>
      <c r="G42" s="22"/>
      <c r="H42" s="921"/>
      <c r="I42" s="22"/>
      <c r="J42" s="13"/>
      <c r="K42" s="21"/>
      <c r="L42" s="156"/>
      <c r="M42" s="156"/>
      <c r="N42" s="274"/>
      <c r="O42" s="529"/>
    </row>
    <row r="43" spans="1:15" s="74" customFormat="1" ht="31.5" hidden="1">
      <c r="A43" s="1107" t="s">
        <v>53</v>
      </c>
      <c r="B43" s="260" t="s">
        <v>628</v>
      </c>
      <c r="C43" s="739" t="s">
        <v>623</v>
      </c>
      <c r="D43" s="260" t="s">
        <v>52</v>
      </c>
      <c r="E43" s="243"/>
      <c r="F43" s="76">
        <v>0</v>
      </c>
      <c r="G43" s="22"/>
      <c r="H43" s="700"/>
      <c r="I43" s="22"/>
      <c r="J43" s="13"/>
      <c r="K43" s="21"/>
      <c r="L43" s="156"/>
      <c r="M43" s="156"/>
      <c r="N43" s="274"/>
      <c r="O43" s="529"/>
    </row>
    <row r="44" spans="1:15" s="74" customFormat="1" ht="16.5" hidden="1">
      <c r="A44" s="1108"/>
      <c r="B44" s="260" t="s">
        <v>24</v>
      </c>
      <c r="C44" s="743" t="s">
        <v>54</v>
      </c>
      <c r="D44" s="42" t="s">
        <v>52</v>
      </c>
      <c r="E44" s="243">
        <v>1</v>
      </c>
      <c r="F44" s="43">
        <f>F43*E44</f>
        <v>0</v>
      </c>
      <c r="G44" s="22"/>
      <c r="H44" s="700"/>
      <c r="I44" s="22"/>
      <c r="J44" s="700"/>
      <c r="K44" s="700"/>
      <c r="L44" s="700"/>
      <c r="M44" s="700"/>
      <c r="N44" s="274"/>
      <c r="O44" s="529"/>
    </row>
    <row r="45" spans="1:15" s="74" customFormat="1" ht="16.5" hidden="1">
      <c r="A45" s="1109"/>
      <c r="B45" s="260"/>
      <c r="C45" s="741" t="s">
        <v>11</v>
      </c>
      <c r="D45" s="426" t="s">
        <v>9</v>
      </c>
      <c r="E45" s="555">
        <f>0.0115+0.0315</f>
        <v>4.2999999999999997E-2</v>
      </c>
      <c r="F45" s="202">
        <f>F43*E45</f>
        <v>0</v>
      </c>
      <c r="G45" s="13"/>
      <c r="H45" s="13"/>
      <c r="I45" s="13"/>
      <c r="J45" s="13"/>
      <c r="K45" s="13"/>
      <c r="L45" s="156"/>
      <c r="M45" s="156"/>
      <c r="N45" s="274"/>
      <c r="O45" s="529"/>
    </row>
    <row r="46" spans="1:15" s="74" customFormat="1" ht="31.5" hidden="1">
      <c r="A46" s="1107" t="s">
        <v>160</v>
      </c>
      <c r="B46" s="260" t="s">
        <v>629</v>
      </c>
      <c r="C46" s="739" t="s">
        <v>627</v>
      </c>
      <c r="D46" s="260" t="s">
        <v>52</v>
      </c>
      <c r="E46" s="243"/>
      <c r="F46" s="76">
        <v>0</v>
      </c>
      <c r="G46" s="22"/>
      <c r="H46" s="712"/>
      <c r="I46" s="22"/>
      <c r="J46" s="13"/>
      <c r="K46" s="21"/>
      <c r="L46" s="156"/>
      <c r="M46" s="156"/>
      <c r="N46" s="274"/>
      <c r="O46" s="529"/>
    </row>
    <row r="47" spans="1:15" s="74" customFormat="1" ht="16.5" hidden="1">
      <c r="A47" s="1108"/>
      <c r="B47" s="260" t="s">
        <v>24</v>
      </c>
      <c r="C47" s="743" t="s">
        <v>54</v>
      </c>
      <c r="D47" s="42" t="s">
        <v>52</v>
      </c>
      <c r="E47" s="243">
        <v>1</v>
      </c>
      <c r="F47" s="43">
        <f>F46*E47</f>
        <v>0</v>
      </c>
      <c r="G47" s="22"/>
      <c r="H47" s="712"/>
      <c r="I47" s="22"/>
      <c r="J47" s="712"/>
      <c r="K47" s="712"/>
      <c r="L47" s="712"/>
      <c r="M47" s="712"/>
      <c r="N47" s="274"/>
      <c r="O47" s="529"/>
    </row>
    <row r="48" spans="1:15" s="74" customFormat="1" ht="16.5" hidden="1">
      <c r="A48" s="1109"/>
      <c r="B48" s="260"/>
      <c r="C48" s="741" t="s">
        <v>11</v>
      </c>
      <c r="D48" s="426" t="s">
        <v>9</v>
      </c>
      <c r="E48" s="555">
        <f>0.75/100</f>
        <v>7.4999999999999997E-3</v>
      </c>
      <c r="F48" s="202">
        <f>F46*E48</f>
        <v>0</v>
      </c>
      <c r="G48" s="13"/>
      <c r="H48" s="13"/>
      <c r="I48" s="13"/>
      <c r="J48" s="13"/>
      <c r="K48" s="13"/>
      <c r="L48" s="156"/>
      <c r="M48" s="156"/>
      <c r="N48" s="274"/>
      <c r="O48" s="529"/>
    </row>
    <row r="49" spans="1:17" s="74" customFormat="1" ht="16.5" hidden="1">
      <c r="A49" s="870" t="s">
        <v>185</v>
      </c>
      <c r="B49" s="260" t="s">
        <v>24</v>
      </c>
      <c r="C49" s="739" t="s">
        <v>798</v>
      </c>
      <c r="D49" s="260" t="s">
        <v>75</v>
      </c>
      <c r="E49" s="243"/>
      <c r="F49" s="76">
        <v>0</v>
      </c>
      <c r="G49" s="22"/>
      <c r="H49" s="871"/>
      <c r="I49" s="22"/>
      <c r="J49" s="13"/>
      <c r="K49" s="21"/>
      <c r="L49" s="156"/>
      <c r="M49" s="156"/>
      <c r="N49" s="274"/>
      <c r="O49" s="529"/>
    </row>
    <row r="50" spans="1:17" s="74" customFormat="1" ht="31.5" hidden="1">
      <c r="A50" s="870" t="s">
        <v>192</v>
      </c>
      <c r="B50" s="260" t="s">
        <v>24</v>
      </c>
      <c r="C50" s="739" t="s">
        <v>258</v>
      </c>
      <c r="D50" s="260" t="s">
        <v>52</v>
      </c>
      <c r="E50" s="243"/>
      <c r="F50" s="76">
        <v>0</v>
      </c>
      <c r="G50" s="22"/>
      <c r="H50" s="412"/>
      <c r="I50" s="22"/>
      <c r="J50" s="412"/>
      <c r="K50" s="21"/>
      <c r="L50" s="156"/>
      <c r="M50" s="412"/>
      <c r="N50" s="274"/>
      <c r="O50" s="529"/>
    </row>
    <row r="51" spans="1:17" s="74" customFormat="1" ht="31.5" hidden="1">
      <c r="A51" s="410" t="s">
        <v>186</v>
      </c>
      <c r="B51" s="260" t="s">
        <v>24</v>
      </c>
      <c r="C51" s="739" t="s">
        <v>619</v>
      </c>
      <c r="D51" s="260" t="s">
        <v>52</v>
      </c>
      <c r="E51" s="243"/>
      <c r="F51" s="76"/>
      <c r="G51" s="22"/>
      <c r="H51" s="412"/>
      <c r="I51" s="22"/>
      <c r="J51" s="412"/>
      <c r="K51" s="21"/>
      <c r="L51" s="156"/>
      <c r="M51" s="412"/>
      <c r="N51" s="274"/>
      <c r="O51" s="529"/>
    </row>
    <row r="52" spans="1:17" s="74" customFormat="1" ht="31.5" hidden="1">
      <c r="A52" s="870" t="s">
        <v>188</v>
      </c>
      <c r="B52" s="260" t="s">
        <v>24</v>
      </c>
      <c r="C52" s="739" t="s">
        <v>260</v>
      </c>
      <c r="D52" s="260" t="s">
        <v>52</v>
      </c>
      <c r="E52" s="243"/>
      <c r="F52" s="76"/>
      <c r="G52" s="22"/>
      <c r="H52" s="412"/>
      <c r="I52" s="22"/>
      <c r="J52" s="13"/>
      <c r="K52" s="21"/>
      <c r="L52" s="156"/>
      <c r="M52" s="156"/>
      <c r="N52" s="274"/>
      <c r="O52" s="529"/>
    </row>
    <row r="53" spans="1:17" s="74" customFormat="1" ht="31.5" hidden="1">
      <c r="A53" s="870" t="s">
        <v>189</v>
      </c>
      <c r="B53" s="260" t="s">
        <v>24</v>
      </c>
      <c r="C53" s="739" t="s">
        <v>620</v>
      </c>
      <c r="D53" s="260" t="s">
        <v>52</v>
      </c>
      <c r="E53" s="243"/>
      <c r="F53" s="76"/>
      <c r="G53" s="22"/>
      <c r="H53" s="700"/>
      <c r="I53" s="22"/>
      <c r="J53" s="13"/>
      <c r="K53" s="21"/>
      <c r="L53" s="156"/>
      <c r="M53" s="156"/>
      <c r="N53" s="274"/>
      <c r="O53" s="529"/>
    </row>
    <row r="54" spans="1:17" s="74" customFormat="1" ht="63" hidden="1">
      <c r="A54" s="870" t="s">
        <v>190</v>
      </c>
      <c r="B54" s="260" t="s">
        <v>24</v>
      </c>
      <c r="C54" s="739" t="s">
        <v>731</v>
      </c>
      <c r="D54" s="260" t="s">
        <v>75</v>
      </c>
      <c r="E54" s="243"/>
      <c r="F54" s="76"/>
      <c r="G54" s="22"/>
      <c r="H54" s="700"/>
      <c r="I54" s="22"/>
      <c r="J54" s="13"/>
      <c r="K54" s="21"/>
      <c r="L54" s="156"/>
      <c r="M54" s="156"/>
      <c r="N54" s="274"/>
      <c r="O54" s="529"/>
    </row>
    <row r="55" spans="1:17" s="74" customFormat="1" ht="31.5" hidden="1">
      <c r="A55" s="870" t="s">
        <v>428</v>
      </c>
      <c r="B55" s="260" t="s">
        <v>24</v>
      </c>
      <c r="C55" s="739" t="s">
        <v>732</v>
      </c>
      <c r="D55" s="260" t="s">
        <v>75</v>
      </c>
      <c r="E55" s="243"/>
      <c r="F55" s="76"/>
      <c r="G55" s="22"/>
      <c r="H55" s="871"/>
      <c r="I55" s="22"/>
      <c r="J55" s="13"/>
      <c r="K55" s="21"/>
      <c r="L55" s="156"/>
      <c r="M55" s="156"/>
      <c r="N55" s="274"/>
      <c r="O55" s="529"/>
    </row>
    <row r="56" spans="1:17" s="74" customFormat="1" ht="16.5" hidden="1">
      <c r="A56" s="918" t="s">
        <v>429</v>
      </c>
      <c r="B56" s="260"/>
      <c r="C56" s="739" t="s">
        <v>818</v>
      </c>
      <c r="D56" s="260" t="s">
        <v>75</v>
      </c>
      <c r="E56" s="243"/>
      <c r="F56" s="76">
        <v>0</v>
      </c>
      <c r="G56" s="22"/>
      <c r="H56" s="921"/>
      <c r="I56" s="22"/>
      <c r="J56" s="13"/>
      <c r="K56" s="21"/>
      <c r="L56" s="156"/>
      <c r="M56" s="156"/>
      <c r="N56" s="274"/>
      <c r="O56" s="529"/>
    </row>
    <row r="57" spans="1:17" s="74" customFormat="1" ht="16.5" hidden="1">
      <c r="A57" s="410"/>
      <c r="B57" s="260"/>
      <c r="C57" s="739"/>
      <c r="D57" s="260"/>
      <c r="E57" s="243"/>
      <c r="F57" s="76"/>
      <c r="G57" s="22"/>
      <c r="H57" s="412"/>
      <c r="I57" s="22"/>
      <c r="J57" s="412"/>
      <c r="K57" s="21"/>
      <c r="L57" s="412"/>
      <c r="M57" s="412"/>
      <c r="N57" s="274"/>
      <c r="O57" s="529"/>
    </row>
    <row r="58" spans="1:17" s="74" customFormat="1" ht="16.5">
      <c r="A58" s="436"/>
      <c r="B58" s="77"/>
      <c r="C58" s="982" t="s">
        <v>858</v>
      </c>
      <c r="D58" s="77"/>
      <c r="E58" s="983"/>
      <c r="F58" s="984"/>
      <c r="G58" s="22"/>
      <c r="H58" s="973"/>
      <c r="I58" s="22"/>
      <c r="J58" s="973"/>
      <c r="K58" s="21"/>
      <c r="L58" s="973"/>
      <c r="M58" s="156"/>
      <c r="N58" s="274"/>
      <c r="O58" s="529"/>
    </row>
    <row r="59" spans="1:17" s="74" customFormat="1" ht="31.5">
      <c r="A59" s="1104" t="s">
        <v>201</v>
      </c>
      <c r="B59" s="260" t="s">
        <v>859</v>
      </c>
      <c r="C59" s="56" t="s">
        <v>860</v>
      </c>
      <c r="D59" s="260" t="s">
        <v>861</v>
      </c>
      <c r="E59" s="151"/>
      <c r="F59" s="151">
        <f>500/10000</f>
        <v>0.05</v>
      </c>
      <c r="G59" s="986"/>
      <c r="H59" s="986"/>
      <c r="I59" s="986"/>
      <c r="J59" s="986"/>
      <c r="K59" s="986"/>
      <c r="L59" s="986"/>
      <c r="M59" s="986"/>
      <c r="N59" s="274"/>
      <c r="O59" s="529"/>
    </row>
    <row r="60" spans="1:17" s="74" customFormat="1" ht="16.5">
      <c r="A60" s="1105"/>
      <c r="B60" s="260" t="s">
        <v>168</v>
      </c>
      <c r="C60" s="27" t="s">
        <v>862</v>
      </c>
      <c r="D60" s="974" t="s">
        <v>44</v>
      </c>
      <c r="E60" s="737"/>
      <c r="F60" s="737">
        <v>4</v>
      </c>
      <c r="G60" s="986"/>
      <c r="H60" s="986"/>
      <c r="I60" s="986"/>
      <c r="J60" s="986"/>
      <c r="K60" s="986"/>
      <c r="L60" s="986"/>
      <c r="M60" s="986"/>
      <c r="N60" s="274"/>
      <c r="O60" s="985"/>
      <c r="P60" s="243"/>
      <c r="Q60" s="21"/>
    </row>
    <row r="61" spans="1:17" s="74" customFormat="1" ht="16.5">
      <c r="A61" s="1105"/>
      <c r="B61" s="260" t="s">
        <v>151</v>
      </c>
      <c r="C61" s="27" t="s">
        <v>863</v>
      </c>
      <c r="D61" s="974" t="s">
        <v>44</v>
      </c>
      <c r="E61" s="737"/>
      <c r="F61" s="737">
        <v>4</v>
      </c>
      <c r="G61" s="986"/>
      <c r="H61" s="986"/>
      <c r="I61" s="986"/>
      <c r="J61" s="986"/>
      <c r="K61" s="986"/>
      <c r="L61" s="986"/>
      <c r="M61" s="986"/>
      <c r="N61" s="274"/>
      <c r="O61" s="985"/>
      <c r="P61" s="243"/>
      <c r="Q61" s="21"/>
    </row>
    <row r="62" spans="1:17" s="74" customFormat="1" ht="16.5">
      <c r="A62" s="1106"/>
      <c r="B62" s="260"/>
      <c r="C62" s="27" t="s">
        <v>38</v>
      </c>
      <c r="D62" s="974" t="s">
        <v>47</v>
      </c>
      <c r="E62" s="737">
        <v>10000</v>
      </c>
      <c r="F62" s="737">
        <f>F59*E62</f>
        <v>500</v>
      </c>
      <c r="G62" s="986"/>
      <c r="H62" s="986"/>
      <c r="I62" s="986"/>
      <c r="J62" s="986"/>
      <c r="K62" s="986"/>
      <c r="L62" s="986"/>
      <c r="M62" s="986"/>
      <c r="N62" s="274"/>
      <c r="O62" s="985"/>
      <c r="P62" s="243"/>
      <c r="Q62" s="21"/>
    </row>
    <row r="63" spans="1:17" s="74" customFormat="1" ht="0.75" customHeight="1">
      <c r="A63" s="972"/>
      <c r="B63" s="260"/>
      <c r="C63" s="739"/>
      <c r="D63" s="260"/>
      <c r="E63" s="243"/>
      <c r="F63" s="76"/>
      <c r="G63" s="22"/>
      <c r="H63" s="973"/>
      <c r="I63" s="22"/>
      <c r="J63" s="973"/>
      <c r="K63" s="21"/>
      <c r="L63" s="973"/>
      <c r="M63" s="973"/>
      <c r="N63" s="274"/>
      <c r="O63" s="529"/>
    </row>
    <row r="64" spans="1:17" s="74" customFormat="1" ht="51" customHeight="1">
      <c r="A64" s="1139" t="s">
        <v>163</v>
      </c>
      <c r="B64" s="158" t="s">
        <v>91</v>
      </c>
      <c r="C64" s="716" t="s">
        <v>968</v>
      </c>
      <c r="D64" s="260" t="s">
        <v>18</v>
      </c>
      <c r="E64" s="401"/>
      <c r="F64" s="24">
        <f>F13*0.1+F16*0.04+F19+F22*0.1*0.2+F24*0.01+F27+F30+F33*1.5*0.1+F36+F39+F42*1.5+F43*1+F46*0.25+F49*1+30</f>
        <v>30</v>
      </c>
      <c r="G64" s="412"/>
      <c r="H64" s="412"/>
      <c r="I64" s="412"/>
      <c r="J64" s="412"/>
      <c r="K64" s="412"/>
      <c r="L64" s="412"/>
      <c r="M64" s="412"/>
      <c r="N64" s="274"/>
      <c r="O64" s="529"/>
    </row>
    <row r="65" spans="1:17" s="74" customFormat="1" ht="16.5">
      <c r="A65" s="1139"/>
      <c r="B65" s="260"/>
      <c r="C65" s="743" t="s">
        <v>54</v>
      </c>
      <c r="D65" s="42" t="s">
        <v>12</v>
      </c>
      <c r="E65" s="243">
        <v>0.6</v>
      </c>
      <c r="F65" s="43">
        <f>F64*E65</f>
        <v>18</v>
      </c>
      <c r="G65" s="22"/>
      <c r="H65" s="412"/>
      <c r="I65" s="22"/>
      <c r="J65" s="412"/>
      <c r="K65" s="412"/>
      <c r="L65" s="412"/>
      <c r="M65" s="412"/>
      <c r="N65" s="274"/>
      <c r="O65" s="529"/>
    </row>
    <row r="66" spans="1:17" s="74" customFormat="1" ht="31.5">
      <c r="A66" s="1139"/>
      <c r="B66" s="158" t="s">
        <v>82</v>
      </c>
      <c r="C66" s="744" t="s">
        <v>141</v>
      </c>
      <c r="D66" s="260" t="s">
        <v>40</v>
      </c>
      <c r="E66" s="243"/>
      <c r="F66" s="76">
        <f>F13*0.1*2.2+F16*0.04*2.4+F19*2.4+F22*0.1*0.2*2.7+F24*0.01*2+F27*2.4+F30*2.4+F33*1.5*0.0005*7.85+F36*2.4+F39*2.4+F42*1.5*2.4+F43*1*0.65+F46*0.25*0.65+F49*1*2+30*1.65</f>
        <v>49.5</v>
      </c>
      <c r="G66" s="22"/>
      <c r="H66" s="412"/>
      <c r="I66" s="22"/>
      <c r="J66" s="412"/>
      <c r="K66" s="22"/>
      <c r="L66" s="412"/>
      <c r="M66" s="412"/>
      <c r="N66" s="274"/>
      <c r="O66" s="529"/>
    </row>
    <row r="67" spans="1:17" s="74" customFormat="1" ht="16.5">
      <c r="A67" s="1139"/>
      <c r="B67" s="236"/>
      <c r="C67" s="745" t="s">
        <v>56</v>
      </c>
      <c r="D67" s="42" t="s">
        <v>12</v>
      </c>
      <c r="E67" s="243">
        <v>0.53</v>
      </c>
      <c r="F67" s="43">
        <f>F66*E67</f>
        <v>26.235000000000003</v>
      </c>
      <c r="G67" s="22"/>
      <c r="H67" s="412"/>
      <c r="I67" s="22"/>
      <c r="J67" s="412"/>
      <c r="K67" s="22"/>
      <c r="L67" s="412"/>
      <c r="M67" s="412"/>
      <c r="N67" s="274"/>
      <c r="O67" s="529"/>
    </row>
    <row r="68" spans="1:17" s="74" customFormat="1" ht="16.5">
      <c r="A68" s="1139"/>
      <c r="B68" s="424" t="s">
        <v>177</v>
      </c>
      <c r="C68" s="739" t="s">
        <v>171</v>
      </c>
      <c r="D68" s="260" t="s">
        <v>40</v>
      </c>
      <c r="E68" s="243"/>
      <c r="F68" s="76">
        <f>F66</f>
        <v>49.5</v>
      </c>
      <c r="G68" s="22"/>
      <c r="H68" s="412"/>
      <c r="I68" s="22"/>
      <c r="J68" s="412"/>
      <c r="K68" s="22"/>
      <c r="L68" s="412"/>
      <c r="M68" s="412"/>
      <c r="N68" s="274"/>
      <c r="O68" s="529"/>
    </row>
    <row r="69" spans="1:17" s="74" customFormat="1" ht="0.75" customHeight="1">
      <c r="A69" s="410"/>
      <c r="B69" s="260"/>
      <c r="C69" s="739"/>
      <c r="D69" s="260"/>
      <c r="E69" s="243"/>
      <c r="F69" s="76"/>
      <c r="G69" s="22"/>
      <c r="H69" s="412"/>
      <c r="I69" s="22"/>
      <c r="J69" s="412"/>
      <c r="K69" s="21"/>
      <c r="L69" s="412"/>
      <c r="M69" s="412"/>
      <c r="N69" s="274"/>
      <c r="O69" s="529"/>
    </row>
    <row r="70" spans="1:17" s="74" customFormat="1" ht="16.5">
      <c r="A70" s="543"/>
      <c r="B70" s="375"/>
      <c r="C70" s="746" t="s">
        <v>261</v>
      </c>
      <c r="D70" s="375"/>
      <c r="E70" s="561"/>
      <c r="F70" s="562"/>
      <c r="G70" s="22"/>
      <c r="H70" s="412"/>
      <c r="I70" s="22"/>
      <c r="J70" s="412"/>
      <c r="K70" s="21"/>
      <c r="L70" s="412"/>
      <c r="M70" s="412"/>
      <c r="N70" s="274"/>
      <c r="O70" s="529"/>
    </row>
    <row r="71" spans="1:17" s="74" customFormat="1" ht="0.75" customHeight="1">
      <c r="A71" s="410"/>
      <c r="B71" s="260"/>
      <c r="C71" s="739"/>
      <c r="D71" s="260"/>
      <c r="E71" s="243"/>
      <c r="F71" s="76"/>
      <c r="G71" s="22"/>
      <c r="H71" s="412"/>
      <c r="I71" s="22"/>
      <c r="J71" s="412"/>
      <c r="K71" s="21"/>
      <c r="L71" s="412"/>
      <c r="M71" s="412"/>
      <c r="N71" s="274"/>
      <c r="O71" s="529"/>
    </row>
    <row r="72" spans="1:17" s="6" customFormat="1" ht="24.75" customHeight="1">
      <c r="A72" s="987"/>
      <c r="B72" s="77" t="s">
        <v>890</v>
      </c>
      <c r="C72" s="100" t="s">
        <v>891</v>
      </c>
      <c r="D72" s="77" t="s">
        <v>43</v>
      </c>
      <c r="E72" s="988"/>
      <c r="F72" s="48">
        <f>12.4+9.1</f>
        <v>21.5</v>
      </c>
      <c r="G72" s="156"/>
      <c r="H72" s="13"/>
      <c r="I72" s="156"/>
      <c r="J72" s="13"/>
      <c r="K72" s="156"/>
      <c r="L72" s="156"/>
      <c r="M72" s="156"/>
      <c r="O72" s="989">
        <f>(0.7+1.2)/2</f>
        <v>0.95</v>
      </c>
      <c r="P72" s="989"/>
      <c r="Q72" s="989"/>
    </row>
    <row r="73" spans="1:17" s="6" customFormat="1" ht="16.5" hidden="1">
      <c r="A73" s="1026"/>
      <c r="B73" s="203"/>
      <c r="C73" s="990" t="s">
        <v>251</v>
      </c>
      <c r="D73" s="203"/>
      <c r="E73" s="951"/>
      <c r="F73" s="23"/>
      <c r="G73" s="156"/>
      <c r="H73" s="13"/>
      <c r="I73" s="156"/>
      <c r="J73" s="13"/>
      <c r="K73" s="156"/>
      <c r="L73" s="156"/>
      <c r="M73" s="156"/>
    </row>
    <row r="74" spans="1:17" s="6" customFormat="1" ht="31.5" hidden="1">
      <c r="A74" s="1121" t="s">
        <v>84</v>
      </c>
      <c r="B74" s="271" t="s">
        <v>864</v>
      </c>
      <c r="C74" s="950" t="s">
        <v>865</v>
      </c>
      <c r="D74" s="275" t="s">
        <v>39</v>
      </c>
      <c r="E74" s="4"/>
      <c r="F74" s="23">
        <v>0</v>
      </c>
      <c r="G74" s="13"/>
      <c r="H74" s="13"/>
      <c r="I74" s="13"/>
      <c r="J74" s="13"/>
      <c r="K74" s="13"/>
      <c r="L74" s="13"/>
      <c r="M74" s="13"/>
    </row>
    <row r="75" spans="1:17" s="6" customFormat="1" ht="16.5" hidden="1">
      <c r="A75" s="1123"/>
      <c r="B75" s="275"/>
      <c r="C75" s="25" t="s">
        <v>38</v>
      </c>
      <c r="D75" s="275" t="s">
        <v>12</v>
      </c>
      <c r="E75" s="4">
        <v>13.2</v>
      </c>
      <c r="F75" s="202">
        <f>F74*E75</f>
        <v>0</v>
      </c>
      <c r="G75" s="13"/>
      <c r="H75" s="13"/>
      <c r="I75" s="13"/>
      <c r="J75" s="13"/>
      <c r="K75" s="13"/>
      <c r="L75" s="13"/>
      <c r="M75" s="13"/>
    </row>
    <row r="76" spans="1:17" s="6" customFormat="1" ht="16.5" hidden="1">
      <c r="A76" s="1122"/>
      <c r="B76" s="275"/>
      <c r="C76" s="25" t="s">
        <v>23</v>
      </c>
      <c r="D76" s="275" t="s">
        <v>9</v>
      </c>
      <c r="E76" s="4">
        <v>9.6300000000000008</v>
      </c>
      <c r="F76" s="202">
        <f>F74*E76</f>
        <v>0</v>
      </c>
      <c r="G76" s="13"/>
      <c r="H76" s="13"/>
      <c r="I76" s="13"/>
      <c r="J76" s="13"/>
      <c r="K76" s="13"/>
      <c r="L76" s="13"/>
      <c r="M76" s="13"/>
    </row>
    <row r="77" spans="1:17" s="6" customFormat="1" ht="31.5" hidden="1">
      <c r="A77" s="1121" t="s">
        <v>69</v>
      </c>
      <c r="B77" s="271" t="s">
        <v>259</v>
      </c>
      <c r="C77" s="950" t="s">
        <v>866</v>
      </c>
      <c r="D77" s="275"/>
      <c r="E77" s="4"/>
      <c r="F77" s="23">
        <v>0</v>
      </c>
      <c r="G77" s="13"/>
      <c r="H77" s="13"/>
      <c r="I77" s="13"/>
      <c r="J77" s="13"/>
      <c r="K77" s="13"/>
      <c r="L77" s="13"/>
      <c r="M77" s="13"/>
    </row>
    <row r="78" spans="1:17" s="6" customFormat="1" ht="16.5" hidden="1">
      <c r="A78" s="1123"/>
      <c r="B78" s="275"/>
      <c r="C78" s="25" t="s">
        <v>38</v>
      </c>
      <c r="D78" s="275" t="s">
        <v>12</v>
      </c>
      <c r="E78" s="4">
        <v>13.2</v>
      </c>
      <c r="F78" s="202">
        <f>F77*E78</f>
        <v>0</v>
      </c>
      <c r="G78" s="13"/>
      <c r="H78" s="13"/>
      <c r="I78" s="13"/>
      <c r="J78" s="13"/>
      <c r="K78" s="13"/>
      <c r="L78" s="13"/>
      <c r="M78" s="13"/>
    </row>
    <row r="79" spans="1:17" s="6" customFormat="1" ht="16.5" hidden="1">
      <c r="A79" s="1123"/>
      <c r="B79" s="275"/>
      <c r="C79" s="25" t="s">
        <v>23</v>
      </c>
      <c r="D79" s="275" t="s">
        <v>9</v>
      </c>
      <c r="E79" s="4">
        <v>9.6300000000000008</v>
      </c>
      <c r="F79" s="202">
        <f>F77*E79</f>
        <v>0</v>
      </c>
      <c r="G79" s="13"/>
      <c r="H79" s="13"/>
      <c r="I79" s="13"/>
      <c r="J79" s="13"/>
      <c r="K79" s="13"/>
      <c r="L79" s="13"/>
      <c r="M79" s="13"/>
    </row>
    <row r="80" spans="1:17" s="6" customFormat="1" ht="31.5" hidden="1">
      <c r="A80" s="1123" t="s">
        <v>85</v>
      </c>
      <c r="B80" s="271" t="s">
        <v>867</v>
      </c>
      <c r="C80" s="950" t="s">
        <v>901</v>
      </c>
      <c r="D80" s="271" t="s">
        <v>39</v>
      </c>
      <c r="E80" s="364"/>
      <c r="F80" s="23">
        <v>0</v>
      </c>
      <c r="G80" s="13"/>
      <c r="H80" s="13"/>
      <c r="I80" s="13"/>
      <c r="J80" s="13"/>
      <c r="K80" s="13"/>
      <c r="L80" s="13"/>
      <c r="M80" s="13"/>
    </row>
    <row r="81" spans="1:13" s="6" customFormat="1" ht="16.5" hidden="1">
      <c r="A81" s="1123"/>
      <c r="B81" s="275"/>
      <c r="C81" s="25" t="s">
        <v>38</v>
      </c>
      <c r="D81" s="275" t="s">
        <v>12</v>
      </c>
      <c r="E81" s="4">
        <v>8.8000000000000007</v>
      </c>
      <c r="F81" s="202">
        <f>F80*E81</f>
        <v>0</v>
      </c>
      <c r="G81" s="13"/>
      <c r="H81" s="13"/>
      <c r="I81" s="13"/>
      <c r="J81" s="13"/>
      <c r="K81" s="13"/>
      <c r="L81" s="13"/>
      <c r="M81" s="13"/>
    </row>
    <row r="82" spans="1:13" s="6" customFormat="1" ht="16.5" hidden="1">
      <c r="A82" s="1122"/>
      <c r="B82" s="275"/>
      <c r="C82" s="25" t="s">
        <v>23</v>
      </c>
      <c r="D82" s="275" t="s">
        <v>9</v>
      </c>
      <c r="E82" s="4">
        <v>4.8</v>
      </c>
      <c r="F82" s="202">
        <f>F80*E82</f>
        <v>0</v>
      </c>
      <c r="G82" s="13"/>
      <c r="H82" s="13"/>
      <c r="I82" s="13"/>
      <c r="J82" s="13"/>
      <c r="K82" s="13"/>
      <c r="L82" s="13"/>
      <c r="M82" s="13"/>
    </row>
    <row r="83" spans="1:13" s="6" customFormat="1" ht="47.25" hidden="1">
      <c r="A83" s="1124" t="s">
        <v>79</v>
      </c>
      <c r="B83" s="236" t="s">
        <v>869</v>
      </c>
      <c r="C83" s="950" t="s">
        <v>870</v>
      </c>
      <c r="D83" s="271" t="s">
        <v>40</v>
      </c>
      <c r="E83" s="476"/>
      <c r="F83" s="23">
        <f>(F74+F77+F80)</f>
        <v>0</v>
      </c>
      <c r="G83" s="13"/>
      <c r="H83" s="13"/>
      <c r="I83" s="13"/>
      <c r="J83" s="13"/>
      <c r="K83" s="13"/>
      <c r="L83" s="13"/>
      <c r="M83" s="13"/>
    </row>
    <row r="84" spans="1:13" s="6" customFormat="1" ht="16.5" hidden="1">
      <c r="A84" s="1124"/>
      <c r="B84" s="275"/>
      <c r="C84" s="848" t="s">
        <v>54</v>
      </c>
      <c r="D84" s="42" t="s">
        <v>12</v>
      </c>
      <c r="E84" s="243">
        <v>1.85</v>
      </c>
      <c r="F84" s="43">
        <f>F83*E84</f>
        <v>0</v>
      </c>
      <c r="G84" s="22"/>
      <c r="H84" s="13"/>
      <c r="I84" s="22"/>
      <c r="J84" s="13"/>
      <c r="K84" s="13"/>
      <c r="L84" s="13"/>
      <c r="M84" s="13"/>
    </row>
    <row r="85" spans="1:13" s="6" customFormat="1" ht="31.5" hidden="1">
      <c r="A85" s="1124"/>
      <c r="B85" s="75" t="s">
        <v>82</v>
      </c>
      <c r="C85" s="991" t="s">
        <v>871</v>
      </c>
      <c r="D85" s="271" t="s">
        <v>40</v>
      </c>
      <c r="E85" s="243"/>
      <c r="F85" s="76">
        <f>F83*2.4</f>
        <v>0</v>
      </c>
      <c r="G85" s="22"/>
      <c r="H85" s="13"/>
      <c r="I85" s="22"/>
      <c r="J85" s="13"/>
      <c r="K85" s="22"/>
      <c r="L85" s="13"/>
      <c r="M85" s="13"/>
    </row>
    <row r="86" spans="1:13" s="6" customFormat="1" ht="16.5" hidden="1">
      <c r="A86" s="1124"/>
      <c r="B86" s="636"/>
      <c r="C86" s="848" t="s">
        <v>56</v>
      </c>
      <c r="D86" s="42" t="s">
        <v>12</v>
      </c>
      <c r="E86" s="243">
        <v>0.53</v>
      </c>
      <c r="F86" s="43">
        <f>F85*E86</f>
        <v>0</v>
      </c>
      <c r="G86" s="22"/>
      <c r="H86" s="13"/>
      <c r="I86" s="22"/>
      <c r="J86" s="13"/>
      <c r="K86" s="22"/>
      <c r="L86" s="13"/>
      <c r="M86" s="13"/>
    </row>
    <row r="87" spans="1:13" s="6" customFormat="1" ht="16.5" hidden="1">
      <c r="A87" s="1124"/>
      <c r="B87" s="275"/>
      <c r="C87" s="992" t="s">
        <v>899</v>
      </c>
      <c r="D87" s="275" t="s">
        <v>40</v>
      </c>
      <c r="E87" s="243"/>
      <c r="F87" s="76">
        <f>F85</f>
        <v>0</v>
      </c>
      <c r="G87" s="22"/>
      <c r="H87" s="13"/>
      <c r="I87" s="22"/>
      <c r="J87" s="13"/>
      <c r="K87" s="22"/>
      <c r="L87" s="13"/>
      <c r="M87" s="13"/>
    </row>
    <row r="88" spans="1:13" s="6" customFormat="1" ht="31.5" hidden="1">
      <c r="A88" s="1026"/>
      <c r="B88" s="203"/>
      <c r="C88" s="990" t="s">
        <v>872</v>
      </c>
      <c r="D88" s="203"/>
      <c r="E88" s="951"/>
      <c r="F88" s="23" t="s">
        <v>900</v>
      </c>
      <c r="G88" s="156"/>
      <c r="H88" s="13"/>
      <c r="I88" s="156"/>
      <c r="J88" s="13"/>
      <c r="K88" s="156"/>
      <c r="L88" s="156"/>
      <c r="M88" s="156"/>
    </row>
    <row r="89" spans="1:13" s="6" customFormat="1" ht="31.5" hidden="1">
      <c r="A89" s="1121" t="s">
        <v>84</v>
      </c>
      <c r="B89" s="271" t="s">
        <v>33</v>
      </c>
      <c r="C89" s="950" t="s">
        <v>902</v>
      </c>
      <c r="D89" s="275" t="s">
        <v>39</v>
      </c>
      <c r="E89" s="4"/>
      <c r="F89" s="24">
        <v>0</v>
      </c>
      <c r="G89" s="13"/>
      <c r="H89" s="13"/>
      <c r="I89" s="13"/>
      <c r="J89" s="13"/>
      <c r="K89" s="13"/>
      <c r="L89" s="13"/>
      <c r="M89" s="13"/>
    </row>
    <row r="90" spans="1:13" s="6" customFormat="1" ht="16.5" hidden="1">
      <c r="A90" s="1123"/>
      <c r="B90" s="275"/>
      <c r="C90" s="25" t="s">
        <v>38</v>
      </c>
      <c r="D90" s="275" t="s">
        <v>12</v>
      </c>
      <c r="E90" s="4">
        <v>3.88</v>
      </c>
      <c r="F90" s="202">
        <f>F89*E90</f>
        <v>0</v>
      </c>
      <c r="G90" s="13"/>
      <c r="H90" s="13"/>
      <c r="I90" s="13"/>
      <c r="J90" s="13"/>
      <c r="K90" s="13"/>
      <c r="L90" s="13"/>
      <c r="M90" s="13"/>
    </row>
    <row r="91" spans="1:13" s="6" customFormat="1" ht="47.25">
      <c r="A91" s="1110" t="s">
        <v>69</v>
      </c>
      <c r="B91" s="271" t="s">
        <v>651</v>
      </c>
      <c r="C91" s="950" t="s">
        <v>874</v>
      </c>
      <c r="D91" s="271" t="s">
        <v>39</v>
      </c>
      <c r="E91" s="364"/>
      <c r="F91" s="23">
        <f>2*1.1*F72</f>
        <v>47.300000000000004</v>
      </c>
      <c r="G91" s="13"/>
      <c r="H91" s="13"/>
      <c r="I91" s="13"/>
      <c r="J91" s="13"/>
      <c r="K91" s="13"/>
      <c r="L91" s="13"/>
      <c r="M91" s="13"/>
    </row>
    <row r="92" spans="1:13" s="6" customFormat="1" ht="16.5">
      <c r="A92" s="1110"/>
      <c r="B92" s="275"/>
      <c r="C92" s="25" t="s">
        <v>38</v>
      </c>
      <c r="D92" s="275" t="s">
        <v>12</v>
      </c>
      <c r="E92" s="4">
        <f>20/1000</f>
        <v>0.02</v>
      </c>
      <c r="F92" s="202">
        <f>F91*E92</f>
        <v>0.94600000000000006</v>
      </c>
      <c r="G92" s="13"/>
      <c r="H92" s="13"/>
      <c r="I92" s="13"/>
      <c r="J92" s="13"/>
      <c r="K92" s="13"/>
      <c r="L92" s="13"/>
      <c r="M92" s="13"/>
    </row>
    <row r="93" spans="1:13" s="6" customFormat="1" ht="16.5">
      <c r="A93" s="1110"/>
      <c r="B93" s="271" t="s">
        <v>197</v>
      </c>
      <c r="C93" s="25" t="s">
        <v>875</v>
      </c>
      <c r="D93" s="275" t="s">
        <v>44</v>
      </c>
      <c r="E93" s="4">
        <f>44.8/1000</f>
        <v>4.48E-2</v>
      </c>
      <c r="F93" s="202">
        <f>F91*E93</f>
        <v>2.11904</v>
      </c>
      <c r="G93" s="13"/>
      <c r="H93" s="13"/>
      <c r="I93" s="13"/>
      <c r="J93" s="13"/>
      <c r="K93" s="13"/>
      <c r="L93" s="13"/>
      <c r="M93" s="13"/>
    </row>
    <row r="94" spans="1:13" s="6" customFormat="1" ht="16.5">
      <c r="A94" s="1110"/>
      <c r="B94" s="275"/>
      <c r="C94" s="25" t="s">
        <v>11</v>
      </c>
      <c r="D94" s="275" t="s">
        <v>9</v>
      </c>
      <c r="E94" s="4">
        <f>2.1/1000</f>
        <v>2.1000000000000003E-3</v>
      </c>
      <c r="F94" s="202">
        <f>F91*E94</f>
        <v>9.9330000000000029E-2</v>
      </c>
      <c r="G94" s="13"/>
      <c r="H94" s="13"/>
      <c r="I94" s="13"/>
      <c r="J94" s="13"/>
      <c r="K94" s="13"/>
      <c r="L94" s="13"/>
      <c r="M94" s="13"/>
    </row>
    <row r="95" spans="1:13" s="6" customFormat="1" ht="16.5">
      <c r="A95" s="1110"/>
      <c r="B95" s="275"/>
      <c r="C95" s="25" t="s">
        <v>32</v>
      </c>
      <c r="D95" s="275" t="s">
        <v>39</v>
      </c>
      <c r="E95" s="4">
        <f>0.05/1000</f>
        <v>5.0000000000000002E-5</v>
      </c>
      <c r="F95" s="202">
        <f>F91*E95</f>
        <v>2.3650000000000003E-3</v>
      </c>
      <c r="G95" s="13"/>
      <c r="H95" s="13"/>
      <c r="I95" s="13"/>
      <c r="J95" s="13"/>
      <c r="K95" s="13"/>
      <c r="L95" s="13"/>
      <c r="M95" s="13"/>
    </row>
    <row r="96" spans="1:13" s="6" customFormat="1" ht="25.5" customHeight="1">
      <c r="A96" s="1121" t="s">
        <v>85</v>
      </c>
      <c r="B96" s="271" t="s">
        <v>33</v>
      </c>
      <c r="C96" s="56" t="s">
        <v>876</v>
      </c>
      <c r="D96" s="260" t="s">
        <v>39</v>
      </c>
      <c r="E96" s="15"/>
      <c r="F96" s="24">
        <f>F91*0.1</f>
        <v>4.7300000000000004</v>
      </c>
      <c r="G96" s="977"/>
      <c r="H96" s="13"/>
      <c r="I96" s="13"/>
      <c r="J96" s="13"/>
      <c r="K96" s="977"/>
      <c r="L96" s="13"/>
      <c r="M96" s="13"/>
    </row>
    <row r="97" spans="1:13" s="6" customFormat="1" ht="16.5">
      <c r="A97" s="1122"/>
      <c r="B97" s="275"/>
      <c r="C97" s="993" t="s">
        <v>38</v>
      </c>
      <c r="D97" s="981" t="s">
        <v>68</v>
      </c>
      <c r="E97" s="401">
        <v>3.88</v>
      </c>
      <c r="F97" s="976">
        <f>F96*E97</f>
        <v>18.352399999999999</v>
      </c>
      <c r="G97" s="977"/>
      <c r="H97" s="13"/>
      <c r="I97" s="977"/>
      <c r="J97" s="13"/>
      <c r="K97" s="977"/>
      <c r="L97" s="13"/>
      <c r="M97" s="13"/>
    </row>
    <row r="98" spans="1:13" s="6" customFormat="1" ht="31.5" hidden="1">
      <c r="A98" s="1110" t="s">
        <v>79</v>
      </c>
      <c r="B98" s="271" t="s">
        <v>808</v>
      </c>
      <c r="C98" s="56" t="s">
        <v>877</v>
      </c>
      <c r="D98" s="981" t="s">
        <v>39</v>
      </c>
      <c r="E98" s="401"/>
      <c r="F98" s="23">
        <v>0</v>
      </c>
      <c r="G98" s="977"/>
      <c r="H98" s="13"/>
      <c r="I98" s="13"/>
      <c r="J98" s="13"/>
      <c r="K98" s="977"/>
      <c r="L98" s="13"/>
      <c r="M98" s="13"/>
    </row>
    <row r="99" spans="1:13" s="6" customFormat="1" ht="16.5" hidden="1">
      <c r="A99" s="1110"/>
      <c r="B99" s="275"/>
      <c r="C99" s="993" t="s">
        <v>38</v>
      </c>
      <c r="D99" s="981" t="s">
        <v>68</v>
      </c>
      <c r="E99" s="401">
        <v>3</v>
      </c>
      <c r="F99" s="976">
        <f>F98*E99</f>
        <v>0</v>
      </c>
      <c r="G99" s="977"/>
      <c r="H99" s="13"/>
      <c r="I99" s="977"/>
      <c r="J99" s="13"/>
      <c r="K99" s="977"/>
      <c r="L99" s="13"/>
      <c r="M99" s="13"/>
    </row>
    <row r="100" spans="1:13" s="6" customFormat="1" ht="16.5" hidden="1">
      <c r="A100" s="1110"/>
      <c r="B100" s="275"/>
      <c r="C100" s="27" t="s">
        <v>23</v>
      </c>
      <c r="D100" s="981" t="s">
        <v>9</v>
      </c>
      <c r="E100" s="401">
        <v>0</v>
      </c>
      <c r="F100" s="976">
        <f>F98*E100</f>
        <v>0</v>
      </c>
      <c r="G100" s="977"/>
      <c r="H100" s="13"/>
      <c r="I100" s="13"/>
      <c r="J100" s="13"/>
      <c r="K100" s="977"/>
      <c r="L100" s="13"/>
      <c r="M100" s="13"/>
    </row>
    <row r="101" spans="1:13" s="6" customFormat="1" ht="16.5" hidden="1">
      <c r="A101" s="1110"/>
      <c r="B101" s="275"/>
      <c r="C101" s="27" t="s">
        <v>809</v>
      </c>
      <c r="D101" s="981" t="s">
        <v>39</v>
      </c>
      <c r="E101" s="401">
        <v>1.1200000000000001</v>
      </c>
      <c r="F101" s="976">
        <f>F98*E101</f>
        <v>0</v>
      </c>
      <c r="G101" s="977"/>
      <c r="H101" s="13"/>
      <c r="I101" s="13"/>
      <c r="J101" s="13"/>
      <c r="K101" s="977"/>
      <c r="L101" s="13"/>
      <c r="M101" s="13"/>
    </row>
    <row r="102" spans="1:13" s="6" customFormat="1" ht="16.5" hidden="1">
      <c r="A102" s="1110"/>
      <c r="B102" s="275"/>
      <c r="C102" s="27" t="s">
        <v>50</v>
      </c>
      <c r="D102" s="981" t="s">
        <v>9</v>
      </c>
      <c r="E102" s="401">
        <v>0.01</v>
      </c>
      <c r="F102" s="976">
        <f>F98*E102</f>
        <v>0</v>
      </c>
      <c r="G102" s="977"/>
      <c r="H102" s="13"/>
      <c r="I102" s="13"/>
      <c r="J102" s="13"/>
      <c r="K102" s="977"/>
      <c r="L102" s="13"/>
      <c r="M102" s="13"/>
    </row>
    <row r="103" spans="1:13" s="6" customFormat="1" ht="31.5" hidden="1">
      <c r="A103" s="1110" t="s">
        <v>80</v>
      </c>
      <c r="B103" s="271" t="s">
        <v>37</v>
      </c>
      <c r="C103" s="56" t="s">
        <v>878</v>
      </c>
      <c r="D103" s="260" t="s">
        <v>39</v>
      </c>
      <c r="E103" s="952">
        <f>1.6*0.1*F72</f>
        <v>3.4400000000000008</v>
      </c>
      <c r="F103" s="23"/>
      <c r="G103" s="977"/>
      <c r="H103" s="13"/>
      <c r="I103" s="13"/>
      <c r="J103" s="13"/>
      <c r="K103" s="977"/>
      <c r="L103" s="13"/>
      <c r="M103" s="13"/>
    </row>
    <row r="104" spans="1:13" s="6" customFormat="1" ht="16.5" hidden="1">
      <c r="A104" s="1110"/>
      <c r="B104" s="275"/>
      <c r="C104" s="993" t="s">
        <v>38</v>
      </c>
      <c r="D104" s="981" t="s">
        <v>68</v>
      </c>
      <c r="E104" s="401">
        <v>3.52</v>
      </c>
      <c r="F104" s="976">
        <f>F103*E104</f>
        <v>0</v>
      </c>
      <c r="G104" s="977"/>
      <c r="H104" s="13"/>
      <c r="I104" s="977"/>
      <c r="J104" s="13"/>
      <c r="K104" s="977"/>
      <c r="L104" s="13"/>
      <c r="M104" s="13"/>
    </row>
    <row r="105" spans="1:13" s="6" customFormat="1" ht="16.5" hidden="1">
      <c r="A105" s="1110"/>
      <c r="B105" s="275"/>
      <c r="C105" s="27" t="s">
        <v>23</v>
      </c>
      <c r="D105" s="981" t="s">
        <v>9</v>
      </c>
      <c r="E105" s="401">
        <v>1.06</v>
      </c>
      <c r="F105" s="976">
        <f>F103*E105</f>
        <v>0</v>
      </c>
      <c r="G105" s="977"/>
      <c r="H105" s="13"/>
      <c r="I105" s="13"/>
      <c r="J105" s="13"/>
      <c r="K105" s="977"/>
      <c r="L105" s="13"/>
      <c r="M105" s="13"/>
    </row>
    <row r="106" spans="1:13" s="6" customFormat="1" ht="16.5" hidden="1">
      <c r="A106" s="1110"/>
      <c r="B106" s="275"/>
      <c r="C106" s="27" t="s">
        <v>32</v>
      </c>
      <c r="D106" s="981" t="s">
        <v>39</v>
      </c>
      <c r="E106" s="401">
        <f>0.18+0.09+0.97</f>
        <v>1.24</v>
      </c>
      <c r="F106" s="976">
        <f>F103*E106</f>
        <v>0</v>
      </c>
      <c r="G106" s="977"/>
      <c r="H106" s="13"/>
      <c r="I106" s="13"/>
      <c r="J106" s="13"/>
      <c r="K106" s="977"/>
      <c r="L106" s="13"/>
      <c r="M106" s="13"/>
    </row>
    <row r="107" spans="1:13" s="6" customFormat="1" ht="16.5" hidden="1">
      <c r="A107" s="1110"/>
      <c r="B107" s="275"/>
      <c r="C107" s="27" t="s">
        <v>50</v>
      </c>
      <c r="D107" s="981" t="s">
        <v>9</v>
      </c>
      <c r="E107" s="401">
        <v>0.02</v>
      </c>
      <c r="F107" s="976">
        <f>F103*E107</f>
        <v>0</v>
      </c>
      <c r="G107" s="977"/>
      <c r="H107" s="13"/>
      <c r="I107" s="13"/>
      <c r="J107" s="13"/>
      <c r="K107" s="977"/>
      <c r="L107" s="13"/>
      <c r="M107" s="13"/>
    </row>
    <row r="108" spans="1:13" s="6" customFormat="1" ht="31.5">
      <c r="A108" s="1110" t="s">
        <v>81</v>
      </c>
      <c r="B108" s="978" t="s">
        <v>178</v>
      </c>
      <c r="C108" s="998" t="s">
        <v>884</v>
      </c>
      <c r="D108" s="260" t="s">
        <v>39</v>
      </c>
      <c r="E108" s="997"/>
      <c r="F108" s="24">
        <f>1.6*0.1*F72</f>
        <v>3.4400000000000008</v>
      </c>
      <c r="G108" s="977"/>
      <c r="H108" s="13"/>
      <c r="I108" s="13"/>
      <c r="J108" s="13"/>
      <c r="K108" s="977"/>
      <c r="L108" s="13"/>
      <c r="M108" s="13"/>
    </row>
    <row r="109" spans="1:13" s="6" customFormat="1" ht="16.5">
      <c r="A109" s="1110"/>
      <c r="B109" s="271"/>
      <c r="C109" s="18" t="s">
        <v>38</v>
      </c>
      <c r="D109" s="981" t="s">
        <v>47</v>
      </c>
      <c r="E109" s="994">
        <v>1.37</v>
      </c>
      <c r="F109" s="975">
        <f>F108*E109</f>
        <v>4.7128000000000014</v>
      </c>
      <c r="G109" s="977"/>
      <c r="H109" s="13"/>
      <c r="I109" s="977"/>
      <c r="J109" s="13"/>
      <c r="K109" s="977"/>
      <c r="L109" s="13"/>
      <c r="M109" s="13"/>
    </row>
    <row r="110" spans="1:13" s="6" customFormat="1" ht="16.5">
      <c r="A110" s="1110"/>
      <c r="B110" s="275"/>
      <c r="C110" s="27" t="s">
        <v>23</v>
      </c>
      <c r="D110" s="981" t="s">
        <v>9</v>
      </c>
      <c r="E110" s="401">
        <v>0.28299999999999997</v>
      </c>
      <c r="F110" s="976">
        <f>F108*E110</f>
        <v>0.97352000000000016</v>
      </c>
      <c r="G110" s="977"/>
      <c r="H110" s="13"/>
      <c r="I110" s="13"/>
      <c r="J110" s="13"/>
      <c r="K110" s="977"/>
      <c r="L110" s="13"/>
      <c r="M110" s="13"/>
    </row>
    <row r="111" spans="1:13" s="6" customFormat="1" ht="16.5">
      <c r="A111" s="1110"/>
      <c r="B111" s="275"/>
      <c r="C111" s="27" t="s">
        <v>313</v>
      </c>
      <c r="D111" s="981" t="s">
        <v>39</v>
      </c>
      <c r="E111" s="401">
        <v>1.02</v>
      </c>
      <c r="F111" s="976">
        <f>F108*E111</f>
        <v>3.5088000000000008</v>
      </c>
      <c r="G111" s="977"/>
      <c r="H111" s="13"/>
      <c r="I111" s="13"/>
      <c r="J111" s="13"/>
      <c r="K111" s="977"/>
      <c r="L111" s="13"/>
      <c r="M111" s="13"/>
    </row>
    <row r="112" spans="1:13" s="6" customFormat="1" ht="16.5">
      <c r="A112" s="1110"/>
      <c r="B112" s="275"/>
      <c r="C112" s="27" t="s">
        <v>50</v>
      </c>
      <c r="D112" s="981" t="s">
        <v>9</v>
      </c>
      <c r="E112" s="401">
        <v>0.62</v>
      </c>
      <c r="F112" s="976">
        <f>F108*E112</f>
        <v>2.1328000000000005</v>
      </c>
      <c r="G112" s="977"/>
      <c r="H112" s="13"/>
      <c r="I112" s="13"/>
      <c r="J112" s="13"/>
      <c r="K112" s="977"/>
      <c r="L112" s="13"/>
      <c r="M112" s="13"/>
    </row>
    <row r="113" spans="1:13" s="6" customFormat="1" ht="36" customHeight="1">
      <c r="A113" s="1110" t="s">
        <v>77</v>
      </c>
      <c r="B113" s="271" t="s">
        <v>270</v>
      </c>
      <c r="C113" s="950" t="s">
        <v>879</v>
      </c>
      <c r="D113" s="271" t="s">
        <v>39</v>
      </c>
      <c r="E113" s="401"/>
      <c r="F113" s="24">
        <f>1.4*0.4*F72</f>
        <v>12.04</v>
      </c>
      <c r="G113" s="13"/>
      <c r="H113" s="13"/>
      <c r="I113" s="13"/>
      <c r="J113" s="13"/>
      <c r="K113" s="977"/>
      <c r="L113" s="13"/>
      <c r="M113" s="13"/>
    </row>
    <row r="114" spans="1:13" s="6" customFormat="1" ht="16.5">
      <c r="A114" s="1110"/>
      <c r="B114" s="902"/>
      <c r="C114" s="903" t="s">
        <v>38</v>
      </c>
      <c r="D114" s="981" t="s">
        <v>12</v>
      </c>
      <c r="E114" s="401">
        <v>1.87</v>
      </c>
      <c r="F114" s="976">
        <f>F113*E114</f>
        <v>22.514800000000001</v>
      </c>
      <c r="G114" s="977"/>
      <c r="H114" s="13"/>
      <c r="I114" s="977"/>
      <c r="J114" s="13"/>
      <c r="K114" s="977"/>
      <c r="L114" s="13"/>
      <c r="M114" s="13"/>
    </row>
    <row r="115" spans="1:13" s="6" customFormat="1" ht="16.5">
      <c r="A115" s="1110"/>
      <c r="B115" s="981"/>
      <c r="C115" s="18" t="s">
        <v>11</v>
      </c>
      <c r="D115" s="981" t="s">
        <v>9</v>
      </c>
      <c r="E115" s="994">
        <v>0.77</v>
      </c>
      <c r="F115" s="975">
        <f>F113*E115</f>
        <v>9.2707999999999995</v>
      </c>
      <c r="G115" s="977"/>
      <c r="H115" s="13"/>
      <c r="I115" s="977"/>
      <c r="J115" s="13"/>
      <c r="K115" s="977"/>
      <c r="L115" s="13"/>
      <c r="M115" s="13"/>
    </row>
    <row r="116" spans="1:13" s="6" customFormat="1" ht="16.5">
      <c r="A116" s="1110"/>
      <c r="B116" s="981"/>
      <c r="C116" s="18" t="s">
        <v>771</v>
      </c>
      <c r="D116" s="981" t="s">
        <v>31</v>
      </c>
      <c r="E116" s="401">
        <v>1.0149999999999999</v>
      </c>
      <c r="F116" s="975">
        <f>E116*F113</f>
        <v>12.220599999999997</v>
      </c>
      <c r="G116" s="977"/>
      <c r="H116" s="13"/>
      <c r="I116" s="977"/>
      <c r="J116" s="13"/>
      <c r="K116" s="977"/>
      <c r="L116" s="13"/>
      <c r="M116" s="13"/>
    </row>
    <row r="117" spans="1:13" s="6" customFormat="1" ht="16.5">
      <c r="A117" s="1110"/>
      <c r="B117" s="979"/>
      <c r="C117" s="903" t="s">
        <v>880</v>
      </c>
      <c r="D117" s="981" t="s">
        <v>749</v>
      </c>
      <c r="E117" s="401">
        <v>7.5399999999999995E-2</v>
      </c>
      <c r="F117" s="976">
        <f>F113*E117</f>
        <v>0.90781599999999985</v>
      </c>
      <c r="G117" s="269"/>
      <c r="H117" s="13"/>
      <c r="I117" s="977"/>
      <c r="J117" s="13"/>
      <c r="K117" s="977"/>
      <c r="L117" s="13"/>
      <c r="M117" s="13"/>
    </row>
    <row r="118" spans="1:13" s="6" customFormat="1" ht="16.5">
      <c r="A118" s="1110"/>
      <c r="B118" s="979"/>
      <c r="C118" s="903" t="s">
        <v>41</v>
      </c>
      <c r="D118" s="979" t="s">
        <v>31</v>
      </c>
      <c r="E118" s="401">
        <v>8.0000000000000004E-4</v>
      </c>
      <c r="F118" s="976">
        <f>F113*E118</f>
        <v>9.6319999999999999E-3</v>
      </c>
      <c r="G118" s="977"/>
      <c r="H118" s="13"/>
      <c r="I118" s="977"/>
      <c r="J118" s="13"/>
      <c r="K118" s="977"/>
      <c r="L118" s="13"/>
      <c r="M118" s="13"/>
    </row>
    <row r="119" spans="1:13" s="6" customFormat="1" ht="16.5">
      <c r="A119" s="1110"/>
      <c r="B119" s="981"/>
      <c r="C119" s="18" t="s">
        <v>50</v>
      </c>
      <c r="D119" s="981" t="s">
        <v>9</v>
      </c>
      <c r="E119" s="994">
        <v>7.0000000000000007E-2</v>
      </c>
      <c r="F119" s="975">
        <f>F113*E119</f>
        <v>0.84279999999999999</v>
      </c>
      <c r="G119" s="977"/>
      <c r="H119" s="13"/>
      <c r="I119" s="977"/>
      <c r="J119" s="13"/>
      <c r="K119" s="977"/>
      <c r="L119" s="13"/>
      <c r="M119" s="13"/>
    </row>
    <row r="120" spans="1:13" s="6" customFormat="1" ht="16.5">
      <c r="A120" s="1110"/>
      <c r="B120" s="979"/>
      <c r="C120" s="904" t="s">
        <v>779</v>
      </c>
      <c r="D120" s="981" t="s">
        <v>298</v>
      </c>
      <c r="E120" s="994"/>
      <c r="F120" s="905">
        <f>(F72/0.15+1)*1.4*2*1.05*0.888/1000+10*2*F72*1.05*0.395/1000</f>
        <v>0.55515642000000009</v>
      </c>
      <c r="G120" s="269"/>
      <c r="H120" s="13"/>
      <c r="I120" s="977"/>
      <c r="J120" s="13"/>
      <c r="K120" s="977"/>
      <c r="L120" s="13"/>
      <c r="M120" s="13"/>
    </row>
    <row r="121" spans="1:13" s="6" customFormat="1" ht="16.5">
      <c r="A121" s="1110"/>
      <c r="B121" s="981"/>
      <c r="C121" s="904" t="s">
        <v>781</v>
      </c>
      <c r="D121" s="981" t="s">
        <v>298</v>
      </c>
      <c r="E121" s="994"/>
      <c r="F121" s="905">
        <f>(F72/0.15+1)*4*0.5*1.05*0.395/1000</f>
        <v>0.11972450000000003</v>
      </c>
      <c r="G121" s="977"/>
      <c r="H121" s="13"/>
      <c r="I121" s="977"/>
      <c r="J121" s="13"/>
      <c r="K121" s="977"/>
      <c r="L121" s="13"/>
      <c r="M121" s="13"/>
    </row>
    <row r="122" spans="1:13" s="6" customFormat="1" ht="31.5">
      <c r="A122" s="1121" t="s">
        <v>42</v>
      </c>
      <c r="B122" s="271" t="s">
        <v>768</v>
      </c>
      <c r="C122" s="950" t="s">
        <v>881</v>
      </c>
      <c r="D122" s="271" t="s">
        <v>39</v>
      </c>
      <c r="E122" s="4"/>
      <c r="F122" s="23">
        <f>(2.7+0.6)*0.3*F72</f>
        <v>21.285</v>
      </c>
      <c r="G122" s="13"/>
      <c r="H122" s="13"/>
      <c r="I122" s="13"/>
      <c r="J122" s="13"/>
      <c r="K122" s="13"/>
      <c r="L122" s="13"/>
      <c r="M122" s="13"/>
    </row>
    <row r="123" spans="1:13" s="6" customFormat="1" ht="16.5">
      <c r="A123" s="1123"/>
      <c r="B123" s="902"/>
      <c r="C123" s="903" t="s">
        <v>38</v>
      </c>
      <c r="D123" s="981" t="s">
        <v>12</v>
      </c>
      <c r="E123" s="401">
        <v>8.44</v>
      </c>
      <c r="F123" s="976">
        <f>F122*E123</f>
        <v>179.6454</v>
      </c>
      <c r="G123" s="977"/>
      <c r="H123" s="13"/>
      <c r="I123" s="977"/>
      <c r="J123" s="13"/>
      <c r="K123" s="977"/>
      <c r="L123" s="13"/>
      <c r="M123" s="13"/>
    </row>
    <row r="124" spans="1:13" s="6" customFormat="1" ht="16.5">
      <c r="A124" s="1123"/>
      <c r="B124" s="981"/>
      <c r="C124" s="18" t="s">
        <v>11</v>
      </c>
      <c r="D124" s="981" t="s">
        <v>9</v>
      </c>
      <c r="E124" s="994">
        <v>1.1000000000000001</v>
      </c>
      <c r="F124" s="975">
        <f>F122*E124</f>
        <v>23.413500000000003</v>
      </c>
      <c r="G124" s="977"/>
      <c r="H124" s="13"/>
      <c r="I124" s="977"/>
      <c r="J124" s="13"/>
      <c r="K124" s="977"/>
      <c r="L124" s="13"/>
      <c r="M124" s="13"/>
    </row>
    <row r="125" spans="1:13" s="6" customFormat="1" ht="16.5">
      <c r="A125" s="1123"/>
      <c r="B125" s="981"/>
      <c r="C125" s="18" t="s">
        <v>771</v>
      </c>
      <c r="D125" s="981" t="s">
        <v>31</v>
      </c>
      <c r="E125" s="401">
        <v>1.0149999999999999</v>
      </c>
      <c r="F125" s="975">
        <f>F122*E125</f>
        <v>21.604274999999998</v>
      </c>
      <c r="G125" s="977"/>
      <c r="H125" s="13"/>
      <c r="I125" s="977"/>
      <c r="J125" s="13"/>
      <c r="K125" s="977"/>
      <c r="L125" s="13"/>
      <c r="M125" s="13"/>
    </row>
    <row r="126" spans="1:13" s="6" customFormat="1" ht="16.5">
      <c r="A126" s="1123"/>
      <c r="B126" s="979"/>
      <c r="C126" s="903" t="s">
        <v>882</v>
      </c>
      <c r="D126" s="981" t="s">
        <v>749</v>
      </c>
      <c r="E126" s="401">
        <v>1.84</v>
      </c>
      <c r="F126" s="976">
        <f>F122*E126</f>
        <v>39.164400000000001</v>
      </c>
      <c r="G126" s="269"/>
      <c r="H126" s="13"/>
      <c r="I126" s="977"/>
      <c r="J126" s="13"/>
      <c r="K126" s="977"/>
      <c r="L126" s="13"/>
      <c r="M126" s="13"/>
    </row>
    <row r="127" spans="1:13" s="6" customFormat="1" ht="16.5">
      <c r="A127" s="1123"/>
      <c r="B127" s="979"/>
      <c r="C127" s="903" t="s">
        <v>41</v>
      </c>
      <c r="D127" s="979" t="s">
        <v>31</v>
      </c>
      <c r="E127" s="401">
        <f>(0.34+3.91)/100</f>
        <v>4.2500000000000003E-2</v>
      </c>
      <c r="F127" s="976">
        <f>F122*E127</f>
        <v>0.90461250000000004</v>
      </c>
      <c r="G127" s="977"/>
      <c r="H127" s="13"/>
      <c r="I127" s="977"/>
      <c r="J127" s="13"/>
      <c r="K127" s="977"/>
      <c r="L127" s="13"/>
      <c r="M127" s="13"/>
    </row>
    <row r="128" spans="1:13" s="6" customFormat="1" ht="16.5">
      <c r="A128" s="1123"/>
      <c r="B128" s="979"/>
      <c r="C128" s="903" t="s">
        <v>776</v>
      </c>
      <c r="D128" s="979" t="s">
        <v>7</v>
      </c>
      <c r="E128" s="994">
        <f>0.22*1000/100</f>
        <v>2.2000000000000002</v>
      </c>
      <c r="F128" s="976">
        <f>F122*E128</f>
        <v>46.827000000000005</v>
      </c>
      <c r="G128" s="977"/>
      <c r="H128" s="13"/>
      <c r="I128" s="977"/>
      <c r="J128" s="13"/>
      <c r="K128" s="977"/>
      <c r="L128" s="13"/>
      <c r="M128" s="13"/>
    </row>
    <row r="129" spans="1:15" s="6" customFormat="1" ht="16.5">
      <c r="A129" s="1123"/>
      <c r="B129" s="979"/>
      <c r="C129" s="903" t="s">
        <v>45</v>
      </c>
      <c r="D129" s="979" t="s">
        <v>76</v>
      </c>
      <c r="E129" s="994">
        <f>100/100</f>
        <v>1</v>
      </c>
      <c r="F129" s="976">
        <f>F122*E129</f>
        <v>21.285</v>
      </c>
      <c r="G129" s="977"/>
      <c r="H129" s="13"/>
      <c r="I129" s="977"/>
      <c r="J129" s="13"/>
      <c r="K129" s="977"/>
      <c r="L129" s="13"/>
      <c r="M129" s="13"/>
    </row>
    <row r="130" spans="1:15" s="6" customFormat="1" ht="16.5">
      <c r="A130" s="1123"/>
      <c r="B130" s="981"/>
      <c r="C130" s="18" t="s">
        <v>50</v>
      </c>
      <c r="D130" s="981" t="s">
        <v>9</v>
      </c>
      <c r="E130" s="994">
        <v>0.46</v>
      </c>
      <c r="F130" s="975">
        <f>F122*E130</f>
        <v>9.7911000000000001</v>
      </c>
      <c r="G130" s="977"/>
      <c r="H130" s="13"/>
      <c r="I130" s="977"/>
      <c r="J130" s="13"/>
      <c r="K130" s="977"/>
      <c r="L130" s="13"/>
      <c r="M130" s="13"/>
    </row>
    <row r="131" spans="1:15" s="6" customFormat="1" ht="16.5">
      <c r="A131" s="1123"/>
      <c r="B131" s="979"/>
      <c r="C131" s="904" t="s">
        <v>779</v>
      </c>
      <c r="D131" s="981" t="s">
        <v>298</v>
      </c>
      <c r="E131" s="994"/>
      <c r="F131" s="905">
        <f xml:space="preserve"> (F72/0.15+1)*(2.7+1+0.4)*1.05*1.208/1000+(F72/0.15+1)*(2.7+1+0.4)*1.05*0.888/1000+23*2*F72*1.05*0.395/1000</f>
        <v>1.7125478300000001</v>
      </c>
      <c r="G131" s="269"/>
      <c r="H131" s="13"/>
      <c r="I131" s="977"/>
      <c r="J131" s="13"/>
      <c r="K131" s="977"/>
      <c r="L131" s="13"/>
      <c r="M131" s="13"/>
    </row>
    <row r="132" spans="1:15" s="6" customFormat="1" ht="16.5">
      <c r="A132" s="1122"/>
      <c r="B132" s="981"/>
      <c r="C132" s="904" t="s">
        <v>781</v>
      </c>
      <c r="D132" s="981" t="s">
        <v>298</v>
      </c>
      <c r="E132" s="994"/>
      <c r="F132" s="905">
        <f>(F72/0.15+1)*8*0.4*1.05*0.395/1000</f>
        <v>0.19155920000000004</v>
      </c>
      <c r="G132" s="977"/>
      <c r="H132" s="13"/>
      <c r="I132" s="977"/>
      <c r="J132" s="13"/>
      <c r="K132" s="977"/>
      <c r="L132" s="13"/>
      <c r="M132" s="13"/>
    </row>
    <row r="133" spans="1:15" s="6" customFormat="1" ht="16.5">
      <c r="A133" s="1121" t="s">
        <v>46</v>
      </c>
      <c r="B133" s="271" t="s">
        <v>598</v>
      </c>
      <c r="C133" s="950" t="s">
        <v>883</v>
      </c>
      <c r="D133" s="271" t="s">
        <v>47</v>
      </c>
      <c r="E133" s="4"/>
      <c r="F133" s="23">
        <f>(2.7+1+1+0.3+0.8)*F72</f>
        <v>124.7</v>
      </c>
      <c r="G133" s="13"/>
      <c r="H133" s="13"/>
      <c r="I133" s="13"/>
      <c r="J133" s="13"/>
      <c r="K133" s="13"/>
      <c r="L133" s="13"/>
      <c r="M133" s="13"/>
      <c r="O133" s="995"/>
    </row>
    <row r="134" spans="1:15" s="6" customFormat="1" ht="16.5">
      <c r="A134" s="1123"/>
      <c r="B134" s="275"/>
      <c r="C134" s="25" t="s">
        <v>38</v>
      </c>
      <c r="D134" s="275" t="s">
        <v>12</v>
      </c>
      <c r="E134" s="4">
        <v>0.33600000000000002</v>
      </c>
      <c r="F134" s="202">
        <f>F133*E134</f>
        <v>41.8992</v>
      </c>
      <c r="G134" s="13"/>
      <c r="H134" s="13"/>
      <c r="I134" s="13"/>
      <c r="J134" s="13"/>
      <c r="K134" s="13"/>
      <c r="L134" s="13"/>
      <c r="M134" s="13"/>
    </row>
    <row r="135" spans="1:15" s="6" customFormat="1" ht="16.5">
      <c r="A135" s="1123"/>
      <c r="B135" s="275"/>
      <c r="C135" s="25" t="s">
        <v>23</v>
      </c>
      <c r="D135" s="275" t="s">
        <v>9</v>
      </c>
      <c r="E135" s="4">
        <v>1.4999999999999999E-2</v>
      </c>
      <c r="F135" s="202">
        <f>F133*E135</f>
        <v>1.8705000000000001</v>
      </c>
      <c r="G135" s="13"/>
      <c r="H135" s="13"/>
      <c r="I135" s="13"/>
      <c r="J135" s="13"/>
      <c r="K135" s="13"/>
      <c r="L135" s="13"/>
      <c r="M135" s="13"/>
    </row>
    <row r="136" spans="1:15" s="6" customFormat="1" ht="16.5">
      <c r="A136" s="1123"/>
      <c r="B136" s="275"/>
      <c r="C136" s="25" t="s">
        <v>783</v>
      </c>
      <c r="D136" s="275" t="s">
        <v>7</v>
      </c>
      <c r="E136" s="4">
        <v>2.4</v>
      </c>
      <c r="F136" s="202">
        <f>F133*E136</f>
        <v>299.27999999999997</v>
      </c>
      <c r="G136" s="996"/>
      <c r="H136" s="13"/>
      <c r="I136" s="13"/>
      <c r="J136" s="13"/>
      <c r="K136" s="13"/>
      <c r="L136" s="13"/>
      <c r="M136" s="13"/>
    </row>
    <row r="137" spans="1:15" s="6" customFormat="1" ht="16.5">
      <c r="A137" s="1122"/>
      <c r="B137" s="275"/>
      <c r="C137" s="25" t="s">
        <v>50</v>
      </c>
      <c r="D137" s="275" t="s">
        <v>9</v>
      </c>
      <c r="E137" s="4">
        <v>2.2800000000000001E-2</v>
      </c>
      <c r="F137" s="202">
        <f>F133*E137</f>
        <v>2.8431600000000001</v>
      </c>
      <c r="G137" s="13"/>
      <c r="H137" s="13"/>
      <c r="I137" s="13"/>
      <c r="J137" s="13"/>
      <c r="K137" s="13"/>
      <c r="L137" s="13"/>
      <c r="M137" s="13"/>
    </row>
    <row r="138" spans="1:15" s="6" customFormat="1" ht="16.5" hidden="1">
      <c r="A138" s="1121" t="s">
        <v>48</v>
      </c>
      <c r="B138" s="271" t="s">
        <v>63</v>
      </c>
      <c r="C138" s="950" t="s">
        <v>889</v>
      </c>
      <c r="D138" s="271" t="s">
        <v>39</v>
      </c>
      <c r="E138" s="1024">
        <f>F91+F96-F103-F108-F113-(0.3*0.6)*F72</f>
        <v>32.680000000000007</v>
      </c>
      <c r="F138" s="24"/>
      <c r="G138" s="13"/>
      <c r="H138" s="13"/>
      <c r="I138" s="13"/>
      <c r="J138" s="13"/>
      <c r="K138" s="13"/>
      <c r="L138" s="13"/>
      <c r="M138" s="13"/>
    </row>
    <row r="139" spans="1:15" s="6" customFormat="1" ht="16.5" hidden="1">
      <c r="A139" s="1122"/>
      <c r="B139" s="275"/>
      <c r="C139" s="993" t="s">
        <v>150</v>
      </c>
      <c r="D139" s="204" t="s">
        <v>21</v>
      </c>
      <c r="E139" s="320">
        <v>1.21</v>
      </c>
      <c r="F139" s="325">
        <f>F138*E139</f>
        <v>0</v>
      </c>
      <c r="G139" s="977"/>
      <c r="H139" s="13"/>
      <c r="I139" s="977"/>
      <c r="J139" s="13"/>
      <c r="K139" s="13"/>
      <c r="L139" s="13"/>
      <c r="M139" s="13"/>
    </row>
    <row r="140" spans="1:15" s="74" customFormat="1" ht="16.5" hidden="1">
      <c r="A140" s="1111">
        <v>11</v>
      </c>
      <c r="B140" s="999" t="s">
        <v>885</v>
      </c>
      <c r="C140" s="1000" t="s">
        <v>887</v>
      </c>
      <c r="D140" s="1001" t="s">
        <v>39</v>
      </c>
      <c r="E140" s="57">
        <f>F91+F96-F103-F108-F113-(0.3*0.6)*F72</f>
        <v>32.680000000000007</v>
      </c>
      <c r="F140" s="24"/>
      <c r="G140" s="977"/>
      <c r="H140" s="977"/>
      <c r="I140" s="977"/>
      <c r="J140" s="977"/>
      <c r="K140" s="977"/>
      <c r="L140" s="977"/>
      <c r="M140" s="977"/>
      <c r="N140" s="274"/>
      <c r="O140" s="529"/>
    </row>
    <row r="141" spans="1:15" s="74" customFormat="1" ht="16.5" hidden="1">
      <c r="A141" s="1111"/>
      <c r="B141" s="1002">
        <v>1011</v>
      </c>
      <c r="C141" s="1003" t="s">
        <v>886</v>
      </c>
      <c r="D141" s="977" t="s">
        <v>44</v>
      </c>
      <c r="E141" s="1004">
        <f>0.00513+0.00204*2</f>
        <v>9.2099999999999994E-3</v>
      </c>
      <c r="F141" s="1005">
        <f>F140*E141</f>
        <v>0</v>
      </c>
      <c r="G141" s="1006"/>
      <c r="H141" s="1007"/>
      <c r="I141" s="1008"/>
      <c r="J141" s="1008"/>
      <c r="K141" s="1008"/>
      <c r="L141" s="1008"/>
      <c r="M141" s="1008"/>
      <c r="N141" s="274"/>
      <c r="O141" s="529"/>
    </row>
    <row r="142" spans="1:15" s="69" customFormat="1" ht="16.5">
      <c r="A142" s="1112" t="s">
        <v>53</v>
      </c>
      <c r="B142" s="114" t="s">
        <v>651</v>
      </c>
      <c r="C142" s="127" t="s">
        <v>893</v>
      </c>
      <c r="D142" s="126" t="s">
        <v>39</v>
      </c>
      <c r="E142" s="54"/>
      <c r="F142" s="180">
        <f>F91+F96-F103-F108-F113-(0.3*0.6)*F72</f>
        <v>32.680000000000007</v>
      </c>
      <c r="G142" s="20"/>
      <c r="H142" s="977"/>
      <c r="I142" s="20"/>
      <c r="J142" s="977"/>
      <c r="K142" s="21"/>
      <c r="L142" s="977"/>
      <c r="M142" s="977"/>
    </row>
    <row r="143" spans="1:15" s="69" customFormat="1" ht="16.5">
      <c r="A143" s="1113"/>
      <c r="B143" s="980"/>
      <c r="C143" s="903" t="s">
        <v>38</v>
      </c>
      <c r="D143" s="980" t="s">
        <v>68</v>
      </c>
      <c r="E143" s="115">
        <f>20/1000</f>
        <v>0.02</v>
      </c>
      <c r="F143" s="115">
        <f>F142*E143</f>
        <v>0.65360000000000018</v>
      </c>
      <c r="G143" s="20"/>
      <c r="H143" s="977"/>
      <c r="I143" s="20"/>
      <c r="J143" s="977"/>
      <c r="K143" s="21"/>
      <c r="L143" s="977"/>
      <c r="M143" s="977"/>
    </row>
    <row r="144" spans="1:15" s="69" customFormat="1" ht="16.5">
      <c r="A144" s="1113"/>
      <c r="B144" s="52" t="s">
        <v>197</v>
      </c>
      <c r="C144" s="102" t="s">
        <v>888</v>
      </c>
      <c r="D144" s="980" t="s">
        <v>44</v>
      </c>
      <c r="E144" s="115">
        <f>44.8/1000</f>
        <v>4.48E-2</v>
      </c>
      <c r="F144" s="115">
        <f>F142*E144</f>
        <v>1.4640640000000003</v>
      </c>
      <c r="G144" s="20"/>
      <c r="H144" s="977"/>
      <c r="I144" s="20"/>
      <c r="J144" s="977"/>
      <c r="K144" s="21"/>
      <c r="L144" s="977"/>
      <c r="M144" s="977"/>
    </row>
    <row r="145" spans="1:17" s="69" customFormat="1" ht="16.5">
      <c r="A145" s="1114"/>
      <c r="B145" s="980"/>
      <c r="C145" s="102" t="s">
        <v>11</v>
      </c>
      <c r="D145" s="980" t="s">
        <v>9</v>
      </c>
      <c r="E145" s="115">
        <f>2.1/1000</f>
        <v>2.1000000000000003E-3</v>
      </c>
      <c r="F145" s="115">
        <f>F142*E145</f>
        <v>6.8628000000000022E-2</v>
      </c>
      <c r="G145" s="20"/>
      <c r="H145" s="977"/>
      <c r="I145" s="20"/>
      <c r="J145" s="977"/>
      <c r="K145" s="21"/>
      <c r="L145" s="977"/>
      <c r="M145" s="977"/>
    </row>
    <row r="146" spans="1:17" s="69" customFormat="1" ht="31.5">
      <c r="A146" s="1112" t="s">
        <v>160</v>
      </c>
      <c r="B146" s="1009" t="s">
        <v>651</v>
      </c>
      <c r="C146" s="1010" t="s">
        <v>892</v>
      </c>
      <c r="D146" s="1011" t="s">
        <v>39</v>
      </c>
      <c r="E146" s="178"/>
      <c r="F146" s="178">
        <f>(F91+F96-F142)*1.95</f>
        <v>37.732499999999987</v>
      </c>
      <c r="G146" s="20"/>
      <c r="H146" s="977"/>
      <c r="I146" s="20"/>
      <c r="J146" s="977"/>
      <c r="K146" s="21"/>
      <c r="L146" s="977"/>
      <c r="M146" s="977"/>
    </row>
    <row r="147" spans="1:17" s="69" customFormat="1" ht="16.5">
      <c r="A147" s="1113"/>
      <c r="B147" s="980"/>
      <c r="C147" s="18" t="s">
        <v>38</v>
      </c>
      <c r="D147" s="980" t="s">
        <v>68</v>
      </c>
      <c r="E147" s="115">
        <f>20/1000</f>
        <v>0.02</v>
      </c>
      <c r="F147" s="115">
        <f>F146*E147</f>
        <v>0.75464999999999982</v>
      </c>
      <c r="G147" s="20"/>
      <c r="H147" s="977"/>
      <c r="I147" s="20"/>
      <c r="J147" s="977"/>
      <c r="K147" s="21"/>
      <c r="L147" s="977"/>
      <c r="M147" s="977"/>
    </row>
    <row r="148" spans="1:17" s="69" customFormat="1" ht="16.5">
      <c r="A148" s="1113"/>
      <c r="B148" s="980" t="s">
        <v>197</v>
      </c>
      <c r="C148" s="102" t="s">
        <v>888</v>
      </c>
      <c r="D148" s="980" t="s">
        <v>44</v>
      </c>
      <c r="E148" s="115">
        <f>44.8/1000</f>
        <v>4.48E-2</v>
      </c>
      <c r="F148" s="115">
        <f>F146*E148</f>
        <v>1.6904159999999995</v>
      </c>
      <c r="G148" s="20"/>
      <c r="H148" s="977"/>
      <c r="I148" s="20"/>
      <c r="J148" s="977"/>
      <c r="K148" s="21"/>
      <c r="L148" s="977"/>
      <c r="M148" s="977"/>
    </row>
    <row r="149" spans="1:17" s="69" customFormat="1" ht="16.5">
      <c r="A149" s="1114"/>
      <c r="B149" s="980"/>
      <c r="C149" s="102" t="s">
        <v>11</v>
      </c>
      <c r="D149" s="980" t="s">
        <v>9</v>
      </c>
      <c r="E149" s="115">
        <f>2.1/1000</f>
        <v>2.1000000000000003E-3</v>
      </c>
      <c r="F149" s="115">
        <f>F146*E149</f>
        <v>7.9238249999999982E-2</v>
      </c>
      <c r="G149" s="20"/>
      <c r="H149" s="977"/>
      <c r="I149" s="20"/>
      <c r="J149" s="977"/>
      <c r="K149" s="21"/>
      <c r="L149" s="977"/>
      <c r="M149" s="977"/>
    </row>
    <row r="150" spans="1:17" s="69" customFormat="1" ht="31.5" hidden="1">
      <c r="A150" s="1112" t="s">
        <v>185</v>
      </c>
      <c r="B150" s="427" t="s">
        <v>82</v>
      </c>
      <c r="C150" s="98" t="s">
        <v>122</v>
      </c>
      <c r="D150" s="260" t="s">
        <v>40</v>
      </c>
      <c r="E150" s="1025">
        <f>(F91+F96-F142)*1.95  *10%</f>
        <v>3.7732499999999991</v>
      </c>
      <c r="F150" s="76"/>
      <c r="G150" s="22"/>
      <c r="H150" s="977"/>
      <c r="I150" s="22"/>
      <c r="J150" s="977"/>
      <c r="K150" s="22"/>
      <c r="L150" s="977"/>
      <c r="M150" s="977"/>
    </row>
    <row r="151" spans="1:17" s="69" customFormat="1" ht="16.5" hidden="1">
      <c r="A151" s="1114"/>
      <c r="B151" s="236"/>
      <c r="C151" s="41" t="s">
        <v>56</v>
      </c>
      <c r="D151" s="42" t="s">
        <v>12</v>
      </c>
      <c r="E151" s="701">
        <v>0.53</v>
      </c>
      <c r="F151" s="43">
        <f>F150*E151</f>
        <v>0</v>
      </c>
      <c r="G151" s="22"/>
      <c r="H151" s="977"/>
      <c r="I151" s="22"/>
      <c r="J151" s="977"/>
      <c r="K151" s="22"/>
      <c r="L151" s="977"/>
      <c r="M151" s="977"/>
    </row>
    <row r="152" spans="1:17" s="69" customFormat="1" ht="30.75" customHeight="1">
      <c r="A152" s="1012" t="s">
        <v>192</v>
      </c>
      <c r="B152" s="52"/>
      <c r="C152" s="464" t="s">
        <v>187</v>
      </c>
      <c r="D152" s="260" t="s">
        <v>40</v>
      </c>
      <c r="E152" s="701"/>
      <c r="F152" s="76">
        <f>F146+F150</f>
        <v>37.732499999999987</v>
      </c>
      <c r="G152" s="22"/>
      <c r="H152" s="977"/>
      <c r="I152" s="22"/>
      <c r="J152" s="977"/>
      <c r="K152" s="22"/>
      <c r="L152" s="977"/>
      <c r="M152" s="977"/>
    </row>
    <row r="153" spans="1:17" s="74" customFormat="1" ht="16.5" hidden="1">
      <c r="A153" s="972"/>
      <c r="B153" s="260"/>
      <c r="C153" s="739"/>
      <c r="D153" s="260"/>
      <c r="E153" s="243"/>
      <c r="F153" s="76"/>
      <c r="G153" s="22"/>
      <c r="H153" s="973"/>
      <c r="I153" s="22"/>
      <c r="J153" s="973"/>
      <c r="K153" s="21"/>
      <c r="L153" s="973"/>
      <c r="M153" s="973"/>
      <c r="N153" s="274"/>
      <c r="O153" s="529"/>
    </row>
    <row r="154" spans="1:17" s="6" customFormat="1" ht="31.5">
      <c r="A154" s="987"/>
      <c r="B154" s="77" t="s">
        <v>894</v>
      </c>
      <c r="C154" s="100" t="s">
        <v>895</v>
      </c>
      <c r="D154" s="77" t="s">
        <v>43</v>
      </c>
      <c r="E154" s="988"/>
      <c r="F154" s="48">
        <f>5.6+7.8+10.7</f>
        <v>24.099999999999998</v>
      </c>
      <c r="G154" s="156"/>
      <c r="H154" s="13"/>
      <c r="I154" s="156"/>
      <c r="J154" s="13"/>
      <c r="K154" s="156"/>
      <c r="L154" s="156"/>
      <c r="M154" s="156"/>
      <c r="O154" s="989">
        <f>(0.7+1.2)/2</f>
        <v>0.95</v>
      </c>
      <c r="P154" s="989"/>
      <c r="Q154" s="989"/>
    </row>
    <row r="155" spans="1:17" s="6" customFormat="1" ht="16.5" hidden="1">
      <c r="A155" s="1026"/>
      <c r="B155" s="203"/>
      <c r="C155" s="990" t="s">
        <v>251</v>
      </c>
      <c r="D155" s="203"/>
      <c r="E155" s="951"/>
      <c r="F155" s="23"/>
      <c r="G155" s="156"/>
      <c r="H155" s="13"/>
      <c r="I155" s="156"/>
      <c r="J155" s="13"/>
      <c r="K155" s="156"/>
      <c r="L155" s="156"/>
      <c r="M155" s="156"/>
    </row>
    <row r="156" spans="1:17" s="6" customFormat="1" ht="31.5" hidden="1">
      <c r="A156" s="1121" t="s">
        <v>84</v>
      </c>
      <c r="B156" s="271" t="s">
        <v>864</v>
      </c>
      <c r="C156" s="950" t="s">
        <v>865</v>
      </c>
      <c r="D156" s="275" t="s">
        <v>39</v>
      </c>
      <c r="E156" s="4"/>
      <c r="F156" s="23">
        <v>0</v>
      </c>
      <c r="G156" s="13"/>
      <c r="H156" s="13"/>
      <c r="I156" s="13"/>
      <c r="J156" s="13"/>
      <c r="K156" s="13"/>
      <c r="L156" s="13"/>
      <c r="M156" s="13"/>
    </row>
    <row r="157" spans="1:17" s="6" customFormat="1" ht="16.5" hidden="1">
      <c r="A157" s="1123"/>
      <c r="B157" s="275"/>
      <c r="C157" s="25" t="s">
        <v>38</v>
      </c>
      <c r="D157" s="275" t="s">
        <v>12</v>
      </c>
      <c r="E157" s="4">
        <v>13.2</v>
      </c>
      <c r="F157" s="202">
        <f>F156*E157</f>
        <v>0</v>
      </c>
      <c r="G157" s="13"/>
      <c r="H157" s="13"/>
      <c r="I157" s="13"/>
      <c r="J157" s="13"/>
      <c r="K157" s="13"/>
      <c r="L157" s="13"/>
      <c r="M157" s="13"/>
    </row>
    <row r="158" spans="1:17" s="6" customFormat="1" ht="16.5" hidden="1">
      <c r="A158" s="1122"/>
      <c r="B158" s="275"/>
      <c r="C158" s="25" t="s">
        <v>23</v>
      </c>
      <c r="D158" s="275" t="s">
        <v>9</v>
      </c>
      <c r="E158" s="4">
        <v>9.6300000000000008</v>
      </c>
      <c r="F158" s="202">
        <f>F156*E158</f>
        <v>0</v>
      </c>
      <c r="G158" s="13"/>
      <c r="H158" s="13"/>
      <c r="I158" s="13"/>
      <c r="J158" s="13"/>
      <c r="K158" s="13"/>
      <c r="L158" s="13"/>
      <c r="M158" s="13"/>
    </row>
    <row r="159" spans="1:17" s="6" customFormat="1" ht="31.5" hidden="1">
      <c r="A159" s="1121" t="s">
        <v>69</v>
      </c>
      <c r="B159" s="271" t="s">
        <v>259</v>
      </c>
      <c r="C159" s="950" t="s">
        <v>866</v>
      </c>
      <c r="D159" s="275"/>
      <c r="E159" s="4"/>
      <c r="F159" s="23">
        <v>0</v>
      </c>
      <c r="G159" s="13"/>
      <c r="H159" s="13"/>
      <c r="I159" s="13"/>
      <c r="J159" s="13"/>
      <c r="K159" s="13"/>
      <c r="L159" s="13"/>
      <c r="M159" s="13"/>
    </row>
    <row r="160" spans="1:17" s="6" customFormat="1" ht="16.5" hidden="1">
      <c r="A160" s="1123"/>
      <c r="B160" s="275"/>
      <c r="C160" s="25" t="s">
        <v>38</v>
      </c>
      <c r="D160" s="275" t="s">
        <v>12</v>
      </c>
      <c r="E160" s="4">
        <v>13.2</v>
      </c>
      <c r="F160" s="202">
        <f>F159*E160</f>
        <v>0</v>
      </c>
      <c r="G160" s="13"/>
      <c r="H160" s="13"/>
      <c r="I160" s="13"/>
      <c r="J160" s="13"/>
      <c r="K160" s="13"/>
      <c r="L160" s="13"/>
      <c r="M160" s="13"/>
    </row>
    <row r="161" spans="1:13" s="6" customFormat="1" ht="16.5" hidden="1">
      <c r="A161" s="1123"/>
      <c r="B161" s="275"/>
      <c r="C161" s="25" t="s">
        <v>23</v>
      </c>
      <c r="D161" s="275" t="s">
        <v>9</v>
      </c>
      <c r="E161" s="4">
        <v>9.6300000000000008</v>
      </c>
      <c r="F161" s="202">
        <f>F159*E161</f>
        <v>0</v>
      </c>
      <c r="G161" s="13"/>
      <c r="H161" s="13"/>
      <c r="I161" s="13"/>
      <c r="J161" s="13"/>
      <c r="K161" s="13"/>
      <c r="L161" s="13"/>
      <c r="M161" s="13"/>
    </row>
    <row r="162" spans="1:13" s="6" customFormat="1" ht="31.5" hidden="1">
      <c r="A162" s="1123" t="s">
        <v>85</v>
      </c>
      <c r="B162" s="271" t="s">
        <v>867</v>
      </c>
      <c r="C162" s="950" t="s">
        <v>901</v>
      </c>
      <c r="D162" s="271" t="s">
        <v>39</v>
      </c>
      <c r="E162" s="364"/>
      <c r="F162" s="23">
        <v>0</v>
      </c>
      <c r="G162" s="13"/>
      <c r="H162" s="13"/>
      <c r="I162" s="13"/>
      <c r="J162" s="13"/>
      <c r="K162" s="13"/>
      <c r="L162" s="13"/>
      <c r="M162" s="13"/>
    </row>
    <row r="163" spans="1:13" s="6" customFormat="1" ht="16.5" hidden="1">
      <c r="A163" s="1123"/>
      <c r="B163" s="275"/>
      <c r="C163" s="25" t="s">
        <v>38</v>
      </c>
      <c r="D163" s="275" t="s">
        <v>12</v>
      </c>
      <c r="E163" s="4">
        <v>8.8000000000000007</v>
      </c>
      <c r="F163" s="202">
        <f>F162*E163</f>
        <v>0</v>
      </c>
      <c r="G163" s="13"/>
      <c r="H163" s="13"/>
      <c r="I163" s="13"/>
      <c r="J163" s="13"/>
      <c r="K163" s="13"/>
      <c r="L163" s="13"/>
      <c r="M163" s="13"/>
    </row>
    <row r="164" spans="1:13" s="6" customFormat="1" ht="16.5" hidden="1">
      <c r="A164" s="1122"/>
      <c r="B164" s="275"/>
      <c r="C164" s="25" t="s">
        <v>23</v>
      </c>
      <c r="D164" s="275" t="s">
        <v>9</v>
      </c>
      <c r="E164" s="4">
        <v>4.8</v>
      </c>
      <c r="F164" s="202">
        <f>F162*E164</f>
        <v>0</v>
      </c>
      <c r="G164" s="13"/>
      <c r="H164" s="13"/>
      <c r="I164" s="13"/>
      <c r="J164" s="13"/>
      <c r="K164" s="13"/>
      <c r="L164" s="13"/>
      <c r="M164" s="13"/>
    </row>
    <row r="165" spans="1:13" s="6" customFormat="1" ht="47.25" hidden="1">
      <c r="A165" s="1124" t="s">
        <v>79</v>
      </c>
      <c r="B165" s="236" t="s">
        <v>869</v>
      </c>
      <c r="C165" s="950" t="s">
        <v>870</v>
      </c>
      <c r="D165" s="271" t="s">
        <v>40</v>
      </c>
      <c r="E165" s="476"/>
      <c r="F165" s="23">
        <f>(F156+F159+F162)</f>
        <v>0</v>
      </c>
      <c r="G165" s="13"/>
      <c r="H165" s="13"/>
      <c r="I165" s="13"/>
      <c r="J165" s="13"/>
      <c r="K165" s="13"/>
      <c r="L165" s="13"/>
      <c r="M165" s="13"/>
    </row>
    <row r="166" spans="1:13" s="6" customFormat="1" ht="16.5" hidden="1">
      <c r="A166" s="1124"/>
      <c r="B166" s="275"/>
      <c r="C166" s="848" t="s">
        <v>54</v>
      </c>
      <c r="D166" s="42" t="s">
        <v>12</v>
      </c>
      <c r="E166" s="243">
        <v>1.85</v>
      </c>
      <c r="F166" s="43">
        <f>F165*E166</f>
        <v>0</v>
      </c>
      <c r="G166" s="22"/>
      <c r="H166" s="13"/>
      <c r="I166" s="22"/>
      <c r="J166" s="13"/>
      <c r="K166" s="13"/>
      <c r="L166" s="13"/>
      <c r="M166" s="13"/>
    </row>
    <row r="167" spans="1:13" s="6" customFormat="1" ht="31.5" hidden="1">
      <c r="A167" s="1124"/>
      <c r="B167" s="75" t="s">
        <v>82</v>
      </c>
      <c r="C167" s="991" t="s">
        <v>871</v>
      </c>
      <c r="D167" s="271" t="s">
        <v>40</v>
      </c>
      <c r="E167" s="243"/>
      <c r="F167" s="76">
        <f>F165*2.4</f>
        <v>0</v>
      </c>
      <c r="G167" s="22"/>
      <c r="H167" s="13"/>
      <c r="I167" s="22"/>
      <c r="J167" s="13"/>
      <c r="K167" s="22"/>
      <c r="L167" s="13"/>
      <c r="M167" s="13"/>
    </row>
    <row r="168" spans="1:13" s="6" customFormat="1" ht="16.5" hidden="1">
      <c r="A168" s="1124"/>
      <c r="B168" s="636"/>
      <c r="C168" s="848" t="s">
        <v>56</v>
      </c>
      <c r="D168" s="42" t="s">
        <v>12</v>
      </c>
      <c r="E168" s="243">
        <v>0.53</v>
      </c>
      <c r="F168" s="43">
        <f>F167*E168</f>
        <v>0</v>
      </c>
      <c r="G168" s="22"/>
      <c r="H168" s="13"/>
      <c r="I168" s="22"/>
      <c r="J168" s="13"/>
      <c r="K168" s="22"/>
      <c r="L168" s="13"/>
      <c r="M168" s="13"/>
    </row>
    <row r="169" spans="1:13" s="6" customFormat="1" ht="16.5" hidden="1">
      <c r="A169" s="1124"/>
      <c r="B169" s="275"/>
      <c r="C169" s="992" t="s">
        <v>171</v>
      </c>
      <c r="D169" s="275" t="s">
        <v>40</v>
      </c>
      <c r="E169" s="243"/>
      <c r="F169" s="76">
        <f>F167</f>
        <v>0</v>
      </c>
      <c r="G169" s="22"/>
      <c r="H169" s="13"/>
      <c r="I169" s="22"/>
      <c r="J169" s="13"/>
      <c r="K169" s="22"/>
      <c r="L169" s="13"/>
      <c r="M169" s="13"/>
    </row>
    <row r="170" spans="1:13" s="6" customFormat="1" ht="31.5" hidden="1">
      <c r="A170" s="1026"/>
      <c r="B170" s="203"/>
      <c r="C170" s="990" t="s">
        <v>872</v>
      </c>
      <c r="D170" s="203"/>
      <c r="E170" s="951"/>
      <c r="F170" s="23"/>
      <c r="G170" s="156"/>
      <c r="H170" s="13"/>
      <c r="I170" s="156"/>
      <c r="J170" s="13"/>
      <c r="K170" s="156"/>
      <c r="L170" s="156"/>
      <c r="M170" s="156"/>
    </row>
    <row r="171" spans="1:13" s="6" customFormat="1" ht="31.5" hidden="1">
      <c r="A171" s="1121" t="s">
        <v>84</v>
      </c>
      <c r="B171" s="271" t="s">
        <v>33</v>
      </c>
      <c r="C171" s="950" t="s">
        <v>902</v>
      </c>
      <c r="D171" s="275" t="s">
        <v>39</v>
      </c>
      <c r="E171" s="4"/>
      <c r="F171" s="24">
        <v>0</v>
      </c>
      <c r="G171" s="13"/>
      <c r="H171" s="13"/>
      <c r="I171" s="13"/>
      <c r="J171" s="13"/>
      <c r="K171" s="13"/>
      <c r="L171" s="13"/>
      <c r="M171" s="13"/>
    </row>
    <row r="172" spans="1:13" s="6" customFormat="1" ht="16.5" hidden="1">
      <c r="A172" s="1123"/>
      <c r="B172" s="275"/>
      <c r="C172" s="25" t="s">
        <v>38</v>
      </c>
      <c r="D172" s="275" t="s">
        <v>12</v>
      </c>
      <c r="E172" s="4">
        <v>3.88</v>
      </c>
      <c r="F172" s="202">
        <f>F171*E172</f>
        <v>0</v>
      </c>
      <c r="G172" s="13"/>
      <c r="H172" s="13"/>
      <c r="I172" s="13"/>
      <c r="J172" s="13"/>
      <c r="K172" s="13"/>
      <c r="L172" s="13"/>
      <c r="M172" s="13"/>
    </row>
    <row r="173" spans="1:13" s="6" customFormat="1" ht="47.25">
      <c r="A173" s="1110" t="s">
        <v>69</v>
      </c>
      <c r="B173" s="271" t="s">
        <v>651</v>
      </c>
      <c r="C173" s="950" t="s">
        <v>874</v>
      </c>
      <c r="D173" s="271" t="s">
        <v>39</v>
      </c>
      <c r="E173" s="364"/>
      <c r="F173" s="23">
        <f>1.5*0.7*F154</f>
        <v>25.304999999999993</v>
      </c>
      <c r="G173" s="13"/>
      <c r="H173" s="13"/>
      <c r="I173" s="13"/>
      <c r="J173" s="13"/>
      <c r="K173" s="13"/>
      <c r="L173" s="13"/>
      <c r="M173" s="13"/>
    </row>
    <row r="174" spans="1:13" s="6" customFormat="1" ht="16.5">
      <c r="A174" s="1110"/>
      <c r="B174" s="275"/>
      <c r="C174" s="25" t="s">
        <v>38</v>
      </c>
      <c r="D174" s="275" t="s">
        <v>12</v>
      </c>
      <c r="E174" s="4">
        <f>20/1000</f>
        <v>0.02</v>
      </c>
      <c r="F174" s="202">
        <f>F173*E174</f>
        <v>0.50609999999999988</v>
      </c>
      <c r="G174" s="13"/>
      <c r="H174" s="13"/>
      <c r="I174" s="13"/>
      <c r="J174" s="13"/>
      <c r="K174" s="13"/>
      <c r="L174" s="13"/>
      <c r="M174" s="13"/>
    </row>
    <row r="175" spans="1:13" s="6" customFormat="1" ht="16.5">
      <c r="A175" s="1110"/>
      <c r="B175" s="271" t="s">
        <v>197</v>
      </c>
      <c r="C175" s="25" t="s">
        <v>875</v>
      </c>
      <c r="D175" s="275" t="s">
        <v>44</v>
      </c>
      <c r="E175" s="4">
        <f>44.8/1000</f>
        <v>4.48E-2</v>
      </c>
      <c r="F175" s="202">
        <f>F173*E175</f>
        <v>1.1336639999999996</v>
      </c>
      <c r="G175" s="13"/>
      <c r="H175" s="13"/>
      <c r="I175" s="13"/>
      <c r="J175" s="13"/>
      <c r="K175" s="13"/>
      <c r="L175" s="13"/>
      <c r="M175" s="13"/>
    </row>
    <row r="176" spans="1:13" s="6" customFormat="1" ht="16.5">
      <c r="A176" s="1110"/>
      <c r="B176" s="275"/>
      <c r="C176" s="25" t="s">
        <v>11</v>
      </c>
      <c r="D176" s="275" t="s">
        <v>9</v>
      </c>
      <c r="E176" s="4">
        <f>2.1/1000</f>
        <v>2.1000000000000003E-3</v>
      </c>
      <c r="F176" s="202">
        <f>F173*E176</f>
        <v>5.3140499999999993E-2</v>
      </c>
      <c r="G176" s="13"/>
      <c r="H176" s="13"/>
      <c r="I176" s="13"/>
      <c r="J176" s="13"/>
      <c r="K176" s="13"/>
      <c r="L176" s="13"/>
      <c r="M176" s="13"/>
    </row>
    <row r="177" spans="1:13" s="6" customFormat="1" ht="16.5">
      <c r="A177" s="1110"/>
      <c r="B177" s="275"/>
      <c r="C177" s="25" t="s">
        <v>32</v>
      </c>
      <c r="D177" s="275" t="s">
        <v>39</v>
      </c>
      <c r="E177" s="4">
        <f>0.05/1000</f>
        <v>5.0000000000000002E-5</v>
      </c>
      <c r="F177" s="202">
        <f>F173*E177</f>
        <v>1.2652499999999997E-3</v>
      </c>
      <c r="G177" s="13"/>
      <c r="H177" s="13"/>
      <c r="I177" s="13"/>
      <c r="J177" s="13"/>
      <c r="K177" s="13"/>
      <c r="L177" s="13"/>
      <c r="M177" s="13"/>
    </row>
    <row r="178" spans="1:13" s="6" customFormat="1" ht="31.5">
      <c r="A178" s="1121" t="s">
        <v>85</v>
      </c>
      <c r="B178" s="271" t="s">
        <v>33</v>
      </c>
      <c r="C178" s="56" t="s">
        <v>876</v>
      </c>
      <c r="D178" s="260" t="s">
        <v>39</v>
      </c>
      <c r="E178" s="15"/>
      <c r="F178" s="24">
        <f>F173*0.1</f>
        <v>2.5304999999999995</v>
      </c>
      <c r="G178" s="1016"/>
      <c r="H178" s="13"/>
      <c r="I178" s="13"/>
      <c r="J178" s="13"/>
      <c r="K178" s="1016"/>
      <c r="L178" s="13"/>
      <c r="M178" s="13"/>
    </row>
    <row r="179" spans="1:13" s="6" customFormat="1" ht="16.5">
      <c r="A179" s="1122"/>
      <c r="B179" s="275"/>
      <c r="C179" s="993" t="s">
        <v>38</v>
      </c>
      <c r="D179" s="1023" t="s">
        <v>68</v>
      </c>
      <c r="E179" s="401">
        <v>3.88</v>
      </c>
      <c r="F179" s="1015">
        <f>F178*E179</f>
        <v>9.8183399999999974</v>
      </c>
      <c r="G179" s="1016"/>
      <c r="H179" s="13"/>
      <c r="I179" s="1016"/>
      <c r="J179" s="13"/>
      <c r="K179" s="1016"/>
      <c r="L179" s="13"/>
      <c r="M179" s="13"/>
    </row>
    <row r="180" spans="1:13" s="6" customFormat="1" ht="31.5" hidden="1">
      <c r="A180" s="1110" t="s">
        <v>79</v>
      </c>
      <c r="B180" s="271" t="s">
        <v>808</v>
      </c>
      <c r="C180" s="56" t="s">
        <v>877</v>
      </c>
      <c r="D180" s="1023" t="s">
        <v>39</v>
      </c>
      <c r="E180" s="401"/>
      <c r="F180" s="23">
        <v>0</v>
      </c>
      <c r="G180" s="1016"/>
      <c r="H180" s="13"/>
      <c r="I180" s="13"/>
      <c r="J180" s="13"/>
      <c r="K180" s="1016"/>
      <c r="L180" s="13"/>
      <c r="M180" s="13"/>
    </row>
    <row r="181" spans="1:13" s="6" customFormat="1" ht="16.5" hidden="1">
      <c r="A181" s="1110"/>
      <c r="B181" s="275"/>
      <c r="C181" s="993" t="s">
        <v>38</v>
      </c>
      <c r="D181" s="1023" t="s">
        <v>68</v>
      </c>
      <c r="E181" s="401">
        <v>3</v>
      </c>
      <c r="F181" s="1015">
        <f>F180*E181</f>
        <v>0</v>
      </c>
      <c r="G181" s="1016"/>
      <c r="H181" s="13"/>
      <c r="I181" s="1016"/>
      <c r="J181" s="13"/>
      <c r="K181" s="1016"/>
      <c r="L181" s="13"/>
      <c r="M181" s="13"/>
    </row>
    <row r="182" spans="1:13" s="6" customFormat="1" ht="16.5" hidden="1">
      <c r="A182" s="1110"/>
      <c r="B182" s="275"/>
      <c r="C182" s="27" t="s">
        <v>23</v>
      </c>
      <c r="D182" s="1023" t="s">
        <v>9</v>
      </c>
      <c r="E182" s="401">
        <v>0</v>
      </c>
      <c r="F182" s="1015">
        <f>F180*E182</f>
        <v>0</v>
      </c>
      <c r="G182" s="1016"/>
      <c r="H182" s="13"/>
      <c r="I182" s="13"/>
      <c r="J182" s="13"/>
      <c r="K182" s="1016"/>
      <c r="L182" s="13"/>
      <c r="M182" s="13"/>
    </row>
    <row r="183" spans="1:13" s="6" customFormat="1" ht="16.5" hidden="1">
      <c r="A183" s="1110"/>
      <c r="B183" s="275"/>
      <c r="C183" s="27" t="s">
        <v>809</v>
      </c>
      <c r="D183" s="1023" t="s">
        <v>39</v>
      </c>
      <c r="E183" s="401">
        <v>1.1200000000000001</v>
      </c>
      <c r="F183" s="1015">
        <f>F180*E183</f>
        <v>0</v>
      </c>
      <c r="G183" s="1016"/>
      <c r="H183" s="13"/>
      <c r="I183" s="13"/>
      <c r="J183" s="13"/>
      <c r="K183" s="1016"/>
      <c r="L183" s="13"/>
      <c r="M183" s="13"/>
    </row>
    <row r="184" spans="1:13" s="6" customFormat="1" ht="16.5" hidden="1">
      <c r="A184" s="1110"/>
      <c r="B184" s="275"/>
      <c r="C184" s="27" t="s">
        <v>50</v>
      </c>
      <c r="D184" s="1023" t="s">
        <v>9</v>
      </c>
      <c r="E184" s="401">
        <v>0.01</v>
      </c>
      <c r="F184" s="1015">
        <f>F180*E184</f>
        <v>0</v>
      </c>
      <c r="G184" s="1016"/>
      <c r="H184" s="13"/>
      <c r="I184" s="13"/>
      <c r="J184" s="13"/>
      <c r="K184" s="1016"/>
      <c r="L184" s="13"/>
      <c r="M184" s="13"/>
    </row>
    <row r="185" spans="1:13" s="6" customFormat="1" ht="31.5" hidden="1">
      <c r="A185" s="1110" t="s">
        <v>80</v>
      </c>
      <c r="B185" s="271" t="s">
        <v>37</v>
      </c>
      <c r="C185" s="56" t="s">
        <v>878</v>
      </c>
      <c r="D185" s="260" t="s">
        <v>39</v>
      </c>
      <c r="E185" s="952">
        <f>1.2*0.1*F154</f>
        <v>2.8919999999999995</v>
      </c>
      <c r="F185" s="23"/>
      <c r="G185" s="1016"/>
      <c r="H185" s="13"/>
      <c r="I185" s="13"/>
      <c r="J185" s="13"/>
      <c r="K185" s="1016"/>
      <c r="L185" s="13"/>
      <c r="M185" s="13"/>
    </row>
    <row r="186" spans="1:13" s="6" customFormat="1" ht="16.5" hidden="1">
      <c r="A186" s="1110"/>
      <c r="B186" s="275"/>
      <c r="C186" s="993" t="s">
        <v>38</v>
      </c>
      <c r="D186" s="1023" t="s">
        <v>68</v>
      </c>
      <c r="E186" s="401">
        <v>3.52</v>
      </c>
      <c r="F186" s="1015">
        <f>F185*E186</f>
        <v>0</v>
      </c>
      <c r="G186" s="1016"/>
      <c r="H186" s="13"/>
      <c r="I186" s="1016"/>
      <c r="J186" s="13"/>
      <c r="K186" s="1016"/>
      <c r="L186" s="13"/>
      <c r="M186" s="13"/>
    </row>
    <row r="187" spans="1:13" s="6" customFormat="1" ht="16.5" hidden="1">
      <c r="A187" s="1110"/>
      <c r="B187" s="275"/>
      <c r="C187" s="27" t="s">
        <v>23</v>
      </c>
      <c r="D187" s="1023" t="s">
        <v>9</v>
      </c>
      <c r="E187" s="401">
        <v>1.06</v>
      </c>
      <c r="F187" s="1015">
        <f>F185*E187</f>
        <v>0</v>
      </c>
      <c r="G187" s="1016"/>
      <c r="H187" s="13"/>
      <c r="I187" s="13"/>
      <c r="J187" s="13"/>
      <c r="K187" s="1016"/>
      <c r="L187" s="13"/>
      <c r="M187" s="13"/>
    </row>
    <row r="188" spans="1:13" s="6" customFormat="1" ht="16.5" hidden="1">
      <c r="A188" s="1110"/>
      <c r="B188" s="275"/>
      <c r="C188" s="27" t="s">
        <v>32</v>
      </c>
      <c r="D188" s="1023" t="s">
        <v>39</v>
      </c>
      <c r="E188" s="401">
        <f>0.18+0.09+0.97</f>
        <v>1.24</v>
      </c>
      <c r="F188" s="1015">
        <f>F185*E188</f>
        <v>0</v>
      </c>
      <c r="G188" s="1016"/>
      <c r="H188" s="13"/>
      <c r="I188" s="13"/>
      <c r="J188" s="13"/>
      <c r="K188" s="1016"/>
      <c r="L188" s="13"/>
      <c r="M188" s="13"/>
    </row>
    <row r="189" spans="1:13" s="6" customFormat="1" ht="16.5" hidden="1">
      <c r="A189" s="1110"/>
      <c r="B189" s="275"/>
      <c r="C189" s="27" t="s">
        <v>50</v>
      </c>
      <c r="D189" s="1023" t="s">
        <v>9</v>
      </c>
      <c r="E189" s="401">
        <v>0.02</v>
      </c>
      <c r="F189" s="1015">
        <f>F185*E189</f>
        <v>0</v>
      </c>
      <c r="G189" s="1016"/>
      <c r="H189" s="13"/>
      <c r="I189" s="13"/>
      <c r="J189" s="13"/>
      <c r="K189" s="1016"/>
      <c r="L189" s="13"/>
      <c r="M189" s="13"/>
    </row>
    <row r="190" spans="1:13" s="6" customFormat="1" ht="31.5">
      <c r="A190" s="1110" t="s">
        <v>81</v>
      </c>
      <c r="B190" s="1018" t="s">
        <v>178</v>
      </c>
      <c r="C190" s="998" t="s">
        <v>884</v>
      </c>
      <c r="D190" s="260" t="s">
        <v>39</v>
      </c>
      <c r="E190" s="997"/>
      <c r="F190" s="24">
        <f>1.2*0.1*F154</f>
        <v>2.8919999999999995</v>
      </c>
      <c r="G190" s="1016"/>
      <c r="H190" s="13"/>
      <c r="I190" s="13"/>
      <c r="J190" s="13"/>
      <c r="K190" s="1016"/>
      <c r="L190" s="13"/>
      <c r="M190" s="13"/>
    </row>
    <row r="191" spans="1:13" s="6" customFormat="1" ht="16.5">
      <c r="A191" s="1110"/>
      <c r="B191" s="271"/>
      <c r="C191" s="18" t="s">
        <v>38</v>
      </c>
      <c r="D191" s="1023" t="s">
        <v>47</v>
      </c>
      <c r="E191" s="994">
        <v>1.37</v>
      </c>
      <c r="F191" s="1014">
        <f>F190*E191</f>
        <v>3.9620399999999996</v>
      </c>
      <c r="G191" s="1016"/>
      <c r="H191" s="13"/>
      <c r="I191" s="1016"/>
      <c r="J191" s="13"/>
      <c r="K191" s="1016"/>
      <c r="L191" s="13"/>
      <c r="M191" s="13"/>
    </row>
    <row r="192" spans="1:13" s="6" customFormat="1" ht="16.5">
      <c r="A192" s="1110"/>
      <c r="B192" s="275"/>
      <c r="C192" s="27" t="s">
        <v>23</v>
      </c>
      <c r="D192" s="1023" t="s">
        <v>9</v>
      </c>
      <c r="E192" s="401">
        <v>0.28299999999999997</v>
      </c>
      <c r="F192" s="1015">
        <f>F190*E192</f>
        <v>0.81843599999999972</v>
      </c>
      <c r="G192" s="1016"/>
      <c r="H192" s="13"/>
      <c r="I192" s="13"/>
      <c r="J192" s="13"/>
      <c r="K192" s="1016"/>
      <c r="L192" s="13"/>
      <c r="M192" s="13"/>
    </row>
    <row r="193" spans="1:13" s="6" customFormat="1" ht="16.5">
      <c r="A193" s="1110"/>
      <c r="B193" s="275"/>
      <c r="C193" s="27" t="s">
        <v>313</v>
      </c>
      <c r="D193" s="1023" t="s">
        <v>39</v>
      </c>
      <c r="E193" s="401">
        <v>1.02</v>
      </c>
      <c r="F193" s="1015">
        <f>F190*E193</f>
        <v>2.9498399999999996</v>
      </c>
      <c r="G193" s="1016"/>
      <c r="H193" s="13"/>
      <c r="I193" s="13"/>
      <c r="J193" s="13"/>
      <c r="K193" s="1016"/>
      <c r="L193" s="13"/>
      <c r="M193" s="13"/>
    </row>
    <row r="194" spans="1:13" s="6" customFormat="1" ht="16.5">
      <c r="A194" s="1110"/>
      <c r="B194" s="275"/>
      <c r="C194" s="27" t="s">
        <v>50</v>
      </c>
      <c r="D194" s="1023" t="s">
        <v>9</v>
      </c>
      <c r="E194" s="401">
        <v>0.62</v>
      </c>
      <c r="F194" s="1015">
        <f>F190*E194</f>
        <v>1.7930399999999997</v>
      </c>
      <c r="G194" s="1016"/>
      <c r="H194" s="13"/>
      <c r="I194" s="13"/>
      <c r="J194" s="13"/>
      <c r="K194" s="1016"/>
      <c r="L194" s="13"/>
      <c r="M194" s="13"/>
    </row>
    <row r="195" spans="1:13" s="6" customFormat="1" ht="35.25" customHeight="1">
      <c r="A195" s="1110" t="s">
        <v>77</v>
      </c>
      <c r="B195" s="271" t="s">
        <v>270</v>
      </c>
      <c r="C195" s="950" t="s">
        <v>879</v>
      </c>
      <c r="D195" s="271" t="s">
        <v>39</v>
      </c>
      <c r="E195" s="401"/>
      <c r="F195" s="24">
        <f>1*0.3*F154</f>
        <v>7.2299999999999986</v>
      </c>
      <c r="G195" s="13"/>
      <c r="H195" s="13"/>
      <c r="I195" s="13"/>
      <c r="J195" s="13"/>
      <c r="K195" s="1016"/>
      <c r="L195" s="13"/>
      <c r="M195" s="13"/>
    </row>
    <row r="196" spans="1:13" s="6" customFormat="1" ht="16.5">
      <c r="A196" s="1110"/>
      <c r="B196" s="902"/>
      <c r="C196" s="903" t="s">
        <v>38</v>
      </c>
      <c r="D196" s="1023" t="s">
        <v>12</v>
      </c>
      <c r="E196" s="401">
        <v>1.87</v>
      </c>
      <c r="F196" s="1015">
        <f>F195*E196</f>
        <v>13.520099999999998</v>
      </c>
      <c r="G196" s="1016"/>
      <c r="H196" s="13"/>
      <c r="I196" s="1016"/>
      <c r="J196" s="13"/>
      <c r="K196" s="1016"/>
      <c r="L196" s="13"/>
      <c r="M196" s="13"/>
    </row>
    <row r="197" spans="1:13" s="6" customFormat="1" ht="16.5">
      <c r="A197" s="1110"/>
      <c r="B197" s="1023"/>
      <c r="C197" s="18" t="s">
        <v>11</v>
      </c>
      <c r="D197" s="1023" t="s">
        <v>9</v>
      </c>
      <c r="E197" s="994">
        <v>0.77</v>
      </c>
      <c r="F197" s="1014">
        <f>F195*E197</f>
        <v>5.567099999999999</v>
      </c>
      <c r="G197" s="1016"/>
      <c r="H197" s="13"/>
      <c r="I197" s="1016"/>
      <c r="J197" s="13"/>
      <c r="K197" s="1016"/>
      <c r="L197" s="13"/>
      <c r="M197" s="13"/>
    </row>
    <row r="198" spans="1:13" s="6" customFormat="1" ht="16.5">
      <c r="A198" s="1110"/>
      <c r="B198" s="1023"/>
      <c r="C198" s="18" t="s">
        <v>771</v>
      </c>
      <c r="D198" s="1023" t="s">
        <v>31</v>
      </c>
      <c r="E198" s="401">
        <v>1.0149999999999999</v>
      </c>
      <c r="F198" s="1014">
        <f>E198*F195</f>
        <v>7.3384499999999981</v>
      </c>
      <c r="G198" s="1016"/>
      <c r="H198" s="13"/>
      <c r="I198" s="1016"/>
      <c r="J198" s="13"/>
      <c r="K198" s="1016"/>
      <c r="L198" s="13"/>
      <c r="M198" s="13"/>
    </row>
    <row r="199" spans="1:13" s="6" customFormat="1" ht="16.5">
      <c r="A199" s="1110"/>
      <c r="B199" s="1019"/>
      <c r="C199" s="903" t="s">
        <v>880</v>
      </c>
      <c r="D199" s="1023" t="s">
        <v>749</v>
      </c>
      <c r="E199" s="401">
        <v>7.5399999999999995E-2</v>
      </c>
      <c r="F199" s="1015">
        <f>F195*E199</f>
        <v>0.5451419999999999</v>
      </c>
      <c r="G199" s="269"/>
      <c r="H199" s="13"/>
      <c r="I199" s="1016"/>
      <c r="J199" s="13"/>
      <c r="K199" s="1016"/>
      <c r="L199" s="13"/>
      <c r="M199" s="13"/>
    </row>
    <row r="200" spans="1:13" s="6" customFormat="1" ht="16.5">
      <c r="A200" s="1110"/>
      <c r="B200" s="1019"/>
      <c r="C200" s="903" t="s">
        <v>41</v>
      </c>
      <c r="D200" s="1019" t="s">
        <v>31</v>
      </c>
      <c r="E200" s="401">
        <v>8.0000000000000004E-4</v>
      </c>
      <c r="F200" s="1015">
        <f>F195*E200</f>
        <v>5.7839999999999992E-3</v>
      </c>
      <c r="G200" s="1016"/>
      <c r="H200" s="13"/>
      <c r="I200" s="1016"/>
      <c r="J200" s="13"/>
      <c r="K200" s="1016"/>
      <c r="L200" s="13"/>
      <c r="M200" s="13"/>
    </row>
    <row r="201" spans="1:13" s="6" customFormat="1" ht="16.5">
      <c r="A201" s="1110"/>
      <c r="B201" s="1023"/>
      <c r="C201" s="18" t="s">
        <v>50</v>
      </c>
      <c r="D201" s="1023" t="s">
        <v>9</v>
      </c>
      <c r="E201" s="994">
        <v>7.0000000000000007E-2</v>
      </c>
      <c r="F201" s="1014">
        <f>F195*E201</f>
        <v>0.50609999999999999</v>
      </c>
      <c r="G201" s="1016"/>
      <c r="H201" s="13"/>
      <c r="I201" s="1016"/>
      <c r="J201" s="13"/>
      <c r="K201" s="1016"/>
      <c r="L201" s="13"/>
      <c r="M201" s="13"/>
    </row>
    <row r="202" spans="1:13" s="6" customFormat="1" ht="16.5">
      <c r="A202" s="1110"/>
      <c r="B202" s="1019"/>
      <c r="C202" s="904" t="s">
        <v>779</v>
      </c>
      <c r="D202" s="1023" t="s">
        <v>298</v>
      </c>
      <c r="E202" s="994"/>
      <c r="F202" s="905">
        <f>(F154/0.15+1)*1*2*1.05*0.617/1000+8*2*F154*1.05*0.395/1000</f>
        <v>0.36939909999999998</v>
      </c>
      <c r="G202" s="269"/>
      <c r="H202" s="13"/>
      <c r="I202" s="1016"/>
      <c r="J202" s="13"/>
      <c r="K202" s="1016"/>
      <c r="L202" s="13"/>
      <c r="M202" s="13"/>
    </row>
    <row r="203" spans="1:13" s="6" customFormat="1" ht="16.5">
      <c r="A203" s="1110"/>
      <c r="B203" s="1023"/>
      <c r="C203" s="904" t="s">
        <v>781</v>
      </c>
      <c r="D203" s="1023" t="s">
        <v>298</v>
      </c>
      <c r="E203" s="994"/>
      <c r="F203" s="905">
        <f>(F154/0.15+1)*3*0.4*1.05*0.395/1000</f>
        <v>8.0461500000000019E-2</v>
      </c>
      <c r="G203" s="1016"/>
      <c r="H203" s="13"/>
      <c r="I203" s="1016"/>
      <c r="J203" s="13"/>
      <c r="K203" s="1016"/>
      <c r="L203" s="13"/>
      <c r="M203" s="13"/>
    </row>
    <row r="204" spans="1:13" s="6" customFormat="1" ht="31.5">
      <c r="A204" s="1121" t="s">
        <v>42</v>
      </c>
      <c r="B204" s="271" t="s">
        <v>768</v>
      </c>
      <c r="C204" s="950" t="s">
        <v>881</v>
      </c>
      <c r="D204" s="271" t="s">
        <v>39</v>
      </c>
      <c r="E204" s="4"/>
      <c r="F204" s="23">
        <f>((1.25+0.75)/2+0.3)*0.3*F154</f>
        <v>9.3989999999999991</v>
      </c>
      <c r="G204" s="13"/>
      <c r="H204" s="13"/>
      <c r="I204" s="13"/>
      <c r="J204" s="13"/>
      <c r="K204" s="13"/>
      <c r="L204" s="13"/>
      <c r="M204" s="13"/>
    </row>
    <row r="205" spans="1:13" s="6" customFormat="1" ht="16.5">
      <c r="A205" s="1123"/>
      <c r="B205" s="902"/>
      <c r="C205" s="903" t="s">
        <v>38</v>
      </c>
      <c r="D205" s="1023" t="s">
        <v>12</v>
      </c>
      <c r="E205" s="401">
        <v>8.44</v>
      </c>
      <c r="F205" s="1015">
        <f>F204*E205</f>
        <v>79.327559999999991</v>
      </c>
      <c r="G205" s="1016"/>
      <c r="H205" s="13"/>
      <c r="I205" s="1016"/>
      <c r="J205" s="13"/>
      <c r="K205" s="1016"/>
      <c r="L205" s="13"/>
      <c r="M205" s="13"/>
    </row>
    <row r="206" spans="1:13" s="6" customFormat="1" ht="16.5">
      <c r="A206" s="1123"/>
      <c r="B206" s="1023"/>
      <c r="C206" s="18" t="s">
        <v>11</v>
      </c>
      <c r="D206" s="1023" t="s">
        <v>9</v>
      </c>
      <c r="E206" s="994">
        <v>1.1000000000000001</v>
      </c>
      <c r="F206" s="1014">
        <f>F204*E206</f>
        <v>10.338900000000001</v>
      </c>
      <c r="G206" s="1016"/>
      <c r="H206" s="13"/>
      <c r="I206" s="1016"/>
      <c r="J206" s="13"/>
      <c r="K206" s="1016"/>
      <c r="L206" s="13"/>
      <c r="M206" s="13"/>
    </row>
    <row r="207" spans="1:13" s="6" customFormat="1" ht="16.5">
      <c r="A207" s="1123"/>
      <c r="B207" s="1023"/>
      <c r="C207" s="18" t="s">
        <v>771</v>
      </c>
      <c r="D207" s="1023" t="s">
        <v>31</v>
      </c>
      <c r="E207" s="401">
        <v>1.0149999999999999</v>
      </c>
      <c r="F207" s="1014">
        <f>F204*E207</f>
        <v>9.5399849999999979</v>
      </c>
      <c r="G207" s="1016"/>
      <c r="H207" s="13"/>
      <c r="I207" s="1016"/>
      <c r="J207" s="13"/>
      <c r="K207" s="1016"/>
      <c r="L207" s="13"/>
      <c r="M207" s="13"/>
    </row>
    <row r="208" spans="1:13" s="6" customFormat="1" ht="16.5">
      <c r="A208" s="1123"/>
      <c r="B208" s="1019"/>
      <c r="C208" s="903" t="s">
        <v>882</v>
      </c>
      <c r="D208" s="1023" t="s">
        <v>749</v>
      </c>
      <c r="E208" s="401">
        <v>1.84</v>
      </c>
      <c r="F208" s="1015">
        <f>F204*E208</f>
        <v>17.294159999999998</v>
      </c>
      <c r="G208" s="269"/>
      <c r="H208" s="13"/>
      <c r="I208" s="1016"/>
      <c r="J208" s="13"/>
      <c r="K208" s="1016"/>
      <c r="L208" s="13"/>
      <c r="M208" s="13"/>
    </row>
    <row r="209" spans="1:15" s="6" customFormat="1" ht="16.5">
      <c r="A209" s="1123"/>
      <c r="B209" s="1019"/>
      <c r="C209" s="903" t="s">
        <v>41</v>
      </c>
      <c r="D209" s="1019" t="s">
        <v>31</v>
      </c>
      <c r="E209" s="401">
        <f>(0.34+3.91)/100</f>
        <v>4.2500000000000003E-2</v>
      </c>
      <c r="F209" s="1015">
        <f>F204*E209</f>
        <v>0.39945749999999997</v>
      </c>
      <c r="G209" s="1016"/>
      <c r="H209" s="13"/>
      <c r="I209" s="1016"/>
      <c r="J209" s="13"/>
      <c r="K209" s="1016"/>
      <c r="L209" s="13"/>
      <c r="M209" s="13"/>
    </row>
    <row r="210" spans="1:15" s="6" customFormat="1" ht="16.5">
      <c r="A210" s="1123"/>
      <c r="B210" s="1019"/>
      <c r="C210" s="903" t="s">
        <v>776</v>
      </c>
      <c r="D210" s="1019" t="s">
        <v>7</v>
      </c>
      <c r="E210" s="994">
        <f>0.22*1000/100</f>
        <v>2.2000000000000002</v>
      </c>
      <c r="F210" s="1015">
        <f>F204*E210</f>
        <v>20.677800000000001</v>
      </c>
      <c r="G210" s="1016"/>
      <c r="H210" s="13"/>
      <c r="I210" s="1016"/>
      <c r="J210" s="13"/>
      <c r="K210" s="1016"/>
      <c r="L210" s="13"/>
      <c r="M210" s="13"/>
    </row>
    <row r="211" spans="1:15" s="6" customFormat="1" ht="16.5">
      <c r="A211" s="1123"/>
      <c r="B211" s="1019"/>
      <c r="C211" s="903" t="s">
        <v>45</v>
      </c>
      <c r="D211" s="1019" t="s">
        <v>76</v>
      </c>
      <c r="E211" s="994">
        <f>100/100</f>
        <v>1</v>
      </c>
      <c r="F211" s="1015">
        <f>F204*E211</f>
        <v>9.3989999999999991</v>
      </c>
      <c r="G211" s="1016"/>
      <c r="H211" s="13"/>
      <c r="I211" s="1016"/>
      <c r="J211" s="13"/>
      <c r="K211" s="1016"/>
      <c r="L211" s="13"/>
      <c r="M211" s="13"/>
    </row>
    <row r="212" spans="1:15" s="6" customFormat="1" ht="16.5">
      <c r="A212" s="1123"/>
      <c r="B212" s="1023"/>
      <c r="C212" s="18" t="s">
        <v>50</v>
      </c>
      <c r="D212" s="1023" t="s">
        <v>9</v>
      </c>
      <c r="E212" s="994">
        <v>0.46</v>
      </c>
      <c r="F212" s="1014">
        <f>F204*E212</f>
        <v>4.3235399999999995</v>
      </c>
      <c r="G212" s="1016"/>
      <c r="H212" s="13"/>
      <c r="I212" s="1016"/>
      <c r="J212" s="13"/>
      <c r="K212" s="1016"/>
      <c r="L212" s="13"/>
      <c r="M212" s="13"/>
    </row>
    <row r="213" spans="1:15" s="6" customFormat="1" ht="16.5">
      <c r="A213" s="1123"/>
      <c r="B213" s="1019"/>
      <c r="C213" s="904" t="s">
        <v>779</v>
      </c>
      <c r="D213" s="1023" t="s">
        <v>298</v>
      </c>
      <c r="E213" s="994"/>
      <c r="F213" s="905">
        <f xml:space="preserve"> (F154/0.15+1)*((1.25+0.75)/2+0.6+0.4)*1.05*0.617/1000+(F154/0.15+1)*((1.25+0.75)/2+0.6+0.4)*1.05*0.617/1000+10*2*F154*1.05*0.395/1000</f>
        <v>0.61885250000000003</v>
      </c>
      <c r="G213" s="269"/>
      <c r="H213" s="13"/>
      <c r="I213" s="1016"/>
      <c r="J213" s="13"/>
      <c r="K213" s="1016"/>
      <c r="L213" s="13"/>
      <c r="M213" s="13"/>
    </row>
    <row r="214" spans="1:15" s="6" customFormat="1" ht="16.5">
      <c r="A214" s="1122"/>
      <c r="B214" s="1023"/>
      <c r="C214" s="904" t="s">
        <v>781</v>
      </c>
      <c r="D214" s="1023" t="s">
        <v>298</v>
      </c>
      <c r="E214" s="994"/>
      <c r="F214" s="905">
        <f>(F154/0.15+1)*4*0.4*1.05*0.395/1000</f>
        <v>0.10728200000000002</v>
      </c>
      <c r="G214" s="1016"/>
      <c r="H214" s="13"/>
      <c r="I214" s="1016"/>
      <c r="J214" s="13"/>
      <c r="K214" s="1016"/>
      <c r="L214" s="13"/>
      <c r="M214" s="13"/>
    </row>
    <row r="215" spans="1:15" s="6" customFormat="1" ht="16.5">
      <c r="A215" s="1121" t="s">
        <v>46</v>
      </c>
      <c r="B215" s="271" t="s">
        <v>598</v>
      </c>
      <c r="C215" s="950" t="s">
        <v>883</v>
      </c>
      <c r="D215" s="271" t="s">
        <v>47</v>
      </c>
      <c r="E215" s="4"/>
      <c r="F215" s="23">
        <f>((1.2+0.75)/2+0.6+0.6+0.3+0.4)*F154</f>
        <v>69.28749999999998</v>
      </c>
      <c r="G215" s="13"/>
      <c r="H215" s="13"/>
      <c r="I215" s="13"/>
      <c r="J215" s="13"/>
      <c r="K215" s="13"/>
      <c r="L215" s="13"/>
      <c r="M215" s="13"/>
      <c r="O215" s="995"/>
    </row>
    <row r="216" spans="1:15" s="6" customFormat="1" ht="16.5">
      <c r="A216" s="1123"/>
      <c r="B216" s="275"/>
      <c r="C216" s="25" t="s">
        <v>38</v>
      </c>
      <c r="D216" s="275" t="s">
        <v>12</v>
      </c>
      <c r="E216" s="4">
        <v>0.33600000000000002</v>
      </c>
      <c r="F216" s="202">
        <f>F215*E216</f>
        <v>23.280599999999996</v>
      </c>
      <c r="G216" s="13"/>
      <c r="H216" s="13"/>
      <c r="I216" s="13"/>
      <c r="J216" s="13"/>
      <c r="K216" s="13"/>
      <c r="L216" s="13"/>
      <c r="M216" s="13"/>
    </row>
    <row r="217" spans="1:15" s="6" customFormat="1" ht="16.5">
      <c r="A217" s="1123"/>
      <c r="B217" s="275"/>
      <c r="C217" s="25" t="s">
        <v>23</v>
      </c>
      <c r="D217" s="275" t="s">
        <v>9</v>
      </c>
      <c r="E217" s="4">
        <v>1.4999999999999999E-2</v>
      </c>
      <c r="F217" s="202">
        <f>F215*E217</f>
        <v>1.0393124999999996</v>
      </c>
      <c r="G217" s="13"/>
      <c r="H217" s="13"/>
      <c r="I217" s="13"/>
      <c r="J217" s="13"/>
      <c r="K217" s="13"/>
      <c r="L217" s="13"/>
      <c r="M217" s="13"/>
    </row>
    <row r="218" spans="1:15" s="6" customFormat="1" ht="16.5">
      <c r="A218" s="1123"/>
      <c r="B218" s="275"/>
      <c r="C218" s="25" t="s">
        <v>783</v>
      </c>
      <c r="D218" s="275" t="s">
        <v>7</v>
      </c>
      <c r="E218" s="4">
        <v>2.4</v>
      </c>
      <c r="F218" s="202">
        <f>F215*E218</f>
        <v>166.28999999999994</v>
      </c>
      <c r="G218" s="996"/>
      <c r="H218" s="13"/>
      <c r="I218" s="13"/>
      <c r="J218" s="13"/>
      <c r="K218" s="13"/>
      <c r="L218" s="13"/>
      <c r="M218" s="13"/>
    </row>
    <row r="219" spans="1:15" s="6" customFormat="1" ht="16.5">
      <c r="A219" s="1122"/>
      <c r="B219" s="275"/>
      <c r="C219" s="25" t="s">
        <v>50</v>
      </c>
      <c r="D219" s="275" t="s">
        <v>9</v>
      </c>
      <c r="E219" s="4">
        <v>2.2800000000000001E-2</v>
      </c>
      <c r="F219" s="202">
        <f>F215*E219</f>
        <v>1.5797549999999996</v>
      </c>
      <c r="G219" s="13"/>
      <c r="H219" s="13"/>
      <c r="I219" s="13"/>
      <c r="J219" s="13"/>
      <c r="K219" s="13"/>
      <c r="L219" s="13"/>
      <c r="M219" s="13"/>
    </row>
    <row r="220" spans="1:15" s="6" customFormat="1" ht="16.5" hidden="1">
      <c r="A220" s="1121" t="s">
        <v>48</v>
      </c>
      <c r="B220" s="271" t="s">
        <v>63</v>
      </c>
      <c r="C220" s="950" t="s">
        <v>889</v>
      </c>
      <c r="D220" s="271" t="s">
        <v>39</v>
      </c>
      <c r="E220" s="1024">
        <f>F173+F178-F185-F190-F195-(0.3*0.3)*F154</f>
        <v>15.544499999999996</v>
      </c>
      <c r="F220" s="24"/>
      <c r="G220" s="13"/>
      <c r="H220" s="13"/>
      <c r="I220" s="13"/>
      <c r="J220" s="13"/>
      <c r="K220" s="13"/>
      <c r="L220" s="13"/>
      <c r="M220" s="13"/>
    </row>
    <row r="221" spans="1:15" s="6" customFormat="1" ht="16.5" hidden="1">
      <c r="A221" s="1122"/>
      <c r="B221" s="275"/>
      <c r="C221" s="993" t="s">
        <v>150</v>
      </c>
      <c r="D221" s="204" t="s">
        <v>21</v>
      </c>
      <c r="E221" s="320">
        <v>1.21</v>
      </c>
      <c r="F221" s="325">
        <f>F220*E221</f>
        <v>0</v>
      </c>
      <c r="G221" s="1016"/>
      <c r="H221" s="13"/>
      <c r="I221" s="1016"/>
      <c r="J221" s="13"/>
      <c r="K221" s="13"/>
      <c r="L221" s="13"/>
      <c r="M221" s="13"/>
    </row>
    <row r="222" spans="1:15" s="74" customFormat="1" ht="16.5" hidden="1">
      <c r="A222" s="1111">
        <v>11</v>
      </c>
      <c r="B222" s="999" t="s">
        <v>885</v>
      </c>
      <c r="C222" s="1000" t="s">
        <v>887</v>
      </c>
      <c r="D222" s="1001" t="s">
        <v>39</v>
      </c>
      <c r="E222" s="57">
        <f>F173+F178-F185-F190-F195-(0.3*0.3)*F154</f>
        <v>15.544499999999996</v>
      </c>
      <c r="F222" s="24"/>
      <c r="G222" s="1016"/>
      <c r="H222" s="1016"/>
      <c r="I222" s="1016"/>
      <c r="J222" s="1016"/>
      <c r="K222" s="1016"/>
      <c r="L222" s="1016"/>
      <c r="M222" s="1016"/>
      <c r="N222" s="274"/>
      <c r="O222" s="529"/>
    </row>
    <row r="223" spans="1:15" s="74" customFormat="1" ht="16.5" hidden="1">
      <c r="A223" s="1111"/>
      <c r="B223" s="1002">
        <v>1011</v>
      </c>
      <c r="C223" s="1003" t="s">
        <v>886</v>
      </c>
      <c r="D223" s="1016" t="s">
        <v>44</v>
      </c>
      <c r="E223" s="1004">
        <f>0.00513+0.00204*2</f>
        <v>9.2099999999999994E-3</v>
      </c>
      <c r="F223" s="1005">
        <f>F222*E223</f>
        <v>0</v>
      </c>
      <c r="G223" s="1006"/>
      <c r="H223" s="1007"/>
      <c r="I223" s="1008"/>
      <c r="J223" s="1008"/>
      <c r="K223" s="1008"/>
      <c r="L223" s="1008"/>
      <c r="M223" s="1008"/>
      <c r="N223" s="274"/>
      <c r="O223" s="529"/>
    </row>
    <row r="224" spans="1:15" s="69" customFormat="1" ht="16.5">
      <c r="A224" s="1112" t="s">
        <v>53</v>
      </c>
      <c r="B224" s="114" t="s">
        <v>651</v>
      </c>
      <c r="C224" s="127" t="s">
        <v>893</v>
      </c>
      <c r="D224" s="126" t="s">
        <v>39</v>
      </c>
      <c r="E224" s="54"/>
      <c r="F224" s="180">
        <f>F173+F178-F185-F190-F195-(0.3*0.3)*F154</f>
        <v>15.544499999999996</v>
      </c>
      <c r="G224" s="20"/>
      <c r="H224" s="1016"/>
      <c r="I224" s="20"/>
      <c r="J224" s="1016"/>
      <c r="K224" s="21"/>
      <c r="L224" s="1016"/>
      <c r="M224" s="1016"/>
    </row>
    <row r="225" spans="1:17" s="69" customFormat="1" ht="16.5">
      <c r="A225" s="1113"/>
      <c r="B225" s="1020"/>
      <c r="C225" s="903" t="s">
        <v>38</v>
      </c>
      <c r="D225" s="1020" t="s">
        <v>68</v>
      </c>
      <c r="E225" s="115">
        <f>20/1000</f>
        <v>0.02</v>
      </c>
      <c r="F225" s="115">
        <f>F224*E225</f>
        <v>0.31088999999999994</v>
      </c>
      <c r="G225" s="20"/>
      <c r="H225" s="1016"/>
      <c r="I225" s="20"/>
      <c r="J225" s="1016"/>
      <c r="K225" s="21"/>
      <c r="L225" s="1016"/>
      <c r="M225" s="1016"/>
    </row>
    <row r="226" spans="1:17" s="69" customFormat="1" ht="16.5">
      <c r="A226" s="1113"/>
      <c r="B226" s="52" t="s">
        <v>197</v>
      </c>
      <c r="C226" s="102" t="s">
        <v>888</v>
      </c>
      <c r="D226" s="1020" t="s">
        <v>44</v>
      </c>
      <c r="E226" s="115">
        <f>44.8/1000</f>
        <v>4.48E-2</v>
      </c>
      <c r="F226" s="115">
        <f>F224*E226</f>
        <v>0.69639359999999983</v>
      </c>
      <c r="G226" s="20"/>
      <c r="H226" s="1016"/>
      <c r="I226" s="20"/>
      <c r="J226" s="1016"/>
      <c r="K226" s="21"/>
      <c r="L226" s="1016"/>
      <c r="M226" s="1016"/>
    </row>
    <row r="227" spans="1:17" s="69" customFormat="1" ht="16.5">
      <c r="A227" s="1114"/>
      <c r="B227" s="1020"/>
      <c r="C227" s="102" t="s">
        <v>11</v>
      </c>
      <c r="D227" s="1020" t="s">
        <v>9</v>
      </c>
      <c r="E227" s="115">
        <f>2.1/1000</f>
        <v>2.1000000000000003E-3</v>
      </c>
      <c r="F227" s="115">
        <f>F224*E227</f>
        <v>3.2643449999999997E-2</v>
      </c>
      <c r="G227" s="20"/>
      <c r="H227" s="1016"/>
      <c r="I227" s="20"/>
      <c r="J227" s="1016"/>
      <c r="K227" s="21"/>
      <c r="L227" s="1016"/>
      <c r="M227" s="1016"/>
    </row>
    <row r="228" spans="1:17" s="69" customFormat="1" ht="31.5">
      <c r="A228" s="1112" t="s">
        <v>160</v>
      </c>
      <c r="B228" s="1009" t="s">
        <v>651</v>
      </c>
      <c r="C228" s="1010" t="s">
        <v>892</v>
      </c>
      <c r="D228" s="1011" t="s">
        <v>39</v>
      </c>
      <c r="E228" s="178"/>
      <c r="F228" s="178">
        <f>(F173+F178-F224)*1.95</f>
        <v>23.967449999999992</v>
      </c>
      <c r="G228" s="20"/>
      <c r="H228" s="1016"/>
      <c r="I228" s="20"/>
      <c r="J228" s="1016"/>
      <c r="K228" s="21"/>
      <c r="L228" s="1016"/>
      <c r="M228" s="1016"/>
    </row>
    <row r="229" spans="1:17" s="69" customFormat="1" ht="16.5">
      <c r="A229" s="1113"/>
      <c r="B229" s="1020"/>
      <c r="C229" s="18" t="s">
        <v>38</v>
      </c>
      <c r="D229" s="1020" t="s">
        <v>68</v>
      </c>
      <c r="E229" s="115">
        <f>20/1000</f>
        <v>0.02</v>
      </c>
      <c r="F229" s="115">
        <f>F228*E229</f>
        <v>0.47934899999999986</v>
      </c>
      <c r="G229" s="20"/>
      <c r="H229" s="1016"/>
      <c r="I229" s="20"/>
      <c r="J229" s="1016"/>
      <c r="K229" s="21"/>
      <c r="L229" s="1016"/>
      <c r="M229" s="1016"/>
    </row>
    <row r="230" spans="1:17" s="69" customFormat="1" ht="16.5">
      <c r="A230" s="1113"/>
      <c r="B230" s="1020" t="s">
        <v>197</v>
      </c>
      <c r="C230" s="102" t="s">
        <v>888</v>
      </c>
      <c r="D230" s="1020" t="s">
        <v>44</v>
      </c>
      <c r="E230" s="115">
        <f>44.8/1000</f>
        <v>4.48E-2</v>
      </c>
      <c r="F230" s="115">
        <f>F228*E230</f>
        <v>1.0737417599999997</v>
      </c>
      <c r="G230" s="20"/>
      <c r="H230" s="1016"/>
      <c r="I230" s="20"/>
      <c r="J230" s="1016"/>
      <c r="K230" s="21"/>
      <c r="L230" s="1016"/>
      <c r="M230" s="1016"/>
    </row>
    <row r="231" spans="1:17" s="69" customFormat="1" ht="16.5">
      <c r="A231" s="1114"/>
      <c r="B231" s="1020"/>
      <c r="C231" s="102" t="s">
        <v>11</v>
      </c>
      <c r="D231" s="1020" t="s">
        <v>9</v>
      </c>
      <c r="E231" s="115">
        <f>2.1/1000</f>
        <v>2.1000000000000003E-3</v>
      </c>
      <c r="F231" s="115">
        <f>F228*E231</f>
        <v>5.0331644999999994E-2</v>
      </c>
      <c r="G231" s="20"/>
      <c r="H231" s="1016"/>
      <c r="I231" s="20"/>
      <c r="J231" s="1016"/>
      <c r="K231" s="21"/>
      <c r="L231" s="1016"/>
      <c r="M231" s="1016"/>
    </row>
    <row r="232" spans="1:17" s="69" customFormat="1" ht="31.5" hidden="1">
      <c r="A232" s="1112" t="s">
        <v>185</v>
      </c>
      <c r="B232" s="427" t="s">
        <v>82</v>
      </c>
      <c r="C232" s="98" t="s">
        <v>122</v>
      </c>
      <c r="D232" s="260" t="s">
        <v>40</v>
      </c>
      <c r="E232" s="1025">
        <f>(F173+F178-F224)*1.95  *10%</f>
        <v>2.3967449999999992</v>
      </c>
      <c r="F232" s="76"/>
      <c r="G232" s="22"/>
      <c r="H232" s="1016"/>
      <c r="I232" s="22"/>
      <c r="J232" s="1016"/>
      <c r="K232" s="22"/>
      <c r="L232" s="1016"/>
      <c r="M232" s="1016"/>
    </row>
    <row r="233" spans="1:17" s="69" customFormat="1" ht="16.5" hidden="1">
      <c r="A233" s="1114"/>
      <c r="B233" s="236"/>
      <c r="C233" s="41" t="s">
        <v>56</v>
      </c>
      <c r="D233" s="42" t="s">
        <v>12</v>
      </c>
      <c r="E233" s="701">
        <v>0.53</v>
      </c>
      <c r="F233" s="43">
        <f>F232*E233</f>
        <v>0</v>
      </c>
      <c r="G233" s="22"/>
      <c r="H233" s="1016"/>
      <c r="I233" s="22"/>
      <c r="J233" s="1016"/>
      <c r="K233" s="22"/>
      <c r="L233" s="1016"/>
      <c r="M233" s="1016"/>
    </row>
    <row r="234" spans="1:17" s="69" customFormat="1" ht="30.75" customHeight="1">
      <c r="A234" s="1012" t="s">
        <v>192</v>
      </c>
      <c r="B234" s="52"/>
      <c r="C234" s="464" t="s">
        <v>187</v>
      </c>
      <c r="D234" s="260" t="s">
        <v>40</v>
      </c>
      <c r="E234" s="701"/>
      <c r="F234" s="76">
        <f>F228+F232</f>
        <v>23.967449999999992</v>
      </c>
      <c r="G234" s="22"/>
      <c r="H234" s="1016"/>
      <c r="I234" s="22"/>
      <c r="J234" s="1016"/>
      <c r="K234" s="22"/>
      <c r="L234" s="1016"/>
      <c r="M234" s="1016"/>
    </row>
    <row r="235" spans="1:17" s="74" customFormat="1" ht="16.5" hidden="1">
      <c r="A235" s="1013"/>
      <c r="B235" s="260"/>
      <c r="C235" s="739"/>
      <c r="D235" s="260"/>
      <c r="E235" s="243"/>
      <c r="F235" s="76"/>
      <c r="G235" s="22"/>
      <c r="H235" s="1016"/>
      <c r="I235" s="22"/>
      <c r="J235" s="1016"/>
      <c r="K235" s="21"/>
      <c r="L235" s="1016"/>
      <c r="M235" s="1016"/>
      <c r="N235" s="274"/>
      <c r="O235" s="529"/>
    </row>
    <row r="236" spans="1:17" s="6" customFormat="1" ht="31.5">
      <c r="A236" s="987"/>
      <c r="B236" s="77" t="s">
        <v>896</v>
      </c>
      <c r="C236" s="100" t="s">
        <v>897</v>
      </c>
      <c r="D236" s="77" t="s">
        <v>43</v>
      </c>
      <c r="E236" s="988"/>
      <c r="F236" s="48">
        <f>(6.1+4.4+3+3)+12.7+6.8+13.25+6.5</f>
        <v>55.75</v>
      </c>
      <c r="G236" s="156"/>
      <c r="H236" s="13"/>
      <c r="I236" s="156"/>
      <c r="J236" s="13"/>
      <c r="K236" s="156"/>
      <c r="L236" s="156"/>
      <c r="M236" s="156"/>
      <c r="O236" s="989">
        <f>(0.7+1.2)/2</f>
        <v>0.95</v>
      </c>
      <c r="P236" s="989"/>
      <c r="Q236" s="989"/>
    </row>
    <row r="237" spans="1:17" s="6" customFormat="1" ht="16.5" hidden="1">
      <c r="A237" s="1026"/>
      <c r="B237" s="203"/>
      <c r="C237" s="990" t="s">
        <v>251</v>
      </c>
      <c r="D237" s="203"/>
      <c r="E237" s="951"/>
      <c r="F237" s="23"/>
      <c r="G237" s="156"/>
      <c r="H237" s="13"/>
      <c r="I237" s="156"/>
      <c r="J237" s="13"/>
      <c r="K237" s="156"/>
      <c r="L237" s="156"/>
      <c r="M237" s="156"/>
    </row>
    <row r="238" spans="1:17" s="6" customFormat="1" ht="31.5" hidden="1">
      <c r="A238" s="1121" t="s">
        <v>84</v>
      </c>
      <c r="B238" s="271" t="s">
        <v>864</v>
      </c>
      <c r="C238" s="950" t="s">
        <v>865</v>
      </c>
      <c r="D238" s="275" t="s">
        <v>39</v>
      </c>
      <c r="E238" s="4"/>
      <c r="F238" s="23">
        <v>0</v>
      </c>
      <c r="G238" s="13"/>
      <c r="H238" s="13"/>
      <c r="I238" s="13"/>
      <c r="J238" s="13"/>
      <c r="K238" s="13"/>
      <c r="L238" s="13"/>
      <c r="M238" s="13"/>
    </row>
    <row r="239" spans="1:17" s="6" customFormat="1" ht="16.5" hidden="1">
      <c r="A239" s="1123"/>
      <c r="B239" s="275"/>
      <c r="C239" s="25" t="s">
        <v>38</v>
      </c>
      <c r="D239" s="275" t="s">
        <v>12</v>
      </c>
      <c r="E239" s="4">
        <v>13.2</v>
      </c>
      <c r="F239" s="202">
        <f>F238*E239</f>
        <v>0</v>
      </c>
      <c r="G239" s="13"/>
      <c r="H239" s="13"/>
      <c r="I239" s="13"/>
      <c r="J239" s="13"/>
      <c r="K239" s="13"/>
      <c r="L239" s="13"/>
      <c r="M239" s="13"/>
    </row>
    <row r="240" spans="1:17" s="6" customFormat="1" ht="16.5" hidden="1">
      <c r="A240" s="1122"/>
      <c r="B240" s="275"/>
      <c r="C240" s="25" t="s">
        <v>23</v>
      </c>
      <c r="D240" s="275" t="s">
        <v>9</v>
      </c>
      <c r="E240" s="4">
        <v>9.6300000000000008</v>
      </c>
      <c r="F240" s="202">
        <f>F238*E240</f>
        <v>0</v>
      </c>
      <c r="G240" s="13"/>
      <c r="H240" s="13"/>
      <c r="I240" s="13"/>
      <c r="J240" s="13"/>
      <c r="K240" s="13"/>
      <c r="L240" s="13"/>
      <c r="M240" s="13"/>
    </row>
    <row r="241" spans="1:13" s="6" customFormat="1" ht="31.5" hidden="1">
      <c r="A241" s="1121" t="s">
        <v>69</v>
      </c>
      <c r="B241" s="271" t="s">
        <v>259</v>
      </c>
      <c r="C241" s="950" t="s">
        <v>866</v>
      </c>
      <c r="D241" s="275"/>
      <c r="E241" s="4"/>
      <c r="F241" s="23">
        <v>0</v>
      </c>
      <c r="G241" s="13"/>
      <c r="H241" s="13"/>
      <c r="I241" s="13"/>
      <c r="J241" s="13"/>
      <c r="K241" s="13"/>
      <c r="L241" s="13"/>
      <c r="M241" s="13"/>
    </row>
    <row r="242" spans="1:13" s="6" customFormat="1" ht="16.5" hidden="1">
      <c r="A242" s="1123"/>
      <c r="B242" s="275"/>
      <c r="C242" s="25" t="s">
        <v>38</v>
      </c>
      <c r="D242" s="275" t="s">
        <v>12</v>
      </c>
      <c r="E242" s="4">
        <v>13.2</v>
      </c>
      <c r="F242" s="202">
        <f>F241*E242</f>
        <v>0</v>
      </c>
      <c r="G242" s="13"/>
      <c r="H242" s="13"/>
      <c r="I242" s="13"/>
      <c r="J242" s="13"/>
      <c r="K242" s="13"/>
      <c r="L242" s="13"/>
      <c r="M242" s="13"/>
    </row>
    <row r="243" spans="1:13" s="6" customFormat="1" ht="16.5" hidden="1">
      <c r="A243" s="1123"/>
      <c r="B243" s="275"/>
      <c r="C243" s="25" t="s">
        <v>23</v>
      </c>
      <c r="D243" s="275" t="s">
        <v>9</v>
      </c>
      <c r="E243" s="4">
        <v>9.6300000000000008</v>
      </c>
      <c r="F243" s="202">
        <f>F241*E243</f>
        <v>0</v>
      </c>
      <c r="G243" s="13"/>
      <c r="H243" s="13"/>
      <c r="I243" s="13"/>
      <c r="J243" s="13"/>
      <c r="K243" s="13"/>
      <c r="L243" s="13"/>
      <c r="M243" s="13"/>
    </row>
    <row r="244" spans="1:13" s="6" customFormat="1" ht="31.5" hidden="1">
      <c r="A244" s="1123" t="s">
        <v>85</v>
      </c>
      <c r="B244" s="271" t="s">
        <v>867</v>
      </c>
      <c r="C244" s="950" t="s">
        <v>868</v>
      </c>
      <c r="D244" s="271" t="s">
        <v>39</v>
      </c>
      <c r="E244" s="364"/>
      <c r="F244" s="23">
        <v>0</v>
      </c>
      <c r="G244" s="13"/>
      <c r="H244" s="13"/>
      <c r="I244" s="13"/>
      <c r="J244" s="13"/>
      <c r="K244" s="13"/>
      <c r="L244" s="13"/>
      <c r="M244" s="13"/>
    </row>
    <row r="245" spans="1:13" s="6" customFormat="1" ht="16.5" hidden="1">
      <c r="A245" s="1123"/>
      <c r="B245" s="275"/>
      <c r="C245" s="25" t="s">
        <v>38</v>
      </c>
      <c r="D245" s="275" t="s">
        <v>12</v>
      </c>
      <c r="E245" s="4">
        <v>8.8000000000000007</v>
      </c>
      <c r="F245" s="202">
        <f>F244*E245</f>
        <v>0</v>
      </c>
      <c r="G245" s="13"/>
      <c r="H245" s="13"/>
      <c r="I245" s="13"/>
      <c r="J245" s="13"/>
      <c r="K245" s="13"/>
      <c r="L245" s="13"/>
      <c r="M245" s="13"/>
    </row>
    <row r="246" spans="1:13" s="6" customFormat="1" ht="16.5" hidden="1">
      <c r="A246" s="1122"/>
      <c r="B246" s="275"/>
      <c r="C246" s="25" t="s">
        <v>23</v>
      </c>
      <c r="D246" s="275" t="s">
        <v>9</v>
      </c>
      <c r="E246" s="4">
        <v>4.8</v>
      </c>
      <c r="F246" s="202">
        <f>F244*E246</f>
        <v>0</v>
      </c>
      <c r="G246" s="13"/>
      <c r="H246" s="13"/>
      <c r="I246" s="13"/>
      <c r="J246" s="13"/>
      <c r="K246" s="13"/>
      <c r="L246" s="13"/>
      <c r="M246" s="13"/>
    </row>
    <row r="247" spans="1:13" s="6" customFormat="1" ht="47.25" hidden="1">
      <c r="A247" s="1124" t="s">
        <v>79</v>
      </c>
      <c r="B247" s="236" t="s">
        <v>869</v>
      </c>
      <c r="C247" s="950" t="s">
        <v>870</v>
      </c>
      <c r="D247" s="271" t="s">
        <v>40</v>
      </c>
      <c r="E247" s="476"/>
      <c r="F247" s="23">
        <f>(F238+F241+F244)</f>
        <v>0</v>
      </c>
      <c r="G247" s="13"/>
      <c r="H247" s="13"/>
      <c r="I247" s="13"/>
      <c r="J247" s="13"/>
      <c r="K247" s="13"/>
      <c r="L247" s="13"/>
      <c r="M247" s="13"/>
    </row>
    <row r="248" spans="1:13" s="6" customFormat="1" ht="16.5" hidden="1">
      <c r="A248" s="1124"/>
      <c r="B248" s="275"/>
      <c r="C248" s="848" t="s">
        <v>54</v>
      </c>
      <c r="D248" s="42" t="s">
        <v>12</v>
      </c>
      <c r="E248" s="243">
        <v>1.85</v>
      </c>
      <c r="F248" s="43">
        <f>F247*E248</f>
        <v>0</v>
      </c>
      <c r="G248" s="22"/>
      <c r="H248" s="13"/>
      <c r="I248" s="22"/>
      <c r="J248" s="13"/>
      <c r="K248" s="13"/>
      <c r="L248" s="13"/>
      <c r="M248" s="13"/>
    </row>
    <row r="249" spans="1:13" s="6" customFormat="1" ht="31.5" hidden="1">
      <c r="A249" s="1124"/>
      <c r="B249" s="75" t="s">
        <v>82</v>
      </c>
      <c r="C249" s="991" t="s">
        <v>871</v>
      </c>
      <c r="D249" s="271" t="s">
        <v>40</v>
      </c>
      <c r="E249" s="243"/>
      <c r="F249" s="76">
        <f>F247*2.4</f>
        <v>0</v>
      </c>
      <c r="G249" s="22"/>
      <c r="H249" s="13"/>
      <c r="I249" s="22"/>
      <c r="J249" s="13"/>
      <c r="K249" s="22"/>
      <c r="L249" s="13"/>
      <c r="M249" s="13"/>
    </row>
    <row r="250" spans="1:13" s="6" customFormat="1" ht="16.5" hidden="1">
      <c r="A250" s="1124"/>
      <c r="B250" s="636"/>
      <c r="C250" s="848" t="s">
        <v>56</v>
      </c>
      <c r="D250" s="42" t="s">
        <v>12</v>
      </c>
      <c r="E250" s="243">
        <v>0.53</v>
      </c>
      <c r="F250" s="43">
        <f>F249*E250</f>
        <v>0</v>
      </c>
      <c r="G250" s="22"/>
      <c r="H250" s="13"/>
      <c r="I250" s="22"/>
      <c r="J250" s="13"/>
      <c r="K250" s="22"/>
      <c r="L250" s="13"/>
      <c r="M250" s="13"/>
    </row>
    <row r="251" spans="1:13" s="6" customFormat="1" ht="16.5" hidden="1">
      <c r="A251" s="1124"/>
      <c r="B251" s="275"/>
      <c r="C251" s="992" t="s">
        <v>171</v>
      </c>
      <c r="D251" s="275" t="s">
        <v>40</v>
      </c>
      <c r="E251" s="243"/>
      <c r="F251" s="76">
        <f>F249</f>
        <v>0</v>
      </c>
      <c r="G251" s="22"/>
      <c r="H251" s="13"/>
      <c r="I251" s="22"/>
      <c r="J251" s="13"/>
      <c r="K251" s="22"/>
      <c r="L251" s="13"/>
      <c r="M251" s="13"/>
    </row>
    <row r="252" spans="1:13" s="6" customFormat="1" ht="31.5" hidden="1">
      <c r="A252" s="1026"/>
      <c r="B252" s="203"/>
      <c r="C252" s="990" t="s">
        <v>872</v>
      </c>
      <c r="D252" s="203"/>
      <c r="E252" s="951"/>
      <c r="F252" s="23"/>
      <c r="G252" s="156"/>
      <c r="H252" s="13"/>
      <c r="I252" s="156"/>
      <c r="J252" s="13"/>
      <c r="K252" s="156"/>
      <c r="L252" s="156"/>
      <c r="M252" s="156"/>
    </row>
    <row r="253" spans="1:13" s="6" customFormat="1" ht="47.25" hidden="1">
      <c r="A253" s="1121" t="s">
        <v>84</v>
      </c>
      <c r="B253" s="271" t="s">
        <v>33</v>
      </c>
      <c r="C253" s="950" t="s">
        <v>873</v>
      </c>
      <c r="D253" s="275" t="s">
        <v>39</v>
      </c>
      <c r="E253" s="4"/>
      <c r="F253" s="24">
        <v>0</v>
      </c>
      <c r="G253" s="13"/>
      <c r="H253" s="13"/>
      <c r="I253" s="13"/>
      <c r="J253" s="13"/>
      <c r="K253" s="13"/>
      <c r="L253" s="13"/>
      <c r="M253" s="13"/>
    </row>
    <row r="254" spans="1:13" s="6" customFormat="1" ht="16.5" hidden="1">
      <c r="A254" s="1123"/>
      <c r="B254" s="275"/>
      <c r="C254" s="25" t="s">
        <v>38</v>
      </c>
      <c r="D254" s="275" t="s">
        <v>12</v>
      </c>
      <c r="E254" s="4">
        <v>3.88</v>
      </c>
      <c r="F254" s="202">
        <f>F253*E254</f>
        <v>0</v>
      </c>
      <c r="G254" s="13"/>
      <c r="H254" s="13"/>
      <c r="I254" s="13"/>
      <c r="J254" s="13"/>
      <c r="K254" s="13"/>
      <c r="L254" s="13"/>
      <c r="M254" s="13"/>
    </row>
    <row r="255" spans="1:13" s="6" customFormat="1" ht="47.25">
      <c r="A255" s="1110" t="s">
        <v>69</v>
      </c>
      <c r="B255" s="271" t="s">
        <v>651</v>
      </c>
      <c r="C255" s="950" t="s">
        <v>874</v>
      </c>
      <c r="D255" s="271" t="s">
        <v>39</v>
      </c>
      <c r="E255" s="364"/>
      <c r="F255" s="23">
        <f>1.6*0.8*F236</f>
        <v>71.360000000000014</v>
      </c>
      <c r="G255" s="13"/>
      <c r="H255" s="13"/>
      <c r="I255" s="13"/>
      <c r="J255" s="13"/>
      <c r="K255" s="13"/>
      <c r="L255" s="13"/>
      <c r="M255" s="13"/>
    </row>
    <row r="256" spans="1:13" s="6" customFormat="1" ht="16.5">
      <c r="A256" s="1110"/>
      <c r="B256" s="275"/>
      <c r="C256" s="25" t="s">
        <v>38</v>
      </c>
      <c r="D256" s="275" t="s">
        <v>12</v>
      </c>
      <c r="E256" s="4">
        <f>20/1000</f>
        <v>0.02</v>
      </c>
      <c r="F256" s="202">
        <f>F255*E256</f>
        <v>1.4272000000000002</v>
      </c>
      <c r="G256" s="13"/>
      <c r="H256" s="13"/>
      <c r="I256" s="13"/>
      <c r="J256" s="13"/>
      <c r="K256" s="13"/>
      <c r="L256" s="13"/>
      <c r="M256" s="13"/>
    </row>
    <row r="257" spans="1:13" s="6" customFormat="1" ht="16.5">
      <c r="A257" s="1110"/>
      <c r="B257" s="271" t="s">
        <v>197</v>
      </c>
      <c r="C257" s="25" t="s">
        <v>875</v>
      </c>
      <c r="D257" s="275" t="s">
        <v>44</v>
      </c>
      <c r="E257" s="4">
        <f>44.8/1000</f>
        <v>4.48E-2</v>
      </c>
      <c r="F257" s="202">
        <f>F255*E257</f>
        <v>3.1969280000000007</v>
      </c>
      <c r="G257" s="13"/>
      <c r="H257" s="13"/>
      <c r="I257" s="13"/>
      <c r="J257" s="13"/>
      <c r="K257" s="13"/>
      <c r="L257" s="13"/>
      <c r="M257" s="13"/>
    </row>
    <row r="258" spans="1:13" s="6" customFormat="1" ht="16.5">
      <c r="A258" s="1110"/>
      <c r="B258" s="275"/>
      <c r="C258" s="25" t="s">
        <v>11</v>
      </c>
      <c r="D258" s="275" t="s">
        <v>9</v>
      </c>
      <c r="E258" s="4">
        <f>2.1/1000</f>
        <v>2.1000000000000003E-3</v>
      </c>
      <c r="F258" s="202">
        <f>F255*E258</f>
        <v>0.14985600000000004</v>
      </c>
      <c r="G258" s="13"/>
      <c r="H258" s="13"/>
      <c r="I258" s="13"/>
      <c r="J258" s="13"/>
      <c r="K258" s="13"/>
      <c r="L258" s="13"/>
      <c r="M258" s="13"/>
    </row>
    <row r="259" spans="1:13" s="6" customFormat="1" ht="16.5">
      <c r="A259" s="1110"/>
      <c r="B259" s="275"/>
      <c r="C259" s="25" t="s">
        <v>32</v>
      </c>
      <c r="D259" s="275" t="s">
        <v>39</v>
      </c>
      <c r="E259" s="4">
        <f>0.05/1000</f>
        <v>5.0000000000000002E-5</v>
      </c>
      <c r="F259" s="202">
        <f>F255*E259</f>
        <v>3.5680000000000009E-3</v>
      </c>
      <c r="G259" s="13"/>
      <c r="H259" s="13"/>
      <c r="I259" s="13"/>
      <c r="J259" s="13"/>
      <c r="K259" s="13"/>
      <c r="L259" s="13"/>
      <c r="M259" s="13"/>
    </row>
    <row r="260" spans="1:13" s="6" customFormat="1" ht="31.5">
      <c r="A260" s="1121" t="s">
        <v>85</v>
      </c>
      <c r="B260" s="271" t="s">
        <v>33</v>
      </c>
      <c r="C260" s="56" t="s">
        <v>876</v>
      </c>
      <c r="D260" s="260" t="s">
        <v>39</v>
      </c>
      <c r="E260" s="15"/>
      <c r="F260" s="24">
        <f>F255*0.1</f>
        <v>7.1360000000000019</v>
      </c>
      <c r="G260" s="1016"/>
      <c r="H260" s="13"/>
      <c r="I260" s="13"/>
      <c r="J260" s="13"/>
      <c r="K260" s="1016"/>
      <c r="L260" s="13"/>
      <c r="M260" s="13"/>
    </row>
    <row r="261" spans="1:13" s="6" customFormat="1" ht="16.5">
      <c r="A261" s="1122"/>
      <c r="B261" s="275"/>
      <c r="C261" s="993" t="s">
        <v>38</v>
      </c>
      <c r="D261" s="1023" t="s">
        <v>68</v>
      </c>
      <c r="E261" s="401">
        <v>3.88</v>
      </c>
      <c r="F261" s="1015">
        <f>F260*E261</f>
        <v>27.687680000000007</v>
      </c>
      <c r="G261" s="1016"/>
      <c r="H261" s="13"/>
      <c r="I261" s="1016"/>
      <c r="J261" s="13"/>
      <c r="K261" s="1016"/>
      <c r="L261" s="13"/>
      <c r="M261" s="13"/>
    </row>
    <row r="262" spans="1:13" s="6" customFormat="1" ht="31.5" hidden="1">
      <c r="A262" s="1110" t="s">
        <v>79</v>
      </c>
      <c r="B262" s="271" t="s">
        <v>808</v>
      </c>
      <c r="C262" s="56" t="s">
        <v>877</v>
      </c>
      <c r="D262" s="1023" t="s">
        <v>39</v>
      </c>
      <c r="E262" s="401"/>
      <c r="F262" s="23">
        <v>0</v>
      </c>
      <c r="G262" s="1016"/>
      <c r="H262" s="13"/>
      <c r="I262" s="13"/>
      <c r="J262" s="13"/>
      <c r="K262" s="1016"/>
      <c r="L262" s="13"/>
      <c r="M262" s="13"/>
    </row>
    <row r="263" spans="1:13" s="6" customFormat="1" ht="16.5" hidden="1">
      <c r="A263" s="1110"/>
      <c r="B263" s="275"/>
      <c r="C263" s="993" t="s">
        <v>38</v>
      </c>
      <c r="D263" s="1023" t="s">
        <v>68</v>
      </c>
      <c r="E263" s="401">
        <v>3</v>
      </c>
      <c r="F263" s="1015">
        <f>F262*E263</f>
        <v>0</v>
      </c>
      <c r="G263" s="1016"/>
      <c r="H263" s="13"/>
      <c r="I263" s="1016"/>
      <c r="J263" s="13"/>
      <c r="K263" s="1016"/>
      <c r="L263" s="13"/>
      <c r="M263" s="13"/>
    </row>
    <row r="264" spans="1:13" s="6" customFormat="1" ht="16.5" hidden="1">
      <c r="A264" s="1110"/>
      <c r="B264" s="275"/>
      <c r="C264" s="27" t="s">
        <v>23</v>
      </c>
      <c r="D264" s="1023" t="s">
        <v>9</v>
      </c>
      <c r="E264" s="401">
        <v>0</v>
      </c>
      <c r="F264" s="1015">
        <f>F262*E264</f>
        <v>0</v>
      </c>
      <c r="G264" s="1016"/>
      <c r="H264" s="13"/>
      <c r="I264" s="13"/>
      <c r="J264" s="13"/>
      <c r="K264" s="1016"/>
      <c r="L264" s="13"/>
      <c r="M264" s="13"/>
    </row>
    <row r="265" spans="1:13" s="6" customFormat="1" ht="16.5" hidden="1">
      <c r="A265" s="1110"/>
      <c r="B265" s="275"/>
      <c r="C265" s="27" t="s">
        <v>809</v>
      </c>
      <c r="D265" s="1023" t="s">
        <v>39</v>
      </c>
      <c r="E265" s="401">
        <v>1.1200000000000001</v>
      </c>
      <c r="F265" s="1015">
        <f>F262*E265</f>
        <v>0</v>
      </c>
      <c r="G265" s="1016"/>
      <c r="H265" s="13"/>
      <c r="I265" s="13"/>
      <c r="J265" s="13"/>
      <c r="K265" s="1016"/>
      <c r="L265" s="13"/>
      <c r="M265" s="13"/>
    </row>
    <row r="266" spans="1:13" s="6" customFormat="1" ht="16.5" hidden="1">
      <c r="A266" s="1110"/>
      <c r="B266" s="275"/>
      <c r="C266" s="27" t="s">
        <v>50</v>
      </c>
      <c r="D266" s="1023" t="s">
        <v>9</v>
      </c>
      <c r="E266" s="401">
        <v>0.01</v>
      </c>
      <c r="F266" s="1015">
        <f>F262*E266</f>
        <v>0</v>
      </c>
      <c r="G266" s="1016"/>
      <c r="H266" s="13"/>
      <c r="I266" s="13"/>
      <c r="J266" s="13"/>
      <c r="K266" s="1016"/>
      <c r="L266" s="13"/>
      <c r="M266" s="13"/>
    </row>
    <row r="267" spans="1:13" s="6" customFormat="1" ht="31.5" hidden="1">
      <c r="A267" s="1110" t="s">
        <v>80</v>
      </c>
      <c r="B267" s="271" t="s">
        <v>37</v>
      </c>
      <c r="C267" s="56" t="s">
        <v>878</v>
      </c>
      <c r="D267" s="260" t="s">
        <v>39</v>
      </c>
      <c r="E267" s="952">
        <f>1.3*0.1*F236</f>
        <v>7.2475000000000005</v>
      </c>
      <c r="F267" s="23"/>
      <c r="G267" s="1016"/>
      <c r="H267" s="13"/>
      <c r="I267" s="13"/>
      <c r="J267" s="13"/>
      <c r="K267" s="1016"/>
      <c r="L267" s="13"/>
      <c r="M267" s="13"/>
    </row>
    <row r="268" spans="1:13" s="6" customFormat="1" ht="16.5" hidden="1">
      <c r="A268" s="1110"/>
      <c r="B268" s="275"/>
      <c r="C268" s="993" t="s">
        <v>38</v>
      </c>
      <c r="D268" s="1023" t="s">
        <v>68</v>
      </c>
      <c r="E268" s="401">
        <v>3.52</v>
      </c>
      <c r="F268" s="1015">
        <f>F267*E268</f>
        <v>0</v>
      </c>
      <c r="G268" s="1016"/>
      <c r="H268" s="13"/>
      <c r="I268" s="1016"/>
      <c r="J268" s="13"/>
      <c r="K268" s="1016"/>
      <c r="L268" s="13"/>
      <c r="M268" s="13"/>
    </row>
    <row r="269" spans="1:13" s="6" customFormat="1" ht="16.5" hidden="1">
      <c r="A269" s="1110"/>
      <c r="B269" s="275"/>
      <c r="C269" s="27" t="s">
        <v>23</v>
      </c>
      <c r="D269" s="1023" t="s">
        <v>9</v>
      </c>
      <c r="E269" s="401">
        <v>1.06</v>
      </c>
      <c r="F269" s="1015">
        <f>F267*E269</f>
        <v>0</v>
      </c>
      <c r="G269" s="1016"/>
      <c r="H269" s="13"/>
      <c r="I269" s="13"/>
      <c r="J269" s="13"/>
      <c r="K269" s="1016"/>
      <c r="L269" s="13"/>
      <c r="M269" s="13"/>
    </row>
    <row r="270" spans="1:13" s="6" customFormat="1" ht="16.5" hidden="1">
      <c r="A270" s="1110"/>
      <c r="B270" s="275"/>
      <c r="C270" s="27" t="s">
        <v>32</v>
      </c>
      <c r="D270" s="1023" t="s">
        <v>39</v>
      </c>
      <c r="E270" s="401">
        <f>0.18+0.09+0.97</f>
        <v>1.24</v>
      </c>
      <c r="F270" s="1015">
        <f>F267*E270</f>
        <v>0</v>
      </c>
      <c r="G270" s="1016"/>
      <c r="H270" s="13"/>
      <c r="I270" s="13"/>
      <c r="J270" s="13"/>
      <c r="K270" s="1016"/>
      <c r="L270" s="13"/>
      <c r="M270" s="13"/>
    </row>
    <row r="271" spans="1:13" s="6" customFormat="1" ht="16.5" hidden="1">
      <c r="A271" s="1110"/>
      <c r="B271" s="275"/>
      <c r="C271" s="27" t="s">
        <v>50</v>
      </c>
      <c r="D271" s="1023" t="s">
        <v>9</v>
      </c>
      <c r="E271" s="401">
        <v>0.02</v>
      </c>
      <c r="F271" s="1015">
        <f>F267*E271</f>
        <v>0</v>
      </c>
      <c r="G271" s="1016"/>
      <c r="H271" s="13"/>
      <c r="I271" s="13"/>
      <c r="J271" s="13"/>
      <c r="K271" s="1016"/>
      <c r="L271" s="13"/>
      <c r="M271" s="13"/>
    </row>
    <row r="272" spans="1:13" s="6" customFormat="1" ht="31.5">
      <c r="A272" s="1110" t="s">
        <v>81</v>
      </c>
      <c r="B272" s="1018" t="s">
        <v>178</v>
      </c>
      <c r="C272" s="998" t="s">
        <v>884</v>
      </c>
      <c r="D272" s="260" t="s">
        <v>39</v>
      </c>
      <c r="E272" s="997"/>
      <c r="F272" s="24">
        <f>1.3*0.1*F236</f>
        <v>7.2475000000000005</v>
      </c>
      <c r="G272" s="1016"/>
      <c r="H272" s="13"/>
      <c r="I272" s="13"/>
      <c r="J272" s="13"/>
      <c r="K272" s="1016"/>
      <c r="L272" s="13"/>
      <c r="M272" s="13"/>
    </row>
    <row r="273" spans="1:13" s="6" customFormat="1" ht="16.5">
      <c r="A273" s="1110"/>
      <c r="B273" s="271"/>
      <c r="C273" s="18" t="s">
        <v>38</v>
      </c>
      <c r="D273" s="1023" t="s">
        <v>47</v>
      </c>
      <c r="E273" s="994">
        <v>1.37</v>
      </c>
      <c r="F273" s="1014">
        <f>F272*E273</f>
        <v>9.929075000000001</v>
      </c>
      <c r="G273" s="1016"/>
      <c r="H273" s="13"/>
      <c r="I273" s="1016"/>
      <c r="J273" s="13"/>
      <c r="K273" s="1016"/>
      <c r="L273" s="13"/>
      <c r="M273" s="13"/>
    </row>
    <row r="274" spans="1:13" s="6" customFormat="1" ht="16.5">
      <c r="A274" s="1110"/>
      <c r="B274" s="275"/>
      <c r="C274" s="27" t="s">
        <v>23</v>
      </c>
      <c r="D274" s="1023" t="s">
        <v>9</v>
      </c>
      <c r="E274" s="401">
        <v>0.28299999999999997</v>
      </c>
      <c r="F274" s="1015">
        <f>F272*E274</f>
        <v>2.0510424999999999</v>
      </c>
      <c r="G274" s="1016"/>
      <c r="H274" s="13"/>
      <c r="I274" s="13"/>
      <c r="J274" s="13"/>
      <c r="K274" s="1016"/>
      <c r="L274" s="13"/>
      <c r="M274" s="13"/>
    </row>
    <row r="275" spans="1:13" s="6" customFormat="1" ht="16.5">
      <c r="A275" s="1110"/>
      <c r="B275" s="275"/>
      <c r="C275" s="27" t="s">
        <v>313</v>
      </c>
      <c r="D275" s="1023" t="s">
        <v>39</v>
      </c>
      <c r="E275" s="401">
        <v>1.02</v>
      </c>
      <c r="F275" s="1015">
        <f>F272*E275</f>
        <v>7.3924500000000011</v>
      </c>
      <c r="G275" s="1016"/>
      <c r="H275" s="13"/>
      <c r="I275" s="13"/>
      <c r="J275" s="13"/>
      <c r="K275" s="1016"/>
      <c r="L275" s="13"/>
      <c r="M275" s="13"/>
    </row>
    <row r="276" spans="1:13" s="6" customFormat="1" ht="16.5">
      <c r="A276" s="1110"/>
      <c r="B276" s="275"/>
      <c r="C276" s="27" t="s">
        <v>50</v>
      </c>
      <c r="D276" s="1023" t="s">
        <v>9</v>
      </c>
      <c r="E276" s="401">
        <v>0.62</v>
      </c>
      <c r="F276" s="1015">
        <f>F272*E276</f>
        <v>4.4934500000000002</v>
      </c>
      <c r="G276" s="1016"/>
      <c r="H276" s="13"/>
      <c r="I276" s="13"/>
      <c r="J276" s="13"/>
      <c r="K276" s="1016"/>
      <c r="L276" s="13"/>
      <c r="M276" s="13"/>
    </row>
    <row r="277" spans="1:13" s="6" customFormat="1" ht="31.5" customHeight="1">
      <c r="A277" s="1110" t="s">
        <v>77</v>
      </c>
      <c r="B277" s="271" t="s">
        <v>270</v>
      </c>
      <c r="C277" s="950" t="s">
        <v>879</v>
      </c>
      <c r="D277" s="271" t="s">
        <v>39</v>
      </c>
      <c r="E277" s="401"/>
      <c r="F277" s="24">
        <f>1.1*0.3*F236</f>
        <v>18.397500000000001</v>
      </c>
      <c r="G277" s="13"/>
      <c r="H277" s="13"/>
      <c r="I277" s="13"/>
      <c r="J277" s="13"/>
      <c r="K277" s="1016"/>
      <c r="L277" s="13"/>
      <c r="M277" s="13"/>
    </row>
    <row r="278" spans="1:13" s="6" customFormat="1" ht="16.5">
      <c r="A278" s="1110"/>
      <c r="B278" s="902"/>
      <c r="C278" s="903" t="s">
        <v>38</v>
      </c>
      <c r="D278" s="1023" t="s">
        <v>12</v>
      </c>
      <c r="E278" s="401">
        <v>1.87</v>
      </c>
      <c r="F278" s="1015">
        <f>F277*E278</f>
        <v>34.403325000000002</v>
      </c>
      <c r="G278" s="1016"/>
      <c r="H278" s="13"/>
      <c r="I278" s="1016"/>
      <c r="J278" s="13"/>
      <c r="K278" s="1016"/>
      <c r="L278" s="13"/>
      <c r="M278" s="13"/>
    </row>
    <row r="279" spans="1:13" s="6" customFormat="1" ht="16.5">
      <c r="A279" s="1110"/>
      <c r="B279" s="1023"/>
      <c r="C279" s="18" t="s">
        <v>11</v>
      </c>
      <c r="D279" s="1023" t="s">
        <v>9</v>
      </c>
      <c r="E279" s="994">
        <v>0.77</v>
      </c>
      <c r="F279" s="1014">
        <f>F277*E279</f>
        <v>14.166075000000001</v>
      </c>
      <c r="G279" s="1016"/>
      <c r="H279" s="13"/>
      <c r="I279" s="1016"/>
      <c r="J279" s="13"/>
      <c r="K279" s="1016"/>
      <c r="L279" s="13"/>
      <c r="M279" s="13"/>
    </row>
    <row r="280" spans="1:13" s="6" customFormat="1" ht="16.5">
      <c r="A280" s="1110"/>
      <c r="B280" s="1023"/>
      <c r="C280" s="18" t="s">
        <v>771</v>
      </c>
      <c r="D280" s="1023" t="s">
        <v>31</v>
      </c>
      <c r="E280" s="401">
        <v>1.0149999999999999</v>
      </c>
      <c r="F280" s="1014">
        <f>E280*F277</f>
        <v>18.673462499999999</v>
      </c>
      <c r="G280" s="1016"/>
      <c r="H280" s="13"/>
      <c r="I280" s="1016"/>
      <c r="J280" s="13"/>
      <c r="K280" s="1016"/>
      <c r="L280" s="13"/>
      <c r="M280" s="13"/>
    </row>
    <row r="281" spans="1:13" s="6" customFormat="1" ht="16.5">
      <c r="A281" s="1110"/>
      <c r="B281" s="1019"/>
      <c r="C281" s="903" t="s">
        <v>880</v>
      </c>
      <c r="D281" s="1023" t="s">
        <v>749</v>
      </c>
      <c r="E281" s="401">
        <v>7.5399999999999995E-2</v>
      </c>
      <c r="F281" s="1015">
        <f>F277*E281</f>
        <v>1.3871715</v>
      </c>
      <c r="G281" s="269"/>
      <c r="H281" s="13"/>
      <c r="I281" s="1016"/>
      <c r="J281" s="13"/>
      <c r="K281" s="1016"/>
      <c r="L281" s="13"/>
      <c r="M281" s="13"/>
    </row>
    <row r="282" spans="1:13" s="6" customFormat="1" ht="16.5">
      <c r="A282" s="1110"/>
      <c r="B282" s="1019"/>
      <c r="C282" s="903" t="s">
        <v>41</v>
      </c>
      <c r="D282" s="1019" t="s">
        <v>31</v>
      </c>
      <c r="E282" s="401">
        <v>8.0000000000000004E-4</v>
      </c>
      <c r="F282" s="1015">
        <f>F277*E282</f>
        <v>1.4718000000000002E-2</v>
      </c>
      <c r="G282" s="1016"/>
      <c r="H282" s="13"/>
      <c r="I282" s="1016"/>
      <c r="J282" s="13"/>
      <c r="K282" s="1016"/>
      <c r="L282" s="13"/>
      <c r="M282" s="13"/>
    </row>
    <row r="283" spans="1:13" s="6" customFormat="1" ht="16.5">
      <c r="A283" s="1110"/>
      <c r="B283" s="1023"/>
      <c r="C283" s="18" t="s">
        <v>50</v>
      </c>
      <c r="D283" s="1023" t="s">
        <v>9</v>
      </c>
      <c r="E283" s="994">
        <v>7.0000000000000007E-2</v>
      </c>
      <c r="F283" s="1014">
        <f>F277*E283</f>
        <v>1.2878250000000002</v>
      </c>
      <c r="G283" s="1016"/>
      <c r="H283" s="13"/>
      <c r="I283" s="1016"/>
      <c r="J283" s="13"/>
      <c r="K283" s="1016"/>
      <c r="L283" s="13"/>
      <c r="M283" s="13"/>
    </row>
    <row r="284" spans="1:13" s="6" customFormat="1" ht="16.5">
      <c r="A284" s="1110"/>
      <c r="B284" s="1019"/>
      <c r="C284" s="904" t="s">
        <v>779</v>
      </c>
      <c r="D284" s="1023" t="s">
        <v>298</v>
      </c>
      <c r="E284" s="994"/>
      <c r="F284" s="905">
        <f>(F236/0.15+1)*1.1*2*1.05*0.617/1000+8*2*F236*1.05*0.395/1000</f>
        <v>0.90110762000000011</v>
      </c>
      <c r="G284" s="269"/>
      <c r="H284" s="13"/>
      <c r="I284" s="1016"/>
      <c r="J284" s="13"/>
      <c r="K284" s="1016"/>
      <c r="L284" s="13"/>
      <c r="M284" s="13"/>
    </row>
    <row r="285" spans="1:13" s="6" customFormat="1" ht="16.5">
      <c r="A285" s="1110"/>
      <c r="B285" s="1023"/>
      <c r="C285" s="904" t="s">
        <v>781</v>
      </c>
      <c r="D285" s="1023" t="s">
        <v>298</v>
      </c>
      <c r="E285" s="994"/>
      <c r="F285" s="905">
        <f>(F236/0.15+1)*3*0.4*1.05*0.395/1000</f>
        <v>0.18547620000000004</v>
      </c>
      <c r="G285" s="1016"/>
      <c r="H285" s="13"/>
      <c r="I285" s="1016"/>
      <c r="J285" s="13"/>
      <c r="K285" s="1016"/>
      <c r="L285" s="13"/>
      <c r="M285" s="13"/>
    </row>
    <row r="286" spans="1:13" s="6" customFormat="1" ht="31.5">
      <c r="A286" s="1121" t="s">
        <v>42</v>
      </c>
      <c r="B286" s="271" t="s">
        <v>768</v>
      </c>
      <c r="C286" s="950" t="s">
        <v>881</v>
      </c>
      <c r="D286" s="271" t="s">
        <v>39</v>
      </c>
      <c r="E286" s="4"/>
      <c r="F286" s="23">
        <f>((1.5+1.8)/2+0.4)*0.3*F236</f>
        <v>34.286249999999995</v>
      </c>
      <c r="G286" s="13"/>
      <c r="H286" s="13"/>
      <c r="I286" s="13"/>
      <c r="J286" s="13"/>
      <c r="K286" s="13"/>
      <c r="L286" s="13"/>
      <c r="M286" s="13"/>
    </row>
    <row r="287" spans="1:13" s="6" customFormat="1" ht="16.5">
      <c r="A287" s="1123"/>
      <c r="B287" s="902"/>
      <c r="C287" s="903" t="s">
        <v>38</v>
      </c>
      <c r="D287" s="1023" t="s">
        <v>12</v>
      </c>
      <c r="E287" s="401">
        <v>8.44</v>
      </c>
      <c r="F287" s="1015">
        <f>F286*E287</f>
        <v>289.37594999999993</v>
      </c>
      <c r="G287" s="1016"/>
      <c r="H287" s="13"/>
      <c r="I287" s="1016"/>
      <c r="J287" s="13"/>
      <c r="K287" s="1016"/>
      <c r="L287" s="13"/>
      <c r="M287" s="13"/>
    </row>
    <row r="288" spans="1:13" s="6" customFormat="1" ht="16.5">
      <c r="A288" s="1123"/>
      <c r="B288" s="1023"/>
      <c r="C288" s="18" t="s">
        <v>11</v>
      </c>
      <c r="D288" s="1023" t="s">
        <v>9</v>
      </c>
      <c r="E288" s="994">
        <v>1.1000000000000001</v>
      </c>
      <c r="F288" s="1014">
        <f>F286*E288</f>
        <v>37.714874999999999</v>
      </c>
      <c r="G288" s="1016"/>
      <c r="H288" s="13"/>
      <c r="I288" s="1016"/>
      <c r="J288" s="13"/>
      <c r="K288" s="1016"/>
      <c r="L288" s="13"/>
      <c r="M288" s="13"/>
    </row>
    <row r="289" spans="1:15" s="6" customFormat="1" ht="16.5">
      <c r="A289" s="1123"/>
      <c r="B289" s="1023"/>
      <c r="C289" s="18" t="s">
        <v>771</v>
      </c>
      <c r="D289" s="1023" t="s">
        <v>31</v>
      </c>
      <c r="E289" s="401">
        <v>1.0149999999999999</v>
      </c>
      <c r="F289" s="1014">
        <f>F286*E289</f>
        <v>34.800543749999989</v>
      </c>
      <c r="G289" s="1016"/>
      <c r="H289" s="13"/>
      <c r="I289" s="1016"/>
      <c r="J289" s="13"/>
      <c r="K289" s="1016"/>
      <c r="L289" s="13"/>
      <c r="M289" s="13"/>
    </row>
    <row r="290" spans="1:15" s="6" customFormat="1" ht="16.5">
      <c r="A290" s="1123"/>
      <c r="B290" s="1019"/>
      <c r="C290" s="903" t="s">
        <v>882</v>
      </c>
      <c r="D290" s="1023" t="s">
        <v>749</v>
      </c>
      <c r="E290" s="401">
        <v>1.84</v>
      </c>
      <c r="F290" s="1015">
        <f>F286*E290</f>
        <v>63.086699999999993</v>
      </c>
      <c r="G290" s="269"/>
      <c r="H290" s="13"/>
      <c r="I290" s="1016"/>
      <c r="J290" s="13"/>
      <c r="K290" s="1016"/>
      <c r="L290" s="13"/>
      <c r="M290" s="13"/>
    </row>
    <row r="291" spans="1:15" s="6" customFormat="1" ht="16.5">
      <c r="A291" s="1123"/>
      <c r="B291" s="1019"/>
      <c r="C291" s="903" t="s">
        <v>41</v>
      </c>
      <c r="D291" s="1019" t="s">
        <v>31</v>
      </c>
      <c r="E291" s="401">
        <f>(0.34+3.91)/100</f>
        <v>4.2500000000000003E-2</v>
      </c>
      <c r="F291" s="1015">
        <f>F286*E291</f>
        <v>1.457165625</v>
      </c>
      <c r="G291" s="1016"/>
      <c r="H291" s="13"/>
      <c r="I291" s="1016"/>
      <c r="J291" s="13"/>
      <c r="K291" s="1016"/>
      <c r="L291" s="13"/>
      <c r="M291" s="13"/>
    </row>
    <row r="292" spans="1:15" s="6" customFormat="1" ht="16.5">
      <c r="A292" s="1123"/>
      <c r="B292" s="1019"/>
      <c r="C292" s="903" t="s">
        <v>776</v>
      </c>
      <c r="D292" s="1019" t="s">
        <v>7</v>
      </c>
      <c r="E292" s="994">
        <f>0.22*1000/100</f>
        <v>2.2000000000000002</v>
      </c>
      <c r="F292" s="1015">
        <f>F286*E292</f>
        <v>75.429749999999999</v>
      </c>
      <c r="G292" s="1016"/>
      <c r="H292" s="13"/>
      <c r="I292" s="1016"/>
      <c r="J292" s="13"/>
      <c r="K292" s="1016"/>
      <c r="L292" s="13"/>
      <c r="M292" s="13"/>
    </row>
    <row r="293" spans="1:15" s="6" customFormat="1" ht="16.5">
      <c r="A293" s="1123"/>
      <c r="B293" s="1019"/>
      <c r="C293" s="903" t="s">
        <v>45</v>
      </c>
      <c r="D293" s="1019" t="s">
        <v>76</v>
      </c>
      <c r="E293" s="994">
        <f>100/100</f>
        <v>1</v>
      </c>
      <c r="F293" s="1015">
        <f>F286*E293</f>
        <v>34.286249999999995</v>
      </c>
      <c r="G293" s="1016"/>
      <c r="H293" s="13"/>
      <c r="I293" s="1016"/>
      <c r="J293" s="13"/>
      <c r="K293" s="1016"/>
      <c r="L293" s="13"/>
      <c r="M293" s="13"/>
    </row>
    <row r="294" spans="1:15" s="6" customFormat="1" ht="16.5">
      <c r="A294" s="1123"/>
      <c r="B294" s="1023"/>
      <c r="C294" s="18" t="s">
        <v>50</v>
      </c>
      <c r="D294" s="1023" t="s">
        <v>9</v>
      </c>
      <c r="E294" s="994">
        <v>0.46</v>
      </c>
      <c r="F294" s="1014">
        <f>F286*E294</f>
        <v>15.771674999999998</v>
      </c>
      <c r="G294" s="1016"/>
      <c r="H294" s="13"/>
      <c r="I294" s="1016"/>
      <c r="J294" s="13"/>
      <c r="K294" s="1016"/>
      <c r="L294" s="13"/>
      <c r="M294" s="13"/>
    </row>
    <row r="295" spans="1:15" s="6" customFormat="1" ht="16.5">
      <c r="A295" s="1123"/>
      <c r="B295" s="1019"/>
      <c r="C295" s="904" t="s">
        <v>779</v>
      </c>
      <c r="D295" s="1023" t="s">
        <v>298</v>
      </c>
      <c r="E295" s="994"/>
      <c r="F295" s="905">
        <f xml:space="preserve"> (F236/0.15+1)*((1.5+1.8)/2+0.7+0.4)*1.05*0.888/1000+(F236/0.15+1)*((1.5+1.8)/2+0.7+0.4)*1.05*0.617/1000+15*2*F236*1.05*0.395/1000</f>
        <v>2.3131622500000004</v>
      </c>
      <c r="G295" s="269"/>
      <c r="H295" s="13"/>
      <c r="I295" s="1016"/>
      <c r="J295" s="13"/>
      <c r="K295" s="1016"/>
      <c r="L295" s="13"/>
      <c r="M295" s="13"/>
    </row>
    <row r="296" spans="1:15" s="6" customFormat="1" ht="16.5">
      <c r="A296" s="1122"/>
      <c r="B296" s="1023"/>
      <c r="C296" s="904" t="s">
        <v>781</v>
      </c>
      <c r="D296" s="1023" t="s">
        <v>298</v>
      </c>
      <c r="E296" s="994"/>
      <c r="F296" s="905">
        <f>(F236/0.15+1)*8*0.4*1.05*0.395/1000</f>
        <v>0.49460320000000013</v>
      </c>
      <c r="G296" s="1016"/>
      <c r="H296" s="13"/>
      <c r="I296" s="1016"/>
      <c r="J296" s="13"/>
      <c r="K296" s="1016"/>
      <c r="L296" s="13"/>
      <c r="M296" s="13"/>
    </row>
    <row r="297" spans="1:15" s="6" customFormat="1" ht="16.5">
      <c r="A297" s="1121" t="s">
        <v>46</v>
      </c>
      <c r="B297" s="271" t="s">
        <v>598</v>
      </c>
      <c r="C297" s="950" t="s">
        <v>883</v>
      </c>
      <c r="D297" s="271" t="s">
        <v>47</v>
      </c>
      <c r="E297" s="4"/>
      <c r="F297" s="23">
        <f>((1.5+1.8)/2+0.7+0.7+0.3+0.5)*F236</f>
        <v>214.63749999999999</v>
      </c>
      <c r="G297" s="13"/>
      <c r="H297" s="13"/>
      <c r="I297" s="13"/>
      <c r="J297" s="13"/>
      <c r="K297" s="13"/>
      <c r="L297" s="13"/>
      <c r="M297" s="13"/>
      <c r="O297" s="995"/>
    </row>
    <row r="298" spans="1:15" s="6" customFormat="1" ht="16.5">
      <c r="A298" s="1123"/>
      <c r="B298" s="275"/>
      <c r="C298" s="25" t="s">
        <v>38</v>
      </c>
      <c r="D298" s="275" t="s">
        <v>12</v>
      </c>
      <c r="E298" s="4">
        <v>0.33600000000000002</v>
      </c>
      <c r="F298" s="202">
        <f>F297*E298</f>
        <v>72.118200000000002</v>
      </c>
      <c r="G298" s="13"/>
      <c r="H298" s="13"/>
      <c r="I298" s="13"/>
      <c r="J298" s="13"/>
      <c r="K298" s="13"/>
      <c r="L298" s="13"/>
      <c r="M298" s="13"/>
    </row>
    <row r="299" spans="1:15" s="6" customFormat="1" ht="16.5">
      <c r="A299" s="1123"/>
      <c r="B299" s="275"/>
      <c r="C299" s="25" t="s">
        <v>23</v>
      </c>
      <c r="D299" s="275" t="s">
        <v>9</v>
      </c>
      <c r="E299" s="4">
        <v>1.4999999999999999E-2</v>
      </c>
      <c r="F299" s="202">
        <f>F297*E299</f>
        <v>3.2195624999999999</v>
      </c>
      <c r="G299" s="13"/>
      <c r="H299" s="13"/>
      <c r="I299" s="13"/>
      <c r="J299" s="13"/>
      <c r="K299" s="13"/>
      <c r="L299" s="13"/>
      <c r="M299" s="13"/>
    </row>
    <row r="300" spans="1:15" s="6" customFormat="1" ht="16.5">
      <c r="A300" s="1123"/>
      <c r="B300" s="275"/>
      <c r="C300" s="25" t="s">
        <v>783</v>
      </c>
      <c r="D300" s="275" t="s">
        <v>7</v>
      </c>
      <c r="E300" s="4">
        <v>2.4</v>
      </c>
      <c r="F300" s="202">
        <f>F297*E300</f>
        <v>515.13</v>
      </c>
      <c r="G300" s="996"/>
      <c r="H300" s="13"/>
      <c r="I300" s="13"/>
      <c r="J300" s="13"/>
      <c r="K300" s="13"/>
      <c r="L300" s="13"/>
      <c r="M300" s="13"/>
    </row>
    <row r="301" spans="1:15" s="6" customFormat="1" ht="16.5">
      <c r="A301" s="1122"/>
      <c r="B301" s="275"/>
      <c r="C301" s="25" t="s">
        <v>50</v>
      </c>
      <c r="D301" s="275" t="s">
        <v>9</v>
      </c>
      <c r="E301" s="4">
        <v>2.2800000000000001E-2</v>
      </c>
      <c r="F301" s="202">
        <f>F297*E301</f>
        <v>4.8937349999999995</v>
      </c>
      <c r="G301" s="13"/>
      <c r="H301" s="13"/>
      <c r="I301" s="13"/>
      <c r="J301" s="13"/>
      <c r="K301" s="13"/>
      <c r="L301" s="13"/>
      <c r="M301" s="13"/>
    </row>
    <row r="302" spans="1:15" s="6" customFormat="1" ht="16.5" hidden="1">
      <c r="A302" s="1121" t="s">
        <v>48</v>
      </c>
      <c r="B302" s="271" t="s">
        <v>63</v>
      </c>
      <c r="C302" s="950" t="s">
        <v>889</v>
      </c>
      <c r="D302" s="271" t="s">
        <v>39</v>
      </c>
      <c r="E302" s="1024">
        <f>F255+F260-F267-F272-F277-(0.3*0.4)*F236</f>
        <v>46.161000000000008</v>
      </c>
      <c r="F302" s="24"/>
      <c r="G302" s="13"/>
      <c r="H302" s="13"/>
      <c r="I302" s="13"/>
      <c r="J302" s="13"/>
      <c r="K302" s="13"/>
      <c r="L302" s="13"/>
      <c r="M302" s="13"/>
    </row>
    <row r="303" spans="1:15" s="6" customFormat="1" ht="16.5" hidden="1">
      <c r="A303" s="1122"/>
      <c r="B303" s="275"/>
      <c r="C303" s="993" t="s">
        <v>150</v>
      </c>
      <c r="D303" s="204" t="s">
        <v>21</v>
      </c>
      <c r="E303" s="320">
        <v>1.21</v>
      </c>
      <c r="F303" s="325">
        <f>F302*E303</f>
        <v>0</v>
      </c>
      <c r="G303" s="1016"/>
      <c r="H303" s="13"/>
      <c r="I303" s="1016"/>
      <c r="J303" s="13"/>
      <c r="K303" s="13"/>
      <c r="L303" s="13"/>
      <c r="M303" s="13"/>
    </row>
    <row r="304" spans="1:15" s="74" customFormat="1" ht="16.5" hidden="1">
      <c r="A304" s="1111">
        <v>11</v>
      </c>
      <c r="B304" s="999" t="s">
        <v>885</v>
      </c>
      <c r="C304" s="1000" t="s">
        <v>887</v>
      </c>
      <c r="D304" s="1001" t="s">
        <v>39</v>
      </c>
      <c r="E304" s="57">
        <f>F255+F260-F267-F272-F277-(0.3*0.4)*F236</f>
        <v>46.161000000000008</v>
      </c>
      <c r="F304" s="24"/>
      <c r="G304" s="1016"/>
      <c r="H304" s="1016"/>
      <c r="I304" s="1016"/>
      <c r="J304" s="1016"/>
      <c r="K304" s="1016"/>
      <c r="L304" s="1016"/>
      <c r="M304" s="1016"/>
      <c r="N304" s="274"/>
      <c r="O304" s="529"/>
    </row>
    <row r="305" spans="1:15" s="74" customFormat="1" ht="16.5" hidden="1">
      <c r="A305" s="1111"/>
      <c r="B305" s="1002">
        <v>1011</v>
      </c>
      <c r="C305" s="1003" t="s">
        <v>886</v>
      </c>
      <c r="D305" s="1016" t="s">
        <v>44</v>
      </c>
      <c r="E305" s="1004">
        <f>0.00513+0.00204*2</f>
        <v>9.2099999999999994E-3</v>
      </c>
      <c r="F305" s="1005">
        <f>F304*E305</f>
        <v>0</v>
      </c>
      <c r="G305" s="1006"/>
      <c r="H305" s="1007"/>
      <c r="I305" s="1008"/>
      <c r="J305" s="1008"/>
      <c r="K305" s="1008"/>
      <c r="L305" s="1008"/>
      <c r="M305" s="1008"/>
      <c r="N305" s="274"/>
      <c r="O305" s="529"/>
    </row>
    <row r="306" spans="1:15" s="69" customFormat="1" ht="16.5">
      <c r="A306" s="1112" t="s">
        <v>53</v>
      </c>
      <c r="B306" s="114" t="s">
        <v>651</v>
      </c>
      <c r="C306" s="127" t="s">
        <v>893</v>
      </c>
      <c r="D306" s="126" t="s">
        <v>39</v>
      </c>
      <c r="E306" s="54"/>
      <c r="F306" s="180">
        <f>F255+F260-F267-F272-F277-(0.3*0.4)*F236</f>
        <v>46.161000000000008</v>
      </c>
      <c r="G306" s="20"/>
      <c r="H306" s="1016"/>
      <c r="I306" s="20"/>
      <c r="J306" s="1016"/>
      <c r="K306" s="21"/>
      <c r="L306" s="1016"/>
      <c r="M306" s="1016"/>
    </row>
    <row r="307" spans="1:15" s="69" customFormat="1" ht="16.5">
      <c r="A307" s="1113"/>
      <c r="B307" s="1020"/>
      <c r="C307" s="903" t="s">
        <v>38</v>
      </c>
      <c r="D307" s="1020" t="s">
        <v>68</v>
      </c>
      <c r="E307" s="115">
        <f>20/1000</f>
        <v>0.02</v>
      </c>
      <c r="F307" s="115">
        <f>F306*E307</f>
        <v>0.92322000000000015</v>
      </c>
      <c r="G307" s="20"/>
      <c r="H307" s="1016"/>
      <c r="I307" s="20"/>
      <c r="J307" s="1016"/>
      <c r="K307" s="21"/>
      <c r="L307" s="1016"/>
      <c r="M307" s="1016"/>
    </row>
    <row r="308" spans="1:15" s="69" customFormat="1" ht="16.5">
      <c r="A308" s="1113"/>
      <c r="B308" s="52" t="s">
        <v>197</v>
      </c>
      <c r="C308" s="102" t="s">
        <v>888</v>
      </c>
      <c r="D308" s="1020" t="s">
        <v>44</v>
      </c>
      <c r="E308" s="115">
        <f>44.8/1000</f>
        <v>4.48E-2</v>
      </c>
      <c r="F308" s="115">
        <f>F306*E308</f>
        <v>2.0680128000000004</v>
      </c>
      <c r="G308" s="20"/>
      <c r="H308" s="1016"/>
      <c r="I308" s="20"/>
      <c r="J308" s="1016"/>
      <c r="K308" s="21"/>
      <c r="L308" s="1016"/>
      <c r="M308" s="1016"/>
    </row>
    <row r="309" spans="1:15" s="69" customFormat="1" ht="16.5">
      <c r="A309" s="1114"/>
      <c r="B309" s="1020"/>
      <c r="C309" s="102" t="s">
        <v>11</v>
      </c>
      <c r="D309" s="1020" t="s">
        <v>9</v>
      </c>
      <c r="E309" s="115">
        <f>2.1/1000</f>
        <v>2.1000000000000003E-3</v>
      </c>
      <c r="F309" s="115">
        <f>F306*E309</f>
        <v>9.6938100000000027E-2</v>
      </c>
      <c r="G309" s="20"/>
      <c r="H309" s="1016"/>
      <c r="I309" s="20"/>
      <c r="J309" s="1016"/>
      <c r="K309" s="21"/>
      <c r="L309" s="1016"/>
      <c r="M309" s="1016"/>
    </row>
    <row r="310" spans="1:15" s="69" customFormat="1" ht="31.5">
      <c r="A310" s="1112" t="s">
        <v>160</v>
      </c>
      <c r="B310" s="1009" t="s">
        <v>651</v>
      </c>
      <c r="C310" s="1010" t="s">
        <v>892</v>
      </c>
      <c r="D310" s="1011" t="s">
        <v>39</v>
      </c>
      <c r="E310" s="178"/>
      <c r="F310" s="178">
        <f>(F255+F260-F306)*1.95</f>
        <v>63.053249999999998</v>
      </c>
      <c r="G310" s="20"/>
      <c r="H310" s="1016"/>
      <c r="I310" s="20"/>
      <c r="J310" s="1016"/>
      <c r="K310" s="21"/>
      <c r="L310" s="1016"/>
      <c r="M310" s="1016"/>
    </row>
    <row r="311" spans="1:15" s="69" customFormat="1" ht="16.5">
      <c r="A311" s="1113"/>
      <c r="B311" s="1020"/>
      <c r="C311" s="18" t="s">
        <v>38</v>
      </c>
      <c r="D311" s="1020" t="s">
        <v>68</v>
      </c>
      <c r="E311" s="115">
        <f>20/1000</f>
        <v>0.02</v>
      </c>
      <c r="F311" s="115">
        <f>F310*E311</f>
        <v>1.2610650000000001</v>
      </c>
      <c r="G311" s="20"/>
      <c r="H311" s="1016"/>
      <c r="I311" s="20"/>
      <c r="J311" s="1016"/>
      <c r="K311" s="21"/>
      <c r="L311" s="1016"/>
      <c r="M311" s="1016"/>
    </row>
    <row r="312" spans="1:15" s="69" customFormat="1" ht="16.5">
      <c r="A312" s="1113"/>
      <c r="B312" s="1020" t="s">
        <v>197</v>
      </c>
      <c r="C312" s="102" t="s">
        <v>888</v>
      </c>
      <c r="D312" s="1020" t="s">
        <v>44</v>
      </c>
      <c r="E312" s="115">
        <f>44.8/1000</f>
        <v>4.48E-2</v>
      </c>
      <c r="F312" s="115">
        <f>F310*E312</f>
        <v>2.8247855999999998</v>
      </c>
      <c r="G312" s="20"/>
      <c r="H312" s="1016"/>
      <c r="I312" s="20"/>
      <c r="J312" s="1016"/>
      <c r="K312" s="21"/>
      <c r="L312" s="1016"/>
      <c r="M312" s="1016"/>
    </row>
    <row r="313" spans="1:15" s="69" customFormat="1" ht="16.5">
      <c r="A313" s="1114"/>
      <c r="B313" s="1020"/>
      <c r="C313" s="102" t="s">
        <v>11</v>
      </c>
      <c r="D313" s="1020" t="s">
        <v>9</v>
      </c>
      <c r="E313" s="115">
        <f>2.1/1000</f>
        <v>2.1000000000000003E-3</v>
      </c>
      <c r="F313" s="115">
        <f>F310*E313</f>
        <v>0.13241182500000001</v>
      </c>
      <c r="G313" s="20"/>
      <c r="H313" s="1016"/>
      <c r="I313" s="20"/>
      <c r="J313" s="1016"/>
      <c r="K313" s="21"/>
      <c r="L313" s="1016"/>
      <c r="M313" s="1016"/>
    </row>
    <row r="314" spans="1:15" s="69" customFormat="1" ht="31.5" hidden="1">
      <c r="A314" s="1112" t="s">
        <v>185</v>
      </c>
      <c r="B314" s="427" t="s">
        <v>82</v>
      </c>
      <c r="C314" s="98" t="s">
        <v>122</v>
      </c>
      <c r="D314" s="260" t="s">
        <v>40</v>
      </c>
      <c r="E314" s="1025">
        <f>(F255+F260-F306)*1.95  *10%</f>
        <v>6.3053249999999998</v>
      </c>
      <c r="F314" s="76"/>
      <c r="G314" s="22"/>
      <c r="H314" s="1016"/>
      <c r="I314" s="22"/>
      <c r="J314" s="1016"/>
      <c r="K314" s="22"/>
      <c r="L314" s="1016"/>
      <c r="M314" s="1016"/>
    </row>
    <row r="315" spans="1:15" s="69" customFormat="1" ht="16.5" hidden="1">
      <c r="A315" s="1114"/>
      <c r="B315" s="236"/>
      <c r="C315" s="41" t="s">
        <v>56</v>
      </c>
      <c r="D315" s="42" t="s">
        <v>12</v>
      </c>
      <c r="E315" s="701">
        <v>0.53</v>
      </c>
      <c r="F315" s="43">
        <f>F314*E315</f>
        <v>0</v>
      </c>
      <c r="G315" s="22"/>
      <c r="H315" s="1016"/>
      <c r="I315" s="22"/>
      <c r="J315" s="1016"/>
      <c r="K315" s="22"/>
      <c r="L315" s="1016"/>
      <c r="M315" s="1016"/>
    </row>
    <row r="316" spans="1:15" s="69" customFormat="1" ht="31.5">
      <c r="A316" s="1012" t="s">
        <v>192</v>
      </c>
      <c r="B316" s="52"/>
      <c r="C316" s="464" t="s">
        <v>187</v>
      </c>
      <c r="D316" s="260" t="s">
        <v>40</v>
      </c>
      <c r="E316" s="701"/>
      <c r="F316" s="76">
        <f>F310+F314</f>
        <v>63.053249999999998</v>
      </c>
      <c r="G316" s="22"/>
      <c r="H316" s="1016"/>
      <c r="I316" s="22"/>
      <c r="J316" s="1016"/>
      <c r="K316" s="22"/>
      <c r="L316" s="1016"/>
      <c r="M316" s="1016"/>
    </row>
    <row r="317" spans="1:15" s="74" customFormat="1" ht="0.75" customHeight="1">
      <c r="A317" s="1013"/>
      <c r="B317" s="260"/>
      <c r="C317" s="739"/>
      <c r="D317" s="260"/>
      <c r="E317" s="243"/>
      <c r="F317" s="76"/>
      <c r="G317" s="22"/>
      <c r="H317" s="1016"/>
      <c r="I317" s="22"/>
      <c r="J317" s="1016"/>
      <c r="K317" s="21"/>
      <c r="L317" s="1016"/>
      <c r="M317" s="1016"/>
      <c r="N317" s="274"/>
      <c r="O317" s="529"/>
    </row>
    <row r="318" spans="1:15" s="633" customFormat="1" ht="31.5">
      <c r="A318" s="436"/>
      <c r="B318" s="553"/>
      <c r="C318" s="48" t="s">
        <v>759</v>
      </c>
      <c r="D318" s="77" t="s">
        <v>43</v>
      </c>
      <c r="E318" s="396"/>
      <c r="F318" s="48">
        <v>8</v>
      </c>
      <c r="G318" s="20"/>
      <c r="H318" s="877"/>
      <c r="I318" s="20"/>
      <c r="J318" s="877"/>
      <c r="K318" s="21"/>
      <c r="L318" s="877"/>
      <c r="M318" s="877"/>
      <c r="N318" s="446"/>
    </row>
    <row r="319" spans="1:15" s="633" customFormat="1" ht="60.75" customHeight="1">
      <c r="A319" s="1115" t="s">
        <v>84</v>
      </c>
      <c r="B319" s="587" t="s">
        <v>33</v>
      </c>
      <c r="C319" s="56" t="s">
        <v>743</v>
      </c>
      <c r="D319" s="260" t="s">
        <v>34</v>
      </c>
      <c r="E319" s="24"/>
      <c r="F319" s="24">
        <f>1*0.8*F318</f>
        <v>6.4</v>
      </c>
      <c r="G319" s="17"/>
      <c r="H319" s="877"/>
      <c r="I319" s="17"/>
      <c r="J319" s="877"/>
      <c r="K319" s="17"/>
      <c r="L319" s="877"/>
      <c r="M319" s="877"/>
      <c r="N319" s="884"/>
    </row>
    <row r="320" spans="1:15" s="633" customFormat="1">
      <c r="A320" s="1116"/>
      <c r="B320" s="587"/>
      <c r="C320" s="102" t="s">
        <v>35</v>
      </c>
      <c r="D320" s="590" t="s">
        <v>36</v>
      </c>
      <c r="E320" s="588">
        <v>3.88</v>
      </c>
      <c r="F320" s="588">
        <f>F319*E320</f>
        <v>24.832000000000001</v>
      </c>
      <c r="G320" s="20"/>
      <c r="H320" s="877"/>
      <c r="I320" s="20"/>
      <c r="J320" s="877"/>
      <c r="K320" s="21"/>
      <c r="L320" s="877"/>
      <c r="M320" s="877"/>
      <c r="N320" s="884"/>
    </row>
    <row r="321" spans="1:14" s="633" customFormat="1" ht="47.25" hidden="1">
      <c r="A321" s="1115" t="s">
        <v>69</v>
      </c>
      <c r="B321" s="587" t="s">
        <v>37</v>
      </c>
      <c r="C321" s="101" t="s">
        <v>744</v>
      </c>
      <c r="D321" s="587" t="s">
        <v>39</v>
      </c>
      <c r="E321" s="1036">
        <f>0.6*0.1*F318</f>
        <v>0.48</v>
      </c>
      <c r="F321" s="24">
        <v>0</v>
      </c>
      <c r="G321" s="20"/>
      <c r="H321" s="877"/>
      <c r="I321" s="877"/>
      <c r="J321" s="877"/>
      <c r="K321" s="21"/>
      <c r="L321" s="877"/>
      <c r="M321" s="877"/>
      <c r="N321" s="884"/>
    </row>
    <row r="322" spans="1:14" s="633" customFormat="1" hidden="1">
      <c r="A322" s="1117"/>
      <c r="B322" s="587"/>
      <c r="C322" s="102" t="s">
        <v>35</v>
      </c>
      <c r="D322" s="590" t="s">
        <v>36</v>
      </c>
      <c r="E322" s="588">
        <v>3.52</v>
      </c>
      <c r="F322" s="588">
        <f>F321*E322</f>
        <v>0</v>
      </c>
      <c r="G322" s="20"/>
      <c r="H322" s="877"/>
      <c r="I322" s="20"/>
      <c r="J322" s="877"/>
      <c r="K322" s="21"/>
      <c r="L322" s="877"/>
      <c r="M322" s="877"/>
      <c r="N322" s="884"/>
    </row>
    <row r="323" spans="1:14" s="633" customFormat="1" hidden="1">
      <c r="A323" s="1117"/>
      <c r="B323" s="587"/>
      <c r="C323" s="102" t="s">
        <v>23</v>
      </c>
      <c r="D323" s="590" t="s">
        <v>9</v>
      </c>
      <c r="E323" s="588">
        <v>1.06</v>
      </c>
      <c r="F323" s="588">
        <f>F321*E323</f>
        <v>0</v>
      </c>
      <c r="G323" s="20"/>
      <c r="H323" s="877"/>
      <c r="I323" s="877"/>
      <c r="J323" s="877"/>
      <c r="K323" s="21"/>
      <c r="L323" s="877"/>
      <c r="M323" s="877"/>
      <c r="N323" s="884"/>
    </row>
    <row r="324" spans="1:14" s="633" customFormat="1" hidden="1">
      <c r="A324" s="1117"/>
      <c r="B324" s="587"/>
      <c r="C324" s="102" t="s">
        <v>745</v>
      </c>
      <c r="D324" s="590" t="s">
        <v>39</v>
      </c>
      <c r="E324" s="588">
        <f>0.18+0.09+0.97</f>
        <v>1.24</v>
      </c>
      <c r="F324" s="588">
        <f>F321*E324</f>
        <v>0</v>
      </c>
      <c r="G324" s="20"/>
      <c r="H324" s="877"/>
      <c r="I324" s="877"/>
      <c r="J324" s="877"/>
      <c r="K324" s="21"/>
      <c r="L324" s="877"/>
      <c r="M324" s="877"/>
      <c r="N324" s="884"/>
    </row>
    <row r="325" spans="1:14" s="633" customFormat="1" hidden="1">
      <c r="A325" s="1116"/>
      <c r="B325" s="587"/>
      <c r="C325" s="102" t="s">
        <v>50</v>
      </c>
      <c r="D325" s="590" t="s">
        <v>9</v>
      </c>
      <c r="E325" s="588">
        <v>0.02</v>
      </c>
      <c r="F325" s="588">
        <f>F321*E325</f>
        <v>0</v>
      </c>
      <c r="G325" s="20"/>
      <c r="H325" s="877"/>
      <c r="I325" s="877"/>
      <c r="J325" s="877"/>
      <c r="K325" s="21"/>
      <c r="L325" s="877"/>
      <c r="M325" s="877"/>
      <c r="N325" s="884"/>
    </row>
    <row r="326" spans="1:14" s="633" customFormat="1" ht="31.5">
      <c r="A326" s="1110" t="s">
        <v>85</v>
      </c>
      <c r="B326" s="1030" t="s">
        <v>178</v>
      </c>
      <c r="C326" s="998" t="s">
        <v>884</v>
      </c>
      <c r="D326" s="260" t="s">
        <v>39</v>
      </c>
      <c r="E326" s="997"/>
      <c r="F326" s="24">
        <f>0.6*0.1*F318</f>
        <v>0.48</v>
      </c>
      <c r="G326" s="1029"/>
      <c r="H326" s="13"/>
      <c r="I326" s="13"/>
      <c r="J326" s="13"/>
      <c r="K326" s="1029"/>
      <c r="L326" s="13"/>
      <c r="M326" s="13"/>
      <c r="N326" s="884"/>
    </row>
    <row r="327" spans="1:14" s="633" customFormat="1">
      <c r="A327" s="1110"/>
      <c r="B327" s="271"/>
      <c r="C327" s="18" t="s">
        <v>38</v>
      </c>
      <c r="D327" s="1035" t="s">
        <v>47</v>
      </c>
      <c r="E327" s="994">
        <v>1.37</v>
      </c>
      <c r="F327" s="1027">
        <f>F326*E327</f>
        <v>0.65760000000000007</v>
      </c>
      <c r="G327" s="1029"/>
      <c r="H327" s="13"/>
      <c r="I327" s="1029"/>
      <c r="J327" s="13"/>
      <c r="K327" s="1029"/>
      <c r="L327" s="13"/>
      <c r="M327" s="13"/>
      <c r="N327" s="884"/>
    </row>
    <row r="328" spans="1:14" s="633" customFormat="1">
      <c r="A328" s="1110"/>
      <c r="B328" s="275"/>
      <c r="C328" s="27" t="s">
        <v>23</v>
      </c>
      <c r="D328" s="1035" t="s">
        <v>9</v>
      </c>
      <c r="E328" s="401">
        <v>0.28299999999999997</v>
      </c>
      <c r="F328" s="1028">
        <f>F326*E328</f>
        <v>0.13583999999999999</v>
      </c>
      <c r="G328" s="1029"/>
      <c r="H328" s="13"/>
      <c r="I328" s="13"/>
      <c r="J328" s="13"/>
      <c r="K328" s="1029"/>
      <c r="L328" s="13"/>
      <c r="M328" s="13"/>
      <c r="N328" s="884"/>
    </row>
    <row r="329" spans="1:14" s="633" customFormat="1">
      <c r="A329" s="1110"/>
      <c r="B329" s="275"/>
      <c r="C329" s="27" t="s">
        <v>313</v>
      </c>
      <c r="D329" s="1035" t="s">
        <v>39</v>
      </c>
      <c r="E329" s="401">
        <v>1.02</v>
      </c>
      <c r="F329" s="1028">
        <f>F326*E329</f>
        <v>0.48959999999999998</v>
      </c>
      <c r="G329" s="1029"/>
      <c r="H329" s="13"/>
      <c r="I329" s="13"/>
      <c r="J329" s="13"/>
      <c r="K329" s="1029"/>
      <c r="L329" s="13"/>
      <c r="M329" s="13"/>
      <c r="N329" s="884"/>
    </row>
    <row r="330" spans="1:14" s="633" customFormat="1">
      <c r="A330" s="1110"/>
      <c r="B330" s="275"/>
      <c r="C330" s="27" t="s">
        <v>50</v>
      </c>
      <c r="D330" s="1035" t="s">
        <v>9</v>
      </c>
      <c r="E330" s="401">
        <v>0.62</v>
      </c>
      <c r="F330" s="1028">
        <f>F326*E330</f>
        <v>0.29759999999999998</v>
      </c>
      <c r="G330" s="1029"/>
      <c r="H330" s="13"/>
      <c r="I330" s="13"/>
      <c r="J330" s="13"/>
      <c r="K330" s="1029"/>
      <c r="L330" s="13"/>
      <c r="M330" s="13"/>
      <c r="N330" s="884"/>
    </row>
    <row r="331" spans="1:14" s="633" customFormat="1" ht="31.5">
      <c r="A331" s="1104" t="s">
        <v>79</v>
      </c>
      <c r="B331" s="260" t="s">
        <v>746</v>
      </c>
      <c r="C331" s="56" t="s">
        <v>747</v>
      </c>
      <c r="D331" s="260" t="s">
        <v>39</v>
      </c>
      <c r="E331" s="876"/>
      <c r="F331" s="24">
        <f>(0.3*0.6+0.3*0.8)*F318</f>
        <v>3.36</v>
      </c>
      <c r="G331" s="877"/>
      <c r="H331" s="877"/>
      <c r="I331" s="877"/>
      <c r="J331" s="877"/>
      <c r="K331" s="877"/>
      <c r="L331" s="877"/>
      <c r="M331" s="877"/>
      <c r="N331" s="884"/>
    </row>
    <row r="332" spans="1:14" s="633" customFormat="1">
      <c r="A332" s="1105"/>
      <c r="B332" s="260"/>
      <c r="C332" s="39" t="s">
        <v>150</v>
      </c>
      <c r="D332" s="204" t="s">
        <v>21</v>
      </c>
      <c r="E332" s="325">
        <v>3.78</v>
      </c>
      <c r="F332" s="325">
        <f>F331*E332</f>
        <v>12.700799999999999</v>
      </c>
      <c r="G332" s="877"/>
      <c r="H332" s="877"/>
      <c r="I332" s="877"/>
      <c r="J332" s="877"/>
      <c r="K332" s="877"/>
      <c r="L332" s="877"/>
      <c r="M332" s="877"/>
      <c r="N332" s="884"/>
    </row>
    <row r="333" spans="1:14" s="633" customFormat="1">
      <c r="A333" s="1105"/>
      <c r="B333" s="260"/>
      <c r="C333" s="39" t="s">
        <v>11</v>
      </c>
      <c r="D333" s="204" t="s">
        <v>9</v>
      </c>
      <c r="E333" s="325">
        <v>0.92</v>
      </c>
      <c r="F333" s="325">
        <f>F331*E333</f>
        <v>3.0912000000000002</v>
      </c>
      <c r="G333" s="877"/>
      <c r="H333" s="877"/>
      <c r="I333" s="877"/>
      <c r="J333" s="877"/>
      <c r="K333" s="877"/>
      <c r="L333" s="877"/>
      <c r="M333" s="877"/>
      <c r="N333" s="884"/>
    </row>
    <row r="334" spans="1:14" s="633" customFormat="1">
      <c r="A334" s="1105"/>
      <c r="B334" s="260"/>
      <c r="C334" s="39" t="s">
        <v>235</v>
      </c>
      <c r="D334" s="204" t="s">
        <v>31</v>
      </c>
      <c r="E334" s="325">
        <v>1.0149999999999999</v>
      </c>
      <c r="F334" s="325">
        <f>F331*E334</f>
        <v>3.4103999999999997</v>
      </c>
      <c r="G334" s="877"/>
      <c r="H334" s="877"/>
      <c r="I334" s="877"/>
      <c r="J334" s="877"/>
      <c r="K334" s="877"/>
      <c r="L334" s="877"/>
      <c r="M334" s="877"/>
      <c r="N334" s="884"/>
    </row>
    <row r="335" spans="1:14" s="633" customFormat="1">
      <c r="A335" s="1105"/>
      <c r="B335" s="260"/>
      <c r="C335" s="39" t="s">
        <v>748</v>
      </c>
      <c r="D335" s="204" t="s">
        <v>749</v>
      </c>
      <c r="E335" s="325">
        <v>0.70299999999999996</v>
      </c>
      <c r="F335" s="325">
        <f>F331*E335</f>
        <v>2.3620799999999997</v>
      </c>
      <c r="G335" s="877"/>
      <c r="H335" s="877"/>
      <c r="I335" s="877"/>
      <c r="J335" s="877"/>
      <c r="K335" s="877"/>
      <c r="L335" s="877"/>
      <c r="M335" s="877"/>
      <c r="N335" s="884"/>
    </row>
    <row r="336" spans="1:14" s="633" customFormat="1">
      <c r="A336" s="1105"/>
      <c r="B336" s="260"/>
      <c r="C336" s="39" t="s">
        <v>750</v>
      </c>
      <c r="D336" s="204" t="s">
        <v>31</v>
      </c>
      <c r="E336" s="325">
        <v>1.14E-2</v>
      </c>
      <c r="F336" s="325">
        <f>F331*E336</f>
        <v>3.8303999999999998E-2</v>
      </c>
      <c r="G336" s="877"/>
      <c r="H336" s="877"/>
      <c r="I336" s="877"/>
      <c r="J336" s="877"/>
      <c r="K336" s="877"/>
      <c r="L336" s="877"/>
      <c r="M336" s="877"/>
      <c r="N336" s="884"/>
    </row>
    <row r="337" spans="1:14" s="633" customFormat="1">
      <c r="A337" s="1105"/>
      <c r="B337" s="260"/>
      <c r="C337" s="39" t="s">
        <v>13</v>
      </c>
      <c r="D337" s="204" t="s">
        <v>9</v>
      </c>
      <c r="E337" s="325">
        <v>0.6</v>
      </c>
      <c r="F337" s="325">
        <f>F331*E337</f>
        <v>2.016</v>
      </c>
      <c r="G337" s="877"/>
      <c r="H337" s="877"/>
      <c r="I337" s="877"/>
      <c r="J337" s="877"/>
      <c r="K337" s="877"/>
      <c r="L337" s="877"/>
      <c r="M337" s="877"/>
      <c r="N337" s="884"/>
    </row>
    <row r="338" spans="1:14" s="633" customFormat="1">
      <c r="A338" s="1105"/>
      <c r="B338" s="260"/>
      <c r="C338" s="362" t="s">
        <v>760</v>
      </c>
      <c r="D338" s="204" t="s">
        <v>161</v>
      </c>
      <c r="E338" s="1037"/>
      <c r="F338" s="363">
        <f>(F318/0.15+1)*(0.4+0.7+0.2)*2*1.05*0.395/1000+(6*2+5)*F318*1.05*0.395/1000</f>
        <v>0.11499635000000001</v>
      </c>
      <c r="G338" s="877"/>
      <c r="H338" s="1029"/>
      <c r="I338" s="877"/>
      <c r="J338" s="877"/>
      <c r="K338" s="877"/>
      <c r="L338" s="877"/>
      <c r="M338" s="877"/>
      <c r="N338" s="884"/>
    </row>
    <row r="339" spans="1:14" s="633" customFormat="1">
      <c r="A339" s="1105"/>
      <c r="B339" s="260"/>
      <c r="C339" s="362" t="s">
        <v>761</v>
      </c>
      <c r="D339" s="204" t="s">
        <v>161</v>
      </c>
      <c r="E339" s="1037"/>
      <c r="F339" s="363">
        <f>(F318/0.15+1)*3*0.4*1.05*0.222/1000</f>
        <v>1.5198120000000001E-2</v>
      </c>
      <c r="G339" s="877"/>
      <c r="H339" s="1029"/>
      <c r="I339" s="877"/>
      <c r="J339" s="877"/>
      <c r="K339" s="877"/>
      <c r="L339" s="877"/>
      <c r="M339" s="877"/>
      <c r="N339" s="884"/>
    </row>
    <row r="340" spans="1:14" s="633" customFormat="1" ht="47.25" hidden="1">
      <c r="A340" s="1104" t="s">
        <v>80</v>
      </c>
      <c r="B340" s="260" t="s">
        <v>314</v>
      </c>
      <c r="C340" s="885" t="s">
        <v>762</v>
      </c>
      <c r="D340" s="155" t="s">
        <v>39</v>
      </c>
      <c r="E340" s="316"/>
      <c r="F340" s="886">
        <v>0</v>
      </c>
      <c r="G340" s="877"/>
      <c r="H340" s="877"/>
      <c r="I340" s="877"/>
      <c r="J340" s="877"/>
      <c r="K340" s="877"/>
      <c r="L340" s="877"/>
      <c r="M340" s="877"/>
      <c r="N340" s="884"/>
    </row>
    <row r="341" spans="1:14" s="633" customFormat="1" hidden="1">
      <c r="A341" s="1105"/>
      <c r="B341" s="887"/>
      <c r="C341" s="888" t="s">
        <v>38</v>
      </c>
      <c r="D341" s="889" t="s">
        <v>12</v>
      </c>
      <c r="E341" s="890">
        <v>6.66</v>
      </c>
      <c r="F341" s="890">
        <f>F340*E341</f>
        <v>0</v>
      </c>
      <c r="G341" s="564"/>
      <c r="H341" s="156"/>
      <c r="I341" s="564"/>
      <c r="J341" s="156"/>
      <c r="K341" s="564"/>
      <c r="L341" s="156"/>
      <c r="M341" s="156"/>
      <c r="N341" s="884"/>
    </row>
    <row r="342" spans="1:14" s="633" customFormat="1" hidden="1">
      <c r="A342" s="1105"/>
      <c r="B342" s="887"/>
      <c r="C342" s="888" t="s">
        <v>23</v>
      </c>
      <c r="D342" s="889" t="s">
        <v>9</v>
      </c>
      <c r="E342" s="890">
        <v>0.59</v>
      </c>
      <c r="F342" s="890">
        <f>F340*E342</f>
        <v>0</v>
      </c>
      <c r="G342" s="564"/>
      <c r="H342" s="156"/>
      <c r="I342" s="564"/>
      <c r="J342" s="156"/>
      <c r="K342" s="564"/>
      <c r="L342" s="156"/>
      <c r="M342" s="156"/>
      <c r="N342" s="884"/>
    </row>
    <row r="343" spans="1:14" s="633" customFormat="1" hidden="1">
      <c r="A343" s="1105"/>
      <c r="B343" s="887"/>
      <c r="C343" s="888" t="s">
        <v>751</v>
      </c>
      <c r="D343" s="889" t="s">
        <v>39</v>
      </c>
      <c r="E343" s="890">
        <v>1.0149999999999999</v>
      </c>
      <c r="F343" s="890">
        <f>F340*E343</f>
        <v>0</v>
      </c>
      <c r="G343" s="564"/>
      <c r="H343" s="156"/>
      <c r="I343" s="564"/>
      <c r="J343" s="156"/>
      <c r="K343" s="564"/>
      <c r="L343" s="156"/>
      <c r="M343" s="156"/>
      <c r="N343" s="884"/>
    </row>
    <row r="344" spans="1:14" s="633" customFormat="1" hidden="1">
      <c r="A344" s="1105"/>
      <c r="B344" s="887"/>
      <c r="C344" s="888" t="s">
        <v>752</v>
      </c>
      <c r="D344" s="889" t="s">
        <v>47</v>
      </c>
      <c r="E344" s="890">
        <v>1.6</v>
      </c>
      <c r="F344" s="890">
        <f>F340*E344</f>
        <v>0</v>
      </c>
      <c r="G344" s="564"/>
      <c r="H344" s="156"/>
      <c r="I344" s="564"/>
      <c r="J344" s="156"/>
      <c r="K344" s="564"/>
      <c r="L344" s="156"/>
      <c r="M344" s="156"/>
      <c r="N344" s="884"/>
    </row>
    <row r="345" spans="1:14" s="633" customFormat="1" hidden="1">
      <c r="A345" s="1105"/>
      <c r="B345" s="887"/>
      <c r="C345" s="888" t="s">
        <v>41</v>
      </c>
      <c r="D345" s="889" t="s">
        <v>39</v>
      </c>
      <c r="E345" s="890">
        <v>1.83E-2</v>
      </c>
      <c r="F345" s="890">
        <f>F340*E345</f>
        <v>0</v>
      </c>
      <c r="G345" s="564"/>
      <c r="H345" s="156"/>
      <c r="I345" s="564"/>
      <c r="J345" s="156"/>
      <c r="K345" s="564"/>
      <c r="L345" s="156"/>
      <c r="M345" s="156"/>
      <c r="N345" s="884"/>
    </row>
    <row r="346" spans="1:14" s="633" customFormat="1" hidden="1">
      <c r="A346" s="1105"/>
      <c r="B346" s="887"/>
      <c r="C346" s="888" t="s">
        <v>50</v>
      </c>
      <c r="D346" s="889" t="s">
        <v>9</v>
      </c>
      <c r="E346" s="890">
        <v>0.4</v>
      </c>
      <c r="F346" s="890">
        <f>F340*E346</f>
        <v>0</v>
      </c>
      <c r="G346" s="564"/>
      <c r="H346" s="156"/>
      <c r="I346" s="564"/>
      <c r="J346" s="156"/>
      <c r="K346" s="564"/>
      <c r="L346" s="156"/>
      <c r="M346" s="156"/>
      <c r="N346" s="884"/>
    </row>
    <row r="347" spans="1:14" s="633" customFormat="1" hidden="1">
      <c r="A347" s="1105"/>
      <c r="B347" s="887"/>
      <c r="C347" s="891" t="s">
        <v>317</v>
      </c>
      <c r="D347" s="487" t="s">
        <v>161</v>
      </c>
      <c r="E347" s="890"/>
      <c r="F347" s="892">
        <v>0</v>
      </c>
      <c r="G347" s="564"/>
      <c r="H347" s="156"/>
      <c r="I347" s="564"/>
      <c r="J347" s="156"/>
      <c r="K347" s="564"/>
      <c r="L347" s="156"/>
      <c r="M347" s="156"/>
      <c r="N347" s="884"/>
    </row>
    <row r="348" spans="1:14" s="633" customFormat="1" hidden="1">
      <c r="A348" s="1105"/>
      <c r="B348" s="887"/>
      <c r="C348" s="891" t="s">
        <v>318</v>
      </c>
      <c r="D348" s="487" t="s">
        <v>161</v>
      </c>
      <c r="E348" s="890"/>
      <c r="F348" s="892">
        <v>0</v>
      </c>
      <c r="G348" s="564"/>
      <c r="H348" s="156"/>
      <c r="I348" s="564"/>
      <c r="J348" s="156"/>
      <c r="K348" s="564"/>
      <c r="L348" s="156"/>
      <c r="M348" s="156"/>
      <c r="N348" s="884"/>
    </row>
    <row r="349" spans="1:14" s="633" customFormat="1" ht="16.5" hidden="1">
      <c r="A349" s="1118" t="s">
        <v>81</v>
      </c>
      <c r="B349" s="271" t="s">
        <v>598</v>
      </c>
      <c r="C349" s="901" t="s">
        <v>782</v>
      </c>
      <c r="D349" s="275" t="s">
        <v>47</v>
      </c>
      <c r="E349" s="873"/>
      <c r="F349" s="23">
        <f>0</f>
        <v>0</v>
      </c>
      <c r="G349" s="156"/>
      <c r="H349" s="13"/>
      <c r="I349" s="156"/>
      <c r="J349" s="13"/>
      <c r="K349" s="156"/>
      <c r="L349" s="156"/>
      <c r="M349" s="156"/>
      <c r="N349" s="884"/>
    </row>
    <row r="350" spans="1:14" s="633" customFormat="1" ht="16.5" hidden="1">
      <c r="A350" s="1119"/>
      <c r="B350" s="275"/>
      <c r="C350" s="906" t="s">
        <v>38</v>
      </c>
      <c r="D350" s="275" t="s">
        <v>12</v>
      </c>
      <c r="E350" s="873">
        <v>0.33600000000000002</v>
      </c>
      <c r="F350" s="873">
        <f>F349*E350</f>
        <v>0</v>
      </c>
      <c r="G350" s="13"/>
      <c r="H350" s="13"/>
      <c r="I350" s="13"/>
      <c r="J350" s="13"/>
      <c r="K350" s="13"/>
      <c r="L350" s="13"/>
      <c r="M350" s="156"/>
      <c r="N350" s="884"/>
    </row>
    <row r="351" spans="1:14" s="633" customFormat="1" ht="16.5" hidden="1">
      <c r="A351" s="1119"/>
      <c r="B351" s="275"/>
      <c r="C351" s="906" t="s">
        <v>23</v>
      </c>
      <c r="D351" s="275" t="s">
        <v>9</v>
      </c>
      <c r="E351" s="873">
        <v>1.4999999999999999E-2</v>
      </c>
      <c r="F351" s="873">
        <f>F349*E351</f>
        <v>0</v>
      </c>
      <c r="G351" s="13"/>
      <c r="H351" s="13"/>
      <c r="I351" s="13"/>
      <c r="J351" s="13"/>
      <c r="K351" s="13"/>
      <c r="L351" s="13"/>
      <c r="M351" s="156"/>
      <c r="N351" s="884"/>
    </row>
    <row r="352" spans="1:14" s="633" customFormat="1" ht="16.5" hidden="1">
      <c r="A352" s="1119"/>
      <c r="B352" s="275"/>
      <c r="C352" s="906" t="s">
        <v>783</v>
      </c>
      <c r="D352" s="275" t="s">
        <v>7</v>
      </c>
      <c r="E352" s="873">
        <v>2.4</v>
      </c>
      <c r="F352" s="873">
        <f>F349*E352</f>
        <v>0</v>
      </c>
      <c r="G352" s="13"/>
      <c r="H352" s="13"/>
      <c r="I352" s="13"/>
      <c r="J352" s="13"/>
      <c r="K352" s="13"/>
      <c r="L352" s="13"/>
      <c r="M352" s="156"/>
      <c r="N352" s="884"/>
    </row>
    <row r="353" spans="1:15" s="633" customFormat="1" ht="16.5" hidden="1">
      <c r="A353" s="1120"/>
      <c r="B353" s="275"/>
      <c r="C353" s="906" t="s">
        <v>50</v>
      </c>
      <c r="D353" s="275" t="s">
        <v>9</v>
      </c>
      <c r="E353" s="873">
        <v>2.2800000000000001E-2</v>
      </c>
      <c r="F353" s="873">
        <f>F349*E353</f>
        <v>0</v>
      </c>
      <c r="G353" s="13"/>
      <c r="H353" s="13"/>
      <c r="I353" s="13"/>
      <c r="J353" s="13"/>
      <c r="K353" s="13"/>
      <c r="L353" s="13"/>
      <c r="M353" s="156"/>
      <c r="N353" s="884"/>
    </row>
    <row r="354" spans="1:15" s="633" customFormat="1" hidden="1">
      <c r="A354" s="1121" t="s">
        <v>77</v>
      </c>
      <c r="B354" s="271" t="s">
        <v>63</v>
      </c>
      <c r="C354" s="893" t="s">
        <v>164</v>
      </c>
      <c r="D354" s="275" t="s">
        <v>39</v>
      </c>
      <c r="E354" s="1038">
        <f>F319-F321-F326-(0.3*0.6+0.3*0.4)*F318</f>
        <v>3.52</v>
      </c>
      <c r="F354" s="894"/>
      <c r="G354" s="13"/>
      <c r="H354" s="13"/>
      <c r="I354" s="13"/>
      <c r="J354" s="13"/>
      <c r="K354" s="13"/>
      <c r="L354" s="13"/>
      <c r="M354" s="156"/>
      <c r="N354" s="884"/>
    </row>
    <row r="355" spans="1:15" s="633" customFormat="1" hidden="1">
      <c r="A355" s="1122"/>
      <c r="B355" s="271"/>
      <c r="C355" s="25" t="s">
        <v>38</v>
      </c>
      <c r="D355" s="275" t="s">
        <v>12</v>
      </c>
      <c r="E355" s="873">
        <v>1.21</v>
      </c>
      <c r="F355" s="202">
        <f>F354*E355</f>
        <v>0</v>
      </c>
      <c r="G355" s="13"/>
      <c r="H355" s="13"/>
      <c r="I355" s="13"/>
      <c r="J355" s="13"/>
      <c r="K355" s="13"/>
      <c r="L355" s="13"/>
      <c r="M355" s="156"/>
      <c r="N355" s="884"/>
    </row>
    <row r="356" spans="1:15" s="74" customFormat="1" ht="16.5" hidden="1">
      <c r="A356" s="1111">
        <v>8</v>
      </c>
      <c r="B356" s="999" t="s">
        <v>885</v>
      </c>
      <c r="C356" s="1000" t="s">
        <v>887</v>
      </c>
      <c r="D356" s="1001" t="s">
        <v>39</v>
      </c>
      <c r="E356" s="57">
        <f>F319-F321-F326-(0.3*0.6+0.3*0.4)*F318</f>
        <v>3.52</v>
      </c>
      <c r="F356" s="24"/>
      <c r="G356" s="1029"/>
      <c r="H356" s="1029"/>
      <c r="I356" s="1029"/>
      <c r="J356" s="1029"/>
      <c r="K356" s="1029"/>
      <c r="L356" s="1029"/>
      <c r="M356" s="1029"/>
      <c r="N356" s="274"/>
      <c r="O356" s="529"/>
    </row>
    <row r="357" spans="1:15" s="74" customFormat="1" ht="16.5" hidden="1">
      <c r="A357" s="1111"/>
      <c r="B357" s="1002">
        <v>1011</v>
      </c>
      <c r="C357" s="1003" t="s">
        <v>886</v>
      </c>
      <c r="D357" s="1029" t="s">
        <v>44</v>
      </c>
      <c r="E357" s="1004">
        <f>0.00513+0.00204*2</f>
        <v>9.2099999999999994E-3</v>
      </c>
      <c r="F357" s="1005">
        <f>F356*E357</f>
        <v>0</v>
      </c>
      <c r="G357" s="1006"/>
      <c r="H357" s="1007"/>
      <c r="I357" s="1008"/>
      <c r="J357" s="1008"/>
      <c r="K357" s="1008"/>
      <c r="L357" s="1008"/>
      <c r="M357" s="1008"/>
      <c r="N357" s="274"/>
      <c r="O357" s="529"/>
    </row>
    <row r="358" spans="1:15" s="69" customFormat="1" ht="16.5">
      <c r="A358" s="1112" t="s">
        <v>46</v>
      </c>
      <c r="B358" s="114" t="s">
        <v>651</v>
      </c>
      <c r="C358" s="127" t="s">
        <v>893</v>
      </c>
      <c r="D358" s="126" t="s">
        <v>39</v>
      </c>
      <c r="E358" s="54"/>
      <c r="F358" s="180">
        <f>F319-F321-F326-(0.3*0.6+0.3*0.4)*F318</f>
        <v>3.52</v>
      </c>
      <c r="G358" s="20"/>
      <c r="H358" s="1029"/>
      <c r="I358" s="20"/>
      <c r="J358" s="1029"/>
      <c r="K358" s="21"/>
      <c r="L358" s="1029"/>
      <c r="M358" s="1029"/>
    </row>
    <row r="359" spans="1:15" s="69" customFormat="1" ht="16.5">
      <c r="A359" s="1113"/>
      <c r="B359" s="1032"/>
      <c r="C359" s="903" t="s">
        <v>38</v>
      </c>
      <c r="D359" s="1032" t="s">
        <v>68</v>
      </c>
      <c r="E359" s="115">
        <f>20/1000</f>
        <v>0.02</v>
      </c>
      <c r="F359" s="115">
        <f>F358*E359</f>
        <v>7.0400000000000004E-2</v>
      </c>
      <c r="G359" s="20"/>
      <c r="H359" s="1029"/>
      <c r="I359" s="20"/>
      <c r="J359" s="1029"/>
      <c r="K359" s="21"/>
      <c r="L359" s="1029"/>
      <c r="M359" s="1029"/>
    </row>
    <row r="360" spans="1:15" s="69" customFormat="1" ht="16.5">
      <c r="A360" s="1113"/>
      <c r="B360" s="52" t="s">
        <v>197</v>
      </c>
      <c r="C360" s="102" t="s">
        <v>888</v>
      </c>
      <c r="D360" s="1032" t="s">
        <v>44</v>
      </c>
      <c r="E360" s="115">
        <f>44.8/1000</f>
        <v>4.48E-2</v>
      </c>
      <c r="F360" s="115">
        <f>F358*E360</f>
        <v>0.157696</v>
      </c>
      <c r="G360" s="20"/>
      <c r="H360" s="1029"/>
      <c r="I360" s="20"/>
      <c r="J360" s="1029"/>
      <c r="K360" s="21"/>
      <c r="L360" s="1029"/>
      <c r="M360" s="1029"/>
    </row>
    <row r="361" spans="1:15" s="69" customFormat="1" ht="16.5">
      <c r="A361" s="1114"/>
      <c r="B361" s="1032"/>
      <c r="C361" s="102" t="s">
        <v>11</v>
      </c>
      <c r="D361" s="1032" t="s">
        <v>9</v>
      </c>
      <c r="E361" s="115">
        <f>2.1/1000</f>
        <v>2.1000000000000003E-3</v>
      </c>
      <c r="F361" s="115">
        <f>F358*E361</f>
        <v>7.392000000000001E-3</v>
      </c>
      <c r="G361" s="20"/>
      <c r="H361" s="1029"/>
      <c r="I361" s="20"/>
      <c r="J361" s="1029"/>
      <c r="K361" s="21"/>
      <c r="L361" s="1029"/>
      <c r="M361" s="1029"/>
    </row>
    <row r="362" spans="1:15" s="633" customFormat="1" ht="31.5">
      <c r="A362" s="1112" t="s">
        <v>48</v>
      </c>
      <c r="B362" s="1009" t="s">
        <v>651</v>
      </c>
      <c r="C362" s="1010" t="s">
        <v>892</v>
      </c>
      <c r="D362" s="1011" t="s">
        <v>39</v>
      </c>
      <c r="E362" s="178"/>
      <c r="F362" s="178">
        <f>(F319-F358)*1.95</f>
        <v>5.6160000000000005</v>
      </c>
      <c r="G362" s="20"/>
      <c r="H362" s="1029"/>
      <c r="I362" s="20"/>
      <c r="J362" s="1029"/>
      <c r="K362" s="21"/>
      <c r="L362" s="1029"/>
      <c r="M362" s="1029"/>
      <c r="N362" s="884"/>
    </row>
    <row r="363" spans="1:15" s="633" customFormat="1">
      <c r="A363" s="1113"/>
      <c r="B363" s="1032"/>
      <c r="C363" s="18" t="s">
        <v>38</v>
      </c>
      <c r="D363" s="1032" t="s">
        <v>68</v>
      </c>
      <c r="E363" s="115">
        <f>20/1000</f>
        <v>0.02</v>
      </c>
      <c r="F363" s="115">
        <f>F362*E363</f>
        <v>0.11232000000000002</v>
      </c>
      <c r="G363" s="20"/>
      <c r="H363" s="1029"/>
      <c r="I363" s="20"/>
      <c r="J363" s="1029"/>
      <c r="K363" s="21"/>
      <c r="L363" s="1029"/>
      <c r="M363" s="1029"/>
      <c r="N363" s="884"/>
    </row>
    <row r="364" spans="1:15" s="633" customFormat="1">
      <c r="A364" s="1113"/>
      <c r="B364" s="1032" t="s">
        <v>197</v>
      </c>
      <c r="C364" s="102" t="s">
        <v>888</v>
      </c>
      <c r="D364" s="1032" t="s">
        <v>44</v>
      </c>
      <c r="E364" s="115">
        <f>44.8/1000</f>
        <v>4.48E-2</v>
      </c>
      <c r="F364" s="115">
        <f>F362*E364</f>
        <v>0.25159680000000001</v>
      </c>
      <c r="G364" s="20"/>
      <c r="H364" s="1029"/>
      <c r="I364" s="20"/>
      <c r="J364" s="1029"/>
      <c r="K364" s="21"/>
      <c r="L364" s="1029"/>
      <c r="M364" s="1029"/>
      <c r="N364" s="884"/>
    </row>
    <row r="365" spans="1:15" s="633" customFormat="1">
      <c r="A365" s="1114"/>
      <c r="B365" s="1032"/>
      <c r="C365" s="102" t="s">
        <v>11</v>
      </c>
      <c r="D365" s="1032" t="s">
        <v>9</v>
      </c>
      <c r="E365" s="115">
        <f>2.1/1000</f>
        <v>2.1000000000000003E-3</v>
      </c>
      <c r="F365" s="115">
        <f>F362*E365</f>
        <v>1.1793600000000003E-2</v>
      </c>
      <c r="G365" s="20"/>
      <c r="H365" s="1029"/>
      <c r="I365" s="20"/>
      <c r="J365" s="1029"/>
      <c r="K365" s="21"/>
      <c r="L365" s="1029"/>
      <c r="M365" s="1029"/>
      <c r="N365" s="884"/>
    </row>
    <row r="366" spans="1:15" s="633" customFormat="1" ht="31.5" hidden="1">
      <c r="A366" s="1115" t="s">
        <v>159</v>
      </c>
      <c r="B366" s="427" t="s">
        <v>82</v>
      </c>
      <c r="C366" s="98" t="s">
        <v>122</v>
      </c>
      <c r="D366" s="260" t="s">
        <v>40</v>
      </c>
      <c r="E366" s="1025">
        <f>(F319-F358)*1.95</f>
        <v>5.6160000000000005</v>
      </c>
      <c r="F366" s="76"/>
      <c r="G366" s="22"/>
      <c r="H366" s="877"/>
      <c r="I366" s="22"/>
      <c r="J366" s="877"/>
      <c r="K366" s="22"/>
      <c r="L366" s="877"/>
      <c r="M366" s="877"/>
      <c r="N366" s="884"/>
    </row>
    <row r="367" spans="1:15" s="633" customFormat="1" hidden="1">
      <c r="A367" s="1117"/>
      <c r="B367" s="236"/>
      <c r="C367" s="41" t="s">
        <v>56</v>
      </c>
      <c r="D367" s="42" t="s">
        <v>12</v>
      </c>
      <c r="E367" s="701">
        <v>0.53</v>
      </c>
      <c r="F367" s="43">
        <f>F366*E367</f>
        <v>0</v>
      </c>
      <c r="G367" s="22"/>
      <c r="H367" s="877"/>
      <c r="I367" s="22"/>
      <c r="J367" s="877"/>
      <c r="K367" s="22"/>
      <c r="L367" s="877"/>
      <c r="M367" s="877"/>
      <c r="N367" s="884"/>
    </row>
    <row r="368" spans="1:15" s="633" customFormat="1" ht="27">
      <c r="A368" s="1116"/>
      <c r="B368" s="883" t="s">
        <v>177</v>
      </c>
      <c r="C368" s="893" t="s">
        <v>187</v>
      </c>
      <c r="D368" s="260" t="s">
        <v>40</v>
      </c>
      <c r="E368" s="701"/>
      <c r="F368" s="76">
        <f>F362+F366</f>
        <v>5.6160000000000005</v>
      </c>
      <c r="G368" s="22"/>
      <c r="H368" s="877"/>
      <c r="I368" s="22"/>
      <c r="J368" s="877"/>
      <c r="K368" s="22"/>
      <c r="L368" s="877"/>
      <c r="M368" s="877"/>
      <c r="N368" s="884"/>
    </row>
    <row r="369" spans="1:14" s="633" customFormat="1" ht="31.5" hidden="1">
      <c r="A369" s="1104" t="s">
        <v>53</v>
      </c>
      <c r="B369" s="93" t="s">
        <v>755</v>
      </c>
      <c r="C369" s="92" t="s">
        <v>816</v>
      </c>
      <c r="D369" s="93" t="s">
        <v>62</v>
      </c>
      <c r="E369" s="89"/>
      <c r="F369" s="46">
        <v>0</v>
      </c>
      <c r="G369" s="1029"/>
      <c r="H369" s="1029"/>
      <c r="I369" s="1029"/>
      <c r="J369" s="1029"/>
      <c r="K369" s="1029"/>
      <c r="L369" s="1029"/>
      <c r="M369" s="1029"/>
      <c r="N369" s="884"/>
    </row>
    <row r="370" spans="1:14" s="633" customFormat="1" hidden="1">
      <c r="A370" s="1105"/>
      <c r="B370" s="93"/>
      <c r="C370" s="91" t="s">
        <v>38</v>
      </c>
      <c r="D370" s="1035" t="s">
        <v>12</v>
      </c>
      <c r="E370" s="89">
        <v>1.58</v>
      </c>
      <c r="F370" s="89">
        <f>F369*E370</f>
        <v>0</v>
      </c>
      <c r="G370" s="1029"/>
      <c r="H370" s="1029"/>
      <c r="I370" s="1029"/>
      <c r="J370" s="1029"/>
      <c r="K370" s="1029"/>
      <c r="L370" s="1029"/>
      <c r="M370" s="1029"/>
      <c r="N370" s="884"/>
    </row>
    <row r="371" spans="1:14" s="633" customFormat="1" hidden="1">
      <c r="A371" s="1105"/>
      <c r="B371" s="260" t="s">
        <v>165</v>
      </c>
      <c r="C371" s="27" t="s">
        <v>756</v>
      </c>
      <c r="D371" s="1035" t="s">
        <v>22</v>
      </c>
      <c r="E371" s="1027">
        <f>20.5/100</f>
        <v>0.20499999999999999</v>
      </c>
      <c r="F371" s="1027">
        <f>F369*E371</f>
        <v>0</v>
      </c>
      <c r="G371" s="1029"/>
      <c r="H371" s="1029"/>
      <c r="I371" s="1029"/>
      <c r="J371" s="1029"/>
      <c r="K371" s="1029"/>
      <c r="L371" s="1029"/>
      <c r="M371" s="1029"/>
      <c r="N371" s="884"/>
    </row>
    <row r="372" spans="1:14" s="633" customFormat="1" hidden="1">
      <c r="A372" s="1105"/>
      <c r="B372" s="260"/>
      <c r="C372" s="27" t="s">
        <v>11</v>
      </c>
      <c r="D372" s="1035" t="s">
        <v>9</v>
      </c>
      <c r="E372" s="1027">
        <f>4*0.01</f>
        <v>0.04</v>
      </c>
      <c r="F372" s="1027">
        <f>F369*E372</f>
        <v>0</v>
      </c>
      <c r="G372" s="1029"/>
      <c r="H372" s="1029"/>
      <c r="I372" s="1029"/>
      <c r="J372" s="1029"/>
      <c r="K372" s="1029"/>
      <c r="L372" s="1029"/>
      <c r="M372" s="1029"/>
      <c r="N372" s="884"/>
    </row>
    <row r="373" spans="1:14" s="633" customFormat="1" hidden="1">
      <c r="A373" s="1105"/>
      <c r="B373" s="260"/>
      <c r="C373" s="897" t="s">
        <v>763</v>
      </c>
      <c r="D373" s="1031" t="s">
        <v>31</v>
      </c>
      <c r="E373" s="1027">
        <f>1.41*0.01</f>
        <v>1.41E-2</v>
      </c>
      <c r="F373" s="1027">
        <f>F369*E373</f>
        <v>0</v>
      </c>
      <c r="G373" s="1029"/>
      <c r="H373" s="1029"/>
      <c r="I373" s="1029"/>
      <c r="J373" s="1029"/>
      <c r="K373" s="1029"/>
      <c r="L373" s="1029"/>
      <c r="M373" s="1029"/>
      <c r="N373" s="884"/>
    </row>
    <row r="374" spans="1:14" s="633" customFormat="1" hidden="1">
      <c r="A374" s="1105"/>
      <c r="B374" s="93"/>
      <c r="C374" s="91" t="s">
        <v>757</v>
      </c>
      <c r="D374" s="1034" t="str">
        <f>D369</f>
        <v>grZ.m.</v>
      </c>
      <c r="E374" s="94">
        <v>1</v>
      </c>
      <c r="F374" s="89">
        <f>F369*E374</f>
        <v>0</v>
      </c>
      <c r="G374" s="1029"/>
      <c r="H374" s="1029"/>
      <c r="I374" s="1029"/>
      <c r="J374" s="1029"/>
      <c r="K374" s="1029"/>
      <c r="L374" s="1029"/>
      <c r="M374" s="1029"/>
      <c r="N374" s="884"/>
    </row>
    <row r="375" spans="1:14" s="633" customFormat="1" hidden="1">
      <c r="A375" s="1105"/>
      <c r="B375" s="260"/>
      <c r="C375" s="897" t="s">
        <v>758</v>
      </c>
      <c r="D375" s="1035" t="s">
        <v>76</v>
      </c>
      <c r="E375" s="1027">
        <f>0.002*1000*0.01</f>
        <v>0.02</v>
      </c>
      <c r="F375" s="1027">
        <f>F369*E375</f>
        <v>0</v>
      </c>
      <c r="G375" s="1029"/>
      <c r="H375" s="1029"/>
      <c r="I375" s="1029"/>
      <c r="J375" s="1029"/>
      <c r="K375" s="1029"/>
      <c r="L375" s="1029"/>
      <c r="M375" s="1029"/>
      <c r="N375" s="884"/>
    </row>
    <row r="376" spans="1:14" s="633" customFormat="1" hidden="1">
      <c r="A376" s="1106"/>
      <c r="B376" s="260"/>
      <c r="C376" s="27" t="s">
        <v>13</v>
      </c>
      <c r="D376" s="1035" t="s">
        <v>9</v>
      </c>
      <c r="E376" s="1027">
        <f>6*0.01</f>
        <v>0.06</v>
      </c>
      <c r="F376" s="1027">
        <f>F369*E376</f>
        <v>0</v>
      </c>
      <c r="G376" s="1029"/>
      <c r="H376" s="1029"/>
      <c r="I376" s="1029"/>
      <c r="J376" s="1029"/>
      <c r="K376" s="1029"/>
      <c r="L376" s="1029"/>
      <c r="M376" s="1029"/>
      <c r="N376" s="884"/>
    </row>
    <row r="377" spans="1:14" s="633" customFormat="1" ht="31.5" hidden="1">
      <c r="A377" s="1104" t="s">
        <v>160</v>
      </c>
      <c r="B377" s="93" t="s">
        <v>27</v>
      </c>
      <c r="C377" s="92" t="s">
        <v>166</v>
      </c>
      <c r="D377" s="93" t="s">
        <v>30</v>
      </c>
      <c r="E377" s="89"/>
      <c r="F377" s="46">
        <f>F369*1*2</f>
        <v>0</v>
      </c>
      <c r="G377" s="1029"/>
      <c r="H377" s="1029"/>
      <c r="I377" s="1029"/>
      <c r="J377" s="1029"/>
      <c r="K377" s="1029"/>
      <c r="L377" s="1029"/>
      <c r="M377" s="1029"/>
      <c r="N377" s="884"/>
    </row>
    <row r="378" spans="1:14" s="633" customFormat="1" hidden="1">
      <c r="A378" s="1105"/>
      <c r="B378" s="898"/>
      <c r="C378" s="895" t="s">
        <v>38</v>
      </c>
      <c r="D378" s="896" t="s">
        <v>12</v>
      </c>
      <c r="E378" s="1027">
        <f>68*0.01</f>
        <v>0.68</v>
      </c>
      <c r="F378" s="705">
        <f>F377*E378</f>
        <v>0</v>
      </c>
      <c r="G378" s="1029"/>
      <c r="H378" s="1029"/>
      <c r="I378" s="1029"/>
      <c r="J378" s="1029"/>
      <c r="K378" s="1029"/>
      <c r="L378" s="1029"/>
      <c r="M378" s="1029"/>
      <c r="N378" s="884"/>
    </row>
    <row r="379" spans="1:14" s="633" customFormat="1" hidden="1">
      <c r="A379" s="1105"/>
      <c r="B379" s="93"/>
      <c r="C379" s="91" t="s">
        <v>11</v>
      </c>
      <c r="D379" s="1034" t="s">
        <v>9</v>
      </c>
      <c r="E379" s="94">
        <f>0.03*0.01</f>
        <v>2.9999999999999997E-4</v>
      </c>
      <c r="F379" s="94">
        <f>F377*E379</f>
        <v>0</v>
      </c>
      <c r="G379" s="1029"/>
      <c r="H379" s="1029"/>
      <c r="I379" s="1029"/>
      <c r="J379" s="1029"/>
      <c r="K379" s="1029"/>
      <c r="L379" s="1029"/>
      <c r="M379" s="1029"/>
      <c r="N379" s="884"/>
    </row>
    <row r="380" spans="1:14" s="633" customFormat="1" hidden="1">
      <c r="A380" s="1105"/>
      <c r="B380" s="93"/>
      <c r="C380" s="91" t="s">
        <v>49</v>
      </c>
      <c r="D380" s="1033" t="s">
        <v>76</v>
      </c>
      <c r="E380" s="89">
        <v>0.35</v>
      </c>
      <c r="F380" s="89">
        <f>F377*E380</f>
        <v>0</v>
      </c>
      <c r="G380" s="1029"/>
      <c r="H380" s="1029"/>
      <c r="I380" s="1029"/>
      <c r="J380" s="1029"/>
      <c r="K380" s="1029"/>
      <c r="L380" s="1029"/>
      <c r="M380" s="1029"/>
      <c r="N380" s="884"/>
    </row>
    <row r="381" spans="1:14" s="633" customFormat="1" hidden="1">
      <c r="A381" s="1105"/>
      <c r="B381" s="93"/>
      <c r="C381" s="91" t="s">
        <v>134</v>
      </c>
      <c r="D381" s="1033" t="s">
        <v>76</v>
      </c>
      <c r="E381" s="89">
        <v>2.7E-2</v>
      </c>
      <c r="F381" s="89">
        <f>F377*E381</f>
        <v>0</v>
      </c>
      <c r="G381" s="1029"/>
      <c r="H381" s="1029"/>
      <c r="I381" s="1029"/>
      <c r="J381" s="1029"/>
      <c r="K381" s="1029"/>
      <c r="L381" s="1029"/>
      <c r="M381" s="1029"/>
      <c r="N381" s="884"/>
    </row>
    <row r="382" spans="1:14" s="633" customFormat="1" hidden="1">
      <c r="A382" s="1106"/>
      <c r="B382" s="93"/>
      <c r="C382" s="91" t="s">
        <v>13</v>
      </c>
      <c r="D382" s="1034" t="s">
        <v>9</v>
      </c>
      <c r="E382" s="94">
        <v>1.9E-3</v>
      </c>
      <c r="F382" s="94">
        <f>F377*E382</f>
        <v>0</v>
      </c>
      <c r="G382" s="1029"/>
      <c r="H382" s="1029"/>
      <c r="I382" s="1029"/>
      <c r="J382" s="1029"/>
      <c r="K382" s="1029"/>
      <c r="L382" s="1029"/>
      <c r="M382" s="1029"/>
      <c r="N382" s="884"/>
    </row>
    <row r="383" spans="1:14" s="633" customFormat="1" ht="31.5" hidden="1">
      <c r="A383" s="1104" t="s">
        <v>185</v>
      </c>
      <c r="B383" s="93" t="s">
        <v>910</v>
      </c>
      <c r="C383" s="92" t="s">
        <v>905</v>
      </c>
      <c r="D383" s="882" t="s">
        <v>47</v>
      </c>
      <c r="E383" s="94"/>
      <c r="F383" s="46">
        <v>0</v>
      </c>
      <c r="G383" s="877"/>
      <c r="H383" s="877"/>
      <c r="I383" s="877"/>
      <c r="J383" s="877"/>
      <c r="K383" s="877"/>
      <c r="L383" s="877"/>
      <c r="M383" s="877"/>
      <c r="N383" s="884"/>
    </row>
    <row r="384" spans="1:14" s="633" customFormat="1" hidden="1">
      <c r="A384" s="1105"/>
      <c r="B384" s="93"/>
      <c r="C384" s="895" t="s">
        <v>38</v>
      </c>
      <c r="D384" s="896" t="s">
        <v>12</v>
      </c>
      <c r="E384" s="325">
        <v>13.3</v>
      </c>
      <c r="F384" s="705">
        <f>F383*E384</f>
        <v>0</v>
      </c>
      <c r="G384" s="877"/>
      <c r="H384" s="877"/>
      <c r="I384" s="877"/>
      <c r="J384" s="877"/>
      <c r="K384" s="877"/>
      <c r="L384" s="877"/>
      <c r="M384" s="877"/>
      <c r="N384" s="884"/>
    </row>
    <row r="385" spans="1:14" s="633" customFormat="1" hidden="1">
      <c r="A385" s="1105"/>
      <c r="B385" s="93"/>
      <c r="C385" s="91" t="s">
        <v>23</v>
      </c>
      <c r="D385" s="882" t="s">
        <v>9</v>
      </c>
      <c r="E385" s="325">
        <v>0.05</v>
      </c>
      <c r="F385" s="89">
        <f>F383*E385</f>
        <v>0</v>
      </c>
      <c r="G385" s="877"/>
      <c r="H385" s="877"/>
      <c r="I385" s="877"/>
      <c r="J385" s="877"/>
      <c r="K385" s="877"/>
      <c r="L385" s="877"/>
      <c r="M385" s="877"/>
      <c r="N385" s="884"/>
    </row>
    <row r="386" spans="1:14" s="633" customFormat="1" hidden="1">
      <c r="A386" s="1105"/>
      <c r="B386" s="93"/>
      <c r="C386" s="91" t="s">
        <v>909</v>
      </c>
      <c r="D386" s="882" t="s">
        <v>47</v>
      </c>
      <c r="E386" s="325">
        <v>1.05</v>
      </c>
      <c r="F386" s="94">
        <f>F383*E386</f>
        <v>0</v>
      </c>
      <c r="G386" s="877"/>
      <c r="H386" s="877"/>
      <c r="I386" s="877"/>
      <c r="J386" s="877"/>
      <c r="K386" s="877"/>
      <c r="L386" s="877"/>
      <c r="M386" s="877"/>
      <c r="N386" s="884"/>
    </row>
    <row r="387" spans="1:14" s="633" customFormat="1" hidden="1">
      <c r="A387" s="1105"/>
      <c r="B387" s="93"/>
      <c r="C387" s="91" t="s">
        <v>754</v>
      </c>
      <c r="D387" s="882" t="s">
        <v>39</v>
      </c>
      <c r="E387" s="325">
        <v>3.5000000000000003E-2</v>
      </c>
      <c r="F387" s="94">
        <f>F383*E387</f>
        <v>0</v>
      </c>
      <c r="G387" s="877"/>
      <c r="H387" s="877"/>
      <c r="I387" s="877"/>
      <c r="J387" s="877"/>
      <c r="K387" s="877"/>
      <c r="L387" s="877"/>
      <c r="M387" s="877"/>
      <c r="N387" s="884"/>
    </row>
    <row r="388" spans="1:14" s="633" customFormat="1" hidden="1">
      <c r="A388" s="1106"/>
      <c r="B388" s="93"/>
      <c r="C388" s="91" t="s">
        <v>50</v>
      </c>
      <c r="D388" s="882" t="s">
        <v>9</v>
      </c>
      <c r="E388" s="325">
        <v>0.92</v>
      </c>
      <c r="F388" s="94">
        <f>F383*E388</f>
        <v>0</v>
      </c>
      <c r="G388" s="877"/>
      <c r="H388" s="877"/>
      <c r="I388" s="877"/>
      <c r="J388" s="877"/>
      <c r="K388" s="877"/>
      <c r="L388" s="877"/>
      <c r="M388" s="877"/>
      <c r="N388" s="884"/>
    </row>
    <row r="389" spans="1:14" s="633" customFormat="1" ht="31.5">
      <c r="A389" s="436"/>
      <c r="B389" s="553"/>
      <c r="C389" s="48" t="s">
        <v>898</v>
      </c>
      <c r="D389" s="77"/>
      <c r="E389" s="396"/>
      <c r="F389" s="48"/>
      <c r="G389" s="1029"/>
      <c r="H389" s="1029"/>
      <c r="I389" s="1029"/>
      <c r="J389" s="1029"/>
      <c r="K389" s="1029"/>
      <c r="L389" s="1029"/>
      <c r="M389" s="1029"/>
      <c r="N389" s="884"/>
    </row>
    <row r="390" spans="1:14" s="633" customFormat="1" ht="31.5">
      <c r="A390" s="1104" t="s">
        <v>84</v>
      </c>
      <c r="B390" s="93" t="s">
        <v>755</v>
      </c>
      <c r="C390" s="92" t="s">
        <v>816</v>
      </c>
      <c r="D390" s="93" t="s">
        <v>62</v>
      </c>
      <c r="E390" s="89"/>
      <c r="F390" s="46">
        <v>22</v>
      </c>
      <c r="G390" s="877"/>
      <c r="H390" s="877"/>
      <c r="I390" s="877"/>
      <c r="J390" s="877"/>
      <c r="K390" s="877"/>
      <c r="L390" s="877"/>
      <c r="M390" s="877"/>
      <c r="N390" s="884"/>
    </row>
    <row r="391" spans="1:14" s="633" customFormat="1">
      <c r="A391" s="1105"/>
      <c r="B391" s="93"/>
      <c r="C391" s="91" t="s">
        <v>38</v>
      </c>
      <c r="D391" s="883" t="s">
        <v>12</v>
      </c>
      <c r="E391" s="89">
        <v>1.58</v>
      </c>
      <c r="F391" s="89">
        <f>F390*E391</f>
        <v>34.760000000000005</v>
      </c>
      <c r="G391" s="877"/>
      <c r="H391" s="877"/>
      <c r="I391" s="877"/>
      <c r="J391" s="877"/>
      <c r="K391" s="877"/>
      <c r="L391" s="877"/>
      <c r="M391" s="877"/>
      <c r="N391" s="884"/>
    </row>
    <row r="392" spans="1:14" s="633" customFormat="1">
      <c r="A392" s="1105"/>
      <c r="B392" s="260" t="s">
        <v>165</v>
      </c>
      <c r="C392" s="27" t="s">
        <v>756</v>
      </c>
      <c r="D392" s="883" t="s">
        <v>22</v>
      </c>
      <c r="E392" s="875">
        <f>20.5/100</f>
        <v>0.20499999999999999</v>
      </c>
      <c r="F392" s="875">
        <f>F390*E392</f>
        <v>4.51</v>
      </c>
      <c r="G392" s="877"/>
      <c r="H392" s="877"/>
      <c r="I392" s="877"/>
      <c r="J392" s="877"/>
      <c r="K392" s="877"/>
      <c r="L392" s="877"/>
      <c r="M392" s="877"/>
      <c r="N392" s="884"/>
    </row>
    <row r="393" spans="1:14" s="633" customFormat="1">
      <c r="A393" s="1105"/>
      <c r="B393" s="260"/>
      <c r="C393" s="27" t="s">
        <v>11</v>
      </c>
      <c r="D393" s="883" t="s">
        <v>9</v>
      </c>
      <c r="E393" s="875">
        <f>4*0.01</f>
        <v>0.04</v>
      </c>
      <c r="F393" s="875">
        <f>F390*E393</f>
        <v>0.88</v>
      </c>
      <c r="G393" s="877"/>
      <c r="H393" s="877"/>
      <c r="I393" s="877"/>
      <c r="J393" s="877"/>
      <c r="K393" s="877"/>
      <c r="L393" s="877"/>
      <c r="M393" s="877"/>
      <c r="N393" s="884"/>
    </row>
    <row r="394" spans="1:14" s="633" customFormat="1">
      <c r="A394" s="1105"/>
      <c r="B394" s="260"/>
      <c r="C394" s="897" t="s">
        <v>763</v>
      </c>
      <c r="D394" s="880" t="s">
        <v>31</v>
      </c>
      <c r="E394" s="875">
        <f>1.41*0.01</f>
        <v>1.41E-2</v>
      </c>
      <c r="F394" s="875">
        <f>F390*E394</f>
        <v>0.31019999999999998</v>
      </c>
      <c r="G394" s="877"/>
      <c r="H394" s="877"/>
      <c r="I394" s="877"/>
      <c r="J394" s="877"/>
      <c r="K394" s="877"/>
      <c r="L394" s="877"/>
      <c r="M394" s="877"/>
      <c r="N394" s="884"/>
    </row>
    <row r="395" spans="1:14" s="633" customFormat="1">
      <c r="A395" s="1105"/>
      <c r="B395" s="93"/>
      <c r="C395" s="91" t="s">
        <v>757</v>
      </c>
      <c r="D395" s="882" t="str">
        <f>D390</f>
        <v>grZ.m.</v>
      </c>
      <c r="E395" s="94">
        <v>1</v>
      </c>
      <c r="F395" s="89">
        <f>F390*E395</f>
        <v>22</v>
      </c>
      <c r="G395" s="877"/>
      <c r="H395" s="877"/>
      <c r="I395" s="877"/>
      <c r="J395" s="877"/>
      <c r="K395" s="877"/>
      <c r="L395" s="877"/>
      <c r="M395" s="877"/>
      <c r="N395" s="884"/>
    </row>
    <row r="396" spans="1:14" s="633" customFormat="1">
      <c r="A396" s="1105"/>
      <c r="B396" s="260"/>
      <c r="C396" s="897" t="s">
        <v>758</v>
      </c>
      <c r="D396" s="883" t="s">
        <v>76</v>
      </c>
      <c r="E396" s="875">
        <f>0.002*1000*0.01</f>
        <v>0.02</v>
      </c>
      <c r="F396" s="875">
        <f>F390*E396</f>
        <v>0.44</v>
      </c>
      <c r="G396" s="877"/>
      <c r="H396" s="877"/>
      <c r="I396" s="877"/>
      <c r="J396" s="877"/>
      <c r="K396" s="877"/>
      <c r="L396" s="877"/>
      <c r="M396" s="877"/>
      <c r="N396" s="884"/>
    </row>
    <row r="397" spans="1:14" s="633" customFormat="1">
      <c r="A397" s="1106"/>
      <c r="B397" s="260"/>
      <c r="C397" s="27" t="s">
        <v>13</v>
      </c>
      <c r="D397" s="883" t="s">
        <v>9</v>
      </c>
      <c r="E397" s="875">
        <f>6*0.01</f>
        <v>0.06</v>
      </c>
      <c r="F397" s="875">
        <f>F390*E397</f>
        <v>1.3199999999999998</v>
      </c>
      <c r="G397" s="877"/>
      <c r="H397" s="877"/>
      <c r="I397" s="877"/>
      <c r="J397" s="877"/>
      <c r="K397" s="877"/>
      <c r="L397" s="877"/>
      <c r="M397" s="877"/>
      <c r="N397" s="884"/>
    </row>
    <row r="398" spans="1:14" s="633" customFormat="1" ht="31.5">
      <c r="A398" s="1104" t="s">
        <v>69</v>
      </c>
      <c r="B398" s="93" t="s">
        <v>27</v>
      </c>
      <c r="C398" s="92" t="s">
        <v>166</v>
      </c>
      <c r="D398" s="93" t="s">
        <v>30</v>
      </c>
      <c r="E398" s="89"/>
      <c r="F398" s="46">
        <f>F390*1*2</f>
        <v>44</v>
      </c>
      <c r="G398" s="877"/>
      <c r="H398" s="877"/>
      <c r="I398" s="877"/>
      <c r="J398" s="877"/>
      <c r="K398" s="877"/>
      <c r="L398" s="877"/>
      <c r="M398" s="877"/>
      <c r="N398" s="884"/>
    </row>
    <row r="399" spans="1:14" s="633" customFormat="1">
      <c r="A399" s="1105"/>
      <c r="B399" s="898"/>
      <c r="C399" s="895" t="s">
        <v>38</v>
      </c>
      <c r="D399" s="896" t="s">
        <v>12</v>
      </c>
      <c r="E399" s="875">
        <f>68*0.01</f>
        <v>0.68</v>
      </c>
      <c r="F399" s="705">
        <f>F398*E399</f>
        <v>29.92</v>
      </c>
      <c r="G399" s="877"/>
      <c r="H399" s="877"/>
      <c r="I399" s="877"/>
      <c r="J399" s="877"/>
      <c r="K399" s="877"/>
      <c r="L399" s="877"/>
      <c r="M399" s="877"/>
      <c r="N399" s="884"/>
    </row>
    <row r="400" spans="1:14" s="633" customFormat="1">
      <c r="A400" s="1105"/>
      <c r="B400" s="93"/>
      <c r="C400" s="91" t="s">
        <v>11</v>
      </c>
      <c r="D400" s="882" t="s">
        <v>9</v>
      </c>
      <c r="E400" s="94">
        <f>0.03*0.01</f>
        <v>2.9999999999999997E-4</v>
      </c>
      <c r="F400" s="94">
        <f>F398*E400</f>
        <v>1.3199999999999998E-2</v>
      </c>
      <c r="G400" s="877"/>
      <c r="H400" s="877"/>
      <c r="I400" s="877"/>
      <c r="J400" s="877"/>
      <c r="K400" s="877"/>
      <c r="L400" s="877"/>
      <c r="M400" s="877"/>
      <c r="N400" s="884"/>
    </row>
    <row r="401" spans="1:15" s="633" customFormat="1">
      <c r="A401" s="1105"/>
      <c r="B401" s="93"/>
      <c r="C401" s="91" t="s">
        <v>49</v>
      </c>
      <c r="D401" s="881" t="s">
        <v>76</v>
      </c>
      <c r="E401" s="89">
        <v>0.35</v>
      </c>
      <c r="F401" s="89">
        <f>F398*E401</f>
        <v>15.399999999999999</v>
      </c>
      <c r="G401" s="877"/>
      <c r="H401" s="877"/>
      <c r="I401" s="877"/>
      <c r="J401" s="877"/>
      <c r="K401" s="877"/>
      <c r="L401" s="877"/>
      <c r="M401" s="877"/>
      <c r="N401" s="884"/>
    </row>
    <row r="402" spans="1:15" s="633" customFormat="1">
      <c r="A402" s="1105"/>
      <c r="B402" s="93"/>
      <c r="C402" s="91" t="s">
        <v>134</v>
      </c>
      <c r="D402" s="881" t="s">
        <v>76</v>
      </c>
      <c r="E402" s="89">
        <v>2.7E-2</v>
      </c>
      <c r="F402" s="89">
        <f>F398*E402</f>
        <v>1.1879999999999999</v>
      </c>
      <c r="G402" s="877"/>
      <c r="H402" s="877"/>
      <c r="I402" s="877"/>
      <c r="J402" s="877"/>
      <c r="K402" s="877"/>
      <c r="L402" s="877"/>
      <c r="M402" s="877"/>
      <c r="N402" s="884"/>
    </row>
    <row r="403" spans="1:15" s="633" customFormat="1">
      <c r="A403" s="1106"/>
      <c r="B403" s="93"/>
      <c r="C403" s="91" t="s">
        <v>13</v>
      </c>
      <c r="D403" s="882" t="s">
        <v>9</v>
      </c>
      <c r="E403" s="94">
        <v>1.9E-3</v>
      </c>
      <c r="F403" s="94">
        <f>F398*E403</f>
        <v>8.3599999999999994E-2</v>
      </c>
      <c r="G403" s="877"/>
      <c r="H403" s="877"/>
      <c r="I403" s="877"/>
      <c r="J403" s="877"/>
      <c r="K403" s="877"/>
      <c r="L403" s="877"/>
      <c r="M403" s="877"/>
      <c r="N403" s="899"/>
    </row>
    <row r="404" spans="1:15" s="74" customFormat="1" ht="31.5">
      <c r="A404" s="436"/>
      <c r="B404" s="553"/>
      <c r="C404" s="48" t="s">
        <v>903</v>
      </c>
      <c r="D404" s="77"/>
      <c r="E404" s="396"/>
      <c r="F404" s="48"/>
      <c r="G404" s="22"/>
      <c r="H404" s="1029"/>
      <c r="I404" s="22"/>
      <c r="J404" s="1029"/>
      <c r="K404" s="21"/>
      <c r="L404" s="1029"/>
      <c r="M404" s="1029"/>
      <c r="N404" s="274"/>
      <c r="O404" s="529"/>
    </row>
    <row r="405" spans="1:15" s="74" customFormat="1" ht="31.5">
      <c r="A405" s="1104" t="s">
        <v>84</v>
      </c>
      <c r="B405" s="93" t="s">
        <v>910</v>
      </c>
      <c r="C405" s="92" t="s">
        <v>904</v>
      </c>
      <c r="D405" s="1034" t="s">
        <v>47</v>
      </c>
      <c r="E405" s="94"/>
      <c r="F405" s="843">
        <f>(1.8+0+1.8)*(6.8+12.7+6.5)+(1.5+0+1.5)*10.7+(0.4+0+0.4)*8</f>
        <v>132.1</v>
      </c>
      <c r="G405" s="1029"/>
      <c r="H405" s="1029"/>
      <c r="I405" s="1029"/>
      <c r="J405" s="1029"/>
      <c r="K405" s="1029"/>
      <c r="L405" s="1029"/>
      <c r="M405" s="1029"/>
      <c r="N405" s="274"/>
      <c r="O405" s="529"/>
    </row>
    <row r="406" spans="1:15" s="74" customFormat="1" ht="16.5">
      <c r="A406" s="1105"/>
      <c r="B406" s="93"/>
      <c r="C406" s="895" t="s">
        <v>38</v>
      </c>
      <c r="D406" s="896" t="s">
        <v>12</v>
      </c>
      <c r="E406" s="325">
        <v>13.3</v>
      </c>
      <c r="F406" s="705">
        <f>F405*E406</f>
        <v>1756.93</v>
      </c>
      <c r="G406" s="1029"/>
      <c r="H406" s="1029"/>
      <c r="I406" s="1029"/>
      <c r="J406" s="1029"/>
      <c r="K406" s="1029"/>
      <c r="L406" s="1029"/>
      <c r="M406" s="1029"/>
      <c r="N406" s="274"/>
      <c r="O406" s="529"/>
    </row>
    <row r="407" spans="1:15" s="74" customFormat="1" ht="16.5">
      <c r="A407" s="1105"/>
      <c r="B407" s="93"/>
      <c r="C407" s="91" t="s">
        <v>23</v>
      </c>
      <c r="D407" s="1034" t="s">
        <v>9</v>
      </c>
      <c r="E407" s="325">
        <v>0.05</v>
      </c>
      <c r="F407" s="89">
        <f>F405*E407</f>
        <v>6.6050000000000004</v>
      </c>
      <c r="G407" s="1029"/>
      <c r="H407" s="1029"/>
      <c r="I407" s="1029"/>
      <c r="J407" s="1029"/>
      <c r="K407" s="1029"/>
      <c r="L407" s="1029"/>
      <c r="M407" s="1029"/>
      <c r="N407" s="274"/>
      <c r="O407" s="529"/>
    </row>
    <row r="408" spans="1:15" s="74" customFormat="1" ht="16.5">
      <c r="A408" s="1105"/>
      <c r="B408" s="93"/>
      <c r="C408" s="91" t="s">
        <v>909</v>
      </c>
      <c r="D408" s="1034" t="s">
        <v>47</v>
      </c>
      <c r="E408" s="325">
        <v>1.05</v>
      </c>
      <c r="F408" s="94">
        <f>F405*E408</f>
        <v>138.70500000000001</v>
      </c>
      <c r="G408" s="1029"/>
      <c r="H408" s="1029"/>
      <c r="I408" s="1029"/>
      <c r="J408" s="1029"/>
      <c r="K408" s="1029"/>
      <c r="L408" s="1029"/>
      <c r="M408" s="1029"/>
      <c r="N408" s="274"/>
      <c r="O408" s="529"/>
    </row>
    <row r="409" spans="1:15" s="74" customFormat="1" ht="16.5">
      <c r="A409" s="1105"/>
      <c r="B409" s="93"/>
      <c r="C409" s="91" t="s">
        <v>754</v>
      </c>
      <c r="D409" s="1034" t="s">
        <v>39</v>
      </c>
      <c r="E409" s="325">
        <v>3.5000000000000003E-2</v>
      </c>
      <c r="F409" s="94">
        <f>F405*E409</f>
        <v>4.6234999999999999</v>
      </c>
      <c r="G409" s="1029"/>
      <c r="H409" s="1029"/>
      <c r="I409" s="1029"/>
      <c r="J409" s="1029"/>
      <c r="K409" s="1029"/>
      <c r="L409" s="1029"/>
      <c r="M409" s="1029"/>
      <c r="N409" s="274"/>
      <c r="O409" s="529"/>
    </row>
    <row r="410" spans="1:15" s="74" customFormat="1" ht="16.5">
      <c r="A410" s="1106"/>
      <c r="B410" s="93"/>
      <c r="C410" s="91" t="s">
        <v>50</v>
      </c>
      <c r="D410" s="1034" t="s">
        <v>9</v>
      </c>
      <c r="E410" s="325">
        <v>0.92</v>
      </c>
      <c r="F410" s="94">
        <f>F405*E410</f>
        <v>121.532</v>
      </c>
      <c r="G410" s="1029"/>
      <c r="H410" s="1029"/>
      <c r="I410" s="1029"/>
      <c r="J410" s="1029"/>
      <c r="K410" s="1029"/>
      <c r="L410" s="1029"/>
      <c r="M410" s="1029"/>
      <c r="N410" s="274"/>
      <c r="O410" s="529"/>
    </row>
    <row r="411" spans="1:15" s="74" customFormat="1" ht="36" customHeight="1">
      <c r="A411" s="1104" t="s">
        <v>69</v>
      </c>
      <c r="B411" s="93" t="s">
        <v>908</v>
      </c>
      <c r="C411" s="92" t="s">
        <v>906</v>
      </c>
      <c r="D411" s="1042" t="s">
        <v>47</v>
      </c>
      <c r="E411" s="94"/>
      <c r="F411" s="843">
        <f>(6.1+4.4+3+3)*(1.8+0+0.4)+(5.6+7.8)*(1.2+0+0.4)+(12.4+9.1)*(2.7+0+0.5)+13.25*(1.8+0+0.5)</f>
        <v>157.01499999999999</v>
      </c>
      <c r="G411" s="1041"/>
      <c r="H411" s="1041"/>
      <c r="I411" s="1041"/>
      <c r="J411" s="1041"/>
      <c r="K411" s="1041"/>
      <c r="L411" s="1041"/>
      <c r="M411" s="1041"/>
      <c r="N411" s="274"/>
      <c r="O411" s="529"/>
    </row>
    <row r="412" spans="1:15" s="74" customFormat="1" ht="16.5">
      <c r="A412" s="1105"/>
      <c r="B412" s="93"/>
      <c r="C412" s="895" t="s">
        <v>38</v>
      </c>
      <c r="D412" s="896" t="s">
        <v>12</v>
      </c>
      <c r="E412" s="325">
        <v>10.4</v>
      </c>
      <c r="F412" s="705">
        <f>F411*E412</f>
        <v>1632.9559999999999</v>
      </c>
      <c r="G412" s="1041"/>
      <c r="H412" s="1041"/>
      <c r="I412" s="1041"/>
      <c r="J412" s="1041"/>
      <c r="K412" s="1041"/>
      <c r="L412" s="1041"/>
      <c r="M412" s="1041"/>
      <c r="N412" s="274"/>
      <c r="O412" s="529"/>
    </row>
    <row r="413" spans="1:15" s="74" customFormat="1" ht="16.5">
      <c r="A413" s="1105"/>
      <c r="B413" s="93"/>
      <c r="C413" s="91" t="s">
        <v>23</v>
      </c>
      <c r="D413" s="1042" t="s">
        <v>9</v>
      </c>
      <c r="E413" s="325">
        <v>0.23</v>
      </c>
      <c r="F413" s="89">
        <f>F411*E413</f>
        <v>36.11345</v>
      </c>
      <c r="G413" s="1041"/>
      <c r="H413" s="1041"/>
      <c r="I413" s="1041"/>
      <c r="J413" s="1041"/>
      <c r="K413" s="1041"/>
      <c r="L413" s="1041"/>
      <c r="M413" s="1041"/>
      <c r="N413" s="274"/>
      <c r="O413" s="529"/>
    </row>
    <row r="414" spans="1:15" s="74" customFormat="1" ht="16.5">
      <c r="A414" s="1105"/>
      <c r="B414" s="93"/>
      <c r="C414" s="91" t="s">
        <v>907</v>
      </c>
      <c r="D414" s="1042" t="s">
        <v>47</v>
      </c>
      <c r="E414" s="325">
        <v>1.05</v>
      </c>
      <c r="F414" s="94">
        <f>F411*E414</f>
        <v>164.86574999999999</v>
      </c>
      <c r="G414" s="1041"/>
      <c r="H414" s="1041"/>
      <c r="I414" s="1041"/>
      <c r="J414" s="1041"/>
      <c r="K414" s="1041"/>
      <c r="L414" s="1041"/>
      <c r="M414" s="1041"/>
      <c r="N414" s="274"/>
      <c r="O414" s="529"/>
    </row>
    <row r="415" spans="1:15" s="74" customFormat="1" ht="16.5">
      <c r="A415" s="1105"/>
      <c r="B415" s="93"/>
      <c r="C415" s="91" t="s">
        <v>754</v>
      </c>
      <c r="D415" s="1042" t="s">
        <v>39</v>
      </c>
      <c r="E415" s="325">
        <v>3.6999999999999998E-2</v>
      </c>
      <c r="F415" s="94">
        <f>F411*E415</f>
        <v>5.8095549999999996</v>
      </c>
      <c r="G415" s="1041"/>
      <c r="H415" s="1041"/>
      <c r="I415" s="1041"/>
      <c r="J415" s="1041"/>
      <c r="K415" s="1041"/>
      <c r="L415" s="1041"/>
      <c r="M415" s="1041"/>
      <c r="N415" s="274"/>
      <c r="O415" s="529"/>
    </row>
    <row r="416" spans="1:15" s="74" customFormat="1" ht="16.5">
      <c r="A416" s="1106"/>
      <c r="B416" s="93"/>
      <c r="C416" s="91" t="s">
        <v>50</v>
      </c>
      <c r="D416" s="1042" t="s">
        <v>9</v>
      </c>
      <c r="E416" s="325">
        <v>0.09</v>
      </c>
      <c r="F416" s="94">
        <f>F411*E416</f>
        <v>14.131349999999998</v>
      </c>
      <c r="G416" s="1041"/>
      <c r="H416" s="1041"/>
      <c r="I416" s="1041"/>
      <c r="J416" s="1041"/>
      <c r="K416" s="1041"/>
      <c r="L416" s="1041"/>
      <c r="M416" s="1041"/>
      <c r="N416" s="274"/>
      <c r="O416" s="529"/>
    </row>
    <row r="417" spans="1:15" s="74" customFormat="1" ht="31.5" customHeight="1">
      <c r="A417" s="1107" t="s">
        <v>85</v>
      </c>
      <c r="B417" s="93" t="s">
        <v>910</v>
      </c>
      <c r="C417" s="752" t="s">
        <v>911</v>
      </c>
      <c r="D417" s="260" t="s">
        <v>43</v>
      </c>
      <c r="E417" s="243"/>
      <c r="F417" s="76">
        <f>(12.4+9.1)  +  (5.6+7.8+10.7)  +  (6.1+4.4+3+3   +  12.7+6.8+6.5+13.25)  +  8</f>
        <v>109.35</v>
      </c>
      <c r="G417" s="22"/>
      <c r="H417" s="1029"/>
      <c r="I417" s="22"/>
      <c r="J417" s="1029"/>
      <c r="K417" s="21"/>
      <c r="L417" s="1029"/>
      <c r="M417" s="1029"/>
      <c r="N417" s="274"/>
      <c r="O417" s="529"/>
    </row>
    <row r="418" spans="1:15" s="74" customFormat="1" ht="16.5">
      <c r="A418" s="1108"/>
      <c r="B418" s="260"/>
      <c r="C418" s="1049"/>
      <c r="D418" s="260" t="s">
        <v>47</v>
      </c>
      <c r="E418" s="243"/>
      <c r="F418" s="76">
        <f>0.4*F417</f>
        <v>43.74</v>
      </c>
      <c r="G418" s="22"/>
      <c r="H418" s="1029"/>
      <c r="I418" s="22"/>
      <c r="J418" s="1029"/>
      <c r="K418" s="21"/>
      <c r="L418" s="1029"/>
      <c r="M418" s="1029"/>
      <c r="N418" s="274"/>
      <c r="O418" s="529"/>
    </row>
    <row r="419" spans="1:15" s="74" customFormat="1" ht="16.5">
      <c r="A419" s="1108"/>
      <c r="B419" s="93"/>
      <c r="C419" s="895" t="s">
        <v>38</v>
      </c>
      <c r="D419" s="896" t="s">
        <v>12</v>
      </c>
      <c r="E419" s="325">
        <v>13.3</v>
      </c>
      <c r="F419" s="705">
        <f>F418*E419</f>
        <v>581.74200000000008</v>
      </c>
      <c r="G419" s="1041"/>
      <c r="H419" s="1041"/>
      <c r="I419" s="1041"/>
      <c r="J419" s="1041"/>
      <c r="K419" s="1041"/>
      <c r="L419" s="1041"/>
      <c r="M419" s="1041"/>
      <c r="N419" s="274"/>
      <c r="O419" s="529"/>
    </row>
    <row r="420" spans="1:15" s="74" customFormat="1" ht="16.5">
      <c r="A420" s="1108"/>
      <c r="B420" s="93"/>
      <c r="C420" s="91" t="s">
        <v>23</v>
      </c>
      <c r="D420" s="1042" t="s">
        <v>9</v>
      </c>
      <c r="E420" s="325">
        <v>0.05</v>
      </c>
      <c r="F420" s="89">
        <f>F418*E420</f>
        <v>2.1870000000000003</v>
      </c>
      <c r="G420" s="1041"/>
      <c r="H420" s="1041"/>
      <c r="I420" s="1041"/>
      <c r="J420" s="1041"/>
      <c r="K420" s="1041"/>
      <c r="L420" s="1041"/>
      <c r="M420" s="1041"/>
      <c r="N420" s="274"/>
      <c r="O420" s="529"/>
    </row>
    <row r="421" spans="1:15" s="74" customFormat="1" ht="16.5">
      <c r="A421" s="1108"/>
      <c r="B421" s="93"/>
      <c r="C421" s="91" t="s">
        <v>909</v>
      </c>
      <c r="D421" s="1042" t="s">
        <v>47</v>
      </c>
      <c r="E421" s="325">
        <v>1.05</v>
      </c>
      <c r="F421" s="94">
        <f>F418*E421</f>
        <v>45.927000000000007</v>
      </c>
      <c r="G421" s="1041"/>
      <c r="H421" s="1041"/>
      <c r="I421" s="1041"/>
      <c r="J421" s="1041"/>
      <c r="K421" s="1041"/>
      <c r="L421" s="1041"/>
      <c r="M421" s="1041"/>
      <c r="N421" s="274"/>
      <c r="O421" s="529"/>
    </row>
    <row r="422" spans="1:15" s="74" customFormat="1" ht="16.5">
      <c r="A422" s="1108"/>
      <c r="B422" s="93"/>
      <c r="C422" s="91" t="s">
        <v>754</v>
      </c>
      <c r="D422" s="1042" t="s">
        <v>39</v>
      </c>
      <c r="E422" s="325">
        <v>3.5000000000000003E-2</v>
      </c>
      <c r="F422" s="94">
        <f>F418*E422</f>
        <v>1.5309000000000001</v>
      </c>
      <c r="G422" s="1041"/>
      <c r="H422" s="1041"/>
      <c r="I422" s="1041"/>
      <c r="J422" s="1041"/>
      <c r="K422" s="1041"/>
      <c r="L422" s="1041"/>
      <c r="M422" s="1041"/>
      <c r="N422" s="274"/>
      <c r="O422" s="529"/>
    </row>
    <row r="423" spans="1:15" s="74" customFormat="1" ht="15.75" customHeight="1">
      <c r="A423" s="1109"/>
      <c r="B423" s="93"/>
      <c r="C423" s="91" t="s">
        <v>50</v>
      </c>
      <c r="D423" s="1042" t="s">
        <v>9</v>
      </c>
      <c r="E423" s="325">
        <v>0.92</v>
      </c>
      <c r="F423" s="94">
        <f>F418*E423</f>
        <v>40.2408</v>
      </c>
      <c r="G423" s="1041"/>
      <c r="H423" s="1041"/>
      <c r="I423" s="1041"/>
      <c r="J423" s="1041"/>
      <c r="K423" s="1041"/>
      <c r="L423" s="1041"/>
      <c r="M423" s="1041"/>
      <c r="N423" s="274"/>
      <c r="O423" s="529"/>
    </row>
    <row r="424" spans="1:15" s="74" customFormat="1" ht="16.5" hidden="1">
      <c r="A424" s="1013"/>
      <c r="B424" s="260"/>
      <c r="C424" s="739"/>
      <c r="D424" s="260"/>
      <c r="E424" s="243"/>
      <c r="F424" s="76"/>
      <c r="G424" s="22"/>
      <c r="H424" s="1016"/>
      <c r="I424" s="22"/>
      <c r="J424" s="1016"/>
      <c r="K424" s="21"/>
      <c r="L424" s="1016"/>
      <c r="M424" s="1016"/>
      <c r="N424" s="274"/>
      <c r="O424" s="529"/>
    </row>
    <row r="425" spans="1:15" s="72" customFormat="1" ht="31.5" hidden="1">
      <c r="A425" s="541"/>
      <c r="B425" s="391"/>
      <c r="C425" s="48" t="s">
        <v>609</v>
      </c>
      <c r="D425" s="310" t="s">
        <v>43</v>
      </c>
      <c r="E425" s="311"/>
      <c r="F425" s="312">
        <v>0</v>
      </c>
      <c r="G425" s="1016"/>
      <c r="H425" s="1016"/>
      <c r="I425" s="1016"/>
      <c r="J425" s="1016"/>
      <c r="K425" s="1016"/>
      <c r="L425" s="1016"/>
      <c r="M425" s="1016"/>
      <c r="N425" s="173"/>
      <c r="O425" s="393"/>
    </row>
    <row r="426" spans="1:15" s="72" customFormat="1" ht="31.5" hidden="1">
      <c r="A426" s="1104" t="s">
        <v>84</v>
      </c>
      <c r="B426" s="260" t="s">
        <v>59</v>
      </c>
      <c r="C426" s="716" t="s">
        <v>241</v>
      </c>
      <c r="D426" s="260" t="s">
        <v>39</v>
      </c>
      <c r="E426" s="1015"/>
      <c r="F426" s="24">
        <f>0.15*(0.1+0.1)*F425</f>
        <v>0</v>
      </c>
      <c r="G426" s="1016"/>
      <c r="H426" s="1016"/>
      <c r="I426" s="1016"/>
      <c r="J426" s="1016"/>
      <c r="K426" s="1016"/>
      <c r="L426" s="1016"/>
      <c r="M426" s="1016"/>
      <c r="N426" s="173"/>
    </row>
    <row r="427" spans="1:15" s="72" customFormat="1" hidden="1">
      <c r="A427" s="1106"/>
      <c r="B427" s="390"/>
      <c r="C427" s="747" t="s">
        <v>38</v>
      </c>
      <c r="D427" s="1022" t="s">
        <v>12</v>
      </c>
      <c r="E427" s="94">
        <v>2.06</v>
      </c>
      <c r="F427" s="94">
        <f>E427*F426</f>
        <v>0</v>
      </c>
      <c r="G427" s="37"/>
      <c r="H427" s="1016"/>
      <c r="I427" s="37"/>
      <c r="J427" s="1016"/>
      <c r="K427" s="1016"/>
      <c r="L427" s="1016"/>
      <c r="M427" s="1016"/>
      <c r="N427" s="173"/>
    </row>
    <row r="428" spans="1:15" s="72" customFormat="1" ht="31.5" hidden="1">
      <c r="A428" s="1115" t="s">
        <v>69</v>
      </c>
      <c r="B428" s="427" t="s">
        <v>82</v>
      </c>
      <c r="C428" s="744" t="s">
        <v>122</v>
      </c>
      <c r="D428" s="260" t="s">
        <v>40</v>
      </c>
      <c r="E428" s="701"/>
      <c r="F428" s="76">
        <f>F426*1.95</f>
        <v>0</v>
      </c>
      <c r="G428" s="22"/>
      <c r="H428" s="1016"/>
      <c r="I428" s="22"/>
      <c r="J428" s="1016"/>
      <c r="K428" s="22"/>
      <c r="L428" s="1016"/>
      <c r="M428" s="1016"/>
      <c r="N428" s="173"/>
    </row>
    <row r="429" spans="1:15" s="72" customFormat="1" hidden="1">
      <c r="A429" s="1117"/>
      <c r="B429" s="236"/>
      <c r="C429" s="745" t="s">
        <v>56</v>
      </c>
      <c r="D429" s="42" t="s">
        <v>12</v>
      </c>
      <c r="E429" s="701">
        <v>0.53</v>
      </c>
      <c r="F429" s="43">
        <f>F428*E429</f>
        <v>0</v>
      </c>
      <c r="G429" s="22"/>
      <c r="H429" s="1016"/>
      <c r="I429" s="22"/>
      <c r="J429" s="1016"/>
      <c r="K429" s="22"/>
      <c r="L429" s="1016"/>
      <c r="M429" s="1016"/>
      <c r="N429" s="173"/>
    </row>
    <row r="430" spans="1:15" s="72" customFormat="1" ht="31.5" hidden="1">
      <c r="A430" s="1116"/>
      <c r="B430" s="260" t="s">
        <v>177</v>
      </c>
      <c r="C430" s="1017" t="s">
        <v>233</v>
      </c>
      <c r="D430" s="260" t="s">
        <v>40</v>
      </c>
      <c r="E430" s="701"/>
      <c r="F430" s="76">
        <f>F428</f>
        <v>0</v>
      </c>
      <c r="G430" s="22"/>
      <c r="H430" s="1016"/>
      <c r="I430" s="22"/>
      <c r="J430" s="1016"/>
      <c r="K430" s="22"/>
      <c r="L430" s="1016"/>
      <c r="M430" s="1016"/>
      <c r="N430" s="173"/>
    </row>
    <row r="431" spans="1:15" s="72" customFormat="1" ht="31.5" hidden="1">
      <c r="A431" s="1115" t="s">
        <v>85</v>
      </c>
      <c r="B431" s="260" t="s">
        <v>37</v>
      </c>
      <c r="C431" s="716" t="s">
        <v>242</v>
      </c>
      <c r="D431" s="260" t="s">
        <v>34</v>
      </c>
      <c r="E431" s="1015"/>
      <c r="F431" s="24">
        <f>0.15*0.1*F425</f>
        <v>0</v>
      </c>
      <c r="G431" s="1016"/>
      <c r="H431" s="1016"/>
      <c r="I431" s="1016"/>
      <c r="J431" s="1016"/>
      <c r="K431" s="1016"/>
      <c r="L431" s="1016"/>
      <c r="M431" s="1016"/>
      <c r="N431" s="173"/>
    </row>
    <row r="432" spans="1:15" s="72" customFormat="1" hidden="1">
      <c r="A432" s="1117"/>
      <c r="B432" s="1023"/>
      <c r="C432" s="544" t="s">
        <v>20</v>
      </c>
      <c r="D432" s="1023" t="s">
        <v>21</v>
      </c>
      <c r="E432" s="1015">
        <v>3.52</v>
      </c>
      <c r="F432" s="33">
        <f>E432*F431</f>
        <v>0</v>
      </c>
      <c r="G432" s="1016"/>
      <c r="H432" s="1016"/>
      <c r="I432" s="1016"/>
      <c r="J432" s="1016"/>
      <c r="K432" s="1016"/>
      <c r="L432" s="1016"/>
      <c r="M432" s="1016"/>
      <c r="N432" s="173"/>
    </row>
    <row r="433" spans="1:15" s="72" customFormat="1" hidden="1">
      <c r="A433" s="1117"/>
      <c r="B433" s="1101"/>
      <c r="C433" s="27" t="s">
        <v>23</v>
      </c>
      <c r="D433" s="1101" t="s">
        <v>9</v>
      </c>
      <c r="E433" s="1099">
        <v>1.06</v>
      </c>
      <c r="F433" s="33">
        <f>F431*E433</f>
        <v>0</v>
      </c>
      <c r="G433" s="1100"/>
      <c r="H433" s="1100"/>
      <c r="I433" s="1100"/>
      <c r="J433" s="1100"/>
      <c r="K433" s="1100"/>
      <c r="L433" s="1100"/>
      <c r="M433" s="1100"/>
      <c r="N433" s="173"/>
    </row>
    <row r="434" spans="1:15" s="72" customFormat="1" hidden="1">
      <c r="A434" s="1117"/>
      <c r="B434" s="1023"/>
      <c r="C434" s="544" t="s">
        <v>140</v>
      </c>
      <c r="D434" s="1023" t="s">
        <v>31</v>
      </c>
      <c r="E434" s="1015">
        <f>0.18+0.09+0.97</f>
        <v>1.24</v>
      </c>
      <c r="F434" s="33">
        <f>E434*F431</f>
        <v>0</v>
      </c>
      <c r="G434" s="1016"/>
      <c r="H434" s="1016"/>
      <c r="I434" s="1016"/>
      <c r="J434" s="1016"/>
      <c r="K434" s="1016"/>
      <c r="L434" s="1016"/>
      <c r="M434" s="1016"/>
      <c r="N434" s="173"/>
    </row>
    <row r="435" spans="1:15" s="72" customFormat="1" hidden="1">
      <c r="A435" s="1116"/>
      <c r="B435" s="1023"/>
      <c r="C435" s="748" t="s">
        <v>50</v>
      </c>
      <c r="D435" s="1021" t="s">
        <v>9</v>
      </c>
      <c r="E435" s="1015">
        <v>0.02</v>
      </c>
      <c r="F435" s="33">
        <f>F431*E435</f>
        <v>0</v>
      </c>
      <c r="G435" s="30"/>
      <c r="H435" s="1016"/>
      <c r="I435" s="20"/>
      <c r="J435" s="1016"/>
      <c r="K435" s="21"/>
      <c r="L435" s="1016"/>
      <c r="M435" s="1016"/>
      <c r="N435" s="173"/>
    </row>
    <row r="436" spans="1:15" s="72" customFormat="1" ht="31.5" hidden="1">
      <c r="A436" s="1104" t="s">
        <v>79</v>
      </c>
      <c r="B436" s="260" t="s">
        <v>262</v>
      </c>
      <c r="C436" s="716" t="s">
        <v>607</v>
      </c>
      <c r="D436" s="260" t="s">
        <v>62</v>
      </c>
      <c r="E436" s="24"/>
      <c r="F436" s="24">
        <f>F425</f>
        <v>0</v>
      </c>
      <c r="G436" s="1016"/>
      <c r="H436" s="1016"/>
      <c r="I436" s="1016"/>
      <c r="J436" s="1016"/>
      <c r="K436" s="1016"/>
      <c r="L436" s="1016"/>
      <c r="M436" s="1016"/>
      <c r="N436" s="173"/>
    </row>
    <row r="437" spans="1:15" s="72" customFormat="1" hidden="1">
      <c r="A437" s="1105"/>
      <c r="B437" s="260"/>
      <c r="C437" s="544" t="s">
        <v>20</v>
      </c>
      <c r="D437" s="1023" t="s">
        <v>21</v>
      </c>
      <c r="E437" s="1015">
        <v>0.74</v>
      </c>
      <c r="F437" s="1015">
        <f>E437*F436</f>
        <v>0</v>
      </c>
      <c r="G437" s="1016"/>
      <c r="H437" s="1016"/>
      <c r="I437" s="1016"/>
      <c r="J437" s="1016"/>
      <c r="K437" s="1016"/>
      <c r="L437" s="1016"/>
      <c r="M437" s="1016"/>
      <c r="N437" s="173"/>
    </row>
    <row r="438" spans="1:15" s="72" customFormat="1" hidden="1">
      <c r="A438" s="1105"/>
      <c r="B438" s="260"/>
      <c r="C438" s="544" t="s">
        <v>11</v>
      </c>
      <c r="D438" s="1023" t="s">
        <v>22</v>
      </c>
      <c r="E438" s="1015">
        <f>0.71*0.01</f>
        <v>7.0999999999999995E-3</v>
      </c>
      <c r="F438" s="1015">
        <f>E438*F436</f>
        <v>0</v>
      </c>
      <c r="G438" s="1016"/>
      <c r="H438" s="1016"/>
      <c r="I438" s="1016"/>
      <c r="J438" s="1016"/>
      <c r="K438" s="1016"/>
      <c r="L438" s="1016"/>
      <c r="M438" s="1016"/>
      <c r="N438" s="173"/>
    </row>
    <row r="439" spans="1:15" s="72" customFormat="1" hidden="1">
      <c r="A439" s="1105"/>
      <c r="B439" s="260"/>
      <c r="C439" s="544" t="s">
        <v>608</v>
      </c>
      <c r="D439" s="1023" t="s">
        <v>43</v>
      </c>
      <c r="E439" s="1015">
        <v>1</v>
      </c>
      <c r="F439" s="24">
        <f>F436</f>
        <v>0</v>
      </c>
      <c r="G439" s="1016"/>
      <c r="H439" s="1016"/>
      <c r="I439" s="1016"/>
      <c r="J439" s="1016"/>
      <c r="K439" s="1016"/>
      <c r="L439" s="1016"/>
      <c r="M439" s="1016"/>
      <c r="N439" s="173"/>
    </row>
    <row r="440" spans="1:15" s="72" customFormat="1" hidden="1">
      <c r="A440" s="1105"/>
      <c r="B440" s="260"/>
      <c r="C440" s="749" t="s">
        <v>243</v>
      </c>
      <c r="D440" s="1023" t="s">
        <v>31</v>
      </c>
      <c r="E440" s="1015">
        <v>3.9E-2</v>
      </c>
      <c r="F440" s="1015">
        <f>F436*E440</f>
        <v>0</v>
      </c>
      <c r="G440" s="1016"/>
      <c r="H440" s="1016"/>
      <c r="I440" s="1016"/>
      <c r="J440" s="1016"/>
      <c r="K440" s="1016"/>
      <c r="L440" s="1016"/>
      <c r="M440" s="1016"/>
      <c r="N440" s="173"/>
    </row>
    <row r="441" spans="1:15" s="72" customFormat="1" hidden="1">
      <c r="A441" s="1105"/>
      <c r="B441" s="260"/>
      <c r="C441" s="544" t="s">
        <v>244</v>
      </c>
      <c r="D441" s="1023" t="s">
        <v>31</v>
      </c>
      <c r="E441" s="1015">
        <f>0.06*0.01</f>
        <v>5.9999999999999995E-4</v>
      </c>
      <c r="F441" s="1015">
        <f>E441*F436</f>
        <v>0</v>
      </c>
      <c r="G441" s="1016"/>
      <c r="H441" s="1016"/>
      <c r="I441" s="1016"/>
      <c r="J441" s="1016"/>
      <c r="K441" s="1016"/>
      <c r="L441" s="1016"/>
      <c r="M441" s="1016"/>
      <c r="N441" s="173"/>
    </row>
    <row r="442" spans="1:15" s="72" customFormat="1" hidden="1">
      <c r="A442" s="1106"/>
      <c r="B442" s="260"/>
      <c r="C442" s="544" t="s">
        <v>13</v>
      </c>
      <c r="D442" s="1023" t="s">
        <v>9</v>
      </c>
      <c r="E442" s="1015">
        <f>9.6*0.01</f>
        <v>9.6000000000000002E-2</v>
      </c>
      <c r="F442" s="1015">
        <f>E442*F436</f>
        <v>0</v>
      </c>
      <c r="G442" s="1016"/>
      <c r="H442" s="1016"/>
      <c r="I442" s="1016"/>
      <c r="J442" s="1016"/>
      <c r="K442" s="1016"/>
      <c r="L442" s="1016"/>
      <c r="M442" s="1016"/>
      <c r="N442" s="273"/>
    </row>
    <row r="443" spans="1:15" s="74" customFormat="1" ht="16.5" hidden="1">
      <c r="A443" s="1013"/>
      <c r="B443" s="260"/>
      <c r="C443" s="739"/>
      <c r="D443" s="260"/>
      <c r="E443" s="243"/>
      <c r="F443" s="76"/>
      <c r="G443" s="22"/>
      <c r="H443" s="1016"/>
      <c r="I443" s="22"/>
      <c r="J443" s="1016"/>
      <c r="K443" s="21"/>
      <c r="L443" s="1016"/>
      <c r="M443" s="1016"/>
      <c r="N443" s="274"/>
      <c r="O443" s="529"/>
    </row>
    <row r="444" spans="1:15" s="72" customFormat="1" hidden="1">
      <c r="A444" s="719"/>
      <c r="B444" s="388"/>
      <c r="C444" s="100" t="s">
        <v>802</v>
      </c>
      <c r="D444" s="77" t="s">
        <v>43</v>
      </c>
      <c r="E444" s="720"/>
      <c r="F444" s="721">
        <v>0</v>
      </c>
      <c r="G444" s="1016"/>
      <c r="H444" s="1016"/>
      <c r="I444" s="1016"/>
      <c r="J444" s="1016"/>
      <c r="K444" s="1016"/>
      <c r="L444" s="1016"/>
      <c r="M444" s="1016"/>
      <c r="N444" s="173"/>
    </row>
    <row r="445" spans="1:15" s="72" customFormat="1" ht="31.5" hidden="1">
      <c r="A445" s="1104" t="s">
        <v>84</v>
      </c>
      <c r="B445" s="260" t="s">
        <v>59</v>
      </c>
      <c r="C445" s="56" t="s">
        <v>241</v>
      </c>
      <c r="D445" s="260" t="s">
        <v>39</v>
      </c>
      <c r="E445" s="1015"/>
      <c r="F445" s="24">
        <f>0.2*(0.1+0.1)*F444</f>
        <v>0</v>
      </c>
      <c r="G445" s="1016"/>
      <c r="H445" s="1016"/>
      <c r="I445" s="1016"/>
      <c r="J445" s="1016"/>
      <c r="K445" s="1016"/>
      <c r="L445" s="1016"/>
      <c r="M445" s="1016"/>
      <c r="N445" s="173"/>
    </row>
    <row r="446" spans="1:15" s="72" customFormat="1" hidden="1">
      <c r="A446" s="1106"/>
      <c r="B446" s="390"/>
      <c r="C446" s="91" t="s">
        <v>38</v>
      </c>
      <c r="D446" s="1022" t="s">
        <v>12</v>
      </c>
      <c r="E446" s="94">
        <v>2.06</v>
      </c>
      <c r="F446" s="94">
        <f>E446*F445</f>
        <v>0</v>
      </c>
      <c r="G446" s="37"/>
      <c r="H446" s="1016"/>
      <c r="I446" s="37"/>
      <c r="J446" s="1016"/>
      <c r="K446" s="1016"/>
      <c r="L446" s="1016"/>
      <c r="M446" s="1016"/>
      <c r="N446" s="173"/>
    </row>
    <row r="447" spans="1:15" s="72" customFormat="1" ht="31.5" hidden="1">
      <c r="A447" s="1115" t="s">
        <v>69</v>
      </c>
      <c r="B447" s="427" t="s">
        <v>82</v>
      </c>
      <c r="C447" s="98" t="s">
        <v>122</v>
      </c>
      <c r="D447" s="260" t="s">
        <v>40</v>
      </c>
      <c r="E447" s="701"/>
      <c r="F447" s="76">
        <f>F445*1.95</f>
        <v>0</v>
      </c>
      <c r="G447" s="22"/>
      <c r="H447" s="1016"/>
      <c r="I447" s="22"/>
      <c r="J447" s="1016"/>
      <c r="K447" s="22"/>
      <c r="L447" s="1016"/>
      <c r="M447" s="1016"/>
      <c r="N447" s="173"/>
    </row>
    <row r="448" spans="1:15" s="72" customFormat="1" hidden="1">
      <c r="A448" s="1117"/>
      <c r="B448" s="236"/>
      <c r="C448" s="41" t="s">
        <v>56</v>
      </c>
      <c r="D448" s="42" t="s">
        <v>12</v>
      </c>
      <c r="E448" s="701">
        <v>0.53</v>
      </c>
      <c r="F448" s="43">
        <f>F447*E448</f>
        <v>0</v>
      </c>
      <c r="G448" s="22"/>
      <c r="H448" s="1016"/>
      <c r="I448" s="22"/>
      <c r="J448" s="1016"/>
      <c r="K448" s="22"/>
      <c r="L448" s="1016"/>
      <c r="M448" s="1016"/>
      <c r="N448" s="173"/>
    </row>
    <row r="449" spans="1:15" s="72" customFormat="1" ht="31.5" hidden="1">
      <c r="A449" s="1116"/>
      <c r="B449" s="260" t="s">
        <v>177</v>
      </c>
      <c r="C449" s="464" t="s">
        <v>187</v>
      </c>
      <c r="D449" s="260" t="s">
        <v>40</v>
      </c>
      <c r="E449" s="701"/>
      <c r="F449" s="76">
        <f>F447</f>
        <v>0</v>
      </c>
      <c r="G449" s="22"/>
      <c r="H449" s="1016"/>
      <c r="I449" s="22"/>
      <c r="J449" s="1016"/>
      <c r="K449" s="22"/>
      <c r="L449" s="1016"/>
      <c r="M449" s="1016"/>
      <c r="N449" s="173"/>
    </row>
    <row r="450" spans="1:15" s="72" customFormat="1" ht="31.5" hidden="1">
      <c r="A450" s="1115" t="s">
        <v>85</v>
      </c>
      <c r="B450" s="260" t="s">
        <v>37</v>
      </c>
      <c r="C450" s="56" t="s">
        <v>242</v>
      </c>
      <c r="D450" s="260" t="s">
        <v>34</v>
      </c>
      <c r="E450" s="1015"/>
      <c r="F450" s="24">
        <f>0.2*0.1*F444</f>
        <v>0</v>
      </c>
      <c r="G450" s="1016"/>
      <c r="H450" s="1016"/>
      <c r="I450" s="1016"/>
      <c r="J450" s="1016"/>
      <c r="K450" s="1016"/>
      <c r="L450" s="1016"/>
      <c r="M450" s="1016"/>
      <c r="N450" s="173"/>
    </row>
    <row r="451" spans="1:15" s="72" customFormat="1" hidden="1">
      <c r="A451" s="1117"/>
      <c r="B451" s="1023"/>
      <c r="C451" s="27" t="s">
        <v>20</v>
      </c>
      <c r="D451" s="1023" t="s">
        <v>21</v>
      </c>
      <c r="E451" s="1015">
        <v>3.52</v>
      </c>
      <c r="F451" s="33">
        <f>E451*F450</f>
        <v>0</v>
      </c>
      <c r="G451" s="1016"/>
      <c r="H451" s="1016"/>
      <c r="I451" s="1016"/>
      <c r="J451" s="1016"/>
      <c r="K451" s="1016"/>
      <c r="L451" s="1016"/>
      <c r="M451" s="1016"/>
      <c r="N451" s="173"/>
    </row>
    <row r="452" spans="1:15" s="72" customFormat="1" hidden="1">
      <c r="A452" s="1117"/>
      <c r="B452" s="1023"/>
      <c r="C452" s="27" t="s">
        <v>23</v>
      </c>
      <c r="D452" s="1023" t="s">
        <v>9</v>
      </c>
      <c r="E452" s="1015">
        <v>1.06</v>
      </c>
      <c r="F452" s="33">
        <f>F450*E452</f>
        <v>0</v>
      </c>
      <c r="G452" s="1016"/>
      <c r="H452" s="1016"/>
      <c r="I452" s="1016"/>
      <c r="J452" s="1016"/>
      <c r="K452" s="1016"/>
      <c r="L452" s="1016"/>
      <c r="M452" s="1016"/>
      <c r="N452" s="173"/>
    </row>
    <row r="453" spans="1:15" s="72" customFormat="1" hidden="1">
      <c r="A453" s="1117"/>
      <c r="B453" s="1023"/>
      <c r="C453" s="27" t="s">
        <v>140</v>
      </c>
      <c r="D453" s="1023" t="s">
        <v>31</v>
      </c>
      <c r="E453" s="1015">
        <f>0.18+0.09+0.97</f>
        <v>1.24</v>
      </c>
      <c r="F453" s="33">
        <f>E453*F450</f>
        <v>0</v>
      </c>
      <c r="G453" s="1016"/>
      <c r="H453" s="1016"/>
      <c r="I453" s="1016"/>
      <c r="J453" s="1016"/>
      <c r="K453" s="1016"/>
      <c r="L453" s="1016"/>
      <c r="M453" s="1016"/>
      <c r="N453" s="173"/>
    </row>
    <row r="454" spans="1:15" s="72" customFormat="1" hidden="1">
      <c r="A454" s="1116"/>
      <c r="B454" s="1023"/>
      <c r="C454" s="105" t="s">
        <v>50</v>
      </c>
      <c r="D454" s="1021" t="s">
        <v>9</v>
      </c>
      <c r="E454" s="1015">
        <v>0.02</v>
      </c>
      <c r="F454" s="33">
        <f>F450*E454</f>
        <v>0</v>
      </c>
      <c r="G454" s="30"/>
      <c r="H454" s="1016"/>
      <c r="I454" s="20"/>
      <c r="J454" s="1016"/>
      <c r="K454" s="21"/>
      <c r="L454" s="1016"/>
      <c r="M454" s="1016"/>
      <c r="N454" s="173"/>
    </row>
    <row r="455" spans="1:15" s="72" customFormat="1" hidden="1">
      <c r="A455" s="1104" t="s">
        <v>79</v>
      </c>
      <c r="B455" s="260" t="s">
        <v>800</v>
      </c>
      <c r="C455" s="56" t="s">
        <v>801</v>
      </c>
      <c r="D455" s="260" t="s">
        <v>62</v>
      </c>
      <c r="E455" s="24"/>
      <c r="F455" s="24">
        <f>F444</f>
        <v>0</v>
      </c>
      <c r="G455" s="1016"/>
      <c r="H455" s="1016"/>
      <c r="I455" s="1016"/>
      <c r="J455" s="1016"/>
      <c r="K455" s="1016"/>
      <c r="L455" s="1016"/>
      <c r="M455" s="1016"/>
      <c r="N455" s="173"/>
    </row>
    <row r="456" spans="1:15" s="72" customFormat="1" hidden="1">
      <c r="A456" s="1105"/>
      <c r="B456" s="260"/>
      <c r="C456" s="27" t="s">
        <v>20</v>
      </c>
      <c r="D456" s="1023" t="s">
        <v>21</v>
      </c>
      <c r="E456" s="1015">
        <v>0.74</v>
      </c>
      <c r="F456" s="1015">
        <f>E456*F455</f>
        <v>0</v>
      </c>
      <c r="G456" s="1016"/>
      <c r="H456" s="1016"/>
      <c r="I456" s="1016"/>
      <c r="J456" s="1016"/>
      <c r="K456" s="1016"/>
      <c r="L456" s="1016"/>
      <c r="M456" s="1016"/>
      <c r="N456" s="173"/>
    </row>
    <row r="457" spans="1:15" s="72" customFormat="1" hidden="1">
      <c r="A457" s="1105"/>
      <c r="B457" s="260"/>
      <c r="C457" s="27" t="s">
        <v>11</v>
      </c>
      <c r="D457" s="1023" t="s">
        <v>22</v>
      </c>
      <c r="E457" s="1015">
        <f>0.71*0.01</f>
        <v>7.0999999999999995E-3</v>
      </c>
      <c r="F457" s="1015">
        <f>E457*F455</f>
        <v>0</v>
      </c>
      <c r="G457" s="1016"/>
      <c r="H457" s="1016"/>
      <c r="I457" s="1016"/>
      <c r="J457" s="1016"/>
      <c r="K457" s="1016"/>
      <c r="L457" s="1016"/>
      <c r="M457" s="1016"/>
      <c r="N457" s="173"/>
    </row>
    <row r="458" spans="1:15" s="72" customFormat="1" hidden="1">
      <c r="A458" s="1105"/>
      <c r="B458" s="260"/>
      <c r="C458" s="27" t="s">
        <v>803</v>
      </c>
      <c r="D458" s="1023" t="s">
        <v>43</v>
      </c>
      <c r="E458" s="1015">
        <v>1</v>
      </c>
      <c r="F458" s="24">
        <f>F455</f>
        <v>0</v>
      </c>
      <c r="G458" s="1016"/>
      <c r="H458" s="1016"/>
      <c r="I458" s="1016"/>
      <c r="J458" s="1016"/>
      <c r="K458" s="1016"/>
      <c r="L458" s="1016"/>
      <c r="M458" s="1016"/>
      <c r="N458" s="173"/>
    </row>
    <row r="459" spans="1:15" s="72" customFormat="1" hidden="1">
      <c r="A459" s="1105"/>
      <c r="B459" s="260"/>
      <c r="C459" s="934" t="s">
        <v>243</v>
      </c>
      <c r="D459" s="1023" t="s">
        <v>31</v>
      </c>
      <c r="E459" s="1015">
        <v>3.9E-2</v>
      </c>
      <c r="F459" s="1015">
        <f>F455*E459</f>
        <v>0</v>
      </c>
      <c r="G459" s="1016"/>
      <c r="H459" s="1016"/>
      <c r="I459" s="1016"/>
      <c r="J459" s="1016"/>
      <c r="K459" s="1016"/>
      <c r="L459" s="1016"/>
      <c r="M459" s="1016"/>
      <c r="N459" s="173"/>
    </row>
    <row r="460" spans="1:15" s="72" customFormat="1" hidden="1">
      <c r="A460" s="1105"/>
      <c r="B460" s="260"/>
      <c r="C460" s="27" t="s">
        <v>244</v>
      </c>
      <c r="D460" s="1023" t="s">
        <v>31</v>
      </c>
      <c r="E460" s="1015">
        <f>0.06*0.01</f>
        <v>5.9999999999999995E-4</v>
      </c>
      <c r="F460" s="1015">
        <f>E460*F455</f>
        <v>0</v>
      </c>
      <c r="G460" s="1016"/>
      <c r="H460" s="1016"/>
      <c r="I460" s="1016"/>
      <c r="J460" s="1016"/>
      <c r="K460" s="1016"/>
      <c r="L460" s="1016"/>
      <c r="M460" s="1016"/>
      <c r="N460" s="173"/>
    </row>
    <row r="461" spans="1:15" s="72" customFormat="1" hidden="1">
      <c r="A461" s="1106"/>
      <c r="B461" s="260"/>
      <c r="C461" s="27" t="s">
        <v>13</v>
      </c>
      <c r="D461" s="1023" t="s">
        <v>9</v>
      </c>
      <c r="E461" s="1015">
        <f>9.6*0.01</f>
        <v>9.6000000000000002E-2</v>
      </c>
      <c r="F461" s="1015">
        <f>E461*F455</f>
        <v>0</v>
      </c>
      <c r="G461" s="1016"/>
      <c r="H461" s="1016"/>
      <c r="I461" s="1016"/>
      <c r="J461" s="1016"/>
      <c r="K461" s="1016"/>
      <c r="L461" s="1016"/>
      <c r="M461" s="1016"/>
      <c r="N461" s="510"/>
    </row>
    <row r="462" spans="1:15" s="74" customFormat="1" ht="16.5" hidden="1">
      <c r="A462" s="1013"/>
      <c r="B462" s="260"/>
      <c r="C462" s="739"/>
      <c r="D462" s="260"/>
      <c r="E462" s="243"/>
      <c r="F462" s="76"/>
      <c r="G462" s="22"/>
      <c r="H462" s="1016"/>
      <c r="I462" s="22"/>
      <c r="J462" s="1016"/>
      <c r="K462" s="21"/>
      <c r="L462" s="1016"/>
      <c r="M462" s="1016"/>
      <c r="N462" s="274"/>
      <c r="O462" s="529"/>
    </row>
    <row r="463" spans="1:15" s="72" customFormat="1" ht="31.5">
      <c r="A463" s="719"/>
      <c r="B463" s="388"/>
      <c r="C463" s="48" t="s">
        <v>624</v>
      </c>
      <c r="D463" s="77" t="s">
        <v>43</v>
      </c>
      <c r="E463" s="720"/>
      <c r="F463" s="721">
        <v>114</v>
      </c>
      <c r="G463" s="1016"/>
      <c r="H463" s="1016"/>
      <c r="I463" s="1016"/>
      <c r="J463" s="1016"/>
      <c r="K463" s="1016"/>
      <c r="L463" s="1016"/>
      <c r="M463" s="1016"/>
      <c r="N463" s="173"/>
    </row>
    <row r="464" spans="1:15" s="72" customFormat="1" ht="31.5">
      <c r="A464" s="1104" t="s">
        <v>84</v>
      </c>
      <c r="B464" s="260" t="s">
        <v>59</v>
      </c>
      <c r="C464" s="716" t="s">
        <v>241</v>
      </c>
      <c r="D464" s="260" t="s">
        <v>39</v>
      </c>
      <c r="E464" s="711"/>
      <c r="F464" s="24">
        <f>0.15*(0.1+0.1)*F463</f>
        <v>3.42</v>
      </c>
      <c r="G464" s="712"/>
      <c r="H464" s="712"/>
      <c r="I464" s="712"/>
      <c r="J464" s="712"/>
      <c r="K464" s="712"/>
      <c r="L464" s="712"/>
      <c r="M464" s="712"/>
      <c r="N464" s="173"/>
    </row>
    <row r="465" spans="1:14" s="72" customFormat="1">
      <c r="A465" s="1106"/>
      <c r="B465" s="390"/>
      <c r="C465" s="747" t="s">
        <v>38</v>
      </c>
      <c r="D465" s="714" t="s">
        <v>12</v>
      </c>
      <c r="E465" s="94">
        <v>2.06</v>
      </c>
      <c r="F465" s="94">
        <f>E465*F464</f>
        <v>7.0452000000000004</v>
      </c>
      <c r="G465" s="37"/>
      <c r="H465" s="712"/>
      <c r="I465" s="37"/>
      <c r="J465" s="712"/>
      <c r="K465" s="712"/>
      <c r="L465" s="712"/>
      <c r="M465" s="712"/>
      <c r="N465" s="173"/>
    </row>
    <row r="466" spans="1:14" s="72" customFormat="1" ht="31.5">
      <c r="A466" s="1115" t="s">
        <v>69</v>
      </c>
      <c r="B466" s="427" t="s">
        <v>82</v>
      </c>
      <c r="C466" s="744" t="s">
        <v>122</v>
      </c>
      <c r="D466" s="260" t="s">
        <v>40</v>
      </c>
      <c r="E466" s="701"/>
      <c r="F466" s="76">
        <f>F464*1.95</f>
        <v>6.6689999999999996</v>
      </c>
      <c r="G466" s="22"/>
      <c r="H466" s="712"/>
      <c r="I466" s="22"/>
      <c r="J466" s="712"/>
      <c r="K466" s="22"/>
      <c r="L466" s="712"/>
      <c r="M466" s="712"/>
      <c r="N466" s="173"/>
    </row>
    <row r="467" spans="1:14" s="72" customFormat="1">
      <c r="A467" s="1117"/>
      <c r="B467" s="236"/>
      <c r="C467" s="745" t="s">
        <v>56</v>
      </c>
      <c r="D467" s="42" t="s">
        <v>12</v>
      </c>
      <c r="E467" s="701">
        <v>0.53</v>
      </c>
      <c r="F467" s="43">
        <f>F466*E467</f>
        <v>3.53457</v>
      </c>
      <c r="G467" s="22"/>
      <c r="H467" s="712"/>
      <c r="I467" s="22"/>
      <c r="J467" s="712"/>
      <c r="K467" s="22"/>
      <c r="L467" s="712"/>
      <c r="M467" s="712"/>
      <c r="N467" s="173"/>
    </row>
    <row r="468" spans="1:14" s="72" customFormat="1" ht="31.5">
      <c r="A468" s="1116"/>
      <c r="B468" s="260" t="s">
        <v>177</v>
      </c>
      <c r="C468" s="878" t="s">
        <v>187</v>
      </c>
      <c r="D468" s="260" t="s">
        <v>40</v>
      </c>
      <c r="E468" s="701"/>
      <c r="F468" s="76">
        <f>F466</f>
        <v>6.6689999999999996</v>
      </c>
      <c r="G468" s="22"/>
      <c r="H468" s="712"/>
      <c r="I468" s="22"/>
      <c r="J468" s="712"/>
      <c r="K468" s="22"/>
      <c r="L468" s="712"/>
      <c r="M468" s="712"/>
      <c r="N468" s="173"/>
    </row>
    <row r="469" spans="1:14" s="72" customFormat="1" ht="31.5">
      <c r="A469" s="1134" t="s">
        <v>85</v>
      </c>
      <c r="B469" s="260" t="s">
        <v>37</v>
      </c>
      <c r="C469" s="716" t="s">
        <v>242</v>
      </c>
      <c r="D469" s="260" t="s">
        <v>34</v>
      </c>
      <c r="E469" s="711"/>
      <c r="F469" s="24">
        <f>0.15*0.1*F463</f>
        <v>1.71</v>
      </c>
      <c r="G469" s="712"/>
      <c r="H469" s="712"/>
      <c r="I469" s="712"/>
      <c r="J469" s="712"/>
      <c r="K469" s="712"/>
      <c r="L469" s="712"/>
      <c r="M469" s="712"/>
      <c r="N469" s="173"/>
    </row>
    <row r="470" spans="1:14" s="72" customFormat="1">
      <c r="A470" s="1134"/>
      <c r="B470" s="715"/>
      <c r="C470" s="544" t="s">
        <v>20</v>
      </c>
      <c r="D470" s="715" t="s">
        <v>21</v>
      </c>
      <c r="E470" s="711">
        <v>3.52</v>
      </c>
      <c r="F470" s="33">
        <f>E470*F469</f>
        <v>6.0191999999999997</v>
      </c>
      <c r="G470" s="712"/>
      <c r="H470" s="712"/>
      <c r="I470" s="712"/>
      <c r="J470" s="712"/>
      <c r="K470" s="712"/>
      <c r="L470" s="712"/>
      <c r="M470" s="712"/>
      <c r="N470" s="173"/>
    </row>
    <row r="471" spans="1:14" s="72" customFormat="1">
      <c r="A471" s="1134"/>
      <c r="B471" s="715"/>
      <c r="C471" s="544" t="s">
        <v>23</v>
      </c>
      <c r="D471" s="715" t="s">
        <v>9</v>
      </c>
      <c r="E471" s="711">
        <v>1.06</v>
      </c>
      <c r="F471" s="33">
        <f>F469*E471</f>
        <v>1.8126</v>
      </c>
      <c r="G471" s="712"/>
      <c r="H471" s="712"/>
      <c r="I471" s="712"/>
      <c r="J471" s="712"/>
      <c r="K471" s="712"/>
      <c r="L471" s="712"/>
      <c r="M471" s="712"/>
      <c r="N471" s="173"/>
    </row>
    <row r="472" spans="1:14" s="72" customFormat="1">
      <c r="A472" s="1134"/>
      <c r="B472" s="715"/>
      <c r="C472" s="544" t="s">
        <v>140</v>
      </c>
      <c r="D472" s="715" t="s">
        <v>31</v>
      </c>
      <c r="E472" s="711">
        <f>0.18+0.09+0.97</f>
        <v>1.24</v>
      </c>
      <c r="F472" s="33">
        <f>E472*F469</f>
        <v>2.1204000000000001</v>
      </c>
      <c r="G472" s="712"/>
      <c r="H472" s="712"/>
      <c r="I472" s="712"/>
      <c r="J472" s="712"/>
      <c r="K472" s="712"/>
      <c r="L472" s="712"/>
      <c r="M472" s="712"/>
      <c r="N472" s="173"/>
    </row>
    <row r="473" spans="1:14" s="72" customFormat="1">
      <c r="A473" s="1134"/>
      <c r="B473" s="715"/>
      <c r="C473" s="748" t="s">
        <v>50</v>
      </c>
      <c r="D473" s="713" t="s">
        <v>9</v>
      </c>
      <c r="E473" s="711">
        <v>0.02</v>
      </c>
      <c r="F473" s="33">
        <f>F469*E473</f>
        <v>3.4200000000000001E-2</v>
      </c>
      <c r="G473" s="30"/>
      <c r="H473" s="712"/>
      <c r="I473" s="20"/>
      <c r="J473" s="712"/>
      <c r="K473" s="21"/>
      <c r="L473" s="712"/>
      <c r="M473" s="712"/>
      <c r="N473" s="173"/>
    </row>
    <row r="474" spans="1:14" s="72" customFormat="1" ht="31.5">
      <c r="A474" s="1180" t="s">
        <v>79</v>
      </c>
      <c r="B474" s="260" t="s">
        <v>262</v>
      </c>
      <c r="C474" s="716" t="s">
        <v>624</v>
      </c>
      <c r="D474" s="260" t="s">
        <v>62</v>
      </c>
      <c r="E474" s="24"/>
      <c r="F474" s="24">
        <f>F463</f>
        <v>114</v>
      </c>
      <c r="G474" s="712"/>
      <c r="H474" s="712"/>
      <c r="I474" s="712"/>
      <c r="J474" s="712"/>
      <c r="K474" s="712"/>
      <c r="L474" s="712"/>
      <c r="M474" s="712"/>
      <c r="N474" s="173"/>
    </row>
    <row r="475" spans="1:14" s="72" customFormat="1">
      <c r="A475" s="1180"/>
      <c r="B475" s="260"/>
      <c r="C475" s="544" t="s">
        <v>20</v>
      </c>
      <c r="D475" s="715" t="s">
        <v>21</v>
      </c>
      <c r="E475" s="711">
        <v>0.74</v>
      </c>
      <c r="F475" s="711">
        <f>E475*F474</f>
        <v>84.36</v>
      </c>
      <c r="G475" s="712"/>
      <c r="H475" s="712"/>
      <c r="I475" s="712"/>
      <c r="J475" s="712"/>
      <c r="K475" s="712"/>
      <c r="L475" s="712"/>
      <c r="M475" s="712"/>
      <c r="N475" s="173"/>
    </row>
    <row r="476" spans="1:14" s="72" customFormat="1">
      <c r="A476" s="1180"/>
      <c r="B476" s="260"/>
      <c r="C476" s="544" t="s">
        <v>11</v>
      </c>
      <c r="D476" s="715" t="s">
        <v>22</v>
      </c>
      <c r="E476" s="711">
        <f>0.71*0.01</f>
        <v>7.0999999999999995E-3</v>
      </c>
      <c r="F476" s="711">
        <f>E476*F474</f>
        <v>0.8093999999999999</v>
      </c>
      <c r="G476" s="712"/>
      <c r="H476" s="712"/>
      <c r="I476" s="712"/>
      <c r="J476" s="712"/>
      <c r="K476" s="712"/>
      <c r="L476" s="712"/>
      <c r="M476" s="712"/>
      <c r="N476" s="173"/>
    </row>
    <row r="477" spans="1:14" s="72" customFormat="1" hidden="1">
      <c r="A477" s="1180"/>
      <c r="B477" s="260"/>
      <c r="C477" s="544" t="s">
        <v>625</v>
      </c>
      <c r="D477" s="715" t="s">
        <v>43</v>
      </c>
      <c r="E477" s="711">
        <v>1</v>
      </c>
      <c r="F477" s="24">
        <v>0</v>
      </c>
      <c r="G477" s="722"/>
      <c r="H477" s="712"/>
      <c r="I477" s="712"/>
      <c r="J477" s="712"/>
      <c r="K477" s="712"/>
      <c r="L477" s="712"/>
      <c r="M477" s="712"/>
      <c r="N477" s="173"/>
    </row>
    <row r="478" spans="1:14" s="72" customFormat="1">
      <c r="A478" s="1180"/>
      <c r="B478" s="260"/>
      <c r="C478" s="544" t="s">
        <v>626</v>
      </c>
      <c r="D478" s="715" t="s">
        <v>43</v>
      </c>
      <c r="E478" s="711">
        <v>1</v>
      </c>
      <c r="F478" s="24">
        <f>F474-F477</f>
        <v>114</v>
      </c>
      <c r="G478" s="712"/>
      <c r="H478" s="712"/>
      <c r="I478" s="712"/>
      <c r="J478" s="712"/>
      <c r="K478" s="712"/>
      <c r="L478" s="712"/>
      <c r="M478" s="712"/>
      <c r="N478" s="173"/>
    </row>
    <row r="479" spans="1:14" s="72" customFormat="1">
      <c r="A479" s="1180"/>
      <c r="B479" s="260"/>
      <c r="C479" s="749" t="s">
        <v>243</v>
      </c>
      <c r="D479" s="715" t="s">
        <v>31</v>
      </c>
      <c r="E479" s="711">
        <v>3.9E-2</v>
      </c>
      <c r="F479" s="711">
        <f>F474*E479</f>
        <v>4.4459999999999997</v>
      </c>
      <c r="G479" s="712"/>
      <c r="H479" s="712"/>
      <c r="I479" s="712"/>
      <c r="J479" s="712"/>
      <c r="K479" s="712"/>
      <c r="L479" s="712"/>
      <c r="M479" s="712"/>
      <c r="N479" s="173"/>
    </row>
    <row r="480" spans="1:14" s="72" customFormat="1">
      <c r="A480" s="1180"/>
      <c r="B480" s="260"/>
      <c r="C480" s="544" t="s">
        <v>244</v>
      </c>
      <c r="D480" s="715" t="s">
        <v>31</v>
      </c>
      <c r="E480" s="711">
        <f>0.06*0.01</f>
        <v>5.9999999999999995E-4</v>
      </c>
      <c r="F480" s="711">
        <f>E480*F474</f>
        <v>6.8399999999999989E-2</v>
      </c>
      <c r="G480" s="712"/>
      <c r="H480" s="712"/>
      <c r="I480" s="712"/>
      <c r="J480" s="712"/>
      <c r="K480" s="712"/>
      <c r="L480" s="712"/>
      <c r="M480" s="712"/>
      <c r="N480" s="173"/>
    </row>
    <row r="481" spans="1:15" s="72" customFormat="1" ht="17.25" customHeight="1">
      <c r="A481" s="1180"/>
      <c r="B481" s="260"/>
      <c r="C481" s="544" t="s">
        <v>13</v>
      </c>
      <c r="D481" s="715" t="s">
        <v>9</v>
      </c>
      <c r="E481" s="711">
        <f>9.6*0.01</f>
        <v>9.6000000000000002E-2</v>
      </c>
      <c r="F481" s="711">
        <f>E481*F474</f>
        <v>10.944000000000001</v>
      </c>
      <c r="G481" s="712"/>
      <c r="H481" s="712"/>
      <c r="I481" s="712"/>
      <c r="J481" s="712"/>
      <c r="K481" s="712"/>
      <c r="L481" s="712"/>
      <c r="M481" s="712"/>
      <c r="N481" s="273"/>
    </row>
    <row r="482" spans="1:15" s="74" customFormat="1" ht="16.5" hidden="1">
      <c r="A482" s="710"/>
      <c r="B482" s="260"/>
      <c r="C482" s="739"/>
      <c r="D482" s="260"/>
      <c r="E482" s="243"/>
      <c r="F482" s="76"/>
      <c r="G482" s="22"/>
      <c r="H482" s="712"/>
      <c r="I482" s="22"/>
      <c r="J482" s="712"/>
      <c r="K482" s="21"/>
      <c r="L482" s="712"/>
      <c r="M482" s="712"/>
      <c r="N482" s="274"/>
      <c r="O482" s="529"/>
    </row>
    <row r="483" spans="1:15" s="72" customFormat="1" ht="36" customHeight="1">
      <c r="A483" s="541"/>
      <c r="B483" s="391"/>
      <c r="C483" s="48" t="s">
        <v>248</v>
      </c>
      <c r="D483" s="310" t="s">
        <v>47</v>
      </c>
      <c r="E483" s="311"/>
      <c r="F483" s="312">
        <v>164</v>
      </c>
      <c r="G483" s="412"/>
      <c r="H483" s="412"/>
      <c r="I483" s="412"/>
      <c r="J483" s="412"/>
      <c r="K483" s="412"/>
      <c r="L483" s="412"/>
      <c r="M483" s="412"/>
      <c r="N483" s="392"/>
      <c r="O483" s="393"/>
    </row>
    <row r="484" spans="1:15" s="72" customFormat="1" ht="31.5">
      <c r="A484" s="1169" t="s">
        <v>84</v>
      </c>
      <c r="B484" s="29" t="s">
        <v>33</v>
      </c>
      <c r="C484" s="750" t="s">
        <v>245</v>
      </c>
      <c r="D484" s="29" t="s">
        <v>31</v>
      </c>
      <c r="E484" s="32"/>
      <c r="F484" s="35">
        <f>F483*0.2</f>
        <v>32.800000000000004</v>
      </c>
      <c r="G484" s="88"/>
      <c r="H484" s="30"/>
      <c r="I484" s="88"/>
      <c r="J484" s="30"/>
      <c r="K484" s="88"/>
      <c r="L484" s="30"/>
      <c r="M484" s="30"/>
      <c r="N484" s="392"/>
      <c r="O484" s="393"/>
    </row>
    <row r="485" spans="1:15" s="72" customFormat="1">
      <c r="A485" s="1170"/>
      <c r="B485" s="423"/>
      <c r="C485" s="751" t="s">
        <v>35</v>
      </c>
      <c r="D485" s="104" t="s">
        <v>12</v>
      </c>
      <c r="E485" s="32">
        <v>3.88</v>
      </c>
      <c r="F485" s="33">
        <f>F484*E485</f>
        <v>127.26400000000001</v>
      </c>
      <c r="G485" s="30"/>
      <c r="H485" s="30"/>
      <c r="I485" s="30"/>
      <c r="J485" s="30"/>
      <c r="K485" s="30"/>
      <c r="L485" s="30"/>
      <c r="M485" s="30"/>
      <c r="N485" s="392"/>
      <c r="O485" s="393"/>
    </row>
    <row r="486" spans="1:15" s="72" customFormat="1" ht="31.5">
      <c r="A486" s="1107" t="s">
        <v>69</v>
      </c>
      <c r="B486" s="394" t="s">
        <v>82</v>
      </c>
      <c r="C486" s="752" t="s">
        <v>122</v>
      </c>
      <c r="D486" s="191" t="s">
        <v>125</v>
      </c>
      <c r="E486" s="192"/>
      <c r="F486" s="193">
        <f>F484*1.95</f>
        <v>63.960000000000008</v>
      </c>
      <c r="G486" s="412"/>
      <c r="H486" s="412"/>
      <c r="I486" s="412"/>
      <c r="J486" s="412"/>
      <c r="K486" s="412"/>
      <c r="L486" s="412"/>
      <c r="M486" s="412"/>
      <c r="N486" s="392"/>
      <c r="O486" s="393"/>
    </row>
    <row r="487" spans="1:15" s="72" customFormat="1">
      <c r="A487" s="1109"/>
      <c r="B487" s="424"/>
      <c r="C487" s="621" t="s">
        <v>54</v>
      </c>
      <c r="D487" s="44" t="s">
        <v>12</v>
      </c>
      <c r="E487" s="45">
        <v>0.53</v>
      </c>
      <c r="F487" s="252">
        <f>F486*E487</f>
        <v>33.898800000000008</v>
      </c>
      <c r="G487" s="412"/>
      <c r="H487" s="412"/>
      <c r="I487" s="412"/>
      <c r="J487" s="412"/>
      <c r="K487" s="412"/>
      <c r="L487" s="412"/>
      <c r="M487" s="412"/>
      <c r="N487" s="392"/>
      <c r="O487" s="393"/>
    </row>
    <row r="488" spans="1:15" s="72" customFormat="1" ht="31.5">
      <c r="A488" s="511" t="s">
        <v>85</v>
      </c>
      <c r="B488" s="260" t="s">
        <v>177</v>
      </c>
      <c r="C488" s="878" t="s">
        <v>187</v>
      </c>
      <c r="D488" s="260" t="s">
        <v>40</v>
      </c>
      <c r="E488" s="240"/>
      <c r="F488" s="193">
        <f>F486</f>
        <v>63.960000000000008</v>
      </c>
      <c r="G488" s="412"/>
      <c r="H488" s="412"/>
      <c r="I488" s="412"/>
      <c r="J488" s="412"/>
      <c r="K488" s="22"/>
      <c r="L488" s="412"/>
      <c r="M488" s="412"/>
      <c r="N488" s="392"/>
      <c r="O488" s="393"/>
    </row>
    <row r="489" spans="1:15" s="72" customFormat="1" ht="31.5">
      <c r="A489" s="1107" t="s">
        <v>79</v>
      </c>
      <c r="B489" s="260" t="s">
        <v>37</v>
      </c>
      <c r="C489" s="879" t="s">
        <v>139</v>
      </c>
      <c r="D489" s="260" t="s">
        <v>39</v>
      </c>
      <c r="E489" s="401"/>
      <c r="F489" s="35">
        <f>F483*0.1</f>
        <v>16.400000000000002</v>
      </c>
      <c r="G489" s="412"/>
      <c r="H489" s="412"/>
      <c r="I489" s="412"/>
      <c r="J489" s="412"/>
      <c r="K489" s="412"/>
      <c r="L489" s="412"/>
      <c r="M489" s="412"/>
      <c r="N489" s="392"/>
      <c r="O489" s="393"/>
    </row>
    <row r="490" spans="1:15" s="72" customFormat="1">
      <c r="A490" s="1108"/>
      <c r="B490" s="424"/>
      <c r="C490" s="544" t="s">
        <v>20</v>
      </c>
      <c r="D490" s="424" t="s">
        <v>21</v>
      </c>
      <c r="E490" s="401">
        <v>3.52</v>
      </c>
      <c r="F490" s="33">
        <f>E490*F489</f>
        <v>57.728000000000009</v>
      </c>
      <c r="G490" s="412"/>
      <c r="H490" s="412"/>
      <c r="I490" s="412"/>
      <c r="J490" s="412"/>
      <c r="K490" s="412"/>
      <c r="L490" s="412"/>
      <c r="M490" s="412"/>
      <c r="N490" s="392"/>
      <c r="O490" s="393"/>
    </row>
    <row r="491" spans="1:15" s="72" customFormat="1">
      <c r="A491" s="1108"/>
      <c r="B491" s="424"/>
      <c r="C491" s="544" t="s">
        <v>23</v>
      </c>
      <c r="D491" s="424" t="s">
        <v>9</v>
      </c>
      <c r="E491" s="401">
        <v>1.06</v>
      </c>
      <c r="F491" s="33">
        <f>F489*E491</f>
        <v>17.384000000000004</v>
      </c>
      <c r="G491" s="412"/>
      <c r="H491" s="412"/>
      <c r="I491" s="412"/>
      <c r="J491" s="412"/>
      <c r="K491" s="412"/>
      <c r="L491" s="412"/>
      <c r="M491" s="412"/>
      <c r="N491" s="392"/>
      <c r="O491" s="393"/>
    </row>
    <row r="492" spans="1:15" s="72" customFormat="1">
      <c r="A492" s="1108"/>
      <c r="B492" s="424"/>
      <c r="C492" s="544" t="s">
        <v>140</v>
      </c>
      <c r="D492" s="424" t="s">
        <v>31</v>
      </c>
      <c r="E492" s="401">
        <f>0.18+0.09+0.97</f>
        <v>1.24</v>
      </c>
      <c r="F492" s="33">
        <f>E492*F489</f>
        <v>20.336000000000002</v>
      </c>
      <c r="G492" s="412"/>
      <c r="H492" s="412"/>
      <c r="I492" s="412"/>
      <c r="J492" s="412"/>
      <c r="K492" s="412"/>
      <c r="L492" s="412"/>
      <c r="M492" s="412"/>
      <c r="N492" s="392"/>
      <c r="O492" s="393"/>
    </row>
    <row r="493" spans="1:15" s="72" customFormat="1">
      <c r="A493" s="1109"/>
      <c r="B493" s="424"/>
      <c r="C493" s="748" t="s">
        <v>50</v>
      </c>
      <c r="D493" s="423" t="s">
        <v>9</v>
      </c>
      <c r="E493" s="401">
        <v>0.02</v>
      </c>
      <c r="F493" s="33">
        <f>F489*E493</f>
        <v>0.32800000000000007</v>
      </c>
      <c r="G493" s="30"/>
      <c r="H493" s="412"/>
      <c r="I493" s="20"/>
      <c r="J493" s="412"/>
      <c r="K493" s="21"/>
      <c r="L493" s="412"/>
      <c r="M493" s="412"/>
      <c r="N493" s="392"/>
      <c r="O493" s="393"/>
    </row>
    <row r="494" spans="1:15" s="72" customFormat="1">
      <c r="A494" s="1131" t="s">
        <v>80</v>
      </c>
      <c r="B494" s="271" t="s">
        <v>226</v>
      </c>
      <c r="C494" s="753" t="s">
        <v>225</v>
      </c>
      <c r="D494" s="271" t="s">
        <v>39</v>
      </c>
      <c r="E494" s="364"/>
      <c r="F494" s="23">
        <f>F489</f>
        <v>16.400000000000002</v>
      </c>
      <c r="G494" s="13"/>
      <c r="H494" s="13"/>
      <c r="I494" s="13"/>
      <c r="J494" s="13"/>
      <c r="K494" s="13"/>
      <c r="L494" s="13"/>
      <c r="M494" s="13"/>
      <c r="N494" s="392"/>
      <c r="O494" s="393"/>
    </row>
    <row r="495" spans="1:15" s="72" customFormat="1">
      <c r="A495" s="1132"/>
      <c r="B495" s="275" t="s">
        <v>230</v>
      </c>
      <c r="C495" s="754" t="s">
        <v>227</v>
      </c>
      <c r="D495" s="275" t="s">
        <v>44</v>
      </c>
      <c r="E495" s="4">
        <f>1.85/1000</f>
        <v>1.8500000000000001E-3</v>
      </c>
      <c r="F495" s="202">
        <f>F494*E495</f>
        <v>3.0340000000000006E-2</v>
      </c>
      <c r="G495" s="13"/>
      <c r="H495" s="13"/>
      <c r="I495" s="13"/>
      <c r="J495" s="13"/>
      <c r="K495" s="13"/>
      <c r="L495" s="13"/>
      <c r="M495" s="13"/>
      <c r="N495" s="392"/>
      <c r="O495" s="393"/>
    </row>
    <row r="496" spans="1:15" s="72" customFormat="1">
      <c r="A496" s="1132"/>
      <c r="B496" s="275" t="s">
        <v>168</v>
      </c>
      <c r="C496" s="754" t="s">
        <v>228</v>
      </c>
      <c r="D496" s="275" t="s">
        <v>44</v>
      </c>
      <c r="E496" s="4">
        <f>10.5/1000</f>
        <v>1.0500000000000001E-2</v>
      </c>
      <c r="F496" s="202">
        <f>F494*E496</f>
        <v>0.17220000000000002</v>
      </c>
      <c r="G496" s="13"/>
      <c r="H496" s="13"/>
      <c r="I496" s="13"/>
      <c r="J496" s="13"/>
      <c r="K496" s="13"/>
      <c r="L496" s="13"/>
      <c r="M496" s="13"/>
      <c r="N496" s="392"/>
      <c r="O496" s="393"/>
    </row>
    <row r="497" spans="1:15" s="72" customFormat="1">
      <c r="A497" s="1133"/>
      <c r="B497" s="275" t="s">
        <v>196</v>
      </c>
      <c r="C497" s="754" t="s">
        <v>229</v>
      </c>
      <c r="D497" s="275" t="s">
        <v>44</v>
      </c>
      <c r="E497" s="4">
        <f>1.85/1000</f>
        <v>1.8500000000000001E-3</v>
      </c>
      <c r="F497" s="202">
        <f>F494*E497</f>
        <v>3.0340000000000006E-2</v>
      </c>
      <c r="G497" s="13"/>
      <c r="H497" s="13"/>
      <c r="I497" s="13"/>
      <c r="J497" s="13"/>
      <c r="K497" s="13"/>
      <c r="L497" s="13"/>
      <c r="M497" s="13"/>
      <c r="N497" s="392"/>
      <c r="O497" s="393"/>
    </row>
    <row r="498" spans="1:15" s="72" customFormat="1">
      <c r="A498" s="1107" t="s">
        <v>81</v>
      </c>
      <c r="B498" s="420" t="s">
        <v>234</v>
      </c>
      <c r="C498" s="1171" t="s">
        <v>238</v>
      </c>
      <c r="D498" s="260" t="s">
        <v>47</v>
      </c>
      <c r="E498" s="401"/>
      <c r="F498" s="35">
        <f>F483</f>
        <v>164</v>
      </c>
      <c r="G498" s="383"/>
      <c r="H498" s="412"/>
      <c r="I498" s="412"/>
      <c r="J498" s="412"/>
      <c r="K498" s="383"/>
      <c r="L498" s="412"/>
      <c r="M498" s="412"/>
      <c r="N498" s="392"/>
      <c r="O498" s="393"/>
    </row>
    <row r="499" spans="1:15" s="72" customFormat="1">
      <c r="A499" s="1108"/>
      <c r="B499" s="421"/>
      <c r="C499" s="1172"/>
      <c r="D499" s="260" t="s">
        <v>39</v>
      </c>
      <c r="E499" s="401"/>
      <c r="F499" s="35">
        <f>F498*0.1</f>
        <v>16.400000000000002</v>
      </c>
      <c r="G499" s="383"/>
      <c r="H499" s="412"/>
      <c r="I499" s="412"/>
      <c r="J499" s="412"/>
      <c r="K499" s="383"/>
      <c r="L499" s="412"/>
      <c r="M499" s="412"/>
      <c r="N499" s="392"/>
      <c r="O499" s="393"/>
    </row>
    <row r="500" spans="1:15" s="72" customFormat="1">
      <c r="A500" s="1108"/>
      <c r="B500" s="424"/>
      <c r="C500" s="618" t="s">
        <v>38</v>
      </c>
      <c r="D500" s="424" t="s">
        <v>12</v>
      </c>
      <c r="E500" s="401">
        <v>2.9</v>
      </c>
      <c r="F500" s="33">
        <f>F499*E500</f>
        <v>47.56</v>
      </c>
      <c r="G500" s="412"/>
      <c r="H500" s="412"/>
      <c r="I500" s="412"/>
      <c r="J500" s="412"/>
      <c r="K500" s="383"/>
      <c r="L500" s="412"/>
      <c r="M500" s="412"/>
      <c r="N500" s="392"/>
      <c r="O500" s="393"/>
    </row>
    <row r="501" spans="1:15" s="72" customFormat="1">
      <c r="A501" s="1108"/>
      <c r="B501" s="424"/>
      <c r="C501" s="618" t="s">
        <v>235</v>
      </c>
      <c r="D501" s="424" t="s">
        <v>39</v>
      </c>
      <c r="E501" s="401">
        <v>1.02</v>
      </c>
      <c r="F501" s="33">
        <f>F499*E501</f>
        <v>16.728000000000002</v>
      </c>
      <c r="G501" s="383"/>
      <c r="H501" s="412"/>
      <c r="I501" s="412"/>
      <c r="J501" s="412"/>
      <c r="K501" s="383"/>
      <c r="L501" s="412"/>
      <c r="M501" s="412"/>
      <c r="N501" s="392"/>
      <c r="O501" s="393"/>
    </row>
    <row r="502" spans="1:15" s="72" customFormat="1">
      <c r="A502" s="1108"/>
      <c r="B502" s="424"/>
      <c r="C502" s="618" t="s">
        <v>236</v>
      </c>
      <c r="D502" s="424" t="s">
        <v>9</v>
      </c>
      <c r="E502" s="401">
        <v>0.88</v>
      </c>
      <c r="F502" s="33">
        <f>F499*E502</f>
        <v>14.432000000000002</v>
      </c>
      <c r="G502" s="383"/>
      <c r="H502" s="412"/>
      <c r="I502" s="412"/>
      <c r="J502" s="412"/>
      <c r="K502" s="383"/>
      <c r="L502" s="412"/>
      <c r="M502" s="412"/>
      <c r="N502" s="392"/>
      <c r="O502" s="393"/>
    </row>
    <row r="503" spans="1:15" s="72" customFormat="1">
      <c r="A503" s="1109"/>
      <c r="B503" s="424"/>
      <c r="C503" s="755" t="s">
        <v>237</v>
      </c>
      <c r="D503" s="424" t="s">
        <v>40</v>
      </c>
      <c r="E503" s="401"/>
      <c r="F503" s="292">
        <f>F498*16*1*1.03*0.222/1000</f>
        <v>0.60000384000000007</v>
      </c>
      <c r="G503" s="58"/>
      <c r="H503" s="412"/>
      <c r="I503" s="412"/>
      <c r="J503" s="412"/>
      <c r="K503" s="383"/>
      <c r="L503" s="412"/>
      <c r="M503" s="412"/>
      <c r="N503" s="392"/>
      <c r="O503" s="393"/>
    </row>
    <row r="504" spans="1:15" s="72" customFormat="1" ht="47.25">
      <c r="A504" s="1107" t="s">
        <v>77</v>
      </c>
      <c r="B504" s="155" t="s">
        <v>246</v>
      </c>
      <c r="C504" s="756" t="s">
        <v>912</v>
      </c>
      <c r="D504" s="405" t="s">
        <v>47</v>
      </c>
      <c r="E504" s="177"/>
      <c r="F504" s="46">
        <f>F483</f>
        <v>164</v>
      </c>
      <c r="G504" s="412"/>
      <c r="H504" s="412"/>
      <c r="I504" s="412"/>
      <c r="J504" s="412"/>
      <c r="K504" s="412"/>
      <c r="L504" s="412"/>
      <c r="M504" s="412"/>
      <c r="N504" s="392"/>
      <c r="O504" s="393"/>
    </row>
    <row r="505" spans="1:15" s="72" customFormat="1">
      <c r="A505" s="1108"/>
      <c r="B505" s="155"/>
      <c r="C505" s="757" t="s">
        <v>38</v>
      </c>
      <c r="D505" s="204" t="s">
        <v>12</v>
      </c>
      <c r="E505" s="401">
        <v>0.77900000000000003</v>
      </c>
      <c r="F505" s="325">
        <f>F504*E505</f>
        <v>127.756</v>
      </c>
      <c r="G505" s="13"/>
      <c r="H505" s="13"/>
      <c r="I505" s="13"/>
      <c r="J505" s="13"/>
      <c r="K505" s="13"/>
      <c r="L505" s="156"/>
      <c r="M505" s="156"/>
      <c r="N505" s="392"/>
      <c r="O505" s="393"/>
    </row>
    <row r="506" spans="1:15" s="72" customFormat="1">
      <c r="A506" s="1108"/>
      <c r="B506" s="155"/>
      <c r="C506" s="757" t="s">
        <v>23</v>
      </c>
      <c r="D506" s="204" t="s">
        <v>9</v>
      </c>
      <c r="E506" s="401">
        <v>0.104</v>
      </c>
      <c r="F506" s="325">
        <f>F504*E506</f>
        <v>17.056000000000001</v>
      </c>
      <c r="G506" s="13"/>
      <c r="H506" s="13"/>
      <c r="I506" s="13"/>
      <c r="J506" s="13"/>
      <c r="K506" s="13"/>
      <c r="L506" s="156"/>
      <c r="M506" s="156"/>
      <c r="N506" s="392"/>
      <c r="O506" s="393"/>
    </row>
    <row r="507" spans="1:15" s="72" customFormat="1" ht="31.5">
      <c r="A507" s="1108"/>
      <c r="B507" s="155"/>
      <c r="C507" s="757" t="s">
        <v>965</v>
      </c>
      <c r="D507" s="204" t="s">
        <v>47</v>
      </c>
      <c r="E507" s="320">
        <v>1.05</v>
      </c>
      <c r="F507" s="325">
        <f>F504*E507</f>
        <v>172.20000000000002</v>
      </c>
      <c r="G507" s="13"/>
      <c r="H507" s="13"/>
      <c r="I507" s="13"/>
      <c r="J507" s="13"/>
      <c r="K507" s="13"/>
      <c r="L507" s="156"/>
      <c r="M507" s="156"/>
      <c r="N507" s="392"/>
      <c r="O507" s="393"/>
    </row>
    <row r="508" spans="1:15" s="72" customFormat="1">
      <c r="A508" s="1108"/>
      <c r="B508" s="155"/>
      <c r="C508" s="757" t="s">
        <v>720</v>
      </c>
      <c r="D508" s="204" t="s">
        <v>39</v>
      </c>
      <c r="E508" s="401">
        <v>2.1100000000000001E-2</v>
      </c>
      <c r="F508" s="325">
        <f>F504*E508</f>
        <v>3.4603999999999999</v>
      </c>
      <c r="G508" s="13"/>
      <c r="H508" s="13"/>
      <c r="I508" s="13"/>
      <c r="J508" s="13"/>
      <c r="K508" s="13"/>
      <c r="L508" s="13"/>
      <c r="M508" s="13"/>
      <c r="N508" s="392"/>
      <c r="O508" s="393"/>
    </row>
    <row r="509" spans="1:15" s="72" customFormat="1" ht="15" customHeight="1">
      <c r="A509" s="1109"/>
      <c r="B509" s="155"/>
      <c r="C509" s="757" t="s">
        <v>50</v>
      </c>
      <c r="D509" s="204" t="s">
        <v>9</v>
      </c>
      <c r="E509" s="401">
        <v>4.6600000000000003E-2</v>
      </c>
      <c r="F509" s="325">
        <f>F504*E509</f>
        <v>7.6424000000000003</v>
      </c>
      <c r="G509" s="13"/>
      <c r="H509" s="13"/>
      <c r="I509" s="13"/>
      <c r="J509" s="13"/>
      <c r="K509" s="13"/>
      <c r="L509" s="156"/>
      <c r="M509" s="156"/>
      <c r="N509" s="392"/>
      <c r="O509" s="393"/>
    </row>
    <row r="510" spans="1:15" s="74" customFormat="1" ht="16.5" hidden="1">
      <c r="A510" s="410"/>
      <c r="B510" s="260"/>
      <c r="C510" s="739"/>
      <c r="D510" s="260"/>
      <c r="E510" s="243"/>
      <c r="F510" s="76"/>
      <c r="G510" s="22"/>
      <c r="H510" s="412"/>
      <c r="I510" s="22"/>
      <c r="J510" s="412"/>
      <c r="K510" s="21"/>
      <c r="L510" s="412"/>
      <c r="M510" s="412"/>
      <c r="N510" s="274"/>
      <c r="O510" s="529"/>
    </row>
    <row r="511" spans="1:15" s="72" customFormat="1" ht="31.5" hidden="1">
      <c r="A511" s="541"/>
      <c r="B511" s="391"/>
      <c r="C511" s="48" t="s">
        <v>804</v>
      </c>
      <c r="D511" s="310" t="s">
        <v>47</v>
      </c>
      <c r="E511" s="311"/>
      <c r="F511" s="312">
        <v>0</v>
      </c>
      <c r="G511" s="921"/>
      <c r="H511" s="921"/>
      <c r="I511" s="921"/>
      <c r="J511" s="921"/>
      <c r="K511" s="921"/>
      <c r="L511" s="921"/>
      <c r="M511" s="921"/>
      <c r="N511" s="392"/>
      <c r="O511" s="393"/>
    </row>
    <row r="512" spans="1:15" s="72" customFormat="1" ht="31.5" hidden="1">
      <c r="A512" s="1169" t="s">
        <v>84</v>
      </c>
      <c r="B512" s="29" t="s">
        <v>33</v>
      </c>
      <c r="C512" s="750" t="s">
        <v>245</v>
      </c>
      <c r="D512" s="29" t="s">
        <v>31</v>
      </c>
      <c r="E512" s="32"/>
      <c r="F512" s="35">
        <f>F511*0.2</f>
        <v>0</v>
      </c>
      <c r="G512" s="88"/>
      <c r="H512" s="30"/>
      <c r="I512" s="88"/>
      <c r="J512" s="30"/>
      <c r="K512" s="88"/>
      <c r="L512" s="30"/>
      <c r="M512" s="30"/>
      <c r="N512" s="392"/>
      <c r="O512" s="393"/>
    </row>
    <row r="513" spans="1:15" s="72" customFormat="1" hidden="1">
      <c r="A513" s="1170"/>
      <c r="B513" s="922"/>
      <c r="C513" s="751" t="s">
        <v>35</v>
      </c>
      <c r="D513" s="104" t="s">
        <v>12</v>
      </c>
      <c r="E513" s="32">
        <v>3.88</v>
      </c>
      <c r="F513" s="33">
        <f>F512*E513</f>
        <v>0</v>
      </c>
      <c r="G513" s="30"/>
      <c r="H513" s="30"/>
      <c r="I513" s="30"/>
      <c r="J513" s="30"/>
      <c r="K513" s="30"/>
      <c r="L513" s="30"/>
      <c r="M513" s="30"/>
      <c r="N513" s="392"/>
      <c r="O513" s="393"/>
    </row>
    <row r="514" spans="1:15" s="72" customFormat="1" ht="31.5" hidden="1">
      <c r="A514" s="1107" t="s">
        <v>69</v>
      </c>
      <c r="B514" s="394" t="s">
        <v>82</v>
      </c>
      <c r="C514" s="752" t="s">
        <v>122</v>
      </c>
      <c r="D514" s="191" t="s">
        <v>125</v>
      </c>
      <c r="E514" s="192"/>
      <c r="F514" s="193">
        <f>F512*1.95</f>
        <v>0</v>
      </c>
      <c r="G514" s="921"/>
      <c r="H514" s="921"/>
      <c r="I514" s="921"/>
      <c r="J514" s="921"/>
      <c r="K514" s="921"/>
      <c r="L514" s="921"/>
      <c r="M514" s="921"/>
      <c r="N514" s="392"/>
      <c r="O514" s="393"/>
    </row>
    <row r="515" spans="1:15" s="72" customFormat="1" hidden="1">
      <c r="A515" s="1109"/>
      <c r="B515" s="924"/>
      <c r="C515" s="621" t="s">
        <v>54</v>
      </c>
      <c r="D515" s="44" t="s">
        <v>12</v>
      </c>
      <c r="E515" s="45">
        <v>0.53</v>
      </c>
      <c r="F515" s="919">
        <f>F514*E515</f>
        <v>0</v>
      </c>
      <c r="G515" s="921"/>
      <c r="H515" s="921"/>
      <c r="I515" s="921"/>
      <c r="J515" s="921"/>
      <c r="K515" s="921"/>
      <c r="L515" s="921"/>
      <c r="M515" s="921"/>
      <c r="N515" s="392"/>
      <c r="O515" s="393"/>
    </row>
    <row r="516" spans="1:15" s="72" customFormat="1" ht="31.5" hidden="1">
      <c r="A516" s="915" t="s">
        <v>85</v>
      </c>
      <c r="B516" s="260" t="s">
        <v>177</v>
      </c>
      <c r="C516" s="916" t="s">
        <v>187</v>
      </c>
      <c r="D516" s="260" t="s">
        <v>40</v>
      </c>
      <c r="E516" s="240"/>
      <c r="F516" s="193">
        <f>F514</f>
        <v>0</v>
      </c>
      <c r="G516" s="921"/>
      <c r="H516" s="921"/>
      <c r="I516" s="921"/>
      <c r="J516" s="921"/>
      <c r="K516" s="22"/>
      <c r="L516" s="921"/>
      <c r="M516" s="921"/>
      <c r="N516" s="392"/>
      <c r="O516" s="393"/>
    </row>
    <row r="517" spans="1:15" s="72" customFormat="1" ht="31.5" hidden="1">
      <c r="A517" s="1107" t="s">
        <v>79</v>
      </c>
      <c r="B517" s="260" t="s">
        <v>37</v>
      </c>
      <c r="C517" s="917" t="s">
        <v>139</v>
      </c>
      <c r="D517" s="260" t="s">
        <v>39</v>
      </c>
      <c r="E517" s="401"/>
      <c r="F517" s="35">
        <f>F511*0.1</f>
        <v>0</v>
      </c>
      <c r="G517" s="921"/>
      <c r="H517" s="921"/>
      <c r="I517" s="921"/>
      <c r="J517" s="921"/>
      <c r="K517" s="921"/>
      <c r="L517" s="921"/>
      <c r="M517" s="921"/>
      <c r="N517" s="392"/>
      <c r="O517" s="393"/>
    </row>
    <row r="518" spans="1:15" s="72" customFormat="1" hidden="1">
      <c r="A518" s="1108"/>
      <c r="B518" s="924"/>
      <c r="C518" s="544" t="s">
        <v>20</v>
      </c>
      <c r="D518" s="924" t="s">
        <v>21</v>
      </c>
      <c r="E518" s="401">
        <v>3.52</v>
      </c>
      <c r="F518" s="33">
        <f>E518*F517</f>
        <v>0</v>
      </c>
      <c r="G518" s="921"/>
      <c r="H518" s="921"/>
      <c r="I518" s="921"/>
      <c r="J518" s="921"/>
      <c r="K518" s="921"/>
      <c r="L518" s="921"/>
      <c r="M518" s="921"/>
      <c r="N518" s="392"/>
      <c r="O518" s="393"/>
    </row>
    <row r="519" spans="1:15" s="72" customFormat="1" hidden="1">
      <c r="A519" s="1108"/>
      <c r="B519" s="924"/>
      <c r="C519" s="544" t="s">
        <v>23</v>
      </c>
      <c r="D519" s="924" t="s">
        <v>9</v>
      </c>
      <c r="E519" s="401">
        <v>1.06</v>
      </c>
      <c r="F519" s="33">
        <f>F517*E519</f>
        <v>0</v>
      </c>
      <c r="G519" s="921"/>
      <c r="H519" s="921"/>
      <c r="I519" s="921"/>
      <c r="J519" s="921"/>
      <c r="K519" s="921"/>
      <c r="L519" s="921"/>
      <c r="M519" s="921"/>
      <c r="N519" s="392"/>
      <c r="O519" s="393"/>
    </row>
    <row r="520" spans="1:15" s="72" customFormat="1" hidden="1">
      <c r="A520" s="1108"/>
      <c r="B520" s="924"/>
      <c r="C520" s="544" t="s">
        <v>140</v>
      </c>
      <c r="D520" s="924" t="s">
        <v>31</v>
      </c>
      <c r="E520" s="401">
        <f>0.18+0.09+0.97</f>
        <v>1.24</v>
      </c>
      <c r="F520" s="33">
        <f>E520*F517</f>
        <v>0</v>
      </c>
      <c r="G520" s="921"/>
      <c r="H520" s="921"/>
      <c r="I520" s="921"/>
      <c r="J520" s="921"/>
      <c r="K520" s="921"/>
      <c r="L520" s="921"/>
      <c r="M520" s="921"/>
      <c r="N520" s="392"/>
      <c r="O520" s="393"/>
    </row>
    <row r="521" spans="1:15" s="72" customFormat="1" hidden="1">
      <c r="A521" s="1109"/>
      <c r="B521" s="924"/>
      <c r="C521" s="748" t="s">
        <v>50</v>
      </c>
      <c r="D521" s="922" t="s">
        <v>9</v>
      </c>
      <c r="E521" s="401">
        <v>0.02</v>
      </c>
      <c r="F521" s="33">
        <f>F517*E521</f>
        <v>0</v>
      </c>
      <c r="G521" s="30"/>
      <c r="H521" s="921"/>
      <c r="I521" s="20"/>
      <c r="J521" s="921"/>
      <c r="K521" s="21"/>
      <c r="L521" s="921"/>
      <c r="M521" s="921"/>
      <c r="N521" s="392"/>
      <c r="O521" s="393"/>
    </row>
    <row r="522" spans="1:15" s="72" customFormat="1" hidden="1">
      <c r="A522" s="1107" t="s">
        <v>79</v>
      </c>
      <c r="B522" s="260" t="s">
        <v>808</v>
      </c>
      <c r="C522" s="917" t="s">
        <v>807</v>
      </c>
      <c r="D522" s="260" t="s">
        <v>39</v>
      </c>
      <c r="E522" s="401"/>
      <c r="F522" s="35">
        <f>F511*0.1</f>
        <v>0</v>
      </c>
      <c r="G522" s="921"/>
      <c r="H522" s="921"/>
      <c r="I522" s="921"/>
      <c r="J522" s="921"/>
      <c r="K522" s="921"/>
      <c r="L522" s="921"/>
      <c r="M522" s="921"/>
      <c r="N522" s="392"/>
      <c r="O522" s="393"/>
    </row>
    <row r="523" spans="1:15" s="72" customFormat="1" hidden="1">
      <c r="A523" s="1108"/>
      <c r="B523" s="924"/>
      <c r="C523" s="544" t="s">
        <v>20</v>
      </c>
      <c r="D523" s="924" t="s">
        <v>21</v>
      </c>
      <c r="E523" s="401">
        <v>3</v>
      </c>
      <c r="F523" s="33">
        <f>E523*F522</f>
        <v>0</v>
      </c>
      <c r="G523" s="921"/>
      <c r="H523" s="921"/>
      <c r="I523" s="921"/>
      <c r="J523" s="921"/>
      <c r="K523" s="921"/>
      <c r="L523" s="921"/>
      <c r="M523" s="921"/>
      <c r="N523" s="392"/>
      <c r="O523" s="393"/>
    </row>
    <row r="524" spans="1:15" s="72" customFormat="1" hidden="1">
      <c r="A524" s="1108"/>
      <c r="B524" s="924"/>
      <c r="C524" s="544" t="s">
        <v>23</v>
      </c>
      <c r="D524" s="924" t="s">
        <v>9</v>
      </c>
      <c r="E524" s="401">
        <v>0</v>
      </c>
      <c r="F524" s="33">
        <f>F522*E524</f>
        <v>0</v>
      </c>
      <c r="G524" s="921"/>
      <c r="H524" s="921"/>
      <c r="I524" s="921"/>
      <c r="J524" s="921"/>
      <c r="K524" s="921"/>
      <c r="L524" s="921"/>
      <c r="M524" s="921"/>
      <c r="N524" s="392"/>
      <c r="O524" s="393"/>
    </row>
    <row r="525" spans="1:15" s="72" customFormat="1" hidden="1">
      <c r="A525" s="1108"/>
      <c r="B525" s="924"/>
      <c r="C525" s="544" t="s">
        <v>809</v>
      </c>
      <c r="D525" s="924" t="s">
        <v>31</v>
      </c>
      <c r="E525" s="401">
        <v>1.1200000000000001</v>
      </c>
      <c r="F525" s="33">
        <f>E525*F522</f>
        <v>0</v>
      </c>
      <c r="G525" s="921"/>
      <c r="H525" s="921"/>
      <c r="I525" s="921"/>
      <c r="J525" s="921"/>
      <c r="K525" s="921"/>
      <c r="L525" s="921"/>
      <c r="M525" s="921"/>
      <c r="N525" s="392"/>
      <c r="O525" s="393"/>
    </row>
    <row r="526" spans="1:15" s="72" customFormat="1" hidden="1">
      <c r="A526" s="1109"/>
      <c r="B526" s="924"/>
      <c r="C526" s="748" t="s">
        <v>50</v>
      </c>
      <c r="D526" s="922" t="s">
        <v>9</v>
      </c>
      <c r="E526" s="401">
        <v>0.01</v>
      </c>
      <c r="F526" s="33">
        <f>F522*E526</f>
        <v>0</v>
      </c>
      <c r="G526" s="30"/>
      <c r="H526" s="921"/>
      <c r="I526" s="20"/>
      <c r="J526" s="921"/>
      <c r="K526" s="21"/>
      <c r="L526" s="921"/>
      <c r="M526" s="921"/>
      <c r="N526" s="392"/>
      <c r="O526" s="393"/>
    </row>
    <row r="527" spans="1:15" s="72" customFormat="1" hidden="1">
      <c r="A527" s="1131" t="s">
        <v>80</v>
      </c>
      <c r="B527" s="271" t="s">
        <v>226</v>
      </c>
      <c r="C527" s="753" t="s">
        <v>810</v>
      </c>
      <c r="D527" s="271" t="s">
        <v>39</v>
      </c>
      <c r="E527" s="364"/>
      <c r="F527" s="23">
        <f>F517+F522</f>
        <v>0</v>
      </c>
      <c r="G527" s="13"/>
      <c r="H527" s="13"/>
      <c r="I527" s="13"/>
      <c r="J527" s="13"/>
      <c r="K527" s="13"/>
      <c r="L527" s="13"/>
      <c r="M527" s="13"/>
      <c r="N527" s="392"/>
      <c r="O527" s="393"/>
    </row>
    <row r="528" spans="1:15" s="72" customFormat="1" hidden="1">
      <c r="A528" s="1132"/>
      <c r="B528" s="275" t="s">
        <v>230</v>
      </c>
      <c r="C528" s="754" t="s">
        <v>227</v>
      </c>
      <c r="D528" s="275" t="s">
        <v>44</v>
      </c>
      <c r="E528" s="4">
        <f>1.85/1000</f>
        <v>1.8500000000000001E-3</v>
      </c>
      <c r="F528" s="202">
        <f>F527*E528</f>
        <v>0</v>
      </c>
      <c r="G528" s="13"/>
      <c r="H528" s="13"/>
      <c r="I528" s="13"/>
      <c r="J528" s="13"/>
      <c r="K528" s="13"/>
      <c r="L528" s="13"/>
      <c r="M528" s="13"/>
      <c r="N528" s="392"/>
      <c r="O528" s="393"/>
    </row>
    <row r="529" spans="1:15" s="72" customFormat="1" hidden="1">
      <c r="A529" s="1132"/>
      <c r="B529" s="275" t="s">
        <v>168</v>
      </c>
      <c r="C529" s="754" t="s">
        <v>228</v>
      </c>
      <c r="D529" s="275" t="s">
        <v>44</v>
      </c>
      <c r="E529" s="4">
        <f>10.5/1000</f>
        <v>1.0500000000000001E-2</v>
      </c>
      <c r="F529" s="202">
        <f>F527*E529</f>
        <v>0</v>
      </c>
      <c r="G529" s="13"/>
      <c r="H529" s="13"/>
      <c r="I529" s="13"/>
      <c r="J529" s="13"/>
      <c r="K529" s="13"/>
      <c r="L529" s="13"/>
      <c r="M529" s="13"/>
      <c r="N529" s="392"/>
      <c r="O529" s="393"/>
    </row>
    <row r="530" spans="1:15" s="72" customFormat="1" hidden="1">
      <c r="A530" s="1133"/>
      <c r="B530" s="275" t="s">
        <v>196</v>
      </c>
      <c r="C530" s="754" t="s">
        <v>229</v>
      </c>
      <c r="D530" s="275" t="s">
        <v>44</v>
      </c>
      <c r="E530" s="4">
        <f>1.85/1000</f>
        <v>1.8500000000000001E-3</v>
      </c>
      <c r="F530" s="202">
        <f>F527*E530</f>
        <v>0</v>
      </c>
      <c r="G530" s="13"/>
      <c r="H530" s="13"/>
      <c r="I530" s="13"/>
      <c r="J530" s="13"/>
      <c r="K530" s="13"/>
      <c r="L530" s="13"/>
      <c r="M530" s="13"/>
      <c r="N530" s="392"/>
      <c r="O530" s="393"/>
    </row>
    <row r="531" spans="1:15" s="72" customFormat="1" hidden="1">
      <c r="A531" s="1107" t="s">
        <v>81</v>
      </c>
      <c r="B531" s="925" t="s">
        <v>234</v>
      </c>
      <c r="C531" s="1171" t="s">
        <v>238</v>
      </c>
      <c r="D531" s="260" t="s">
        <v>47</v>
      </c>
      <c r="E531" s="401"/>
      <c r="F531" s="35">
        <v>0</v>
      </c>
      <c r="G531" s="383"/>
      <c r="H531" s="921"/>
      <c r="I531" s="921"/>
      <c r="J531" s="921"/>
      <c r="K531" s="383"/>
      <c r="L531" s="921"/>
      <c r="M531" s="921"/>
      <c r="N531" s="392"/>
      <c r="O531" s="393"/>
    </row>
    <row r="532" spans="1:15" s="72" customFormat="1" hidden="1">
      <c r="A532" s="1108"/>
      <c r="B532" s="926"/>
      <c r="C532" s="1172"/>
      <c r="D532" s="260" t="s">
        <v>39</v>
      </c>
      <c r="E532" s="401"/>
      <c r="F532" s="35">
        <f>F531*0.1</f>
        <v>0</v>
      </c>
      <c r="G532" s="383"/>
      <c r="H532" s="921"/>
      <c r="I532" s="921"/>
      <c r="J532" s="921"/>
      <c r="K532" s="383"/>
      <c r="L532" s="921"/>
      <c r="M532" s="921"/>
      <c r="N532" s="392"/>
      <c r="O532" s="393"/>
    </row>
    <row r="533" spans="1:15" s="72" customFormat="1" hidden="1">
      <c r="A533" s="1108"/>
      <c r="B533" s="924"/>
      <c r="C533" s="618" t="s">
        <v>38</v>
      </c>
      <c r="D533" s="924" t="s">
        <v>12</v>
      </c>
      <c r="E533" s="401">
        <v>2.9</v>
      </c>
      <c r="F533" s="33">
        <f>F532*E533</f>
        <v>0</v>
      </c>
      <c r="G533" s="921"/>
      <c r="H533" s="921"/>
      <c r="I533" s="921"/>
      <c r="J533" s="921"/>
      <c r="K533" s="383"/>
      <c r="L533" s="921"/>
      <c r="M533" s="921"/>
      <c r="N533" s="392"/>
      <c r="O533" s="393"/>
    </row>
    <row r="534" spans="1:15" s="72" customFormat="1" hidden="1">
      <c r="A534" s="1108"/>
      <c r="B534" s="924"/>
      <c r="C534" s="618" t="s">
        <v>235</v>
      </c>
      <c r="D534" s="924" t="s">
        <v>39</v>
      </c>
      <c r="E534" s="401">
        <v>1.02</v>
      </c>
      <c r="F534" s="33">
        <f>F532*E534</f>
        <v>0</v>
      </c>
      <c r="G534" s="383"/>
      <c r="H534" s="921"/>
      <c r="I534" s="921"/>
      <c r="J534" s="921"/>
      <c r="K534" s="383"/>
      <c r="L534" s="921"/>
      <c r="M534" s="921"/>
      <c r="N534" s="392"/>
      <c r="O534" s="393"/>
    </row>
    <row r="535" spans="1:15" s="72" customFormat="1" hidden="1">
      <c r="A535" s="1108"/>
      <c r="B535" s="924"/>
      <c r="C535" s="618" t="s">
        <v>236</v>
      </c>
      <c r="D535" s="924" t="s">
        <v>9</v>
      </c>
      <c r="E535" s="401">
        <v>0.88</v>
      </c>
      <c r="F535" s="33">
        <f>F532*E535</f>
        <v>0</v>
      </c>
      <c r="G535" s="383"/>
      <c r="H535" s="921"/>
      <c r="I535" s="921"/>
      <c r="J535" s="921"/>
      <c r="K535" s="383"/>
      <c r="L535" s="921"/>
      <c r="M535" s="921"/>
      <c r="N535" s="392"/>
      <c r="O535" s="393"/>
    </row>
    <row r="536" spans="1:15" s="72" customFormat="1" hidden="1">
      <c r="A536" s="1109"/>
      <c r="B536" s="924"/>
      <c r="C536" s="755" t="s">
        <v>237</v>
      </c>
      <c r="D536" s="924" t="s">
        <v>40</v>
      </c>
      <c r="E536" s="401"/>
      <c r="F536" s="292">
        <f>F531*16*1*1.03*0.222/1000</f>
        <v>0</v>
      </c>
      <c r="G536" s="58"/>
      <c r="H536" s="921"/>
      <c r="I536" s="921"/>
      <c r="J536" s="921"/>
      <c r="K536" s="383"/>
      <c r="L536" s="921"/>
      <c r="M536" s="921"/>
      <c r="N536" s="392"/>
      <c r="O536" s="393"/>
    </row>
    <row r="537" spans="1:15" s="72" customFormat="1" ht="31.5" hidden="1">
      <c r="A537" s="1107" t="s">
        <v>77</v>
      </c>
      <c r="B537" s="155" t="s">
        <v>246</v>
      </c>
      <c r="C537" s="756" t="s">
        <v>805</v>
      </c>
      <c r="D537" s="923" t="s">
        <v>47</v>
      </c>
      <c r="E537" s="177"/>
      <c r="F537" s="46">
        <f>F511</f>
        <v>0</v>
      </c>
      <c r="G537" s="921"/>
      <c r="H537" s="921"/>
      <c r="I537" s="921"/>
      <c r="J537" s="921"/>
      <c r="K537" s="921"/>
      <c r="L537" s="921"/>
      <c r="M537" s="921"/>
      <c r="N537" s="392"/>
      <c r="O537" s="393"/>
    </row>
    <row r="538" spans="1:15" s="72" customFormat="1" hidden="1">
      <c r="A538" s="1108"/>
      <c r="B538" s="155"/>
      <c r="C538" s="757" t="s">
        <v>38</v>
      </c>
      <c r="D538" s="204" t="s">
        <v>12</v>
      </c>
      <c r="E538" s="401">
        <v>0.77900000000000003</v>
      </c>
      <c r="F538" s="325">
        <f>F537*E538</f>
        <v>0</v>
      </c>
      <c r="G538" s="13"/>
      <c r="H538" s="13"/>
      <c r="I538" s="13"/>
      <c r="J538" s="13"/>
      <c r="K538" s="13"/>
      <c r="L538" s="156"/>
      <c r="M538" s="156"/>
      <c r="N538" s="392"/>
      <c r="O538" s="393"/>
    </row>
    <row r="539" spans="1:15" s="72" customFormat="1" hidden="1">
      <c r="A539" s="1108"/>
      <c r="B539" s="155"/>
      <c r="C539" s="757" t="s">
        <v>23</v>
      </c>
      <c r="D539" s="204" t="s">
        <v>9</v>
      </c>
      <c r="E539" s="401">
        <v>0.104</v>
      </c>
      <c r="F539" s="325">
        <f>F537*E539</f>
        <v>0</v>
      </c>
      <c r="G539" s="13"/>
      <c r="H539" s="13"/>
      <c r="I539" s="13"/>
      <c r="J539" s="13"/>
      <c r="K539" s="13"/>
      <c r="L539" s="156"/>
      <c r="M539" s="156"/>
      <c r="N539" s="392"/>
      <c r="O539" s="393"/>
    </row>
    <row r="540" spans="1:15" s="72" customFormat="1" hidden="1">
      <c r="A540" s="1108"/>
      <c r="B540" s="155"/>
      <c r="C540" s="757" t="s">
        <v>806</v>
      </c>
      <c r="D540" s="204" t="s">
        <v>47</v>
      </c>
      <c r="E540" s="320">
        <v>1.05</v>
      </c>
      <c r="F540" s="325">
        <f>F537*E540</f>
        <v>0</v>
      </c>
      <c r="G540" s="13"/>
      <c r="H540" s="13"/>
      <c r="I540" s="13"/>
      <c r="J540" s="13"/>
      <c r="K540" s="13"/>
      <c r="L540" s="156"/>
      <c r="M540" s="156"/>
      <c r="N540" s="392"/>
      <c r="O540" s="393"/>
    </row>
    <row r="541" spans="1:15" s="72" customFormat="1" hidden="1">
      <c r="A541" s="1108"/>
      <c r="B541" s="936"/>
      <c r="C541" s="937" t="s">
        <v>720</v>
      </c>
      <c r="D541" s="938" t="s">
        <v>39</v>
      </c>
      <c r="E541" s="329">
        <v>2.1100000000000001E-2</v>
      </c>
      <c r="F541" s="939">
        <f>F537*E541</f>
        <v>0</v>
      </c>
      <c r="G541" s="935"/>
      <c r="H541" s="935"/>
      <c r="I541" s="935"/>
      <c r="J541" s="935"/>
      <c r="K541" s="935"/>
      <c r="L541" s="935"/>
      <c r="M541" s="935"/>
      <c r="N541" s="392"/>
      <c r="O541" s="393"/>
    </row>
    <row r="542" spans="1:15" s="72" customFormat="1" hidden="1">
      <c r="A542" s="1109"/>
      <c r="B542" s="155"/>
      <c r="C542" s="757" t="s">
        <v>50</v>
      </c>
      <c r="D542" s="204" t="s">
        <v>9</v>
      </c>
      <c r="E542" s="401">
        <v>4.6600000000000003E-2</v>
      </c>
      <c r="F542" s="325">
        <f>F537*E542</f>
        <v>0</v>
      </c>
      <c r="G542" s="13"/>
      <c r="H542" s="13"/>
      <c r="I542" s="13"/>
      <c r="J542" s="13"/>
      <c r="K542" s="13"/>
      <c r="L542" s="156"/>
      <c r="M542" s="156"/>
      <c r="N542" s="392"/>
      <c r="O542" s="393"/>
    </row>
    <row r="543" spans="1:15" s="74" customFormat="1" ht="16.5" hidden="1">
      <c r="A543" s="918"/>
      <c r="B543" s="260"/>
      <c r="C543" s="739"/>
      <c r="D543" s="260"/>
      <c r="E543" s="243"/>
      <c r="F543" s="76"/>
      <c r="G543" s="22"/>
      <c r="H543" s="921"/>
      <c r="I543" s="22"/>
      <c r="J543" s="921"/>
      <c r="K543" s="21"/>
      <c r="L543" s="921"/>
      <c r="M543" s="921"/>
      <c r="N543" s="274"/>
      <c r="O543" s="529"/>
    </row>
    <row r="544" spans="1:15" s="72" customFormat="1" ht="31.5" hidden="1">
      <c r="A544" s="719"/>
      <c r="B544" s="388"/>
      <c r="C544" s="48" t="s">
        <v>630</v>
      </c>
      <c r="D544" s="77" t="s">
        <v>47</v>
      </c>
      <c r="E544" s="720"/>
      <c r="F544" s="721">
        <v>0</v>
      </c>
      <c r="G544" s="921"/>
      <c r="H544" s="921"/>
      <c r="I544" s="921"/>
      <c r="J544" s="921"/>
      <c r="K544" s="921"/>
      <c r="L544" s="921"/>
      <c r="M544" s="921"/>
      <c r="N544" s="173"/>
    </row>
    <row r="545" spans="1:14" s="72" customFormat="1" ht="31.5" hidden="1">
      <c r="A545" s="1181" t="s">
        <v>84</v>
      </c>
      <c r="B545" s="29" t="s">
        <v>33</v>
      </c>
      <c r="C545" s="750" t="s">
        <v>245</v>
      </c>
      <c r="D545" s="29" t="s">
        <v>31</v>
      </c>
      <c r="E545" s="33"/>
      <c r="F545" s="35">
        <f>F544*0.15</f>
        <v>0</v>
      </c>
      <c r="G545" s="88"/>
      <c r="H545" s="30"/>
      <c r="I545" s="88"/>
      <c r="J545" s="30"/>
      <c r="K545" s="88"/>
      <c r="L545" s="30"/>
      <c r="M545" s="30"/>
      <c r="N545" s="173"/>
    </row>
    <row r="546" spans="1:14" s="72" customFormat="1" hidden="1">
      <c r="A546" s="1182"/>
      <c r="B546" s="922"/>
      <c r="C546" s="751" t="s">
        <v>35</v>
      </c>
      <c r="D546" s="104" t="s">
        <v>12</v>
      </c>
      <c r="E546" s="33">
        <v>3.88</v>
      </c>
      <c r="F546" s="33">
        <f>F545*E546</f>
        <v>0</v>
      </c>
      <c r="G546" s="30"/>
      <c r="H546" s="30"/>
      <c r="I546" s="30"/>
      <c r="J546" s="30"/>
      <c r="K546" s="30"/>
      <c r="L546" s="30"/>
      <c r="M546" s="30"/>
      <c r="N546" s="173"/>
    </row>
    <row r="547" spans="1:14" s="72" customFormat="1" ht="31.5" hidden="1">
      <c r="A547" s="1105" t="s">
        <v>69</v>
      </c>
      <c r="B547" s="394" t="s">
        <v>82</v>
      </c>
      <c r="C547" s="752" t="s">
        <v>122</v>
      </c>
      <c r="D547" s="191" t="s">
        <v>125</v>
      </c>
      <c r="E547" s="666"/>
      <c r="F547" s="193">
        <f>F545*1.95</f>
        <v>0</v>
      </c>
      <c r="G547" s="921"/>
      <c r="H547" s="921"/>
      <c r="I547" s="921"/>
      <c r="J547" s="921"/>
      <c r="K547" s="921"/>
      <c r="L547" s="921"/>
      <c r="M547" s="921"/>
      <c r="N547" s="173"/>
    </row>
    <row r="548" spans="1:14" s="72" customFormat="1" hidden="1">
      <c r="A548" s="1106"/>
      <c r="B548" s="715"/>
      <c r="C548" s="621" t="s">
        <v>54</v>
      </c>
      <c r="D548" s="44" t="s">
        <v>12</v>
      </c>
      <c r="E548" s="615">
        <v>0.53</v>
      </c>
      <c r="F548" s="252">
        <f>F547*E548</f>
        <v>0</v>
      </c>
      <c r="G548" s="712"/>
      <c r="H548" s="712"/>
      <c r="I548" s="712"/>
      <c r="J548" s="712"/>
      <c r="K548" s="712"/>
      <c r="L548" s="712"/>
      <c r="M548" s="712"/>
      <c r="N548" s="173"/>
    </row>
    <row r="549" spans="1:14" s="72" customFormat="1" ht="31.5" hidden="1">
      <c r="A549" s="709" t="s">
        <v>85</v>
      </c>
      <c r="B549" s="260" t="s">
        <v>177</v>
      </c>
      <c r="C549" s="878" t="s">
        <v>187</v>
      </c>
      <c r="D549" s="260" t="s">
        <v>40</v>
      </c>
      <c r="E549" s="193"/>
      <c r="F549" s="193">
        <f>F547</f>
        <v>0</v>
      </c>
      <c r="G549" s="712"/>
      <c r="H549" s="712"/>
      <c r="I549" s="712"/>
      <c r="J549" s="712"/>
      <c r="K549" s="22"/>
      <c r="L549" s="712"/>
      <c r="M549" s="712"/>
      <c r="N549" s="173"/>
    </row>
    <row r="550" spans="1:14" s="72" customFormat="1" ht="31.5" hidden="1">
      <c r="A550" s="1104" t="s">
        <v>79</v>
      </c>
      <c r="B550" s="260" t="s">
        <v>37</v>
      </c>
      <c r="C550" s="879" t="s">
        <v>139</v>
      </c>
      <c r="D550" s="260" t="s">
        <v>39</v>
      </c>
      <c r="E550" s="711"/>
      <c r="F550" s="35">
        <f>F544*0.1</f>
        <v>0</v>
      </c>
      <c r="G550" s="712"/>
      <c r="H550" s="712"/>
      <c r="I550" s="712"/>
      <c r="J550" s="712"/>
      <c r="K550" s="712"/>
      <c r="L550" s="712"/>
      <c r="M550" s="712"/>
      <c r="N550" s="173"/>
    </row>
    <row r="551" spans="1:14" s="72" customFormat="1" hidden="1">
      <c r="A551" s="1105"/>
      <c r="B551" s="715"/>
      <c r="C551" s="544" t="s">
        <v>20</v>
      </c>
      <c r="D551" s="715" t="s">
        <v>21</v>
      </c>
      <c r="E551" s="711">
        <v>3.52</v>
      </c>
      <c r="F551" s="33">
        <f>E551*F550</f>
        <v>0</v>
      </c>
      <c r="G551" s="712"/>
      <c r="H551" s="712"/>
      <c r="I551" s="712"/>
      <c r="J551" s="712"/>
      <c r="K551" s="712"/>
      <c r="L551" s="712"/>
      <c r="M551" s="712"/>
      <c r="N551" s="173"/>
    </row>
    <row r="552" spans="1:14" s="72" customFormat="1" hidden="1">
      <c r="A552" s="1105"/>
      <c r="B552" s="715"/>
      <c r="C552" s="544" t="s">
        <v>23</v>
      </c>
      <c r="D552" s="715" t="s">
        <v>9</v>
      </c>
      <c r="E552" s="711">
        <v>1.06</v>
      </c>
      <c r="F552" s="33">
        <f>F550*E552</f>
        <v>0</v>
      </c>
      <c r="G552" s="712"/>
      <c r="H552" s="712"/>
      <c r="I552" s="712"/>
      <c r="J552" s="712"/>
      <c r="K552" s="712"/>
      <c r="L552" s="712"/>
      <c r="M552" s="712"/>
      <c r="N552" s="173"/>
    </row>
    <row r="553" spans="1:14" s="72" customFormat="1" hidden="1">
      <c r="A553" s="1105"/>
      <c r="B553" s="715"/>
      <c r="C553" s="544" t="s">
        <v>140</v>
      </c>
      <c r="D553" s="715" t="s">
        <v>31</v>
      </c>
      <c r="E553" s="711">
        <f>0.18+0.09+0.97</f>
        <v>1.24</v>
      </c>
      <c r="F553" s="33">
        <f>E553*F550</f>
        <v>0</v>
      </c>
      <c r="G553" s="712"/>
      <c r="H553" s="712"/>
      <c r="I553" s="712"/>
      <c r="J553" s="712"/>
      <c r="K553" s="712"/>
      <c r="L553" s="712"/>
      <c r="M553" s="712"/>
      <c r="N553" s="173"/>
    </row>
    <row r="554" spans="1:14" s="72" customFormat="1" hidden="1">
      <c r="A554" s="1106"/>
      <c r="B554" s="715"/>
      <c r="C554" s="748" t="s">
        <v>50</v>
      </c>
      <c r="D554" s="713" t="s">
        <v>9</v>
      </c>
      <c r="E554" s="711">
        <v>0.02</v>
      </c>
      <c r="F554" s="33">
        <f>F550*E554</f>
        <v>0</v>
      </c>
      <c r="G554" s="30"/>
      <c r="H554" s="712"/>
      <c r="I554" s="20"/>
      <c r="J554" s="712"/>
      <c r="K554" s="21"/>
      <c r="L554" s="712"/>
      <c r="M554" s="712"/>
      <c r="N554" s="173"/>
    </row>
    <row r="555" spans="1:14" s="72" customFormat="1" hidden="1">
      <c r="A555" s="1131" t="s">
        <v>80</v>
      </c>
      <c r="B555" s="271" t="s">
        <v>226</v>
      </c>
      <c r="C555" s="753" t="s">
        <v>225</v>
      </c>
      <c r="D555" s="271" t="s">
        <v>39</v>
      </c>
      <c r="E555" s="364"/>
      <c r="F555" s="23">
        <f>F550</f>
        <v>0</v>
      </c>
      <c r="G555" s="13"/>
      <c r="H555" s="13"/>
      <c r="I555" s="13"/>
      <c r="J555" s="13"/>
      <c r="K555" s="13"/>
      <c r="L555" s="13"/>
      <c r="M555" s="13"/>
      <c r="N555" s="173"/>
    </row>
    <row r="556" spans="1:14" s="72" customFormat="1" hidden="1">
      <c r="A556" s="1132"/>
      <c r="B556" s="275" t="s">
        <v>230</v>
      </c>
      <c r="C556" s="754" t="s">
        <v>227</v>
      </c>
      <c r="D556" s="275" t="s">
        <v>44</v>
      </c>
      <c r="E556" s="4">
        <f>1.85/1000</f>
        <v>1.8500000000000001E-3</v>
      </c>
      <c r="F556" s="202">
        <f>F555*E556</f>
        <v>0</v>
      </c>
      <c r="G556" s="13"/>
      <c r="H556" s="13"/>
      <c r="I556" s="13"/>
      <c r="J556" s="13"/>
      <c r="K556" s="13"/>
      <c r="L556" s="13"/>
      <c r="M556" s="13"/>
      <c r="N556" s="173"/>
    </row>
    <row r="557" spans="1:14" s="72" customFormat="1" hidden="1">
      <c r="A557" s="1132"/>
      <c r="B557" s="275" t="s">
        <v>168</v>
      </c>
      <c r="C557" s="754" t="s">
        <v>228</v>
      </c>
      <c r="D557" s="275" t="s">
        <v>44</v>
      </c>
      <c r="E557" s="4">
        <f>10.5/1000</f>
        <v>1.0500000000000001E-2</v>
      </c>
      <c r="F557" s="202">
        <f>F555*E557</f>
        <v>0</v>
      </c>
      <c r="G557" s="13"/>
      <c r="H557" s="13"/>
      <c r="I557" s="13"/>
      <c r="J557" s="13"/>
      <c r="K557" s="13"/>
      <c r="L557" s="13"/>
      <c r="M557" s="13"/>
      <c r="N557" s="173"/>
    </row>
    <row r="558" spans="1:14" s="72" customFormat="1" hidden="1">
      <c r="A558" s="1133"/>
      <c r="B558" s="275" t="s">
        <v>196</v>
      </c>
      <c r="C558" s="754" t="s">
        <v>229</v>
      </c>
      <c r="D558" s="275" t="s">
        <v>44</v>
      </c>
      <c r="E558" s="4">
        <f>1.85/1000</f>
        <v>1.8500000000000001E-3</v>
      </c>
      <c r="F558" s="202">
        <f>F555*E558</f>
        <v>0</v>
      </c>
      <c r="G558" s="13"/>
      <c r="H558" s="13"/>
      <c r="I558" s="13"/>
      <c r="J558" s="13"/>
      <c r="K558" s="13"/>
      <c r="L558" s="13"/>
      <c r="M558" s="13"/>
      <c r="N558" s="173"/>
    </row>
    <row r="559" spans="1:14" s="72" customFormat="1" hidden="1">
      <c r="A559" s="1104" t="s">
        <v>81</v>
      </c>
      <c r="B559" s="260" t="s">
        <v>234</v>
      </c>
      <c r="C559" s="1179" t="s">
        <v>238</v>
      </c>
      <c r="D559" s="260" t="s">
        <v>47</v>
      </c>
      <c r="E559" s="711"/>
      <c r="F559" s="35">
        <f>F544</f>
        <v>0</v>
      </c>
      <c r="G559" s="383"/>
      <c r="H559" s="712"/>
      <c r="I559" s="712"/>
      <c r="J559" s="712"/>
      <c r="K559" s="383"/>
      <c r="L559" s="712"/>
      <c r="M559" s="712"/>
      <c r="N559" s="173"/>
    </row>
    <row r="560" spans="1:14" s="72" customFormat="1" hidden="1">
      <c r="A560" s="1105"/>
      <c r="B560" s="715"/>
      <c r="C560" s="1179"/>
      <c r="D560" s="260" t="s">
        <v>39</v>
      </c>
      <c r="E560" s="711"/>
      <c r="F560" s="35">
        <f>F559*0.1</f>
        <v>0</v>
      </c>
      <c r="G560" s="383"/>
      <c r="H560" s="712"/>
      <c r="I560" s="712"/>
      <c r="J560" s="712"/>
      <c r="K560" s="383"/>
      <c r="L560" s="712"/>
      <c r="M560" s="712"/>
      <c r="N560" s="173"/>
    </row>
    <row r="561" spans="1:15" s="72" customFormat="1" hidden="1">
      <c r="A561" s="1105"/>
      <c r="B561" s="715"/>
      <c r="C561" s="618" t="s">
        <v>38</v>
      </c>
      <c r="D561" s="715" t="s">
        <v>12</v>
      </c>
      <c r="E561" s="711">
        <v>2.9</v>
      </c>
      <c r="F561" s="33">
        <f>F560*E561</f>
        <v>0</v>
      </c>
      <c r="G561" s="712"/>
      <c r="H561" s="712"/>
      <c r="I561" s="712"/>
      <c r="J561" s="712"/>
      <c r="K561" s="383"/>
      <c r="L561" s="712"/>
      <c r="M561" s="712"/>
      <c r="N561" s="173"/>
    </row>
    <row r="562" spans="1:15" s="72" customFormat="1" hidden="1">
      <c r="A562" s="1105"/>
      <c r="B562" s="715"/>
      <c r="C562" s="618" t="s">
        <v>235</v>
      </c>
      <c r="D562" s="715" t="s">
        <v>39</v>
      </c>
      <c r="E562" s="711">
        <v>1.02</v>
      </c>
      <c r="F562" s="33">
        <f>F560*E562</f>
        <v>0</v>
      </c>
      <c r="G562" s="383"/>
      <c r="H562" s="712"/>
      <c r="I562" s="712"/>
      <c r="J562" s="712"/>
      <c r="K562" s="383"/>
      <c r="L562" s="712"/>
      <c r="M562" s="712"/>
      <c r="N562" s="173"/>
    </row>
    <row r="563" spans="1:15" s="72" customFormat="1" hidden="1">
      <c r="A563" s="1105"/>
      <c r="B563" s="715"/>
      <c r="C563" s="618" t="s">
        <v>236</v>
      </c>
      <c r="D563" s="715" t="s">
        <v>9</v>
      </c>
      <c r="E563" s="711">
        <v>0.88</v>
      </c>
      <c r="F563" s="33">
        <f>F560*E563</f>
        <v>0</v>
      </c>
      <c r="G563" s="383"/>
      <c r="H563" s="712"/>
      <c r="I563" s="712"/>
      <c r="J563" s="712"/>
      <c r="K563" s="383"/>
      <c r="L563" s="712"/>
      <c r="M563" s="712"/>
      <c r="N563" s="173"/>
    </row>
    <row r="564" spans="1:15" s="72" customFormat="1" hidden="1">
      <c r="A564" s="1105"/>
      <c r="B564" s="715"/>
      <c r="C564" s="755" t="s">
        <v>237</v>
      </c>
      <c r="D564" s="715" t="s">
        <v>40</v>
      </c>
      <c r="E564" s="711"/>
      <c r="F564" s="292">
        <f>F559*16*1*1.03*0.222/1000</f>
        <v>0</v>
      </c>
      <c r="G564" s="712"/>
      <c r="H564" s="712"/>
      <c r="I564" s="712"/>
      <c r="J564" s="712"/>
      <c r="K564" s="383"/>
      <c r="L564" s="712"/>
      <c r="M564" s="712"/>
      <c r="N564" s="173"/>
    </row>
    <row r="565" spans="1:15" s="72" customFormat="1" hidden="1">
      <c r="A565" s="1105"/>
      <c r="B565" s="715"/>
      <c r="C565" s="755" t="s">
        <v>263</v>
      </c>
      <c r="D565" s="715" t="s">
        <v>40</v>
      </c>
      <c r="E565" s="711"/>
      <c r="F565" s="292">
        <v>0</v>
      </c>
      <c r="G565" s="712"/>
      <c r="H565" s="712"/>
      <c r="I565" s="712"/>
      <c r="J565" s="712"/>
      <c r="K565" s="383"/>
      <c r="L565" s="712"/>
      <c r="M565" s="712"/>
      <c r="N565" s="173"/>
    </row>
    <row r="566" spans="1:15" s="72" customFormat="1" ht="47.25" hidden="1">
      <c r="A566" s="1104" t="s">
        <v>77</v>
      </c>
      <c r="B566" s="155" t="s">
        <v>246</v>
      </c>
      <c r="C566" s="756" t="s">
        <v>633</v>
      </c>
      <c r="D566" s="714" t="s">
        <v>47</v>
      </c>
      <c r="E566" s="94"/>
      <c r="F566" s="46">
        <f>F544</f>
        <v>0</v>
      </c>
      <c r="G566" s="712"/>
      <c r="H566" s="712"/>
      <c r="I566" s="712"/>
      <c r="J566" s="712"/>
      <c r="K566" s="712"/>
      <c r="L566" s="712"/>
      <c r="M566" s="712"/>
      <c r="N566" s="173"/>
    </row>
    <row r="567" spans="1:15" s="72" customFormat="1" hidden="1">
      <c r="A567" s="1105"/>
      <c r="B567" s="204" t="s">
        <v>24</v>
      </c>
      <c r="C567" s="757" t="s">
        <v>38</v>
      </c>
      <c r="D567" s="204" t="s">
        <v>12</v>
      </c>
      <c r="E567" s="711">
        <v>1</v>
      </c>
      <c r="F567" s="325">
        <f>F566*E567</f>
        <v>0</v>
      </c>
      <c r="G567" s="13"/>
      <c r="H567" s="13"/>
      <c r="I567" s="13"/>
      <c r="J567" s="13"/>
      <c r="K567" s="13"/>
      <c r="L567" s="156"/>
      <c r="M567" s="156"/>
      <c r="N567" s="173"/>
      <c r="O567" s="72" t="e">
        <f>J567/F566</f>
        <v>#DIV/0!</v>
      </c>
    </row>
    <row r="568" spans="1:15" s="72" customFormat="1" hidden="1">
      <c r="A568" s="1105"/>
      <c r="B568" s="155"/>
      <c r="C568" s="757" t="s">
        <v>23</v>
      </c>
      <c r="D568" s="204" t="s">
        <v>9</v>
      </c>
      <c r="E568" s="711">
        <v>0.104</v>
      </c>
      <c r="F568" s="325">
        <f>F566*E568</f>
        <v>0</v>
      </c>
      <c r="G568" s="13"/>
      <c r="H568" s="13"/>
      <c r="I568" s="13"/>
      <c r="J568" s="13"/>
      <c r="K568" s="13"/>
      <c r="L568" s="156"/>
      <c r="M568" s="156"/>
      <c r="N568" s="173"/>
    </row>
    <row r="569" spans="1:15" s="72" customFormat="1" hidden="1">
      <c r="A569" s="1105"/>
      <c r="B569" s="155"/>
      <c r="C569" s="757" t="s">
        <v>631</v>
      </c>
      <c r="D569" s="204" t="s">
        <v>47</v>
      </c>
      <c r="E569" s="325"/>
      <c r="F569" s="363">
        <v>0</v>
      </c>
      <c r="G569" s="13"/>
      <c r="H569" s="13"/>
      <c r="I569" s="13"/>
      <c r="J569" s="13"/>
      <c r="K569" s="13"/>
      <c r="L569" s="156"/>
      <c r="M569" s="156"/>
      <c r="N569" s="173"/>
    </row>
    <row r="570" spans="1:15" s="72" customFormat="1" hidden="1">
      <c r="A570" s="1105"/>
      <c r="B570" s="155"/>
      <c r="C570" s="757" t="s">
        <v>632</v>
      </c>
      <c r="D570" s="204" t="s">
        <v>47</v>
      </c>
      <c r="E570" s="325"/>
      <c r="F570" s="363">
        <v>0</v>
      </c>
      <c r="G570" s="13"/>
      <c r="H570" s="13"/>
      <c r="I570" s="13"/>
      <c r="J570" s="13"/>
      <c r="K570" s="13"/>
      <c r="L570" s="156"/>
      <c r="M570" s="156"/>
      <c r="N570" s="173"/>
    </row>
    <row r="571" spans="1:15" s="72" customFormat="1" hidden="1">
      <c r="A571" s="1105"/>
      <c r="B571" s="155"/>
      <c r="C571" s="757" t="s">
        <v>247</v>
      </c>
      <c r="D571" s="204" t="s">
        <v>39</v>
      </c>
      <c r="E571" s="711">
        <v>2.1100000000000001E-2</v>
      </c>
      <c r="F571" s="325">
        <f>F566*E571</f>
        <v>0</v>
      </c>
      <c r="G571" s="13"/>
      <c r="H571" s="13"/>
      <c r="I571" s="13"/>
      <c r="J571" s="13"/>
      <c r="K571" s="13"/>
      <c r="L571" s="13"/>
      <c r="M571" s="13"/>
      <c r="N571" s="173"/>
    </row>
    <row r="572" spans="1:15" s="72" customFormat="1" hidden="1">
      <c r="A572" s="1106"/>
      <c r="B572" s="155"/>
      <c r="C572" s="757" t="s">
        <v>50</v>
      </c>
      <c r="D572" s="204" t="s">
        <v>9</v>
      </c>
      <c r="E572" s="711">
        <v>4.6600000000000003E-2</v>
      </c>
      <c r="F572" s="325">
        <f>F566*E572</f>
        <v>0</v>
      </c>
      <c r="G572" s="13"/>
      <c r="H572" s="13"/>
      <c r="I572" s="13"/>
      <c r="J572" s="13"/>
      <c r="K572" s="13"/>
      <c r="L572" s="156"/>
      <c r="M572" s="156"/>
      <c r="N572" s="510"/>
    </row>
    <row r="573" spans="1:15" s="74" customFormat="1" ht="16.5" hidden="1">
      <c r="A573" s="710"/>
      <c r="B573" s="260"/>
      <c r="C573" s="739"/>
      <c r="D573" s="260"/>
      <c r="E573" s="243"/>
      <c r="F573" s="76"/>
      <c r="G573" s="22"/>
      <c r="H573" s="712"/>
      <c r="I573" s="22"/>
      <c r="J573" s="712"/>
      <c r="K573" s="21"/>
      <c r="L573" s="712"/>
      <c r="M573" s="712"/>
      <c r="N573" s="274"/>
      <c r="O573" s="529"/>
    </row>
    <row r="574" spans="1:15" s="72" customFormat="1">
      <c r="A574" s="545"/>
      <c r="B574" s="388"/>
      <c r="C574" s="48" t="s">
        <v>264</v>
      </c>
      <c r="D574" s="77" t="s">
        <v>43</v>
      </c>
      <c r="E574" s="389"/>
      <c r="F574" s="48">
        <v>39</v>
      </c>
      <c r="G574" s="412"/>
      <c r="H574" s="412"/>
      <c r="I574" s="412"/>
      <c r="J574" s="412"/>
      <c r="K574" s="412"/>
      <c r="L574" s="412"/>
      <c r="M574" s="412"/>
      <c r="N574" s="385"/>
      <c r="O574" s="393"/>
    </row>
    <row r="575" spans="1:15" s="72" customFormat="1" ht="31.5">
      <c r="A575" s="1107" t="s">
        <v>84</v>
      </c>
      <c r="B575" s="260" t="s">
        <v>59</v>
      </c>
      <c r="C575" s="716" t="s">
        <v>241</v>
      </c>
      <c r="D575" s="260" t="s">
        <v>39</v>
      </c>
      <c r="E575" s="401"/>
      <c r="F575" s="24">
        <f>0.15*(0.1+0.1)*F574</f>
        <v>1.17</v>
      </c>
      <c r="G575" s="412"/>
      <c r="H575" s="412"/>
      <c r="I575" s="412"/>
      <c r="J575" s="412"/>
      <c r="K575" s="412"/>
      <c r="L575" s="412"/>
      <c r="M575" s="412"/>
      <c r="N575" s="428"/>
      <c r="O575" s="393"/>
    </row>
    <row r="576" spans="1:15" s="72" customFormat="1">
      <c r="A576" s="1109"/>
      <c r="B576" s="390"/>
      <c r="C576" s="747" t="s">
        <v>38</v>
      </c>
      <c r="D576" s="405" t="s">
        <v>12</v>
      </c>
      <c r="E576" s="177">
        <v>2.06</v>
      </c>
      <c r="F576" s="94">
        <f>E576*F575</f>
        <v>2.4102000000000001</v>
      </c>
      <c r="G576" s="429"/>
      <c r="H576" s="412"/>
      <c r="I576" s="429"/>
      <c r="J576" s="412"/>
      <c r="K576" s="412"/>
      <c r="L576" s="412"/>
      <c r="M576" s="412"/>
      <c r="N576" s="428"/>
      <c r="O576" s="393"/>
    </row>
    <row r="577" spans="1:15" s="72" customFormat="1" ht="31.5">
      <c r="A577" s="1135" t="s">
        <v>69</v>
      </c>
      <c r="B577" s="427" t="s">
        <v>82</v>
      </c>
      <c r="C577" s="744" t="s">
        <v>122</v>
      </c>
      <c r="D577" s="260" t="s">
        <v>40</v>
      </c>
      <c r="E577" s="243"/>
      <c r="F577" s="430">
        <f>F575*1.95</f>
        <v>2.2814999999999999</v>
      </c>
      <c r="G577" s="431"/>
      <c r="H577" s="412"/>
      <c r="I577" s="431"/>
      <c r="J577" s="412"/>
      <c r="K577" s="431"/>
      <c r="L577" s="412"/>
      <c r="M577" s="412"/>
      <c r="N577" s="428"/>
      <c r="O577" s="393"/>
    </row>
    <row r="578" spans="1:15" s="72" customFormat="1">
      <c r="A578" s="1136"/>
      <c r="B578" s="236"/>
      <c r="C578" s="745" t="s">
        <v>56</v>
      </c>
      <c r="D578" s="42" t="s">
        <v>12</v>
      </c>
      <c r="E578" s="243">
        <v>0.53</v>
      </c>
      <c r="F578" s="432">
        <f>F577*E578</f>
        <v>1.209195</v>
      </c>
      <c r="G578" s="431"/>
      <c r="H578" s="412"/>
      <c r="I578" s="431"/>
      <c r="J578" s="412"/>
      <c r="K578" s="431"/>
      <c r="L578" s="412"/>
      <c r="M578" s="412"/>
      <c r="N578" s="428"/>
      <c r="O578" s="393"/>
    </row>
    <row r="579" spans="1:15" s="72" customFormat="1" ht="31.5">
      <c r="A579" s="1137"/>
      <c r="B579" s="260" t="s">
        <v>177</v>
      </c>
      <c r="C579" s="878" t="s">
        <v>233</v>
      </c>
      <c r="D579" s="260" t="s">
        <v>40</v>
      </c>
      <c r="E579" s="243"/>
      <c r="F579" s="430">
        <f>F577</f>
        <v>2.2814999999999999</v>
      </c>
      <c r="G579" s="431"/>
      <c r="H579" s="412"/>
      <c r="I579" s="431"/>
      <c r="J579" s="412"/>
      <c r="K579" s="431"/>
      <c r="L579" s="412"/>
      <c r="M579" s="412"/>
      <c r="N579" s="428"/>
      <c r="O579" s="393"/>
    </row>
    <row r="580" spans="1:15" s="72" customFormat="1" ht="31.5">
      <c r="A580" s="1138" t="s">
        <v>85</v>
      </c>
      <c r="B580" s="260" t="s">
        <v>37</v>
      </c>
      <c r="C580" s="716" t="s">
        <v>242</v>
      </c>
      <c r="D580" s="260" t="s">
        <v>34</v>
      </c>
      <c r="E580" s="401"/>
      <c r="F580" s="24">
        <f>0.15*0.1*F574</f>
        <v>0.58499999999999996</v>
      </c>
      <c r="G580" s="412"/>
      <c r="H580" s="412"/>
      <c r="I580" s="412"/>
      <c r="J580" s="412"/>
      <c r="K580" s="412"/>
      <c r="L580" s="412"/>
      <c r="M580" s="412"/>
      <c r="N580" s="428"/>
      <c r="O580" s="393"/>
    </row>
    <row r="581" spans="1:15" s="72" customFormat="1">
      <c r="A581" s="1138"/>
      <c r="B581" s="424"/>
      <c r="C581" s="544" t="s">
        <v>20</v>
      </c>
      <c r="D581" s="424" t="s">
        <v>21</v>
      </c>
      <c r="E581" s="401">
        <v>3.52</v>
      </c>
      <c r="F581" s="433">
        <f>E581*F580</f>
        <v>2.0591999999999997</v>
      </c>
      <c r="G581" s="412"/>
      <c r="H581" s="412"/>
      <c r="I581" s="412"/>
      <c r="J581" s="412"/>
      <c r="K581" s="412"/>
      <c r="L581" s="412"/>
      <c r="M581" s="412"/>
      <c r="N581" s="428"/>
      <c r="O581" s="393"/>
    </row>
    <row r="582" spans="1:15" s="72" customFormat="1">
      <c r="A582" s="1138"/>
      <c r="B582" s="424"/>
      <c r="C582" s="544" t="s">
        <v>23</v>
      </c>
      <c r="D582" s="424" t="s">
        <v>9</v>
      </c>
      <c r="E582" s="401">
        <v>1.06</v>
      </c>
      <c r="F582" s="433">
        <f>F580*E582</f>
        <v>0.62009999999999998</v>
      </c>
      <c r="G582" s="412"/>
      <c r="H582" s="412"/>
      <c r="I582" s="412"/>
      <c r="J582" s="412"/>
      <c r="K582" s="412"/>
      <c r="L582" s="412"/>
      <c r="M582" s="412"/>
      <c r="N582" s="428"/>
      <c r="O582" s="393"/>
    </row>
    <row r="583" spans="1:15" s="72" customFormat="1">
      <c r="A583" s="1138"/>
      <c r="B583" s="424"/>
      <c r="C583" s="544" t="s">
        <v>140</v>
      </c>
      <c r="D583" s="424" t="s">
        <v>31</v>
      </c>
      <c r="E583" s="401">
        <f>0.18+0.09+0.97</f>
        <v>1.24</v>
      </c>
      <c r="F583" s="433">
        <f>E583*F580</f>
        <v>0.72539999999999993</v>
      </c>
      <c r="G583" s="412"/>
      <c r="H583" s="412"/>
      <c r="I583" s="412"/>
      <c r="J583" s="412"/>
      <c r="K583" s="412"/>
      <c r="L583" s="412"/>
      <c r="M583" s="412"/>
      <c r="N583" s="428"/>
      <c r="O583" s="393"/>
    </row>
    <row r="584" spans="1:15" s="72" customFormat="1">
      <c r="A584" s="1138"/>
      <c r="B584" s="424"/>
      <c r="C584" s="758" t="s">
        <v>50</v>
      </c>
      <c r="D584" s="434" t="s">
        <v>9</v>
      </c>
      <c r="E584" s="401">
        <v>0.02</v>
      </c>
      <c r="F584" s="433">
        <f>F580*E584</f>
        <v>1.17E-2</v>
      </c>
      <c r="G584" s="435"/>
      <c r="H584" s="412"/>
      <c r="I584" s="20"/>
      <c r="J584" s="412"/>
      <c r="K584" s="21"/>
      <c r="L584" s="412"/>
      <c r="M584" s="412"/>
      <c r="N584" s="428"/>
      <c r="O584" s="393"/>
    </row>
    <row r="585" spans="1:15" s="72" customFormat="1">
      <c r="A585" s="1139" t="s">
        <v>79</v>
      </c>
      <c r="B585" s="260" t="s">
        <v>262</v>
      </c>
      <c r="C585" s="716" t="s">
        <v>265</v>
      </c>
      <c r="D585" s="260" t="s">
        <v>62</v>
      </c>
      <c r="E585" s="15"/>
      <c r="F585" s="24">
        <f>F574</f>
        <v>39</v>
      </c>
      <c r="G585" s="412"/>
      <c r="H585" s="412"/>
      <c r="I585" s="412"/>
      <c r="J585" s="412"/>
      <c r="K585" s="412"/>
      <c r="L585" s="412"/>
      <c r="M585" s="412"/>
      <c r="N585" s="428"/>
      <c r="O585" s="393"/>
    </row>
    <row r="586" spans="1:15" s="72" customFormat="1">
      <c r="A586" s="1139"/>
      <c r="B586" s="260"/>
      <c r="C586" s="544" t="s">
        <v>20</v>
      </c>
      <c r="D586" s="424" t="s">
        <v>21</v>
      </c>
      <c r="E586" s="401">
        <v>0.74</v>
      </c>
      <c r="F586" s="411">
        <f>E586*F585</f>
        <v>28.86</v>
      </c>
      <c r="G586" s="412"/>
      <c r="H586" s="412"/>
      <c r="I586" s="412"/>
      <c r="J586" s="412"/>
      <c r="K586" s="412"/>
      <c r="L586" s="412"/>
      <c r="M586" s="412"/>
      <c r="N586" s="428"/>
      <c r="O586" s="393"/>
    </row>
    <row r="587" spans="1:15" s="72" customFormat="1">
      <c r="A587" s="1139"/>
      <c r="B587" s="260"/>
      <c r="C587" s="544" t="s">
        <v>11</v>
      </c>
      <c r="D587" s="424" t="s">
        <v>22</v>
      </c>
      <c r="E587" s="401">
        <f>0.71*0.01</f>
        <v>7.0999999999999995E-3</v>
      </c>
      <c r="F587" s="411">
        <f>E587*F585</f>
        <v>0.27689999999999998</v>
      </c>
      <c r="G587" s="412"/>
      <c r="H587" s="412"/>
      <c r="I587" s="412"/>
      <c r="J587" s="412"/>
      <c r="K587" s="412"/>
      <c r="L587" s="412"/>
      <c r="M587" s="412"/>
      <c r="N587" s="428"/>
      <c r="O587" s="393"/>
    </row>
    <row r="588" spans="1:15" s="72" customFormat="1">
      <c r="A588" s="1139"/>
      <c r="B588" s="260"/>
      <c r="C588" s="544" t="s">
        <v>266</v>
      </c>
      <c r="D588" s="424" t="s">
        <v>43</v>
      </c>
      <c r="E588" s="401">
        <v>1</v>
      </c>
      <c r="F588" s="24">
        <f>F585</f>
        <v>39</v>
      </c>
      <c r="G588" s="412"/>
      <c r="H588" s="412"/>
      <c r="I588" s="412"/>
      <c r="J588" s="412"/>
      <c r="K588" s="412"/>
      <c r="L588" s="412"/>
      <c r="M588" s="412"/>
      <c r="N588" s="428"/>
      <c r="O588" s="393"/>
    </row>
    <row r="589" spans="1:15" s="72" customFormat="1">
      <c r="A589" s="1139"/>
      <c r="B589" s="260"/>
      <c r="C589" s="759" t="s">
        <v>243</v>
      </c>
      <c r="D589" s="424" t="s">
        <v>31</v>
      </c>
      <c r="E589" s="401">
        <v>3.9E-2</v>
      </c>
      <c r="F589" s="411">
        <f>F585*E589</f>
        <v>1.5209999999999999</v>
      </c>
      <c r="G589" s="412"/>
      <c r="H589" s="412"/>
      <c r="I589" s="412"/>
      <c r="J589" s="412"/>
      <c r="K589" s="412"/>
      <c r="L589" s="412"/>
      <c r="M589" s="412"/>
      <c r="N589" s="428"/>
      <c r="O589" s="393"/>
    </row>
    <row r="590" spans="1:15" s="72" customFormat="1">
      <c r="A590" s="1139"/>
      <c r="B590" s="260"/>
      <c r="C590" s="760" t="s">
        <v>231</v>
      </c>
      <c r="D590" s="424" t="s">
        <v>7</v>
      </c>
      <c r="E590" s="401">
        <f>0.1</f>
        <v>0.1</v>
      </c>
      <c r="F590" s="411">
        <f>E590*F585</f>
        <v>3.9000000000000004</v>
      </c>
      <c r="G590" s="412"/>
      <c r="H590" s="412"/>
      <c r="I590" s="412"/>
      <c r="J590" s="412"/>
      <c r="K590" s="412"/>
      <c r="L590" s="412"/>
      <c r="M590" s="412"/>
      <c r="N590" s="428"/>
      <c r="O590" s="393"/>
    </row>
    <row r="591" spans="1:15" s="72" customFormat="1">
      <c r="A591" s="1139"/>
      <c r="B591" s="260"/>
      <c r="C591" s="544" t="s">
        <v>13</v>
      </c>
      <c r="D591" s="424" t="s">
        <v>9</v>
      </c>
      <c r="E591" s="401">
        <f>9.6*0.01</f>
        <v>9.6000000000000002E-2</v>
      </c>
      <c r="F591" s="411">
        <f>E591*F585</f>
        <v>3.7440000000000002</v>
      </c>
      <c r="G591" s="412"/>
      <c r="H591" s="412"/>
      <c r="I591" s="412"/>
      <c r="J591" s="412"/>
      <c r="K591" s="412"/>
      <c r="L591" s="412"/>
      <c r="M591" s="412"/>
      <c r="N591" s="428"/>
      <c r="O591" s="393"/>
    </row>
    <row r="592" spans="1:15" s="74" customFormat="1" ht="0.75" customHeight="1">
      <c r="A592" s="410"/>
      <c r="B592" s="260"/>
      <c r="C592" s="739"/>
      <c r="D592" s="260"/>
      <c r="E592" s="243"/>
      <c r="F592" s="76"/>
      <c r="G592" s="22"/>
      <c r="H592" s="412"/>
      <c r="I592" s="22"/>
      <c r="J592" s="412"/>
      <c r="K592" s="21"/>
      <c r="L592" s="412"/>
      <c r="M592" s="412"/>
      <c r="N592" s="274"/>
      <c r="O592" s="529"/>
    </row>
    <row r="593" spans="1:15" s="67" customFormat="1" ht="31.5">
      <c r="A593" s="436"/>
      <c r="B593" s="553"/>
      <c r="C593" s="48" t="s">
        <v>721</v>
      </c>
      <c r="D593" s="77" t="s">
        <v>47</v>
      </c>
      <c r="E593" s="396"/>
      <c r="F593" s="48">
        <v>90</v>
      </c>
      <c r="G593" s="563"/>
      <c r="H593" s="435"/>
      <c r="I593" s="435"/>
      <c r="J593" s="435"/>
      <c r="K593" s="435"/>
      <c r="L593" s="435"/>
      <c r="M593" s="435"/>
      <c r="N593" s="437"/>
      <c r="O593" s="530"/>
    </row>
    <row r="594" spans="1:15" s="67" customFormat="1" ht="31.5">
      <c r="A594" s="1155" t="s">
        <v>84</v>
      </c>
      <c r="B594" s="271" t="s">
        <v>33</v>
      </c>
      <c r="C594" s="761" t="s">
        <v>267</v>
      </c>
      <c r="D594" s="275" t="s">
        <v>39</v>
      </c>
      <c r="E594" s="4"/>
      <c r="F594" s="445">
        <f>F593*0.25</f>
        <v>22.5</v>
      </c>
      <c r="G594" s="156"/>
      <c r="H594" s="435"/>
      <c r="I594" s="156"/>
      <c r="J594" s="435"/>
      <c r="K594" s="156"/>
      <c r="L594" s="435"/>
      <c r="M594" s="435"/>
      <c r="N594" s="437"/>
      <c r="O594" s="530"/>
    </row>
    <row r="595" spans="1:15" s="67" customFormat="1">
      <c r="A595" s="1156"/>
      <c r="B595" s="271"/>
      <c r="C595" s="65" t="s">
        <v>38</v>
      </c>
      <c r="D595" s="275" t="s">
        <v>12</v>
      </c>
      <c r="E595" s="4">
        <v>3.88</v>
      </c>
      <c r="F595" s="408">
        <f>F594*E595</f>
        <v>87.3</v>
      </c>
      <c r="G595" s="156"/>
      <c r="H595" s="435"/>
      <c r="I595" s="156"/>
      <c r="J595" s="435"/>
      <c r="K595" s="156"/>
      <c r="L595" s="435"/>
      <c r="M595" s="435"/>
      <c r="N595" s="437"/>
      <c r="O595" s="530"/>
    </row>
    <row r="596" spans="1:15" s="67" customFormat="1" ht="31.5">
      <c r="A596" s="1143" t="s">
        <v>69</v>
      </c>
      <c r="B596" s="438" t="s">
        <v>82</v>
      </c>
      <c r="C596" s="762" t="s">
        <v>122</v>
      </c>
      <c r="D596" s="194" t="s">
        <v>125</v>
      </c>
      <c r="E596" s="580"/>
      <c r="F596" s="480">
        <f>F594*1.95</f>
        <v>43.875</v>
      </c>
      <c r="G596" s="293"/>
      <c r="H596" s="156"/>
      <c r="I596" s="293"/>
      <c r="J596" s="156"/>
      <c r="K596" s="293"/>
      <c r="L596" s="156"/>
      <c r="M596" s="156"/>
      <c r="N596" s="437"/>
      <c r="O596" s="530"/>
    </row>
    <row r="597" spans="1:15" s="67" customFormat="1">
      <c r="A597" s="1145"/>
      <c r="B597" s="194"/>
      <c r="C597" s="763" t="s">
        <v>54</v>
      </c>
      <c r="D597" s="40" t="s">
        <v>12</v>
      </c>
      <c r="E597" s="476">
        <v>0.53</v>
      </c>
      <c r="F597" s="477">
        <f>F596*E597</f>
        <v>23.25375</v>
      </c>
      <c r="G597" s="293"/>
      <c r="H597" s="156"/>
      <c r="I597" s="293"/>
      <c r="J597" s="156"/>
      <c r="K597" s="293"/>
      <c r="L597" s="156"/>
      <c r="M597" s="156"/>
      <c r="N597" s="437"/>
      <c r="O597" s="530"/>
    </row>
    <row r="598" spans="1:15" s="67" customFormat="1" ht="31.5">
      <c r="A598" s="481" t="s">
        <v>85</v>
      </c>
      <c r="B598" s="194" t="s">
        <v>268</v>
      </c>
      <c r="C598" s="762" t="s">
        <v>233</v>
      </c>
      <c r="D598" s="194" t="s">
        <v>40</v>
      </c>
      <c r="E598" s="580"/>
      <c r="F598" s="68">
        <f>F596</f>
        <v>43.875</v>
      </c>
      <c r="G598" s="293"/>
      <c r="H598" s="156"/>
      <c r="I598" s="293"/>
      <c r="J598" s="156"/>
      <c r="K598" s="431"/>
      <c r="L598" s="156"/>
      <c r="M598" s="156"/>
      <c r="N598" s="437"/>
      <c r="O598" s="530"/>
    </row>
    <row r="599" spans="1:15" s="67" customFormat="1" ht="31.5">
      <c r="A599" s="1155" t="s">
        <v>79</v>
      </c>
      <c r="B599" s="271" t="s">
        <v>37</v>
      </c>
      <c r="C599" s="761" t="s">
        <v>269</v>
      </c>
      <c r="D599" s="271" t="s">
        <v>39</v>
      </c>
      <c r="E599" s="4"/>
      <c r="F599" s="445">
        <f>F593*0.1</f>
        <v>9</v>
      </c>
      <c r="G599" s="156"/>
      <c r="H599" s="435"/>
      <c r="I599" s="156"/>
      <c r="J599" s="435"/>
      <c r="K599" s="156"/>
      <c r="L599" s="435"/>
      <c r="M599" s="435"/>
      <c r="N599" s="437"/>
      <c r="O599" s="530"/>
    </row>
    <row r="600" spans="1:15" s="67" customFormat="1">
      <c r="A600" s="1157"/>
      <c r="B600" s="194"/>
      <c r="C600" s="763" t="s">
        <v>38</v>
      </c>
      <c r="D600" s="40" t="s">
        <v>12</v>
      </c>
      <c r="E600" s="476">
        <v>3.52</v>
      </c>
      <c r="F600" s="425">
        <f>F599*E600</f>
        <v>31.68</v>
      </c>
      <c r="G600" s="293"/>
      <c r="H600" s="293"/>
      <c r="I600" s="293"/>
      <c r="J600" s="293"/>
      <c r="K600" s="293"/>
      <c r="L600" s="293"/>
      <c r="M600" s="293"/>
      <c r="N600" s="437"/>
      <c r="O600" s="530"/>
    </row>
    <row r="601" spans="1:15" s="67" customFormat="1">
      <c r="A601" s="1157"/>
      <c r="B601" s="194"/>
      <c r="C601" s="763" t="s">
        <v>11</v>
      </c>
      <c r="D601" s="40" t="s">
        <v>9</v>
      </c>
      <c r="E601" s="476">
        <v>1.06</v>
      </c>
      <c r="F601" s="425">
        <f>F599*E601</f>
        <v>9.5400000000000009</v>
      </c>
      <c r="G601" s="293"/>
      <c r="H601" s="293"/>
      <c r="I601" s="293"/>
      <c r="J601" s="293"/>
      <c r="K601" s="293"/>
      <c r="L601" s="293"/>
      <c r="M601" s="293"/>
      <c r="N601" s="437"/>
      <c r="O601" s="530"/>
    </row>
    <row r="602" spans="1:15" s="67" customFormat="1">
      <c r="A602" s="1157"/>
      <c r="B602" s="194"/>
      <c r="C602" s="763" t="s">
        <v>32</v>
      </c>
      <c r="D602" s="40" t="s">
        <v>39</v>
      </c>
      <c r="E602" s="476">
        <f>0.18+0.09+0.97</f>
        <v>1.24</v>
      </c>
      <c r="F602" s="425">
        <f>F599*E602</f>
        <v>11.16</v>
      </c>
      <c r="G602" s="293"/>
      <c r="H602" s="293"/>
      <c r="I602" s="293"/>
      <c r="J602" s="293"/>
      <c r="K602" s="293"/>
      <c r="L602" s="293"/>
      <c r="M602" s="293"/>
      <c r="N602" s="437"/>
      <c r="O602" s="530"/>
    </row>
    <row r="603" spans="1:15" s="67" customFormat="1">
      <c r="A603" s="1156"/>
      <c r="B603" s="194"/>
      <c r="C603" s="763" t="s">
        <v>13</v>
      </c>
      <c r="D603" s="40" t="s">
        <v>9</v>
      </c>
      <c r="E603" s="476">
        <v>0.02</v>
      </c>
      <c r="F603" s="425">
        <f>F599*E603</f>
        <v>0.18</v>
      </c>
      <c r="G603" s="293"/>
      <c r="H603" s="293"/>
      <c r="I603" s="293"/>
      <c r="J603" s="293"/>
      <c r="K603" s="293"/>
      <c r="L603" s="293"/>
      <c r="M603" s="293"/>
      <c r="N603" s="437"/>
      <c r="O603" s="530"/>
    </row>
    <row r="604" spans="1:15" s="67" customFormat="1" ht="31.5">
      <c r="A604" s="1143" t="s">
        <v>80</v>
      </c>
      <c r="B604" s="194" t="s">
        <v>270</v>
      </c>
      <c r="C604" s="764" t="s">
        <v>271</v>
      </c>
      <c r="D604" s="194" t="s">
        <v>39</v>
      </c>
      <c r="E604" s="476"/>
      <c r="F604" s="445">
        <f>F593*0.12</f>
        <v>10.799999999999999</v>
      </c>
      <c r="G604" s="156"/>
      <c r="H604" s="435"/>
      <c r="I604" s="156"/>
      <c r="J604" s="435"/>
      <c r="K604" s="156"/>
      <c r="L604" s="435"/>
      <c r="M604" s="435"/>
      <c r="N604" s="437"/>
      <c r="O604" s="530"/>
    </row>
    <row r="605" spans="1:15" s="67" customFormat="1">
      <c r="A605" s="1144"/>
      <c r="B605" s="194"/>
      <c r="C605" s="547" t="s">
        <v>38</v>
      </c>
      <c r="D605" s="40" t="s">
        <v>12</v>
      </c>
      <c r="E605" s="476">
        <v>1.87</v>
      </c>
      <c r="F605" s="425">
        <f>F604*E605</f>
        <v>20.195999999999998</v>
      </c>
      <c r="G605" s="564"/>
      <c r="H605" s="435"/>
      <c r="I605" s="564"/>
      <c r="J605" s="435"/>
      <c r="K605" s="564"/>
      <c r="L605" s="435"/>
      <c r="M605" s="435"/>
      <c r="N605" s="437"/>
      <c r="O605" s="530"/>
    </row>
    <row r="606" spans="1:15" s="67" customFormat="1">
      <c r="A606" s="1144"/>
      <c r="B606" s="194"/>
      <c r="C606" s="547" t="s">
        <v>23</v>
      </c>
      <c r="D606" s="40" t="s">
        <v>9</v>
      </c>
      <c r="E606" s="476">
        <v>0.77</v>
      </c>
      <c r="F606" s="425">
        <f>F604*E606</f>
        <v>8.3159999999999989</v>
      </c>
      <c r="G606" s="564"/>
      <c r="H606" s="435"/>
      <c r="I606" s="564"/>
      <c r="J606" s="435"/>
      <c r="K606" s="564"/>
      <c r="L606" s="435"/>
      <c r="M606" s="435"/>
      <c r="N606" s="437"/>
      <c r="O606" s="530"/>
    </row>
    <row r="607" spans="1:15" s="67" customFormat="1">
      <c r="A607" s="1144"/>
      <c r="B607" s="194"/>
      <c r="C607" s="547" t="s">
        <v>235</v>
      </c>
      <c r="D607" s="40" t="s">
        <v>272</v>
      </c>
      <c r="E607" s="476">
        <v>1.0149999999999999</v>
      </c>
      <c r="F607" s="425">
        <f>F604*E607</f>
        <v>10.961999999999998</v>
      </c>
      <c r="G607" s="564"/>
      <c r="H607" s="435"/>
      <c r="I607" s="564"/>
      <c r="J607" s="435"/>
      <c r="K607" s="564"/>
      <c r="L607" s="435"/>
      <c r="M607" s="435"/>
      <c r="N607" s="437"/>
      <c r="O607" s="530"/>
    </row>
    <row r="608" spans="1:15" s="67" customFormat="1">
      <c r="A608" s="1144"/>
      <c r="B608" s="194"/>
      <c r="C608" s="547" t="s">
        <v>273</v>
      </c>
      <c r="D608" s="40" t="s">
        <v>47</v>
      </c>
      <c r="E608" s="476">
        <v>7.5399999999999995E-2</v>
      </c>
      <c r="F608" s="425">
        <f>F604*E608</f>
        <v>0.81431999999999982</v>
      </c>
      <c r="G608" s="564"/>
      <c r="H608" s="435"/>
      <c r="I608" s="564"/>
      <c r="J608" s="435"/>
      <c r="K608" s="564"/>
      <c r="L608" s="435"/>
      <c r="M608" s="435"/>
      <c r="N608" s="437"/>
      <c r="O608" s="530"/>
    </row>
    <row r="609" spans="1:15" s="67" customFormat="1">
      <c r="A609" s="1144"/>
      <c r="B609" s="194"/>
      <c r="C609" s="547" t="s">
        <v>41</v>
      </c>
      <c r="D609" s="40" t="s">
        <v>39</v>
      </c>
      <c r="E609" s="476">
        <f>0.0008</f>
        <v>8.0000000000000004E-4</v>
      </c>
      <c r="F609" s="425">
        <f>F604*E609</f>
        <v>8.6400000000000001E-3</v>
      </c>
      <c r="G609" s="564"/>
      <c r="H609" s="435"/>
      <c r="I609" s="564"/>
      <c r="J609" s="435"/>
      <c r="K609" s="564"/>
      <c r="L609" s="435"/>
      <c r="M609" s="435"/>
      <c r="N609" s="437"/>
      <c r="O609" s="530"/>
    </row>
    <row r="610" spans="1:15" s="67" customFormat="1">
      <c r="A610" s="1144"/>
      <c r="B610" s="194"/>
      <c r="C610" s="547" t="s">
        <v>13</v>
      </c>
      <c r="D610" s="40" t="s">
        <v>9</v>
      </c>
      <c r="E610" s="476">
        <v>7.0000000000000007E-2</v>
      </c>
      <c r="F610" s="425">
        <f>F604*E610</f>
        <v>0.75600000000000001</v>
      </c>
      <c r="G610" s="564"/>
      <c r="H610" s="435"/>
      <c r="I610" s="564"/>
      <c r="J610" s="435"/>
      <c r="K610" s="564"/>
      <c r="L610" s="435"/>
      <c r="M610" s="435"/>
      <c r="N610" s="437"/>
      <c r="O610" s="530"/>
    </row>
    <row r="611" spans="1:15" s="67" customFormat="1">
      <c r="A611" s="1144"/>
      <c r="B611" s="194"/>
      <c r="C611" s="765" t="s">
        <v>237</v>
      </c>
      <c r="D611" s="324" t="s">
        <v>40</v>
      </c>
      <c r="E611" s="580"/>
      <c r="F611" s="581">
        <f>F593*16*1*1.03*0.222/1000</f>
        <v>0.32927040000000002</v>
      </c>
      <c r="G611" s="564"/>
      <c r="H611" s="435"/>
      <c r="I611" s="564"/>
      <c r="J611" s="435"/>
      <c r="K611" s="564"/>
      <c r="L611" s="435"/>
      <c r="M611" s="435"/>
      <c r="N611" s="437"/>
      <c r="O611" s="530"/>
    </row>
    <row r="612" spans="1:15" s="67" customFormat="1" hidden="1">
      <c r="A612" s="1145"/>
      <c r="B612" s="194"/>
      <c r="C612" s="766" t="s">
        <v>263</v>
      </c>
      <c r="D612" s="324" t="s">
        <v>40</v>
      </c>
      <c r="E612" s="580"/>
      <c r="F612" s="581">
        <f>0*1.03*0.222/1000</f>
        <v>0</v>
      </c>
      <c r="G612" s="564"/>
      <c r="H612" s="435"/>
      <c r="I612" s="435"/>
      <c r="J612" s="435"/>
      <c r="K612" s="435"/>
      <c r="L612" s="435"/>
      <c r="M612" s="435"/>
      <c r="N612" s="437"/>
      <c r="O612" s="530"/>
    </row>
    <row r="613" spans="1:15" s="67" customFormat="1" ht="40.5">
      <c r="A613" s="1176" t="s">
        <v>81</v>
      </c>
      <c r="B613" s="442" t="s">
        <v>275</v>
      </c>
      <c r="C613" s="767" t="s">
        <v>722</v>
      </c>
      <c r="D613" s="194" t="s">
        <v>47</v>
      </c>
      <c r="E613" s="476"/>
      <c r="F613" s="565">
        <f>F593</f>
        <v>90</v>
      </c>
      <c r="G613" s="566"/>
      <c r="H613" s="435"/>
      <c r="I613" s="567"/>
      <c r="J613" s="435"/>
      <c r="K613" s="567"/>
      <c r="L613" s="435"/>
      <c r="M613" s="435"/>
      <c r="N613" s="437"/>
      <c r="O613" s="530"/>
    </row>
    <row r="614" spans="1:15" s="67" customFormat="1">
      <c r="A614" s="1177"/>
      <c r="B614" s="440"/>
      <c r="C614" s="768" t="s">
        <v>150</v>
      </c>
      <c r="D614" s="441" t="s">
        <v>68</v>
      </c>
      <c r="E614" s="476">
        <v>0.41599999999999998</v>
      </c>
      <c r="F614" s="425">
        <f>F613*E614</f>
        <v>37.44</v>
      </c>
      <c r="G614" s="566"/>
      <c r="H614" s="435"/>
      <c r="I614" s="566"/>
      <c r="J614" s="435"/>
      <c r="K614" s="566"/>
      <c r="L614" s="435"/>
      <c r="M614" s="435"/>
      <c r="N614" s="437"/>
      <c r="O614" s="530"/>
    </row>
    <row r="615" spans="1:15" s="67" customFormat="1">
      <c r="A615" s="1177"/>
      <c r="B615" s="194"/>
      <c r="C615" s="547" t="s">
        <v>23</v>
      </c>
      <c r="D615" s="40" t="s">
        <v>44</v>
      </c>
      <c r="E615" s="476">
        <f>0.0059</f>
        <v>5.8999999999999999E-3</v>
      </c>
      <c r="F615" s="425">
        <f>F613*E615</f>
        <v>0.53100000000000003</v>
      </c>
      <c r="G615" s="435"/>
      <c r="H615" s="435"/>
      <c r="I615" s="435"/>
      <c r="J615" s="435"/>
      <c r="K615" s="435"/>
      <c r="L615" s="435"/>
      <c r="M615" s="435"/>
      <c r="N615" s="437"/>
      <c r="O615" s="530"/>
    </row>
    <row r="616" spans="1:15" s="67" customFormat="1">
      <c r="A616" s="1177"/>
      <c r="B616" s="442"/>
      <c r="C616" s="760" t="s">
        <v>274</v>
      </c>
      <c r="D616" s="441" t="s">
        <v>90</v>
      </c>
      <c r="E616" s="476">
        <v>0.19</v>
      </c>
      <c r="F616" s="425">
        <f>F613*E616</f>
        <v>17.100000000000001</v>
      </c>
      <c r="G616" s="566"/>
      <c r="H616" s="435"/>
      <c r="I616" s="566"/>
      <c r="J616" s="435"/>
      <c r="K616" s="566"/>
      <c r="L616" s="435"/>
      <c r="M616" s="435"/>
      <c r="N616" s="437"/>
      <c r="O616" s="530"/>
    </row>
    <row r="617" spans="1:15" s="67" customFormat="1">
      <c r="A617" s="1177"/>
      <c r="B617" s="194"/>
      <c r="C617" s="768" t="s">
        <v>723</v>
      </c>
      <c r="D617" s="443" t="s">
        <v>179</v>
      </c>
      <c r="E617" s="476">
        <v>1.02</v>
      </c>
      <c r="F617" s="425">
        <f>F613*E617</f>
        <v>91.8</v>
      </c>
      <c r="G617" s="566"/>
      <c r="H617" s="435"/>
      <c r="I617" s="566"/>
      <c r="J617" s="435"/>
      <c r="K617" s="566"/>
      <c r="L617" s="435"/>
      <c r="M617" s="435"/>
      <c r="N617" s="437"/>
      <c r="O617" s="530"/>
    </row>
    <row r="618" spans="1:15" s="67" customFormat="1">
      <c r="A618" s="1178"/>
      <c r="B618" s="440"/>
      <c r="C618" s="758" t="s">
        <v>50</v>
      </c>
      <c r="D618" s="441" t="s">
        <v>180</v>
      </c>
      <c r="E618" s="476">
        <v>0.08</v>
      </c>
      <c r="F618" s="425">
        <f>F613*E618</f>
        <v>7.2</v>
      </c>
      <c r="G618" s="566"/>
      <c r="H618" s="435"/>
      <c r="I618" s="566"/>
      <c r="J618" s="435"/>
      <c r="K618" s="566"/>
      <c r="L618" s="435"/>
      <c r="M618" s="435"/>
      <c r="N618" s="444"/>
      <c r="O618" s="530"/>
    </row>
    <row r="619" spans="1:15" s="74" customFormat="1" ht="16.5">
      <c r="A619" s="410"/>
      <c r="B619" s="260"/>
      <c r="C619" s="739"/>
      <c r="D619" s="260"/>
      <c r="E619" s="243"/>
      <c r="F619" s="76"/>
      <c r="G619" s="22"/>
      <c r="H619" s="412"/>
      <c r="I619" s="22"/>
      <c r="J619" s="412"/>
      <c r="K619" s="21"/>
      <c r="L619" s="412"/>
      <c r="M619" s="412"/>
      <c r="N619" s="274"/>
      <c r="O619" s="529"/>
    </row>
    <row r="620" spans="1:15" s="74" customFormat="1" ht="16.5" hidden="1">
      <c r="A620" s="436"/>
      <c r="B620" s="553"/>
      <c r="C620" s="48" t="s">
        <v>308</v>
      </c>
      <c r="D620" s="77"/>
      <c r="E620" s="396"/>
      <c r="F620" s="48"/>
      <c r="G620" s="22"/>
      <c r="H620" s="412"/>
      <c r="I620" s="22"/>
      <c r="J620" s="412"/>
      <c r="K620" s="21"/>
      <c r="L620" s="412"/>
      <c r="M620" s="412"/>
      <c r="N620" s="274"/>
      <c r="O620" s="529"/>
    </row>
    <row r="621" spans="1:15" s="446" customFormat="1" ht="47.25" hidden="1">
      <c r="A621" s="1155" t="s">
        <v>84</v>
      </c>
      <c r="B621" s="1173" t="s">
        <v>276</v>
      </c>
      <c r="C621" s="769" t="s">
        <v>277</v>
      </c>
      <c r="D621" s="271" t="s">
        <v>47</v>
      </c>
      <c r="E621" s="364"/>
      <c r="F621" s="445">
        <v>0</v>
      </c>
      <c r="G621" s="156"/>
      <c r="H621" s="156"/>
      <c r="I621" s="156"/>
      <c r="J621" s="156"/>
      <c r="K621" s="156"/>
      <c r="L621" s="156"/>
      <c r="M621" s="156"/>
      <c r="O621" s="531"/>
    </row>
    <row r="622" spans="1:15" s="446" customFormat="1" hidden="1">
      <c r="A622" s="1157"/>
      <c r="B622" s="1174"/>
      <c r="C622" s="770"/>
      <c r="D622" s="271" t="s">
        <v>39</v>
      </c>
      <c r="E622" s="364"/>
      <c r="F622" s="445">
        <f>F621*0.15</f>
        <v>0</v>
      </c>
      <c r="G622" s="156"/>
      <c r="H622" s="156"/>
      <c r="I622" s="156"/>
      <c r="J622" s="156"/>
      <c r="K622" s="156"/>
      <c r="L622" s="156"/>
      <c r="M622" s="156"/>
      <c r="O622" s="531"/>
    </row>
    <row r="623" spans="1:15" s="446" customFormat="1" hidden="1">
      <c r="A623" s="1157"/>
      <c r="B623" s="424"/>
      <c r="C623" s="771" t="s">
        <v>20</v>
      </c>
      <c r="D623" s="424" t="s">
        <v>12</v>
      </c>
      <c r="E623" s="401">
        <v>0.15</v>
      </c>
      <c r="F623" s="411">
        <f>E623*F622</f>
        <v>0</v>
      </c>
      <c r="G623" s="412"/>
      <c r="H623" s="412"/>
      <c r="I623" s="412"/>
      <c r="J623" s="412"/>
      <c r="K623" s="412"/>
      <c r="L623" s="412"/>
      <c r="M623" s="412"/>
      <c r="O623" s="531"/>
    </row>
    <row r="624" spans="1:15" s="446" customFormat="1" hidden="1">
      <c r="A624" s="1157"/>
      <c r="B624" s="424" t="s">
        <v>151</v>
      </c>
      <c r="C624" s="772" t="s">
        <v>278</v>
      </c>
      <c r="D624" s="447" t="s">
        <v>44</v>
      </c>
      <c r="E624" s="401">
        <v>2.1600000000000001E-2</v>
      </c>
      <c r="F624" s="411">
        <f>E624*F622</f>
        <v>0</v>
      </c>
      <c r="G624" s="412"/>
      <c r="H624" s="412"/>
      <c r="I624" s="412"/>
      <c r="J624" s="412"/>
      <c r="K624" s="412"/>
      <c r="L624" s="412"/>
      <c r="M624" s="412"/>
      <c r="O624" s="531"/>
    </row>
    <row r="625" spans="1:15" s="446" customFormat="1" hidden="1">
      <c r="A625" s="1157"/>
      <c r="B625" s="424" t="s">
        <v>279</v>
      </c>
      <c r="C625" s="772" t="s">
        <v>280</v>
      </c>
      <c r="D625" s="447" t="s">
        <v>44</v>
      </c>
      <c r="E625" s="401">
        <v>2.7300000000000001E-2</v>
      </c>
      <c r="F625" s="411">
        <f>E625*F622</f>
        <v>0</v>
      </c>
      <c r="G625" s="412"/>
      <c r="H625" s="412"/>
      <c r="I625" s="412"/>
      <c r="J625" s="412"/>
      <c r="K625" s="412"/>
      <c r="L625" s="412"/>
      <c r="M625" s="412"/>
      <c r="O625" s="531"/>
    </row>
    <row r="626" spans="1:15" s="446" customFormat="1" hidden="1">
      <c r="A626" s="1157"/>
      <c r="B626" s="424" t="s">
        <v>281</v>
      </c>
      <c r="C626" s="772" t="s">
        <v>282</v>
      </c>
      <c r="D626" s="447" t="s">
        <v>44</v>
      </c>
      <c r="E626" s="401">
        <v>9.7000000000000003E-3</v>
      </c>
      <c r="F626" s="411">
        <f>E626*F622</f>
        <v>0</v>
      </c>
      <c r="G626" s="412"/>
      <c r="H626" s="412"/>
      <c r="I626" s="412"/>
      <c r="J626" s="412"/>
      <c r="K626" s="412"/>
      <c r="L626" s="412"/>
      <c r="M626" s="412"/>
      <c r="O626" s="531"/>
    </row>
    <row r="627" spans="1:15" s="446" customFormat="1" hidden="1">
      <c r="A627" s="1157"/>
      <c r="B627" s="424"/>
      <c r="C627" s="544" t="s">
        <v>283</v>
      </c>
      <c r="D627" s="424" t="s">
        <v>39</v>
      </c>
      <c r="E627" s="401">
        <v>1.22</v>
      </c>
      <c r="F627" s="411">
        <f>E627*F622</f>
        <v>0</v>
      </c>
      <c r="G627" s="412"/>
      <c r="H627" s="412"/>
      <c r="I627" s="412"/>
      <c r="J627" s="412"/>
      <c r="K627" s="412"/>
      <c r="L627" s="412"/>
      <c r="M627" s="412"/>
      <c r="O627" s="531"/>
    </row>
    <row r="628" spans="1:15" s="446" customFormat="1" hidden="1">
      <c r="A628" s="1156"/>
      <c r="B628" s="424"/>
      <c r="C628" s="544" t="s">
        <v>284</v>
      </c>
      <c r="D628" s="424" t="s">
        <v>39</v>
      </c>
      <c r="E628" s="401">
        <v>0.7</v>
      </c>
      <c r="F628" s="411">
        <f>E628*F622</f>
        <v>0</v>
      </c>
      <c r="G628" s="412"/>
      <c r="H628" s="412"/>
      <c r="I628" s="412"/>
      <c r="J628" s="412"/>
      <c r="K628" s="412"/>
      <c r="L628" s="412"/>
      <c r="M628" s="412"/>
      <c r="O628" s="531"/>
    </row>
    <row r="629" spans="1:15" s="446" customFormat="1" ht="47.25" hidden="1">
      <c r="A629" s="1155" t="s">
        <v>69</v>
      </c>
      <c r="B629" s="271" t="s">
        <v>285</v>
      </c>
      <c r="C629" s="769" t="s">
        <v>286</v>
      </c>
      <c r="D629" s="271" t="s">
        <v>39</v>
      </c>
      <c r="E629" s="364"/>
      <c r="F629" s="445">
        <f>F630*0.12</f>
        <v>0</v>
      </c>
      <c r="G629" s="156"/>
      <c r="H629" s="156"/>
      <c r="I629" s="156"/>
      <c r="J629" s="156"/>
      <c r="K629" s="156"/>
      <c r="L629" s="156"/>
      <c r="M629" s="156"/>
      <c r="O629" s="531"/>
    </row>
    <row r="630" spans="1:15" s="446" customFormat="1" hidden="1">
      <c r="A630" s="1157"/>
      <c r="B630" s="275"/>
      <c r="C630" s="773"/>
      <c r="D630" s="271" t="s">
        <v>47</v>
      </c>
      <c r="E630" s="364"/>
      <c r="F630" s="445">
        <f>F621</f>
        <v>0</v>
      </c>
      <c r="G630" s="156"/>
      <c r="H630" s="156"/>
      <c r="I630" s="412"/>
      <c r="J630" s="412"/>
      <c r="K630" s="412"/>
      <c r="L630" s="412"/>
      <c r="M630" s="412"/>
      <c r="O630" s="531"/>
    </row>
    <row r="631" spans="1:15" s="446" customFormat="1" hidden="1">
      <c r="A631" s="1157"/>
      <c r="B631" s="275"/>
      <c r="C631" s="771" t="s">
        <v>20</v>
      </c>
      <c r="D631" s="424" t="s">
        <v>12</v>
      </c>
      <c r="E631" s="401">
        <f>33/1000</f>
        <v>3.3000000000000002E-2</v>
      </c>
      <c r="F631" s="411">
        <f>F630*E631</f>
        <v>0</v>
      </c>
      <c r="G631" s="156"/>
      <c r="H631" s="156"/>
      <c r="I631" s="412"/>
      <c r="J631" s="412"/>
      <c r="K631" s="156"/>
      <c r="L631" s="412"/>
      <c r="M631" s="412"/>
      <c r="O631" s="531"/>
    </row>
    <row r="632" spans="1:15" s="446" customFormat="1" hidden="1">
      <c r="A632" s="1157"/>
      <c r="B632" s="424" t="s">
        <v>151</v>
      </c>
      <c r="C632" s="772" t="s">
        <v>278</v>
      </c>
      <c r="D632" s="447" t="s">
        <v>44</v>
      </c>
      <c r="E632" s="401">
        <f>0.42/1000</f>
        <v>4.1999999999999996E-4</v>
      </c>
      <c r="F632" s="411">
        <f>E632*F630</f>
        <v>0</v>
      </c>
      <c r="G632" s="156"/>
      <c r="H632" s="156"/>
      <c r="I632" s="156"/>
      <c r="J632" s="156"/>
      <c r="K632" s="412"/>
      <c r="L632" s="412"/>
      <c r="M632" s="412"/>
      <c r="O632" s="531"/>
    </row>
    <row r="633" spans="1:15" s="446" customFormat="1" hidden="1">
      <c r="A633" s="1157"/>
      <c r="B633" s="275" t="s">
        <v>168</v>
      </c>
      <c r="C633" s="65" t="s">
        <v>287</v>
      </c>
      <c r="D633" s="275" t="s">
        <v>44</v>
      </c>
      <c r="E633" s="401">
        <f>2.58/1000</f>
        <v>2.5800000000000003E-3</v>
      </c>
      <c r="F633" s="411">
        <f>E633*F630</f>
        <v>0</v>
      </c>
      <c r="G633" s="156"/>
      <c r="H633" s="156"/>
      <c r="I633" s="156"/>
      <c r="J633" s="156"/>
      <c r="K633" s="156"/>
      <c r="L633" s="412"/>
      <c r="M633" s="412"/>
      <c r="O633" s="531"/>
    </row>
    <row r="634" spans="1:15" s="446" customFormat="1" hidden="1">
      <c r="A634" s="1157"/>
      <c r="B634" s="448">
        <v>1521</v>
      </c>
      <c r="C634" s="771" t="s">
        <v>288</v>
      </c>
      <c r="D634" s="447" t="s">
        <v>44</v>
      </c>
      <c r="E634" s="401">
        <f>11.2/1000</f>
        <v>1.12E-2</v>
      </c>
      <c r="F634" s="411">
        <f>E634*F630</f>
        <v>0</v>
      </c>
      <c r="G634" s="156"/>
      <c r="H634" s="156"/>
      <c r="I634" s="156"/>
      <c r="J634" s="156"/>
      <c r="K634" s="412"/>
      <c r="L634" s="412"/>
      <c r="M634" s="412"/>
      <c r="O634" s="531"/>
    </row>
    <row r="635" spans="1:15" s="446" customFormat="1" hidden="1">
      <c r="A635" s="1157"/>
      <c r="B635" s="448">
        <v>1522</v>
      </c>
      <c r="C635" s="771" t="s">
        <v>289</v>
      </c>
      <c r="D635" s="424" t="s">
        <v>44</v>
      </c>
      <c r="E635" s="401">
        <f>24.8/1000</f>
        <v>2.4799999999999999E-2</v>
      </c>
      <c r="F635" s="411">
        <f>E635*F630</f>
        <v>0</v>
      </c>
      <c r="G635" s="156"/>
      <c r="H635" s="156"/>
      <c r="I635" s="156"/>
      <c r="J635" s="156"/>
      <c r="K635" s="412"/>
      <c r="L635" s="412"/>
      <c r="M635" s="412"/>
      <c r="O635" s="531"/>
    </row>
    <row r="636" spans="1:15" s="446" customFormat="1" hidden="1">
      <c r="A636" s="1157"/>
      <c r="B636" s="424" t="s">
        <v>281</v>
      </c>
      <c r="C636" s="772" t="s">
        <v>282</v>
      </c>
      <c r="D636" s="424" t="s">
        <v>44</v>
      </c>
      <c r="E636" s="401">
        <f>4.14/1000</f>
        <v>4.1399999999999996E-3</v>
      </c>
      <c r="F636" s="411">
        <f>E636*F630</f>
        <v>0</v>
      </c>
      <c r="G636" s="156"/>
      <c r="H636" s="156"/>
      <c r="I636" s="156"/>
      <c r="J636" s="156"/>
      <c r="K636" s="156"/>
      <c r="L636" s="412"/>
      <c r="M636" s="412"/>
      <c r="O636" s="531"/>
    </row>
    <row r="637" spans="1:15" s="446" customFormat="1" hidden="1">
      <c r="A637" s="1157"/>
      <c r="B637" s="275" t="s">
        <v>290</v>
      </c>
      <c r="C637" s="544" t="s">
        <v>291</v>
      </c>
      <c r="D637" s="424" t="s">
        <v>44</v>
      </c>
      <c r="E637" s="401">
        <f>0.53/1000</f>
        <v>5.2999999999999998E-4</v>
      </c>
      <c r="F637" s="411">
        <f>E637*F630</f>
        <v>0</v>
      </c>
      <c r="G637" s="156"/>
      <c r="H637" s="156"/>
      <c r="I637" s="156"/>
      <c r="J637" s="156"/>
      <c r="K637" s="156"/>
      <c r="L637" s="412"/>
      <c r="M637" s="412"/>
      <c r="O637" s="531"/>
    </row>
    <row r="638" spans="1:15" s="446" customFormat="1" hidden="1">
      <c r="A638" s="1157"/>
      <c r="B638" s="275"/>
      <c r="C638" s="772" t="s">
        <v>292</v>
      </c>
      <c r="D638" s="447" t="s">
        <v>31</v>
      </c>
      <c r="E638" s="401">
        <f>189/1000</f>
        <v>0.189</v>
      </c>
      <c r="F638" s="411">
        <f>E638*F630</f>
        <v>0</v>
      </c>
      <c r="G638" s="156"/>
      <c r="H638" s="412"/>
      <c r="I638" s="156"/>
      <c r="J638" s="156"/>
      <c r="K638" s="156"/>
      <c r="L638" s="156"/>
      <c r="M638" s="412"/>
      <c r="O638" s="531"/>
    </row>
    <row r="639" spans="1:15" s="446" customFormat="1" hidden="1">
      <c r="A639" s="1157"/>
      <c r="B639" s="275"/>
      <c r="C639" s="772" t="s">
        <v>293</v>
      </c>
      <c r="D639" s="447" t="s">
        <v>31</v>
      </c>
      <c r="E639" s="401">
        <f>15/1000</f>
        <v>1.4999999999999999E-2</v>
      </c>
      <c r="F639" s="411">
        <f>E639*F630</f>
        <v>0</v>
      </c>
      <c r="G639" s="156"/>
      <c r="H639" s="412"/>
      <c r="I639" s="156"/>
      <c r="J639" s="156"/>
      <c r="K639" s="156"/>
      <c r="L639" s="156"/>
      <c r="M639" s="412"/>
      <c r="O639" s="531"/>
    </row>
    <row r="640" spans="1:15" s="446" customFormat="1" hidden="1">
      <c r="A640" s="1157"/>
      <c r="B640" s="275"/>
      <c r="C640" s="772" t="s">
        <v>284</v>
      </c>
      <c r="D640" s="447" t="s">
        <v>31</v>
      </c>
      <c r="E640" s="401">
        <f>30/1000</f>
        <v>0.03</v>
      </c>
      <c r="F640" s="411">
        <f>E640*F630</f>
        <v>0</v>
      </c>
      <c r="G640" s="156"/>
      <c r="H640" s="412"/>
      <c r="I640" s="412"/>
      <c r="J640" s="412"/>
      <c r="K640" s="412"/>
      <c r="L640" s="412"/>
      <c r="M640" s="412"/>
      <c r="O640" s="531"/>
    </row>
    <row r="641" spans="1:15" s="446" customFormat="1" hidden="1">
      <c r="A641" s="1175" t="s">
        <v>85</v>
      </c>
      <c r="B641" s="449" t="s">
        <v>294</v>
      </c>
      <c r="C641" s="761" t="s">
        <v>295</v>
      </c>
      <c r="D641" s="271" t="s">
        <v>40</v>
      </c>
      <c r="E641" s="364"/>
      <c r="F641" s="445">
        <f>F621*0.0006</f>
        <v>0</v>
      </c>
      <c r="G641" s="156"/>
      <c r="H641" s="412"/>
      <c r="I641" s="412"/>
      <c r="J641" s="412"/>
      <c r="K641" s="412"/>
      <c r="L641" s="412"/>
      <c r="M641" s="412"/>
      <c r="O641" s="531"/>
    </row>
    <row r="642" spans="1:15" s="446" customFormat="1" hidden="1">
      <c r="A642" s="1175"/>
      <c r="B642" s="448">
        <v>1501</v>
      </c>
      <c r="C642" s="774" t="s">
        <v>296</v>
      </c>
      <c r="D642" s="450" t="s">
        <v>22</v>
      </c>
      <c r="E642" s="451">
        <v>0.3</v>
      </c>
      <c r="F642" s="452">
        <f>F641*E642</f>
        <v>0</v>
      </c>
      <c r="G642" s="383"/>
      <c r="H642" s="412"/>
      <c r="I642" s="383"/>
      <c r="J642" s="412"/>
      <c r="K642" s="453"/>
      <c r="L642" s="412"/>
      <c r="M642" s="412"/>
      <c r="O642" s="531"/>
    </row>
    <row r="643" spans="1:15" s="446" customFormat="1" hidden="1">
      <c r="A643" s="1175"/>
      <c r="B643" s="454"/>
      <c r="C643" s="775" t="s">
        <v>297</v>
      </c>
      <c r="D643" s="454" t="s">
        <v>298</v>
      </c>
      <c r="E643" s="455">
        <v>1.03</v>
      </c>
      <c r="F643" s="456">
        <f>F641*E643</f>
        <v>0</v>
      </c>
      <c r="G643" s="383"/>
      <c r="H643" s="412"/>
      <c r="I643" s="457"/>
      <c r="J643" s="412"/>
      <c r="K643" s="383"/>
      <c r="L643" s="412"/>
      <c r="M643" s="412"/>
      <c r="O643" s="531"/>
    </row>
    <row r="644" spans="1:15" s="446" customFormat="1" ht="47.25" hidden="1">
      <c r="A644" s="1155" t="s">
        <v>79</v>
      </c>
      <c r="B644" s="458" t="s">
        <v>299</v>
      </c>
      <c r="C644" s="769" t="s">
        <v>300</v>
      </c>
      <c r="D644" s="271" t="s">
        <v>301</v>
      </c>
      <c r="E644" s="364"/>
      <c r="F644" s="445">
        <f>F630/100</f>
        <v>0</v>
      </c>
      <c r="G644" s="156"/>
      <c r="H644" s="156"/>
      <c r="I644" s="156"/>
      <c r="J644" s="156"/>
      <c r="K644" s="156"/>
      <c r="L644" s="156"/>
      <c r="M644" s="156"/>
      <c r="O644" s="531"/>
    </row>
    <row r="645" spans="1:15" s="446" customFormat="1" hidden="1">
      <c r="A645" s="1157"/>
      <c r="B645" s="448"/>
      <c r="C645" s="771" t="s">
        <v>20</v>
      </c>
      <c r="D645" s="448" t="s">
        <v>12</v>
      </c>
      <c r="E645" s="459">
        <f>(37.5+0.07*4)/10</f>
        <v>3.778</v>
      </c>
      <c r="F645" s="460">
        <f>F644*E645</f>
        <v>0</v>
      </c>
      <c r="G645" s="461"/>
      <c r="H645" s="412"/>
      <c r="I645" s="462"/>
      <c r="J645" s="412"/>
      <c r="K645" s="462"/>
      <c r="L645" s="412"/>
      <c r="M645" s="412"/>
      <c r="O645" s="531"/>
    </row>
    <row r="646" spans="1:15" s="446" customFormat="1" hidden="1">
      <c r="A646" s="1157"/>
      <c r="B646" s="448">
        <v>1564</v>
      </c>
      <c r="C646" s="771" t="s">
        <v>302</v>
      </c>
      <c r="D646" s="448" t="s">
        <v>22</v>
      </c>
      <c r="E646" s="459">
        <f>3.02/10</f>
        <v>0.30199999999999999</v>
      </c>
      <c r="F646" s="460">
        <f>F644*E646</f>
        <v>0</v>
      </c>
      <c r="G646" s="462"/>
      <c r="H646" s="412"/>
      <c r="I646" s="462"/>
      <c r="J646" s="412"/>
      <c r="K646" s="461"/>
      <c r="L646" s="412"/>
      <c r="M646" s="412"/>
      <c r="O646" s="531"/>
    </row>
    <row r="647" spans="1:15" s="446" customFormat="1" hidden="1">
      <c r="A647" s="1157"/>
      <c r="B647" s="448">
        <v>1521</v>
      </c>
      <c r="C647" s="771" t="s">
        <v>288</v>
      </c>
      <c r="D647" s="448" t="s">
        <v>22</v>
      </c>
      <c r="E647" s="459">
        <f>3.7/10</f>
        <v>0.37</v>
      </c>
      <c r="F647" s="460">
        <f>F644*E647</f>
        <v>0</v>
      </c>
      <c r="G647" s="462"/>
      <c r="H647" s="412"/>
      <c r="I647" s="461"/>
      <c r="J647" s="412"/>
      <c r="K647" s="412"/>
      <c r="L647" s="412"/>
      <c r="M647" s="412"/>
      <c r="O647" s="531"/>
    </row>
    <row r="648" spans="1:15" s="446" customFormat="1" hidden="1">
      <c r="A648" s="1157"/>
      <c r="B648" s="448">
        <v>1522</v>
      </c>
      <c r="C648" s="771" t="s">
        <v>289</v>
      </c>
      <c r="D648" s="448" t="s">
        <v>22</v>
      </c>
      <c r="E648" s="459">
        <f>11.1/10</f>
        <v>1.1099999999999999</v>
      </c>
      <c r="F648" s="460">
        <f>F644*E648</f>
        <v>0</v>
      </c>
      <c r="G648" s="462"/>
      <c r="H648" s="412"/>
      <c r="I648" s="461"/>
      <c r="J648" s="412"/>
      <c r="K648" s="412"/>
      <c r="L648" s="412"/>
      <c r="M648" s="412"/>
      <c r="O648" s="531"/>
    </row>
    <row r="649" spans="1:15" s="446" customFormat="1" hidden="1">
      <c r="A649" s="1157"/>
      <c r="B649" s="448"/>
      <c r="C649" s="771" t="s">
        <v>11</v>
      </c>
      <c r="D649" s="448" t="s">
        <v>9</v>
      </c>
      <c r="E649" s="459">
        <f>2.3/10</f>
        <v>0.22999999999999998</v>
      </c>
      <c r="F649" s="460">
        <f>F644*E649</f>
        <v>0</v>
      </c>
      <c r="G649" s="462"/>
      <c r="H649" s="412"/>
      <c r="I649" s="461"/>
      <c r="J649" s="412"/>
      <c r="K649" s="461"/>
      <c r="L649" s="412"/>
      <c r="M649" s="412"/>
      <c r="O649" s="531"/>
    </row>
    <row r="650" spans="1:15" s="446" customFormat="1" hidden="1">
      <c r="A650" s="1157"/>
      <c r="B650" s="448"/>
      <c r="C650" s="771" t="s">
        <v>303</v>
      </c>
      <c r="D650" s="448" t="s">
        <v>298</v>
      </c>
      <c r="E650" s="463">
        <f>(97.7+12.2*4)/10</f>
        <v>14.65</v>
      </c>
      <c r="F650" s="460">
        <f>F644*E650</f>
        <v>0</v>
      </c>
      <c r="G650" s="462"/>
      <c r="H650" s="412"/>
      <c r="I650" s="461"/>
      <c r="J650" s="412"/>
      <c r="K650" s="462"/>
      <c r="L650" s="412"/>
      <c r="M650" s="412"/>
      <c r="O650" s="531"/>
    </row>
    <row r="651" spans="1:15" s="446" customFormat="1" hidden="1">
      <c r="A651" s="1156"/>
      <c r="B651" s="448"/>
      <c r="C651" s="771" t="s">
        <v>13</v>
      </c>
      <c r="D651" s="448" t="s">
        <v>9</v>
      </c>
      <c r="E651" s="459">
        <f>(14.5+0.2*4)/10</f>
        <v>1.53</v>
      </c>
      <c r="F651" s="460">
        <f>F644*E651</f>
        <v>0</v>
      </c>
      <c r="G651" s="462"/>
      <c r="H651" s="412"/>
      <c r="I651" s="461"/>
      <c r="J651" s="412"/>
      <c r="K651" s="462"/>
      <c r="L651" s="412"/>
      <c r="M651" s="412"/>
      <c r="O651" s="531"/>
    </row>
    <row r="652" spans="1:15" s="446" customFormat="1" hidden="1">
      <c r="A652" s="1155" t="s">
        <v>80</v>
      </c>
      <c r="B652" s="449" t="s">
        <v>294</v>
      </c>
      <c r="C652" s="761" t="s">
        <v>304</v>
      </c>
      <c r="D652" s="271" t="s">
        <v>40</v>
      </c>
      <c r="E652" s="364"/>
      <c r="F652" s="445">
        <f>F621*0.0003</f>
        <v>0</v>
      </c>
      <c r="G652" s="156"/>
      <c r="H652" s="156"/>
      <c r="I652" s="156"/>
      <c r="J652" s="156"/>
      <c r="K652" s="156"/>
      <c r="L652" s="156"/>
      <c r="M652" s="156"/>
      <c r="O652" s="531"/>
    </row>
    <row r="653" spans="1:15" s="446" customFormat="1" hidden="1">
      <c r="A653" s="1157"/>
      <c r="B653" s="448">
        <v>1501</v>
      </c>
      <c r="C653" s="774" t="s">
        <v>296</v>
      </c>
      <c r="D653" s="450" t="s">
        <v>22</v>
      </c>
      <c r="E653" s="451">
        <v>0.3</v>
      </c>
      <c r="F653" s="452">
        <f>F652*E653</f>
        <v>0</v>
      </c>
      <c r="G653" s="383"/>
      <c r="H653" s="412"/>
      <c r="I653" s="383"/>
      <c r="J653" s="412"/>
      <c r="K653" s="453"/>
      <c r="L653" s="412"/>
      <c r="M653" s="412"/>
      <c r="O653" s="531"/>
    </row>
    <row r="654" spans="1:15" s="446" customFormat="1" hidden="1">
      <c r="A654" s="1156"/>
      <c r="B654" s="454"/>
      <c r="C654" s="775" t="s">
        <v>297</v>
      </c>
      <c r="D654" s="454" t="s">
        <v>298</v>
      </c>
      <c r="E654" s="455">
        <v>1.03</v>
      </c>
      <c r="F654" s="456">
        <f>F652*E654</f>
        <v>0</v>
      </c>
      <c r="G654" s="383"/>
      <c r="H654" s="412"/>
      <c r="I654" s="457"/>
      <c r="J654" s="412"/>
      <c r="K654" s="383"/>
      <c r="L654" s="412"/>
      <c r="M654" s="412"/>
      <c r="O654" s="531"/>
    </row>
    <row r="655" spans="1:15" s="446" customFormat="1" ht="47.25" hidden="1">
      <c r="A655" s="1155" t="s">
        <v>81</v>
      </c>
      <c r="B655" s="458" t="s">
        <v>305</v>
      </c>
      <c r="C655" s="769" t="s">
        <v>306</v>
      </c>
      <c r="D655" s="271" t="s">
        <v>47</v>
      </c>
      <c r="E655" s="364"/>
      <c r="F655" s="445">
        <f>F621/100</f>
        <v>0</v>
      </c>
      <c r="G655" s="156"/>
      <c r="H655" s="156"/>
      <c r="I655" s="156"/>
      <c r="J655" s="156"/>
      <c r="K655" s="156"/>
      <c r="L655" s="156"/>
      <c r="M655" s="156"/>
      <c r="O655" s="531"/>
    </row>
    <row r="656" spans="1:15" s="446" customFormat="1" hidden="1">
      <c r="A656" s="1157"/>
      <c r="B656" s="448"/>
      <c r="C656" s="771" t="s">
        <v>20</v>
      </c>
      <c r="D656" s="448" t="s">
        <v>12</v>
      </c>
      <c r="E656" s="459">
        <f>(37.5+0.07*0)/10</f>
        <v>3.75</v>
      </c>
      <c r="F656" s="460">
        <f>F655*E656</f>
        <v>0</v>
      </c>
      <c r="G656" s="461"/>
      <c r="H656" s="412"/>
      <c r="I656" s="462"/>
      <c r="J656" s="412"/>
      <c r="K656" s="462"/>
      <c r="L656" s="412"/>
      <c r="M656" s="412"/>
      <c r="O656" s="531"/>
    </row>
    <row r="657" spans="1:15" s="446" customFormat="1" hidden="1">
      <c r="A657" s="1157"/>
      <c r="B657" s="448">
        <v>1564</v>
      </c>
      <c r="C657" s="771" t="s">
        <v>302</v>
      </c>
      <c r="D657" s="448" t="s">
        <v>22</v>
      </c>
      <c r="E657" s="459">
        <f>3.02/10</f>
        <v>0.30199999999999999</v>
      </c>
      <c r="F657" s="460">
        <f>F655*E657</f>
        <v>0</v>
      </c>
      <c r="G657" s="462"/>
      <c r="H657" s="412"/>
      <c r="I657" s="462"/>
      <c r="J657" s="412"/>
      <c r="K657" s="461"/>
      <c r="L657" s="412"/>
      <c r="M657" s="412"/>
      <c r="O657" s="531"/>
    </row>
    <row r="658" spans="1:15" s="446" customFormat="1" hidden="1">
      <c r="A658" s="1157"/>
      <c r="B658" s="448">
        <v>1521</v>
      </c>
      <c r="C658" s="771" t="s">
        <v>288</v>
      </c>
      <c r="D658" s="448" t="s">
        <v>22</v>
      </c>
      <c r="E658" s="459">
        <f>3.7/10</f>
        <v>0.37</v>
      </c>
      <c r="F658" s="460">
        <f>F655*E658</f>
        <v>0</v>
      </c>
      <c r="G658" s="462"/>
      <c r="H658" s="412"/>
      <c r="I658" s="461"/>
      <c r="J658" s="412"/>
      <c r="K658" s="412"/>
      <c r="L658" s="412"/>
      <c r="M658" s="412"/>
      <c r="O658" s="531"/>
    </row>
    <row r="659" spans="1:15" s="446" customFormat="1" hidden="1">
      <c r="A659" s="1157"/>
      <c r="B659" s="448">
        <v>1522</v>
      </c>
      <c r="C659" s="771" t="s">
        <v>289</v>
      </c>
      <c r="D659" s="448" t="s">
        <v>22</v>
      </c>
      <c r="E659" s="459">
        <f>11.1/10</f>
        <v>1.1099999999999999</v>
      </c>
      <c r="F659" s="460">
        <f>F655*E659</f>
        <v>0</v>
      </c>
      <c r="G659" s="462"/>
      <c r="H659" s="412"/>
      <c r="I659" s="461"/>
      <c r="J659" s="412"/>
      <c r="K659" s="412"/>
      <c r="L659" s="412"/>
      <c r="M659" s="412"/>
      <c r="O659" s="531"/>
    </row>
    <row r="660" spans="1:15" s="446" customFormat="1" hidden="1">
      <c r="A660" s="1157"/>
      <c r="B660" s="448"/>
      <c r="C660" s="771" t="s">
        <v>11</v>
      </c>
      <c r="D660" s="448" t="s">
        <v>9</v>
      </c>
      <c r="E660" s="459">
        <f>2.3/10</f>
        <v>0.22999999999999998</v>
      </c>
      <c r="F660" s="460">
        <f>F655*E660</f>
        <v>0</v>
      </c>
      <c r="G660" s="462"/>
      <c r="H660" s="412"/>
      <c r="I660" s="461"/>
      <c r="J660" s="412"/>
      <c r="K660" s="461"/>
      <c r="L660" s="412"/>
      <c r="M660" s="412"/>
      <c r="O660" s="531"/>
    </row>
    <row r="661" spans="1:15" s="446" customFormat="1" hidden="1">
      <c r="A661" s="1157"/>
      <c r="B661" s="448"/>
      <c r="C661" s="771" t="s">
        <v>307</v>
      </c>
      <c r="D661" s="448" t="s">
        <v>298</v>
      </c>
      <c r="E661" s="463">
        <f>(97.7+12.2*0)/10</f>
        <v>9.77</v>
      </c>
      <c r="F661" s="460">
        <f>F655*E661</f>
        <v>0</v>
      </c>
      <c r="G661" s="462"/>
      <c r="H661" s="412"/>
      <c r="I661" s="461"/>
      <c r="J661" s="412"/>
      <c r="K661" s="462"/>
      <c r="L661" s="412"/>
      <c r="M661" s="412"/>
      <c r="O661" s="531"/>
    </row>
    <row r="662" spans="1:15" s="446" customFormat="1" hidden="1">
      <c r="A662" s="1156"/>
      <c r="B662" s="448"/>
      <c r="C662" s="771" t="s">
        <v>13</v>
      </c>
      <c r="D662" s="448" t="s">
        <v>9</v>
      </c>
      <c r="E662" s="459">
        <f>(14.5+0.2*0)/10</f>
        <v>1.45</v>
      </c>
      <c r="F662" s="460">
        <f>F655*E662</f>
        <v>0</v>
      </c>
      <c r="G662" s="462"/>
      <c r="H662" s="412"/>
      <c r="I662" s="461"/>
      <c r="J662" s="412"/>
      <c r="K662" s="462"/>
      <c r="L662" s="412"/>
      <c r="M662" s="412"/>
      <c r="O662" s="531"/>
    </row>
    <row r="663" spans="1:15" s="446" customFormat="1" ht="31.5" hidden="1">
      <c r="A663" s="1128" t="s">
        <v>77</v>
      </c>
      <c r="B663" s="458" t="s">
        <v>602</v>
      </c>
      <c r="C663" s="776" t="s">
        <v>603</v>
      </c>
      <c r="D663" s="448" t="s">
        <v>43</v>
      </c>
      <c r="E663" s="694"/>
      <c r="F663" s="695">
        <v>0</v>
      </c>
      <c r="G663" s="462"/>
      <c r="H663" s="597"/>
      <c r="I663" s="461"/>
      <c r="J663" s="597"/>
      <c r="K663" s="462"/>
      <c r="L663" s="597"/>
      <c r="M663" s="597"/>
      <c r="O663" s="531"/>
    </row>
    <row r="664" spans="1:15" s="446" customFormat="1" hidden="1">
      <c r="A664" s="1129"/>
      <c r="B664" s="696"/>
      <c r="C664" s="777" t="s">
        <v>150</v>
      </c>
      <c r="D664" s="600" t="s">
        <v>21</v>
      </c>
      <c r="E664" s="320">
        <v>3.2499999999999999E-3</v>
      </c>
      <c r="F664" s="325">
        <f>E664*F663</f>
        <v>0</v>
      </c>
      <c r="G664" s="435"/>
      <c r="H664" s="435"/>
      <c r="I664" s="435"/>
      <c r="J664" s="435"/>
      <c r="K664" s="435"/>
      <c r="L664" s="435"/>
      <c r="M664" s="435"/>
      <c r="O664" s="531"/>
    </row>
    <row r="665" spans="1:15" s="446" customFormat="1" hidden="1">
      <c r="A665" s="1129"/>
      <c r="B665" s="458" t="s">
        <v>604</v>
      </c>
      <c r="C665" s="618" t="s">
        <v>605</v>
      </c>
      <c r="D665" s="600" t="s">
        <v>44</v>
      </c>
      <c r="E665" s="320">
        <v>8.8000000000000003E-4</v>
      </c>
      <c r="F665" s="325">
        <f>E665*F663</f>
        <v>0</v>
      </c>
      <c r="G665" s="435"/>
      <c r="H665" s="435"/>
      <c r="I665" s="435"/>
      <c r="J665" s="435"/>
      <c r="K665" s="435"/>
      <c r="L665" s="435"/>
      <c r="M665" s="435"/>
      <c r="O665" s="531"/>
    </row>
    <row r="666" spans="1:15" s="446" customFormat="1" hidden="1">
      <c r="A666" s="1129"/>
      <c r="B666" s="696"/>
      <c r="C666" s="778" t="s">
        <v>11</v>
      </c>
      <c r="D666" s="448" t="s">
        <v>9</v>
      </c>
      <c r="E666" s="694">
        <v>3.5200000000000001E-3</v>
      </c>
      <c r="F666" s="697">
        <f>F663*E666</f>
        <v>0</v>
      </c>
      <c r="G666" s="462"/>
      <c r="H666" s="597"/>
      <c r="I666" s="461"/>
      <c r="J666" s="597"/>
      <c r="K666" s="462"/>
      <c r="L666" s="435"/>
      <c r="M666" s="435"/>
      <c r="O666" s="531"/>
    </row>
    <row r="667" spans="1:15" s="446" customFormat="1" hidden="1">
      <c r="A667" s="1130"/>
      <c r="B667" s="696"/>
      <c r="C667" s="778" t="s">
        <v>606</v>
      </c>
      <c r="D667" s="448" t="s">
        <v>7</v>
      </c>
      <c r="E667" s="694">
        <v>4.2000000000000003E-2</v>
      </c>
      <c r="F667" s="697">
        <f>F663*E667</f>
        <v>0</v>
      </c>
      <c r="G667" s="462"/>
      <c r="H667" s="597"/>
      <c r="I667" s="597"/>
      <c r="J667" s="597"/>
      <c r="K667" s="383"/>
      <c r="L667" s="597"/>
      <c r="M667" s="435"/>
      <c r="O667" s="531"/>
    </row>
    <row r="668" spans="1:15" s="74" customFormat="1" ht="16.5" hidden="1">
      <c r="A668" s="410"/>
      <c r="B668" s="260"/>
      <c r="C668" s="739"/>
      <c r="D668" s="260"/>
      <c r="E668" s="243"/>
      <c r="F668" s="76"/>
      <c r="G668" s="22"/>
      <c r="H668" s="412"/>
      <c r="I668" s="22"/>
      <c r="J668" s="412"/>
      <c r="K668" s="21"/>
      <c r="L668" s="412"/>
      <c r="M668" s="412"/>
      <c r="N668" s="274"/>
      <c r="O668" s="529"/>
    </row>
    <row r="669" spans="1:15" s="74" customFormat="1" ht="16.5" hidden="1">
      <c r="A669" s="436"/>
      <c r="B669" s="553"/>
      <c r="C669" s="48" t="s">
        <v>309</v>
      </c>
      <c r="D669" s="77"/>
      <c r="E669" s="396"/>
      <c r="F669" s="48">
        <v>1</v>
      </c>
      <c r="G669" s="22"/>
      <c r="H669" s="412"/>
      <c r="I669" s="22"/>
      <c r="J669" s="412"/>
      <c r="K669" s="21"/>
      <c r="L669" s="412"/>
      <c r="M669" s="412"/>
      <c r="N669" s="274"/>
      <c r="O669" s="529"/>
    </row>
    <row r="670" spans="1:15" s="67" customFormat="1" ht="31.5" hidden="1">
      <c r="A670" s="1149">
        <v>1</v>
      </c>
      <c r="B670" s="472" t="s">
        <v>33</v>
      </c>
      <c r="C670" s="779" t="s">
        <v>310</v>
      </c>
      <c r="D670" s="472" t="s">
        <v>39</v>
      </c>
      <c r="E670" s="473"/>
      <c r="F670" s="16">
        <f>1*1*1.056*17 + 1*1*0.95*1</f>
        <v>18.902000000000001</v>
      </c>
      <c r="G670" s="293"/>
      <c r="H670" s="156"/>
      <c r="I670" s="156"/>
      <c r="J670" s="156"/>
      <c r="K670" s="156"/>
      <c r="L670" s="156"/>
      <c r="M670" s="475"/>
      <c r="N670" s="444"/>
      <c r="O670" s="393"/>
    </row>
    <row r="671" spans="1:15" s="67" customFormat="1" hidden="1">
      <c r="A671" s="1151"/>
      <c r="B671" s="40"/>
      <c r="C671" s="763" t="s">
        <v>54</v>
      </c>
      <c r="D671" s="40" t="s">
        <v>12</v>
      </c>
      <c r="E671" s="476">
        <v>3.88</v>
      </c>
      <c r="F671" s="1053">
        <f>F670*E671</f>
        <v>73.339759999999998</v>
      </c>
      <c r="G671" s="293"/>
      <c r="H671" s="293"/>
      <c r="I671" s="293"/>
      <c r="J671" s="1050"/>
      <c r="K671" s="293"/>
      <c r="L671" s="293"/>
      <c r="M671" s="475"/>
      <c r="N671" s="444"/>
      <c r="O671" s="393"/>
    </row>
    <row r="672" spans="1:15" s="67" customFormat="1" ht="31.5" hidden="1">
      <c r="A672" s="1143" t="s">
        <v>69</v>
      </c>
      <c r="B672" s="478" t="s">
        <v>82</v>
      </c>
      <c r="C672" s="762" t="s">
        <v>122</v>
      </c>
      <c r="D672" s="194" t="s">
        <v>125</v>
      </c>
      <c r="E672" s="479"/>
      <c r="F672" s="1054">
        <f>F670*1.95</f>
        <v>36.858899999999998</v>
      </c>
      <c r="G672" s="293"/>
      <c r="H672" s="293"/>
      <c r="I672" s="293"/>
      <c r="J672" s="293"/>
      <c r="K672" s="293"/>
      <c r="L672" s="293"/>
      <c r="M672" s="475"/>
      <c r="N672" s="444"/>
      <c r="O672" s="393"/>
    </row>
    <row r="673" spans="1:15" s="67" customFormat="1" hidden="1">
      <c r="A673" s="1145"/>
      <c r="B673" s="40"/>
      <c r="C673" s="763" t="s">
        <v>54</v>
      </c>
      <c r="D673" s="40" t="s">
        <v>12</v>
      </c>
      <c r="E673" s="476">
        <v>0.53</v>
      </c>
      <c r="F673" s="1053">
        <f>F672*E673</f>
        <v>19.535216999999999</v>
      </c>
      <c r="G673" s="293"/>
      <c r="H673" s="293"/>
      <c r="I673" s="293"/>
      <c r="J673" s="1050"/>
      <c r="K673" s="293"/>
      <c r="L673" s="293"/>
      <c r="M673" s="475"/>
      <c r="N673" s="444"/>
      <c r="O673" s="393"/>
    </row>
    <row r="674" spans="1:15" s="67" customFormat="1" ht="31.5" hidden="1">
      <c r="A674" s="481" t="s">
        <v>85</v>
      </c>
      <c r="B674" s="194" t="s">
        <v>177</v>
      </c>
      <c r="C674" s="762" t="s">
        <v>811</v>
      </c>
      <c r="D674" s="194" t="s">
        <v>40</v>
      </c>
      <c r="E674" s="482"/>
      <c r="F674" s="1054">
        <f>F672</f>
        <v>36.858899999999998</v>
      </c>
      <c r="G674" s="293"/>
      <c r="H674" s="293"/>
      <c r="I674" s="293"/>
      <c r="J674" s="293"/>
      <c r="K674" s="22"/>
      <c r="L674" s="1050"/>
      <c r="M674" s="475"/>
      <c r="N674" s="444"/>
      <c r="O674" s="393"/>
    </row>
    <row r="675" spans="1:15" s="67" customFormat="1" ht="31.5" hidden="1">
      <c r="A675" s="1143" t="s">
        <v>79</v>
      </c>
      <c r="B675" s="194" t="s">
        <v>37</v>
      </c>
      <c r="C675" s="780" t="s">
        <v>311</v>
      </c>
      <c r="D675" s="194" t="s">
        <v>39</v>
      </c>
      <c r="E675" s="476"/>
      <c r="F675" s="1055"/>
      <c r="G675" s="293"/>
      <c r="H675" s="293"/>
      <c r="I675" s="293"/>
      <c r="J675" s="293"/>
      <c r="K675" s="293"/>
      <c r="L675" s="293"/>
      <c r="M675" s="475"/>
      <c r="N675" s="444"/>
      <c r="O675" s="393"/>
    </row>
    <row r="676" spans="1:15" s="67" customFormat="1" hidden="1">
      <c r="A676" s="1144"/>
      <c r="B676" s="40"/>
      <c r="C676" s="547" t="s">
        <v>20</v>
      </c>
      <c r="D676" s="40" t="s">
        <v>21</v>
      </c>
      <c r="E676" s="476">
        <v>3.52</v>
      </c>
      <c r="F676" s="1056">
        <f>E676*F675</f>
        <v>0</v>
      </c>
      <c r="G676" s="293"/>
      <c r="H676" s="293"/>
      <c r="I676" s="293"/>
      <c r="J676" s="1050"/>
      <c r="K676" s="293"/>
      <c r="L676" s="293"/>
      <c r="M676" s="475"/>
      <c r="N676" s="444"/>
      <c r="O676" s="393"/>
    </row>
    <row r="677" spans="1:15" s="67" customFormat="1" hidden="1">
      <c r="A677" s="1144"/>
      <c r="B677" s="40"/>
      <c r="C677" s="547" t="s">
        <v>23</v>
      </c>
      <c r="D677" s="40" t="s">
        <v>9</v>
      </c>
      <c r="E677" s="476">
        <v>1.06</v>
      </c>
      <c r="F677" s="1056">
        <f>F675*E677</f>
        <v>0</v>
      </c>
      <c r="G677" s="293"/>
      <c r="H677" s="293"/>
      <c r="I677" s="293"/>
      <c r="J677" s="293"/>
      <c r="K677" s="293"/>
      <c r="L677" s="1050"/>
      <c r="M677" s="475"/>
      <c r="N677" s="444"/>
      <c r="O677" s="393"/>
    </row>
    <row r="678" spans="1:15" s="67" customFormat="1" hidden="1">
      <c r="A678" s="1144"/>
      <c r="B678" s="40"/>
      <c r="C678" s="547" t="s">
        <v>140</v>
      </c>
      <c r="D678" s="40" t="s">
        <v>31</v>
      </c>
      <c r="E678" s="476">
        <f>0.18+0.09+0.97</f>
        <v>1.24</v>
      </c>
      <c r="F678" s="1056">
        <f>E678*F675</f>
        <v>0</v>
      </c>
      <c r="G678" s="293"/>
      <c r="H678" s="1050"/>
      <c r="I678" s="293"/>
      <c r="J678" s="293"/>
      <c r="K678" s="293"/>
      <c r="L678" s="293"/>
      <c r="M678" s="475"/>
      <c r="N678" s="444"/>
      <c r="O678" s="393"/>
    </row>
    <row r="679" spans="1:15" s="67" customFormat="1" hidden="1">
      <c r="A679" s="1145"/>
      <c r="B679" s="40"/>
      <c r="C679" s="748" t="s">
        <v>50</v>
      </c>
      <c r="D679" s="423" t="s">
        <v>9</v>
      </c>
      <c r="E679" s="476">
        <v>0.02</v>
      </c>
      <c r="F679" s="1056">
        <f>F675*E679</f>
        <v>0</v>
      </c>
      <c r="G679" s="30"/>
      <c r="H679" s="1050"/>
      <c r="I679" s="483"/>
      <c r="J679" s="293"/>
      <c r="K679" s="484"/>
      <c r="L679" s="293"/>
      <c r="M679" s="475"/>
      <c r="N679" s="444"/>
      <c r="O679" s="393"/>
    </row>
    <row r="680" spans="1:15" s="67" customFormat="1" ht="31.5" hidden="1">
      <c r="A680" s="1149" t="s">
        <v>80</v>
      </c>
      <c r="B680" s="194" t="s">
        <v>178</v>
      </c>
      <c r="C680" s="779" t="s">
        <v>312</v>
      </c>
      <c r="D680" s="472" t="s">
        <v>39</v>
      </c>
      <c r="E680" s="473"/>
      <c r="F680" s="16">
        <f>0.8*0.8*0.1*17  +  0.8*0.8*0.1*1</f>
        <v>1.1520000000000004</v>
      </c>
      <c r="G680" s="293"/>
      <c r="H680" s="156"/>
      <c r="I680" s="156"/>
      <c r="J680" s="156"/>
      <c r="K680" s="156"/>
      <c r="L680" s="156"/>
      <c r="M680" s="485"/>
      <c r="N680" s="444"/>
      <c r="O680" s="393"/>
    </row>
    <row r="681" spans="1:15" s="67" customFormat="1" hidden="1">
      <c r="A681" s="1150"/>
      <c r="B681" s="270"/>
      <c r="C681" s="547" t="s">
        <v>20</v>
      </c>
      <c r="D681" s="40" t="s">
        <v>21</v>
      </c>
      <c r="E681" s="476">
        <v>1.37</v>
      </c>
      <c r="F681" s="1056">
        <f>E681*F680</f>
        <v>1.5782400000000005</v>
      </c>
      <c r="G681" s="293"/>
      <c r="H681" s="293"/>
      <c r="I681" s="293"/>
      <c r="J681" s="1050"/>
      <c r="K681" s="293"/>
      <c r="L681" s="293"/>
      <c r="M681" s="475"/>
      <c r="N681" s="444"/>
      <c r="O681" s="393"/>
    </row>
    <row r="682" spans="1:15" s="67" customFormat="1" hidden="1">
      <c r="A682" s="1150"/>
      <c r="B682" s="270"/>
      <c r="C682" s="547" t="s">
        <v>23</v>
      </c>
      <c r="D682" s="40" t="s">
        <v>9</v>
      </c>
      <c r="E682" s="476">
        <v>0.28299999999999997</v>
      </c>
      <c r="F682" s="1056">
        <f>F680*E682</f>
        <v>0.32601600000000008</v>
      </c>
      <c r="G682" s="293"/>
      <c r="H682" s="293"/>
      <c r="I682" s="293"/>
      <c r="J682" s="293"/>
      <c r="K682" s="293"/>
      <c r="L682" s="1050"/>
      <c r="M682" s="475"/>
      <c r="N682" s="444"/>
      <c r="O682" s="393"/>
    </row>
    <row r="683" spans="1:15" s="67" customFormat="1" hidden="1">
      <c r="A683" s="1150"/>
      <c r="B683" s="270"/>
      <c r="C683" s="781" t="s">
        <v>313</v>
      </c>
      <c r="D683" s="270" t="s">
        <v>39</v>
      </c>
      <c r="E683" s="327">
        <v>1.02</v>
      </c>
      <c r="F683" s="1057">
        <f>F680*E683</f>
        <v>1.1750400000000003</v>
      </c>
      <c r="G683" s="293"/>
      <c r="H683" s="1050"/>
      <c r="I683" s="293"/>
      <c r="J683" s="293"/>
      <c r="K683" s="293"/>
      <c r="L683" s="293"/>
      <c r="M683" s="475"/>
      <c r="N683" s="444"/>
      <c r="O683" s="393"/>
    </row>
    <row r="684" spans="1:15" s="67" customFormat="1" hidden="1">
      <c r="A684" s="1151"/>
      <c r="B684" s="270"/>
      <c r="C684" s="781" t="s">
        <v>50</v>
      </c>
      <c r="D684" s="270" t="s">
        <v>9</v>
      </c>
      <c r="E684" s="327">
        <v>0.62</v>
      </c>
      <c r="F684" s="1057">
        <f>F680*E684</f>
        <v>0.71424000000000021</v>
      </c>
      <c r="G684" s="30"/>
      <c r="H684" s="1050"/>
      <c r="I684" s="483"/>
      <c r="J684" s="293"/>
      <c r="K684" s="484"/>
      <c r="L684" s="293"/>
      <c r="M684" s="475"/>
      <c r="N684" s="444"/>
      <c r="O684" s="393"/>
    </row>
    <row r="685" spans="1:15" s="67" customFormat="1" ht="31.5" hidden="1">
      <c r="A685" s="1149" t="s">
        <v>81</v>
      </c>
      <c r="B685" s="472" t="s">
        <v>314</v>
      </c>
      <c r="C685" s="779" t="s">
        <v>315</v>
      </c>
      <c r="D685" s="472" t="s">
        <v>39</v>
      </c>
      <c r="E685" s="473"/>
      <c r="F685" s="16">
        <f>0.5*0.5*0.956*17  +  0.7*0.7*0.85*1</f>
        <v>4.4794999999999998</v>
      </c>
      <c r="G685" s="293"/>
      <c r="H685" s="156"/>
      <c r="I685" s="156"/>
      <c r="J685" s="156"/>
      <c r="K685" s="156"/>
      <c r="L685" s="156"/>
      <c r="M685" s="485"/>
      <c r="N685" s="444"/>
      <c r="O685" s="393"/>
    </row>
    <row r="686" spans="1:15" s="67" customFormat="1" hidden="1">
      <c r="A686" s="1150"/>
      <c r="B686" s="270"/>
      <c r="C686" s="547" t="s">
        <v>20</v>
      </c>
      <c r="D686" s="40" t="s">
        <v>21</v>
      </c>
      <c r="E686" s="476">
        <v>6.66</v>
      </c>
      <c r="F686" s="1056">
        <f>E686*F685</f>
        <v>29.833469999999998</v>
      </c>
      <c r="G686" s="293"/>
      <c r="H686" s="293"/>
      <c r="I686" s="293"/>
      <c r="J686" s="1050"/>
      <c r="K686" s="293"/>
      <c r="L686" s="293"/>
      <c r="M686" s="475"/>
      <c r="N686" s="444"/>
      <c r="O686" s="393"/>
    </row>
    <row r="687" spans="1:15" s="67" customFormat="1" hidden="1">
      <c r="A687" s="1150"/>
      <c r="B687" s="270"/>
      <c r="C687" s="547" t="s">
        <v>23</v>
      </c>
      <c r="D687" s="40" t="s">
        <v>9</v>
      </c>
      <c r="E687" s="476">
        <v>0.59</v>
      </c>
      <c r="F687" s="1056">
        <f>F685*E687</f>
        <v>2.6429049999999998</v>
      </c>
      <c r="G687" s="293"/>
      <c r="H687" s="293"/>
      <c r="I687" s="293"/>
      <c r="J687" s="293"/>
      <c r="K687" s="293"/>
      <c r="L687" s="1050"/>
      <c r="M687" s="475"/>
      <c r="N687" s="444"/>
      <c r="O687" s="393"/>
    </row>
    <row r="688" spans="1:15" s="67" customFormat="1" hidden="1">
      <c r="A688" s="1150"/>
      <c r="B688" s="270"/>
      <c r="C688" s="781" t="s">
        <v>235</v>
      </c>
      <c r="D688" s="270" t="s">
        <v>39</v>
      </c>
      <c r="E688" s="327">
        <v>1.0149999999999999</v>
      </c>
      <c r="F688" s="1057">
        <f>F685*E688</f>
        <v>4.5466924999999998</v>
      </c>
      <c r="G688" s="293"/>
      <c r="H688" s="1050"/>
      <c r="I688" s="293"/>
      <c r="J688" s="293"/>
      <c r="K688" s="293"/>
      <c r="L688" s="293"/>
      <c r="M688" s="475"/>
      <c r="N688" s="444"/>
      <c r="O688" s="393"/>
    </row>
    <row r="689" spans="1:15" s="67" customFormat="1" hidden="1">
      <c r="A689" s="1150"/>
      <c r="B689" s="270"/>
      <c r="C689" s="781" t="s">
        <v>316</v>
      </c>
      <c r="D689" s="270" t="s">
        <v>47</v>
      </c>
      <c r="E689" s="327">
        <v>1.6</v>
      </c>
      <c r="F689" s="1057">
        <f>F685*E689</f>
        <v>7.1672000000000002</v>
      </c>
      <c r="G689" s="293"/>
      <c r="H689" s="1050"/>
      <c r="I689" s="293"/>
      <c r="J689" s="293"/>
      <c r="K689" s="293"/>
      <c r="L689" s="293"/>
      <c r="M689" s="475"/>
      <c r="N689" s="444"/>
      <c r="O689" s="393"/>
    </row>
    <row r="690" spans="1:15" s="67" customFormat="1" hidden="1">
      <c r="A690" s="1150"/>
      <c r="B690" s="270"/>
      <c r="C690" s="781" t="s">
        <v>41</v>
      </c>
      <c r="D690" s="270" t="s">
        <v>39</v>
      </c>
      <c r="E690" s="327">
        <v>1.83E-2</v>
      </c>
      <c r="F690" s="1057">
        <f>F685*E690</f>
        <v>8.1974850000000002E-2</v>
      </c>
      <c r="G690" s="293"/>
      <c r="H690" s="1050"/>
      <c r="I690" s="293"/>
      <c r="J690" s="293"/>
      <c r="K690" s="293"/>
      <c r="L690" s="293"/>
      <c r="M690" s="475"/>
      <c r="N690" s="444"/>
      <c r="O690" s="393"/>
    </row>
    <row r="691" spans="1:15" s="67" customFormat="1" hidden="1">
      <c r="A691" s="1150"/>
      <c r="B691" s="270"/>
      <c r="C691" s="781" t="s">
        <v>50</v>
      </c>
      <c r="D691" s="270" t="s">
        <v>9</v>
      </c>
      <c r="E691" s="327">
        <v>0.4</v>
      </c>
      <c r="F691" s="1057">
        <f>F685*E691</f>
        <v>1.7918000000000001</v>
      </c>
      <c r="G691" s="293"/>
      <c r="H691" s="1050"/>
      <c r="I691" s="293"/>
      <c r="J691" s="293"/>
      <c r="K691" s="293"/>
      <c r="L691" s="293"/>
      <c r="M691" s="475"/>
      <c r="N691" s="444"/>
      <c r="O691" s="393"/>
    </row>
    <row r="692" spans="1:15" s="67" customFormat="1" hidden="1">
      <c r="A692" s="1150"/>
      <c r="B692" s="270"/>
      <c r="C692" s="782" t="s">
        <v>317</v>
      </c>
      <c r="D692" s="487" t="s">
        <v>161</v>
      </c>
      <c r="E692" s="488"/>
      <c r="F692" s="1058">
        <f xml:space="preserve"> (     12*0.8+0.5*4*2*4+(0.5+0.5)*2*2    )*17*1.05*0.395/1000     +      (     0.7*5*2*1.05*0.888/1000  + (0.7*5*2+0.6*(16+4))*1.05*0.395/1000      )*1</f>
        <v>0.22310925000000001</v>
      </c>
      <c r="G692" s="293"/>
      <c r="H692" s="1050"/>
      <c r="I692" s="293"/>
      <c r="J692" s="293"/>
      <c r="K692" s="293"/>
      <c r="L692" s="293"/>
      <c r="M692" s="475"/>
      <c r="N692" s="444"/>
      <c r="O692" s="393"/>
    </row>
    <row r="693" spans="1:15" s="67" customFormat="1" hidden="1">
      <c r="A693" s="1151"/>
      <c r="B693" s="270"/>
      <c r="C693" s="782" t="s">
        <v>318</v>
      </c>
      <c r="D693" s="487" t="s">
        <v>161</v>
      </c>
      <c r="E693" s="488"/>
      <c r="F693" s="1058">
        <v>0</v>
      </c>
      <c r="G693" s="293"/>
      <c r="H693" s="1050"/>
      <c r="I693" s="293"/>
      <c r="J693" s="293"/>
      <c r="K693" s="293"/>
      <c r="L693" s="293"/>
      <c r="M693" s="475"/>
      <c r="N693" s="444"/>
      <c r="O693" s="393"/>
    </row>
    <row r="694" spans="1:15" s="67" customFormat="1" ht="31.5" hidden="1">
      <c r="A694" s="1149" t="s">
        <v>77</v>
      </c>
      <c r="B694" s="194" t="s">
        <v>319</v>
      </c>
      <c r="C694" s="780" t="s">
        <v>320</v>
      </c>
      <c r="D694" s="194" t="s">
        <v>47</v>
      </c>
      <c r="E694" s="479">
        <v>0</v>
      </c>
      <c r="F694" s="1055"/>
      <c r="G694" s="293"/>
      <c r="H694" s="293"/>
      <c r="I694" s="293"/>
      <c r="J694" s="293"/>
      <c r="K694" s="490"/>
      <c r="L694" s="293"/>
      <c r="M694" s="491"/>
      <c r="N694" s="444"/>
      <c r="O694" s="393"/>
    </row>
    <row r="695" spans="1:15" s="67" customFormat="1" hidden="1">
      <c r="A695" s="1150"/>
      <c r="B695" s="40"/>
      <c r="C695" s="65" t="s">
        <v>321</v>
      </c>
      <c r="D695" s="275" t="s">
        <v>21</v>
      </c>
      <c r="E695" s="4">
        <f>(19.2+5.97)/100</f>
        <v>0.25169999999999998</v>
      </c>
      <c r="F695" s="1057">
        <f>F694*E695</f>
        <v>0</v>
      </c>
      <c r="G695" s="156"/>
      <c r="H695" s="156"/>
      <c r="I695" s="156"/>
      <c r="J695" s="1051"/>
      <c r="K695" s="156"/>
      <c r="L695" s="156"/>
      <c r="M695" s="485"/>
      <c r="N695" s="444"/>
      <c r="O695" s="393"/>
    </row>
    <row r="696" spans="1:15" s="67" customFormat="1" hidden="1">
      <c r="A696" s="1150"/>
      <c r="B696" s="40"/>
      <c r="C696" s="547" t="s">
        <v>23</v>
      </c>
      <c r="D696" s="40" t="s">
        <v>9</v>
      </c>
      <c r="E696" s="476">
        <f>(0.59+0.24)/100</f>
        <v>8.3000000000000001E-3</v>
      </c>
      <c r="F696" s="1057">
        <f>F694*E696</f>
        <v>0</v>
      </c>
      <c r="G696" s="293"/>
      <c r="H696" s="492"/>
      <c r="I696" s="293"/>
      <c r="J696" s="293"/>
      <c r="K696" s="293"/>
      <c r="L696" s="1050"/>
      <c r="M696" s="485"/>
      <c r="N696" s="444"/>
      <c r="O696" s="393"/>
    </row>
    <row r="697" spans="1:15" s="67" customFormat="1" hidden="1">
      <c r="A697" s="1150"/>
      <c r="B697" s="40"/>
      <c r="C697" s="547" t="s">
        <v>322</v>
      </c>
      <c r="D697" s="40" t="s">
        <v>7</v>
      </c>
      <c r="E697" s="476">
        <f>(0.29+0.14)*1000/100</f>
        <v>4.3</v>
      </c>
      <c r="F697" s="1057">
        <f>E697*F694</f>
        <v>0</v>
      </c>
      <c r="G697" s="293"/>
      <c r="H697" s="1050"/>
      <c r="I697" s="293"/>
      <c r="J697" s="293"/>
      <c r="K697" s="293"/>
      <c r="L697" s="293"/>
      <c r="M697" s="491"/>
      <c r="N697" s="444"/>
      <c r="O697" s="393"/>
    </row>
    <row r="698" spans="1:15" s="67" customFormat="1" hidden="1">
      <c r="A698" s="1150"/>
      <c r="B698" s="40"/>
      <c r="C698" s="547" t="s">
        <v>323</v>
      </c>
      <c r="D698" s="40" t="s">
        <v>7</v>
      </c>
      <c r="E698" s="476">
        <v>0.76</v>
      </c>
      <c r="F698" s="1057">
        <f>E698*F694</f>
        <v>0</v>
      </c>
      <c r="G698" s="293"/>
      <c r="H698" s="1050"/>
      <c r="I698" s="293"/>
      <c r="J698" s="293"/>
      <c r="K698" s="293"/>
      <c r="L698" s="293"/>
      <c r="M698" s="491"/>
      <c r="N698" s="444"/>
      <c r="O698" s="393"/>
    </row>
    <row r="699" spans="1:15" s="67" customFormat="1" hidden="1">
      <c r="A699" s="1151"/>
      <c r="B699" s="40"/>
      <c r="C699" s="547" t="s">
        <v>324</v>
      </c>
      <c r="D699" s="40" t="s">
        <v>325</v>
      </c>
      <c r="E699" s="476">
        <v>1.9E-3</v>
      </c>
      <c r="F699" s="1057">
        <f>E699*F694</f>
        <v>0</v>
      </c>
      <c r="G699" s="293"/>
      <c r="H699" s="1050"/>
      <c r="I699" s="293"/>
      <c r="J699" s="293"/>
      <c r="K699" s="293"/>
      <c r="L699" s="293"/>
      <c r="M699" s="491"/>
      <c r="N699" s="444"/>
      <c r="O699" s="393"/>
    </row>
    <row r="700" spans="1:15" s="67" customFormat="1" hidden="1">
      <c r="A700" s="1155" t="s">
        <v>42</v>
      </c>
      <c r="B700" s="271" t="s">
        <v>326</v>
      </c>
      <c r="C700" s="878" t="s">
        <v>164</v>
      </c>
      <c r="D700" s="271" t="s">
        <v>39</v>
      </c>
      <c r="E700" s="493"/>
      <c r="F700" s="1059">
        <f>F670-F675-F680-F685</f>
        <v>13.2705</v>
      </c>
      <c r="G700" s="13"/>
      <c r="H700" s="13"/>
      <c r="I700" s="13"/>
      <c r="J700" s="13"/>
      <c r="K700" s="13"/>
      <c r="L700" s="13"/>
      <c r="M700" s="485"/>
      <c r="N700" s="444"/>
      <c r="O700" s="393"/>
    </row>
    <row r="701" spans="1:15" s="67" customFormat="1" hidden="1">
      <c r="A701" s="1156"/>
      <c r="B701" s="271"/>
      <c r="C701" s="65" t="s">
        <v>38</v>
      </c>
      <c r="D701" s="275" t="s">
        <v>12</v>
      </c>
      <c r="E701" s="4">
        <v>1.43</v>
      </c>
      <c r="F701" s="1060">
        <f>F700*E701</f>
        <v>18.976814999999998</v>
      </c>
      <c r="G701" s="13"/>
      <c r="H701" s="13"/>
      <c r="I701" s="13"/>
      <c r="J701" s="1051"/>
      <c r="K701" s="13"/>
      <c r="L701" s="13"/>
      <c r="M701" s="485"/>
      <c r="N701" s="444"/>
      <c r="O701" s="393"/>
    </row>
    <row r="702" spans="1:15" s="67" customFormat="1" hidden="1">
      <c r="A702" s="1149" t="s">
        <v>46</v>
      </c>
      <c r="B702" s="270"/>
      <c r="C702" s="779" t="s">
        <v>327</v>
      </c>
      <c r="D702" s="270"/>
      <c r="E702" s="327"/>
      <c r="F702" s="1057"/>
      <c r="G702" s="293"/>
      <c r="H702" s="156"/>
      <c r="I702" s="156"/>
      <c r="J702" s="156"/>
      <c r="K702" s="156"/>
      <c r="L702" s="156"/>
      <c r="M702" s="485"/>
      <c r="N702" s="444"/>
      <c r="O702" s="393"/>
    </row>
    <row r="703" spans="1:15" s="67" customFormat="1" hidden="1">
      <c r="A703" s="1150"/>
      <c r="B703" s="860"/>
      <c r="C703" s="861" t="s">
        <v>724</v>
      </c>
      <c r="D703" s="494"/>
      <c r="E703" s="329"/>
      <c r="F703" s="1057"/>
      <c r="G703" s="293"/>
      <c r="H703" s="156"/>
      <c r="I703" s="156"/>
      <c r="J703" s="156"/>
      <c r="K703" s="156"/>
      <c r="L703" s="156"/>
      <c r="M703" s="485"/>
      <c r="N703" s="444"/>
      <c r="O703" s="393"/>
    </row>
    <row r="704" spans="1:15" s="67" customFormat="1" hidden="1">
      <c r="A704" s="1150"/>
      <c r="B704" s="1158"/>
      <c r="C704" s="783" t="s">
        <v>812</v>
      </c>
      <c r="D704" s="494" t="s">
        <v>43</v>
      </c>
      <c r="E704" s="329">
        <f>( 4   )*1.1</f>
        <v>4.4000000000000004</v>
      </c>
      <c r="F704" s="1057"/>
      <c r="G704" s="293"/>
      <c r="H704" s="156"/>
      <c r="I704" s="156"/>
      <c r="J704" s="156"/>
      <c r="K704" s="156"/>
      <c r="L704" s="156"/>
      <c r="M704" s="485"/>
      <c r="N704" s="444"/>
      <c r="O704" s="393"/>
    </row>
    <row r="705" spans="1:15" s="67" customFormat="1" hidden="1">
      <c r="A705" s="1150"/>
      <c r="B705" s="1159"/>
      <c r="C705" s="784"/>
      <c r="D705" s="494" t="s">
        <v>40</v>
      </c>
      <c r="E705" s="329">
        <f>3.14*0.158*0.004*7.85*E704</f>
        <v>6.8543939200000015E-2</v>
      </c>
      <c r="F705" s="1057"/>
      <c r="G705" s="293"/>
      <c r="H705" s="156"/>
      <c r="I705" s="156"/>
      <c r="J705" s="156"/>
      <c r="K705" s="156"/>
      <c r="L705" s="156"/>
      <c r="M705" s="485"/>
      <c r="N705" s="444"/>
      <c r="O705" s="393"/>
    </row>
    <row r="706" spans="1:15" s="67" customFormat="1" hidden="1">
      <c r="A706" s="1150"/>
      <c r="B706" s="439"/>
      <c r="C706" s="783" t="s">
        <v>725</v>
      </c>
      <c r="D706" s="494" t="s">
        <v>43</v>
      </c>
      <c r="E706" s="329">
        <f>( 17*3.8  )*1.1</f>
        <v>71.06</v>
      </c>
      <c r="F706" s="1057"/>
      <c r="G706" s="293"/>
      <c r="H706" s="156"/>
      <c r="I706" s="156"/>
      <c r="J706" s="156"/>
      <c r="K706" s="156"/>
      <c r="L706" s="156"/>
      <c r="M706" s="485"/>
      <c r="N706" s="444"/>
      <c r="O706" s="393"/>
    </row>
    <row r="707" spans="1:15" s="67" customFormat="1" hidden="1">
      <c r="A707" s="1150"/>
      <c r="B707" s="439"/>
      <c r="C707" s="784"/>
      <c r="D707" s="494" t="s">
        <v>40</v>
      </c>
      <c r="E707" s="329">
        <f>(0.1+0.15)*2*0.003*7.85*E706</f>
        <v>0.83673149999999996</v>
      </c>
      <c r="F707" s="1057"/>
      <c r="G707" s="293"/>
      <c r="H707" s="156"/>
      <c r="I707" s="156"/>
      <c r="J707" s="156"/>
      <c r="K707" s="156"/>
      <c r="L707" s="156"/>
      <c r="M707" s="485"/>
      <c r="N707" s="444"/>
      <c r="O707" s="393"/>
    </row>
    <row r="708" spans="1:15" s="67" customFormat="1" hidden="1">
      <c r="A708" s="1150"/>
      <c r="B708" s="439"/>
      <c r="C708" s="783" t="s">
        <v>813</v>
      </c>
      <c r="D708" s="494" t="s">
        <v>43</v>
      </c>
      <c r="E708" s="329">
        <f>(17*3.8)*1.1</f>
        <v>71.06</v>
      </c>
      <c r="F708" s="1057"/>
      <c r="G708" s="293"/>
      <c r="H708" s="156"/>
      <c r="I708" s="156"/>
      <c r="J708" s="156"/>
      <c r="K708" s="156"/>
      <c r="L708" s="156"/>
      <c r="M708" s="485"/>
      <c r="N708" s="444"/>
      <c r="O708" s="393"/>
    </row>
    <row r="709" spans="1:15" s="67" customFormat="1" hidden="1">
      <c r="A709" s="1150"/>
      <c r="B709" s="439"/>
      <c r="C709" s="784"/>
      <c r="D709" s="494" t="s">
        <v>40</v>
      </c>
      <c r="E709" s="329">
        <f>(0.1+0.1)*2*0.003*7.85*E708</f>
        <v>0.66938520000000012</v>
      </c>
      <c r="F709" s="1057"/>
      <c r="G709" s="293"/>
      <c r="H709" s="156"/>
      <c r="I709" s="156"/>
      <c r="J709" s="156"/>
      <c r="K709" s="156"/>
      <c r="L709" s="156"/>
      <c r="M709" s="485"/>
      <c r="N709" s="444"/>
      <c r="O709" s="393"/>
    </row>
    <row r="710" spans="1:15" s="67" customFormat="1" hidden="1">
      <c r="A710" s="1150"/>
      <c r="B710" s="439"/>
      <c r="C710" s="783" t="s">
        <v>814</v>
      </c>
      <c r="D710" s="494" t="s">
        <v>47</v>
      </c>
      <c r="E710" s="329">
        <f>(0.5*0.5+0.2*0.15/2*4)*1   *1.1</f>
        <v>0.34100000000000003</v>
      </c>
      <c r="F710" s="1057"/>
      <c r="G710" s="293"/>
      <c r="H710" s="156"/>
      <c r="I710" s="156"/>
      <c r="J710" s="156"/>
      <c r="K710" s="156"/>
      <c r="L710" s="156"/>
      <c r="M710" s="485"/>
      <c r="N710" s="444"/>
      <c r="O710" s="393"/>
    </row>
    <row r="711" spans="1:15" s="67" customFormat="1" hidden="1">
      <c r="A711" s="1150"/>
      <c r="B711" s="439"/>
      <c r="C711" s="784"/>
      <c r="D711" s="494" t="s">
        <v>40</v>
      </c>
      <c r="E711" s="329">
        <f>0.01*7.85*E710</f>
        <v>2.6768500000000001E-2</v>
      </c>
      <c r="F711" s="1057"/>
      <c r="G711" s="293"/>
      <c r="H711" s="156"/>
      <c r="I711" s="156"/>
      <c r="J711" s="156"/>
      <c r="K711" s="156"/>
      <c r="L711" s="156"/>
      <c r="M711" s="485"/>
      <c r="N711" s="444"/>
      <c r="O711" s="393"/>
    </row>
    <row r="712" spans="1:15" s="67" customFormat="1" hidden="1">
      <c r="A712" s="1150"/>
      <c r="B712" s="439"/>
      <c r="C712" s="783" t="s">
        <v>328</v>
      </c>
      <c r="D712" s="494" t="s">
        <v>47</v>
      </c>
      <c r="E712" s="329">
        <f>(0.3*0.35+0.1*0.1/2*4)*17   *1.1</f>
        <v>2.3375000000000004</v>
      </c>
      <c r="F712" s="1057"/>
      <c r="G712" s="293"/>
      <c r="H712" s="156"/>
      <c r="I712" s="156"/>
      <c r="J712" s="156"/>
      <c r="K712" s="156"/>
      <c r="L712" s="156"/>
      <c r="M712" s="485"/>
      <c r="N712" s="444"/>
      <c r="O712" s="393"/>
    </row>
    <row r="713" spans="1:15" s="67" customFormat="1" hidden="1">
      <c r="A713" s="1150"/>
      <c r="B713" s="439"/>
      <c r="C713" s="784"/>
      <c r="D713" s="494" t="s">
        <v>40</v>
      </c>
      <c r="E713" s="329">
        <f>0.006*7.85*E712</f>
        <v>0.11009625000000001</v>
      </c>
      <c r="F713" s="1057"/>
      <c r="G713" s="293"/>
      <c r="H713" s="156"/>
      <c r="I713" s="156"/>
      <c r="J713" s="156"/>
      <c r="K713" s="156"/>
      <c r="L713" s="156"/>
      <c r="M713" s="485"/>
      <c r="N713" s="444"/>
      <c r="O713" s="393"/>
    </row>
    <row r="714" spans="1:15" s="67" customFormat="1" hidden="1">
      <c r="A714" s="1150"/>
      <c r="B714" s="439"/>
      <c r="C714" s="862" t="s">
        <v>726</v>
      </c>
      <c r="D714" s="494" t="s">
        <v>52</v>
      </c>
      <c r="E714" s="329">
        <f>4*17</f>
        <v>68</v>
      </c>
      <c r="F714" s="1057"/>
      <c r="G714" s="293"/>
      <c r="H714" s="156"/>
      <c r="I714" s="156"/>
      <c r="J714" s="156"/>
      <c r="K714" s="156"/>
      <c r="L714" s="156"/>
      <c r="M714" s="485"/>
      <c r="N714" s="444"/>
      <c r="O714" s="393"/>
    </row>
    <row r="715" spans="1:15" s="67" customFormat="1" hidden="1">
      <c r="A715" s="1150"/>
      <c r="B715" s="439"/>
      <c r="C715" s="863"/>
      <c r="D715" s="864" t="s">
        <v>40</v>
      </c>
      <c r="E715" s="865">
        <v>1.4E-2</v>
      </c>
      <c r="F715" s="1057"/>
      <c r="G715" s="293"/>
      <c r="H715" s="156"/>
      <c r="I715" s="156"/>
      <c r="J715" s="156"/>
      <c r="K715" s="156"/>
      <c r="L715" s="156"/>
      <c r="M715" s="485"/>
      <c r="N715" s="444"/>
      <c r="O715" s="393"/>
    </row>
    <row r="716" spans="1:15" s="67" customFormat="1" hidden="1">
      <c r="A716" s="1150"/>
      <c r="B716" s="439"/>
      <c r="C716" s="862" t="s">
        <v>815</v>
      </c>
      <c r="D716" s="494" t="s">
        <v>52</v>
      </c>
      <c r="E716" s="329">
        <f>4*1</f>
        <v>4</v>
      </c>
      <c r="F716" s="1057"/>
      <c r="G716" s="293"/>
      <c r="H716" s="156"/>
      <c r="I716" s="156"/>
      <c r="J716" s="156"/>
      <c r="K716" s="156"/>
      <c r="L716" s="156"/>
      <c r="M716" s="485"/>
      <c r="N716" s="444"/>
      <c r="O716" s="393"/>
    </row>
    <row r="717" spans="1:15" s="67" customFormat="1" hidden="1">
      <c r="A717" s="1150"/>
      <c r="B717" s="439"/>
      <c r="C717" s="863"/>
      <c r="D717" s="864" t="s">
        <v>40</v>
      </c>
      <c r="E717" s="865">
        <v>1.4E-2</v>
      </c>
      <c r="F717" s="1057"/>
      <c r="G717" s="293"/>
      <c r="H717" s="156"/>
      <c r="I717" s="156"/>
      <c r="J717" s="156"/>
      <c r="K717" s="156"/>
      <c r="L717" s="156"/>
      <c r="M717" s="485"/>
      <c r="N717" s="444"/>
      <c r="O717" s="393"/>
    </row>
    <row r="718" spans="1:15" s="67" customFormat="1" hidden="1">
      <c r="A718" s="1150"/>
      <c r="B718" s="439"/>
      <c r="C718" s="866" t="s">
        <v>45</v>
      </c>
      <c r="D718" s="494" t="s">
        <v>7</v>
      </c>
      <c r="E718" s="329">
        <v>40</v>
      </c>
      <c r="F718" s="1057"/>
      <c r="G718" s="293"/>
      <c r="H718" s="156"/>
      <c r="I718" s="156"/>
      <c r="J718" s="156"/>
      <c r="K718" s="156"/>
      <c r="L718" s="156"/>
      <c r="M718" s="485"/>
      <c r="N718" s="444"/>
      <c r="O718" s="393"/>
    </row>
    <row r="719" spans="1:15" s="67" customFormat="1" hidden="1">
      <c r="A719" s="1150"/>
      <c r="B719" s="472" t="s">
        <v>330</v>
      </c>
      <c r="C719" s="785" t="s">
        <v>162</v>
      </c>
      <c r="D719" s="258" t="s">
        <v>40</v>
      </c>
      <c r="E719" s="495"/>
      <c r="F719" s="322">
        <f>E705+E707+E709+E711+E713+E715+E717+E718/1000</f>
        <v>1.7795253892000003</v>
      </c>
      <c r="G719" s="293"/>
      <c r="H719" s="156"/>
      <c r="I719" s="156"/>
      <c r="J719" s="156"/>
      <c r="K719" s="156"/>
      <c r="L719" s="156"/>
      <c r="M719" s="485"/>
      <c r="N719" s="444"/>
      <c r="O719" s="393"/>
    </row>
    <row r="720" spans="1:15" s="67" customFormat="1" hidden="1">
      <c r="A720" s="1150"/>
      <c r="B720" s="270"/>
      <c r="C720" s="781" t="s">
        <v>38</v>
      </c>
      <c r="D720" s="270" t="s">
        <v>12</v>
      </c>
      <c r="E720" s="327">
        <v>62.6</v>
      </c>
      <c r="F720" s="1057">
        <f>F719*E720</f>
        <v>111.39828936392001</v>
      </c>
      <c r="G720" s="293"/>
      <c r="H720" s="30"/>
      <c r="I720" s="496"/>
      <c r="J720" s="1052"/>
      <c r="K720" s="496"/>
      <c r="L720" s="30"/>
      <c r="M720" s="475"/>
      <c r="N720" s="444"/>
      <c r="O720" s="393"/>
    </row>
    <row r="721" spans="1:15" s="67" customFormat="1" hidden="1">
      <c r="A721" s="1150"/>
      <c r="B721" s="270"/>
      <c r="C721" s="781" t="s">
        <v>23</v>
      </c>
      <c r="D721" s="270" t="s">
        <v>9</v>
      </c>
      <c r="E721" s="327">
        <v>1</v>
      </c>
      <c r="F721" s="1057">
        <f>F719*E721</f>
        <v>1.7795253892000003</v>
      </c>
      <c r="G721" s="293"/>
      <c r="H721" s="30"/>
      <c r="I721" s="30"/>
      <c r="J721" s="30"/>
      <c r="K721" s="30"/>
      <c r="L721" s="1052"/>
      <c r="M721" s="475"/>
      <c r="N721" s="444"/>
      <c r="O721" s="393"/>
    </row>
    <row r="722" spans="1:15" s="67" customFormat="1" hidden="1">
      <c r="A722" s="1150"/>
      <c r="B722" s="270"/>
      <c r="C722" s="786" t="s">
        <v>331</v>
      </c>
      <c r="D722" s="270"/>
      <c r="E722" s="327"/>
      <c r="F722" s="1057"/>
      <c r="G722" s="293"/>
      <c r="H722" s="30"/>
      <c r="I722" s="496"/>
      <c r="J722" s="30"/>
      <c r="K722" s="496"/>
      <c r="L722" s="30"/>
      <c r="M722" s="475"/>
      <c r="N722" s="444"/>
      <c r="O722" s="393"/>
    </row>
    <row r="723" spans="1:15" s="67" customFormat="1" hidden="1">
      <c r="A723" s="1150"/>
      <c r="B723" s="270"/>
      <c r="C723" s="787" t="str">
        <f>C704</f>
        <v>liTonis mili d-200*4</v>
      </c>
      <c r="D723" s="270" t="s">
        <v>40</v>
      </c>
      <c r="E723" s="327"/>
      <c r="F723" s="1057">
        <f>E705</f>
        <v>6.8543939200000015E-2</v>
      </c>
      <c r="G723" s="293"/>
      <c r="H723" s="1052"/>
      <c r="I723" s="496"/>
      <c r="J723" s="30"/>
      <c r="K723" s="496"/>
      <c r="L723" s="30"/>
      <c r="M723" s="475"/>
      <c r="N723" s="444"/>
      <c r="O723" s="393"/>
    </row>
    <row r="724" spans="1:15" s="67" customFormat="1" hidden="1">
      <c r="A724" s="1150"/>
      <c r="B724" s="270"/>
      <c r="C724" s="787" t="str">
        <f>C706</f>
        <v>liTonis marTkuTx mili 100*150*3</v>
      </c>
      <c r="D724" s="270" t="s">
        <v>40</v>
      </c>
      <c r="E724" s="327"/>
      <c r="F724" s="1057">
        <f>E707</f>
        <v>0.83673149999999996</v>
      </c>
      <c r="G724" s="293"/>
      <c r="H724" s="1052"/>
      <c r="I724" s="496"/>
      <c r="J724" s="30"/>
      <c r="K724" s="496"/>
      <c r="L724" s="30"/>
      <c r="M724" s="475"/>
      <c r="N724" s="444"/>
      <c r="O724" s="393"/>
    </row>
    <row r="725" spans="1:15" s="67" customFormat="1" hidden="1">
      <c r="A725" s="1150"/>
      <c r="B725" s="270"/>
      <c r="C725" s="787" t="str">
        <f>C708</f>
        <v>liTonis marTkuTx mili 100*100*3</v>
      </c>
      <c r="D725" s="270" t="s">
        <v>40</v>
      </c>
      <c r="E725" s="327"/>
      <c r="F725" s="1057">
        <f>E709</f>
        <v>0.66938520000000012</v>
      </c>
      <c r="G725" s="293"/>
      <c r="H725" s="1052"/>
      <c r="I725" s="496"/>
      <c r="J725" s="30"/>
      <c r="K725" s="496"/>
      <c r="L725" s="30"/>
      <c r="M725" s="475"/>
      <c r="N725" s="444"/>
      <c r="O725" s="393"/>
    </row>
    <row r="726" spans="1:15" s="67" customFormat="1" hidden="1">
      <c r="A726" s="1150"/>
      <c r="B726" s="270"/>
      <c r="C726" s="787" t="str">
        <f>C710</f>
        <v>foladis furceli sisqiT 10mm</v>
      </c>
      <c r="D726" s="270" t="s">
        <v>40</v>
      </c>
      <c r="E726" s="327"/>
      <c r="F726" s="1057">
        <f>E711</f>
        <v>2.6768500000000001E-2</v>
      </c>
      <c r="G726" s="293"/>
      <c r="H726" s="1052"/>
      <c r="I726" s="496"/>
      <c r="J726" s="30"/>
      <c r="K726" s="496"/>
      <c r="L726" s="30"/>
      <c r="M726" s="475"/>
      <c r="N726" s="444"/>
      <c r="O726" s="393"/>
    </row>
    <row r="727" spans="1:15" s="67" customFormat="1" hidden="1">
      <c r="A727" s="1150"/>
      <c r="B727" s="270"/>
      <c r="C727" s="787" t="str">
        <f>C712</f>
        <v>foladis furceli sisqiT 6mm</v>
      </c>
      <c r="D727" s="270" t="s">
        <v>40</v>
      </c>
      <c r="E727" s="327"/>
      <c r="F727" s="1057">
        <f>E713</f>
        <v>0.11009625000000001</v>
      </c>
      <c r="G727" s="293"/>
      <c r="H727" s="1052"/>
      <c r="I727" s="496"/>
      <c r="J727" s="30"/>
      <c r="K727" s="496"/>
      <c r="L727" s="30"/>
      <c r="M727" s="475"/>
      <c r="N727" s="444"/>
      <c r="O727" s="393"/>
    </row>
    <row r="728" spans="1:15" s="67" customFormat="1" hidden="1">
      <c r="A728" s="1150"/>
      <c r="B728" s="270"/>
      <c r="C728" s="787" t="str">
        <f>C714</f>
        <v>liTonis ankeri d-12 L=450mm</v>
      </c>
      <c r="D728" s="270" t="s">
        <v>52</v>
      </c>
      <c r="E728" s="327"/>
      <c r="F728" s="1057">
        <f>E714</f>
        <v>68</v>
      </c>
      <c r="G728" s="293"/>
      <c r="H728" s="1052"/>
      <c r="I728" s="496"/>
      <c r="J728" s="30"/>
      <c r="K728" s="496"/>
      <c r="L728" s="30"/>
      <c r="M728" s="475"/>
      <c r="N728" s="444"/>
      <c r="O728" s="393"/>
    </row>
    <row r="729" spans="1:15" s="67" customFormat="1" hidden="1">
      <c r="A729" s="1150"/>
      <c r="B729" s="270"/>
      <c r="C729" s="787" t="str">
        <f>C716</f>
        <v>liTonis ankeri d-16 L=450mm</v>
      </c>
      <c r="D729" s="270" t="s">
        <v>52</v>
      </c>
      <c r="E729" s="327"/>
      <c r="F729" s="1057">
        <f>E716</f>
        <v>4</v>
      </c>
      <c r="G729" s="293"/>
      <c r="H729" s="1052"/>
      <c r="I729" s="496"/>
      <c r="J729" s="30"/>
      <c r="K729" s="496"/>
      <c r="L729" s="30"/>
      <c r="M729" s="475"/>
      <c r="N729" s="444"/>
      <c r="O729" s="393"/>
    </row>
    <row r="730" spans="1:15" s="67" customFormat="1" hidden="1">
      <c r="A730" s="1150"/>
      <c r="B730" s="270"/>
      <c r="C730" s="787" t="s">
        <v>45</v>
      </c>
      <c r="D730" s="270" t="s">
        <v>7</v>
      </c>
      <c r="E730" s="327" t="s">
        <v>332</v>
      </c>
      <c r="F730" s="1058">
        <f>E718</f>
        <v>40</v>
      </c>
      <c r="G730" s="293"/>
      <c r="H730" s="1052"/>
      <c r="I730" s="496"/>
      <c r="J730" s="30"/>
      <c r="K730" s="496"/>
      <c r="L730" s="30"/>
      <c r="M730" s="475"/>
      <c r="N730" s="444"/>
      <c r="O730" s="393"/>
    </row>
    <row r="731" spans="1:15" s="67" customFormat="1" hidden="1">
      <c r="A731" s="1151"/>
      <c r="B731" s="270"/>
      <c r="C731" s="781" t="s">
        <v>50</v>
      </c>
      <c r="D731" s="270" t="s">
        <v>9</v>
      </c>
      <c r="E731" s="327">
        <v>2.78</v>
      </c>
      <c r="F731" s="1057">
        <f>F719*E731</f>
        <v>4.9470805819760004</v>
      </c>
      <c r="G731" s="293"/>
      <c r="H731" s="1052"/>
      <c r="I731" s="496"/>
      <c r="J731" s="30"/>
      <c r="K731" s="496"/>
      <c r="L731" s="30"/>
      <c r="M731" s="475"/>
      <c r="N731" s="444"/>
      <c r="O731" s="393"/>
    </row>
    <row r="732" spans="1:15" s="67" customFormat="1" ht="31.5" hidden="1">
      <c r="A732" s="1143" t="s">
        <v>48</v>
      </c>
      <c r="B732" s="497" t="s">
        <v>27</v>
      </c>
      <c r="C732" s="789" t="s">
        <v>166</v>
      </c>
      <c r="D732" s="497" t="s">
        <v>30</v>
      </c>
      <c r="E732" s="498"/>
      <c r="F732" s="1061">
        <f>3.14*0.158*E704/1.1+(0.1+0.15)*2*E706/1.1+(0.1+0.1)*2*E708/1.1+E710+E712</f>
        <v>62.802979999999991</v>
      </c>
      <c r="G732" s="293"/>
      <c r="H732" s="293"/>
      <c r="I732" s="293"/>
      <c r="J732" s="293"/>
      <c r="K732" s="293"/>
      <c r="L732" s="293"/>
      <c r="M732" s="491"/>
      <c r="N732" s="444"/>
      <c r="O732" s="393"/>
    </row>
    <row r="733" spans="1:15" s="67" customFormat="1" hidden="1">
      <c r="A733" s="1144"/>
      <c r="B733" s="500"/>
      <c r="C733" s="790" t="s">
        <v>38</v>
      </c>
      <c r="D733" s="501" t="s">
        <v>12</v>
      </c>
      <c r="E733" s="502">
        <f>68*0.01</f>
        <v>0.68</v>
      </c>
      <c r="F733" s="1062">
        <f>F732*E733</f>
        <v>42.706026399999999</v>
      </c>
      <c r="G733" s="293"/>
      <c r="H733" s="293"/>
      <c r="I733" s="293"/>
      <c r="J733" s="1050"/>
      <c r="K733" s="293"/>
      <c r="L733" s="293"/>
      <c r="M733" s="491"/>
      <c r="N733" s="444"/>
      <c r="O733" s="393"/>
    </row>
    <row r="734" spans="1:15" s="67" customFormat="1" hidden="1">
      <c r="A734" s="1144"/>
      <c r="B734" s="497"/>
      <c r="C734" s="791" t="s">
        <v>11</v>
      </c>
      <c r="D734" s="504" t="s">
        <v>9</v>
      </c>
      <c r="E734" s="505">
        <f>0.03*0.01</f>
        <v>2.9999999999999997E-4</v>
      </c>
      <c r="F734" s="1063">
        <f>F732*E734</f>
        <v>1.8840893999999997E-2</v>
      </c>
      <c r="G734" s="293"/>
      <c r="H734" s="293"/>
      <c r="I734" s="293"/>
      <c r="J734" s="293"/>
      <c r="K734" s="293"/>
      <c r="L734" s="1050"/>
      <c r="M734" s="491"/>
      <c r="N734" s="444"/>
      <c r="O734" s="393"/>
    </row>
    <row r="735" spans="1:15" s="67" customFormat="1" hidden="1">
      <c r="A735" s="1144"/>
      <c r="B735" s="497"/>
      <c r="C735" s="791" t="s">
        <v>49</v>
      </c>
      <c r="D735" s="507" t="s">
        <v>76</v>
      </c>
      <c r="E735" s="498">
        <v>0.35</v>
      </c>
      <c r="F735" s="1064">
        <f>E735*F732</f>
        <v>21.981042999999996</v>
      </c>
      <c r="G735" s="293"/>
      <c r="H735" s="1050"/>
      <c r="I735" s="293"/>
      <c r="J735" s="293"/>
      <c r="K735" s="293"/>
      <c r="L735" s="293"/>
      <c r="M735" s="491"/>
      <c r="N735" s="444"/>
      <c r="O735" s="393"/>
    </row>
    <row r="736" spans="1:15" s="67" customFormat="1" hidden="1">
      <c r="A736" s="1144"/>
      <c r="B736" s="497"/>
      <c r="C736" s="791" t="s">
        <v>134</v>
      </c>
      <c r="D736" s="507" t="s">
        <v>76</v>
      </c>
      <c r="E736" s="498">
        <v>2.7E-2</v>
      </c>
      <c r="F736" s="1064">
        <f>E736*F732</f>
        <v>1.6956804599999997</v>
      </c>
      <c r="G736" s="293"/>
      <c r="H736" s="1050"/>
      <c r="I736" s="293"/>
      <c r="J736" s="293"/>
      <c r="K736" s="293"/>
      <c r="L736" s="293"/>
      <c r="M736" s="491"/>
      <c r="N736" s="444"/>
      <c r="O736" s="393"/>
    </row>
    <row r="737" spans="1:15" s="67" customFormat="1" hidden="1">
      <c r="A737" s="1145"/>
      <c r="B737" s="497"/>
      <c r="C737" s="791" t="s">
        <v>13</v>
      </c>
      <c r="D737" s="504" t="s">
        <v>9</v>
      </c>
      <c r="E737" s="505">
        <v>1.9E-3</v>
      </c>
      <c r="F737" s="1063">
        <f>F732*E737</f>
        <v>0.11932566199999999</v>
      </c>
      <c r="G737" s="293"/>
      <c r="H737" s="1050"/>
      <c r="I737" s="293"/>
      <c r="J737" s="293"/>
      <c r="K737" s="293"/>
      <c r="L737" s="293"/>
      <c r="M737" s="491"/>
      <c r="N737" s="444"/>
      <c r="O737" s="393"/>
    </row>
    <row r="738" spans="1:15" s="72" customFormat="1" hidden="1">
      <c r="A738" s="410"/>
      <c r="B738" s="420"/>
      <c r="C738" s="792"/>
      <c r="D738" s="260"/>
      <c r="E738" s="15"/>
      <c r="F738" s="24"/>
      <c r="G738" s="509"/>
      <c r="H738" s="13"/>
      <c r="I738" s="13"/>
      <c r="J738" s="13"/>
      <c r="K738" s="13"/>
      <c r="L738" s="13"/>
      <c r="M738" s="412"/>
      <c r="N738" s="510"/>
      <c r="O738" s="393"/>
    </row>
    <row r="739" spans="1:15" s="72" customFormat="1" hidden="1">
      <c r="A739" s="436"/>
      <c r="B739" s="553"/>
      <c r="C739" s="48" t="s">
        <v>829</v>
      </c>
      <c r="D739" s="77" t="s">
        <v>43</v>
      </c>
      <c r="E739" s="396"/>
      <c r="F739" s="48">
        <v>0</v>
      </c>
      <c r="G739" s="509"/>
      <c r="H739" s="13"/>
      <c r="I739" s="13"/>
      <c r="J739" s="13"/>
      <c r="K739" s="13"/>
      <c r="L739" s="13"/>
      <c r="M739" s="930"/>
      <c r="N739" s="510"/>
      <c r="O739" s="393"/>
    </row>
    <row r="740" spans="1:15" s="72" customFormat="1" hidden="1">
      <c r="A740" s="436"/>
      <c r="B740" s="553"/>
      <c r="C740" s="48" t="s">
        <v>819</v>
      </c>
      <c r="D740" s="77" t="s">
        <v>43</v>
      </c>
      <c r="E740" s="396"/>
      <c r="F740" s="48">
        <v>0</v>
      </c>
      <c r="G740" s="509"/>
      <c r="H740" s="13"/>
      <c r="I740" s="13"/>
      <c r="J740" s="13"/>
      <c r="K740" s="13"/>
      <c r="L740" s="13"/>
      <c r="M740" s="930"/>
      <c r="N740" s="510"/>
      <c r="O740" s="393"/>
    </row>
    <row r="741" spans="1:15" s="69" customFormat="1" ht="31.5" hidden="1">
      <c r="A741" s="1140" t="s">
        <v>84</v>
      </c>
      <c r="B741" s="263" t="s">
        <v>33</v>
      </c>
      <c r="C741" s="950" t="s">
        <v>951</v>
      </c>
      <c r="D741" s="275" t="s">
        <v>39</v>
      </c>
      <c r="E741" s="951"/>
      <c r="F741" s="23">
        <f>0.5*0.3*F739</f>
        <v>0</v>
      </c>
      <c r="G741" s="13"/>
      <c r="H741" s="30"/>
      <c r="I741" s="13"/>
      <c r="J741" s="30"/>
      <c r="K741" s="13"/>
      <c r="L741" s="30"/>
      <c r="M741" s="30"/>
    </row>
    <row r="742" spans="1:15" s="69" customFormat="1" ht="16.5" hidden="1">
      <c r="A742" s="1142"/>
      <c r="B742" s="203"/>
      <c r="C742" s="25" t="s">
        <v>38</v>
      </c>
      <c r="D742" s="275" t="s">
        <v>12</v>
      </c>
      <c r="E742" s="951">
        <v>3.88</v>
      </c>
      <c r="F742" s="202">
        <f>F741*E742</f>
        <v>0</v>
      </c>
      <c r="G742" s="13"/>
      <c r="H742" s="30"/>
      <c r="I742" s="13"/>
      <c r="J742" s="30"/>
      <c r="K742" s="13"/>
      <c r="L742" s="30"/>
      <c r="M742" s="30"/>
    </row>
    <row r="743" spans="1:15" s="69" customFormat="1" ht="31.5" hidden="1">
      <c r="A743" s="1140" t="s">
        <v>478</v>
      </c>
      <c r="B743" s="263" t="s">
        <v>37</v>
      </c>
      <c r="C743" s="950" t="s">
        <v>853</v>
      </c>
      <c r="D743" s="275" t="s">
        <v>39</v>
      </c>
      <c r="E743" s="952">
        <f>0.5*0.1*F739</f>
        <v>0</v>
      </c>
      <c r="F743" s="23"/>
      <c r="G743" s="13"/>
      <c r="H743" s="30"/>
      <c r="I743" s="13"/>
      <c r="J743" s="30"/>
      <c r="K743" s="13"/>
      <c r="L743" s="30"/>
      <c r="M743" s="30"/>
    </row>
    <row r="744" spans="1:15" s="69" customFormat="1" ht="16.5" hidden="1">
      <c r="A744" s="1141"/>
      <c r="B744" s="933"/>
      <c r="C744" s="18" t="s">
        <v>38</v>
      </c>
      <c r="D744" s="933" t="s">
        <v>12</v>
      </c>
      <c r="E744" s="401">
        <v>3.52</v>
      </c>
      <c r="F744" s="929">
        <f>F743*E744</f>
        <v>0</v>
      </c>
      <c r="G744" s="930"/>
      <c r="H744" s="930"/>
      <c r="I744" s="930"/>
      <c r="J744" s="930"/>
      <c r="K744" s="930"/>
      <c r="L744" s="930"/>
      <c r="M744" s="930"/>
    </row>
    <row r="745" spans="1:15" s="69" customFormat="1" ht="16.5" hidden="1">
      <c r="A745" s="1141"/>
      <c r="B745" s="933"/>
      <c r="C745" s="18" t="s">
        <v>11</v>
      </c>
      <c r="D745" s="933" t="s">
        <v>9</v>
      </c>
      <c r="E745" s="401">
        <v>1.06</v>
      </c>
      <c r="F745" s="929">
        <f>F743*E745</f>
        <v>0</v>
      </c>
      <c r="G745" s="930"/>
      <c r="H745" s="930"/>
      <c r="I745" s="930"/>
      <c r="J745" s="930"/>
      <c r="K745" s="930"/>
      <c r="L745" s="930"/>
      <c r="M745" s="930"/>
    </row>
    <row r="746" spans="1:15" s="69" customFormat="1" ht="16.5" hidden="1">
      <c r="A746" s="1141"/>
      <c r="B746" s="933"/>
      <c r="C746" s="18" t="s">
        <v>32</v>
      </c>
      <c r="D746" s="933" t="s">
        <v>39</v>
      </c>
      <c r="E746" s="401">
        <f>0.18+0.09+0.97</f>
        <v>1.24</v>
      </c>
      <c r="F746" s="929">
        <f>F743*E746</f>
        <v>0</v>
      </c>
      <c r="G746" s="930"/>
      <c r="H746" s="930"/>
      <c r="I746" s="930"/>
      <c r="J746" s="930"/>
      <c r="K746" s="930"/>
      <c r="L746" s="930"/>
      <c r="M746" s="930"/>
    </row>
    <row r="747" spans="1:15" s="69" customFormat="1" ht="16.5" hidden="1">
      <c r="A747" s="1142"/>
      <c r="B747" s="933"/>
      <c r="C747" s="18" t="s">
        <v>13</v>
      </c>
      <c r="D747" s="933" t="s">
        <v>9</v>
      </c>
      <c r="E747" s="401">
        <v>0.02</v>
      </c>
      <c r="F747" s="929">
        <f>F743*E747</f>
        <v>0</v>
      </c>
      <c r="G747" s="930"/>
      <c r="H747" s="930"/>
      <c r="I747" s="930"/>
      <c r="J747" s="930"/>
      <c r="K747" s="930"/>
      <c r="L747" s="930"/>
      <c r="M747" s="930"/>
    </row>
    <row r="748" spans="1:15" s="69" customFormat="1" ht="47.25" hidden="1">
      <c r="A748" s="1149" t="s">
        <v>69</v>
      </c>
      <c r="B748" s="194" t="s">
        <v>178</v>
      </c>
      <c r="C748" s="779" t="s">
        <v>854</v>
      </c>
      <c r="D748" s="472" t="s">
        <v>39</v>
      </c>
      <c r="E748" s="473"/>
      <c r="F748" s="474">
        <f>0.5*0.1*F739</f>
        <v>0</v>
      </c>
      <c r="G748" s="293"/>
      <c r="H748" s="156"/>
      <c r="I748" s="156"/>
      <c r="J748" s="156"/>
      <c r="K748" s="156"/>
      <c r="L748" s="156"/>
      <c r="M748" s="485"/>
    </row>
    <row r="749" spans="1:15" s="69" customFormat="1" ht="16.5" hidden="1">
      <c r="A749" s="1150"/>
      <c r="B749" s="270"/>
      <c r="C749" s="547" t="s">
        <v>20</v>
      </c>
      <c r="D749" s="40" t="s">
        <v>21</v>
      </c>
      <c r="E749" s="476">
        <v>1.37</v>
      </c>
      <c r="F749" s="33">
        <f>E749*F748</f>
        <v>0</v>
      </c>
      <c r="G749" s="293"/>
      <c r="H749" s="293"/>
      <c r="I749" s="293"/>
      <c r="J749" s="293"/>
      <c r="K749" s="293"/>
      <c r="L749" s="293"/>
      <c r="M749" s="475"/>
    </row>
    <row r="750" spans="1:15" s="69" customFormat="1" ht="16.5" hidden="1">
      <c r="A750" s="1150"/>
      <c r="B750" s="270"/>
      <c r="C750" s="547" t="s">
        <v>23</v>
      </c>
      <c r="D750" s="40" t="s">
        <v>9</v>
      </c>
      <c r="E750" s="476">
        <v>0.28299999999999997</v>
      </c>
      <c r="F750" s="33">
        <f>F748*E750</f>
        <v>0</v>
      </c>
      <c r="G750" s="293"/>
      <c r="H750" s="293"/>
      <c r="I750" s="293"/>
      <c r="J750" s="293"/>
      <c r="K750" s="293"/>
      <c r="L750" s="293"/>
      <c r="M750" s="475"/>
    </row>
    <row r="751" spans="1:15" s="69" customFormat="1" ht="16.5" hidden="1">
      <c r="A751" s="1150"/>
      <c r="B751" s="270"/>
      <c r="C751" s="781" t="s">
        <v>313</v>
      </c>
      <c r="D751" s="270" t="s">
        <v>39</v>
      </c>
      <c r="E751" s="327">
        <v>1.02</v>
      </c>
      <c r="F751" s="486">
        <f>F748*E751</f>
        <v>0</v>
      </c>
      <c r="G751" s="293"/>
      <c r="H751" s="293"/>
      <c r="I751" s="293"/>
      <c r="J751" s="293"/>
      <c r="K751" s="293"/>
      <c r="L751" s="293"/>
      <c r="M751" s="475"/>
    </row>
    <row r="752" spans="1:15" s="69" customFormat="1" ht="16.5" hidden="1">
      <c r="A752" s="1151"/>
      <c r="B752" s="270"/>
      <c r="C752" s="781" t="s">
        <v>50</v>
      </c>
      <c r="D752" s="270" t="s">
        <v>9</v>
      </c>
      <c r="E752" s="327">
        <v>0.62</v>
      </c>
      <c r="F752" s="486">
        <f>F748*E752</f>
        <v>0</v>
      </c>
      <c r="G752" s="30"/>
      <c r="H752" s="293"/>
      <c r="I752" s="483"/>
      <c r="J752" s="293"/>
      <c r="K752" s="484"/>
      <c r="L752" s="293"/>
      <c r="M752" s="475"/>
    </row>
    <row r="753" spans="1:14" s="69" customFormat="1" ht="31.5" hidden="1">
      <c r="A753" s="1104" t="s">
        <v>85</v>
      </c>
      <c r="B753" s="260" t="s">
        <v>746</v>
      </c>
      <c r="C753" s="56" t="s">
        <v>831</v>
      </c>
      <c r="D753" s="260" t="s">
        <v>39</v>
      </c>
      <c r="E753" s="401"/>
      <c r="F753" s="23">
        <f>0.2*0.5*F739</f>
        <v>0</v>
      </c>
      <c r="G753" s="13"/>
      <c r="H753" s="30"/>
      <c r="I753" s="13"/>
      <c r="J753" s="30"/>
      <c r="K753" s="13"/>
      <c r="L753" s="30"/>
      <c r="M753" s="30"/>
    </row>
    <row r="754" spans="1:14" s="69" customFormat="1" ht="16.5" hidden="1">
      <c r="A754" s="1105"/>
      <c r="B754" s="933"/>
      <c r="C754" s="27" t="s">
        <v>38</v>
      </c>
      <c r="D754" s="933" t="s">
        <v>12</v>
      </c>
      <c r="E754" s="401">
        <v>3.78</v>
      </c>
      <c r="F754" s="929">
        <f>F753*E754</f>
        <v>0</v>
      </c>
      <c r="G754" s="269"/>
      <c r="H754" s="30"/>
      <c r="I754" s="269"/>
      <c r="J754" s="30"/>
      <c r="K754" s="269"/>
      <c r="L754" s="30"/>
      <c r="M754" s="30"/>
    </row>
    <row r="755" spans="1:14" s="69" customFormat="1" ht="16.5" hidden="1">
      <c r="A755" s="1105"/>
      <c r="B755" s="933"/>
      <c r="C755" s="27" t="s">
        <v>23</v>
      </c>
      <c r="D755" s="933" t="s">
        <v>9</v>
      </c>
      <c r="E755" s="401">
        <v>0.92</v>
      </c>
      <c r="F755" s="929">
        <f>F753*E755</f>
        <v>0</v>
      </c>
      <c r="G755" s="269"/>
      <c r="H755" s="30"/>
      <c r="I755" s="269"/>
      <c r="J755" s="30"/>
      <c r="K755" s="269"/>
      <c r="L755" s="30"/>
      <c r="M755" s="30"/>
    </row>
    <row r="756" spans="1:14" s="69" customFormat="1" ht="16.5" hidden="1">
      <c r="A756" s="1105"/>
      <c r="B756" s="933"/>
      <c r="C756" s="27" t="s">
        <v>235</v>
      </c>
      <c r="D756" s="933" t="s">
        <v>272</v>
      </c>
      <c r="E756" s="401">
        <v>1.0149999999999999</v>
      </c>
      <c r="F756" s="929">
        <f>F753*E756</f>
        <v>0</v>
      </c>
      <c r="G756" s="269"/>
      <c r="H756" s="30"/>
      <c r="I756" s="269"/>
      <c r="J756" s="30"/>
      <c r="K756" s="269"/>
      <c r="L756" s="30"/>
      <c r="M756" s="30"/>
    </row>
    <row r="757" spans="1:14" s="69" customFormat="1" ht="16.5" hidden="1">
      <c r="A757" s="1105"/>
      <c r="B757" s="933"/>
      <c r="C757" s="27" t="s">
        <v>316</v>
      </c>
      <c r="D757" s="933" t="s">
        <v>47</v>
      </c>
      <c r="E757" s="401">
        <v>0.70299999999999996</v>
      </c>
      <c r="F757" s="929">
        <f>F753*E757</f>
        <v>0</v>
      </c>
      <c r="G757" s="269"/>
      <c r="H757" s="30"/>
      <c r="I757" s="269"/>
      <c r="J757" s="30"/>
      <c r="K757" s="269"/>
      <c r="L757" s="30"/>
      <c r="M757" s="30"/>
    </row>
    <row r="758" spans="1:14" s="69" customFormat="1" ht="16.5" hidden="1">
      <c r="A758" s="1105"/>
      <c r="B758" s="933"/>
      <c r="C758" s="27" t="s">
        <v>41</v>
      </c>
      <c r="D758" s="933" t="s">
        <v>39</v>
      </c>
      <c r="E758" s="401">
        <f>(1.14)/100</f>
        <v>1.1399999999999999E-2</v>
      </c>
      <c r="F758" s="929">
        <f>F753*E758</f>
        <v>0</v>
      </c>
      <c r="G758" s="269"/>
      <c r="H758" s="30"/>
      <c r="I758" s="269"/>
      <c r="J758" s="30"/>
      <c r="K758" s="269"/>
      <c r="L758" s="30"/>
      <c r="M758" s="30"/>
    </row>
    <row r="759" spans="1:14" s="69" customFormat="1" ht="16.5" hidden="1">
      <c r="A759" s="1105"/>
      <c r="B759" s="933"/>
      <c r="C759" s="27" t="s">
        <v>13</v>
      </c>
      <c r="D759" s="933" t="s">
        <v>9</v>
      </c>
      <c r="E759" s="401">
        <v>0.6</v>
      </c>
      <c r="F759" s="929">
        <f>F753*E759</f>
        <v>0</v>
      </c>
      <c r="G759" s="269"/>
      <c r="H759" s="30"/>
      <c r="I759" s="269"/>
      <c r="J759" s="30"/>
      <c r="K759" s="269"/>
      <c r="L759" s="30"/>
      <c r="M759" s="30"/>
    </row>
    <row r="760" spans="1:14" s="69" customFormat="1" ht="16.5" hidden="1">
      <c r="A760" s="1105"/>
      <c r="B760" s="933"/>
      <c r="C760" s="953" t="s">
        <v>595</v>
      </c>
      <c r="D760" s="933" t="s">
        <v>40</v>
      </c>
      <c r="E760" s="401"/>
      <c r="F760" s="57">
        <v>0</v>
      </c>
      <c r="G760" s="269"/>
      <c r="H760" s="30"/>
      <c r="I760" s="269"/>
      <c r="J760" s="30"/>
      <c r="K760" s="269"/>
      <c r="L760" s="30"/>
      <c r="M760" s="30"/>
    </row>
    <row r="761" spans="1:14" s="69" customFormat="1" ht="16.5" hidden="1">
      <c r="A761" s="1105"/>
      <c r="B761" s="933"/>
      <c r="C761" s="953" t="s">
        <v>263</v>
      </c>
      <c r="D761" s="933" t="s">
        <v>40</v>
      </c>
      <c r="E761" s="401"/>
      <c r="F761" s="57">
        <v>0</v>
      </c>
      <c r="G761" s="269"/>
      <c r="H761" s="30"/>
      <c r="I761" s="30"/>
      <c r="J761" s="30"/>
      <c r="K761" s="30"/>
      <c r="L761" s="30"/>
      <c r="M761" s="30"/>
    </row>
    <row r="762" spans="1:14" s="69" customFormat="1" ht="16.5" hidden="1">
      <c r="A762" s="1121" t="s">
        <v>79</v>
      </c>
      <c r="B762" s="271" t="s">
        <v>598</v>
      </c>
      <c r="C762" s="950" t="s">
        <v>820</v>
      </c>
      <c r="D762" s="271" t="s">
        <v>47</v>
      </c>
      <c r="E762" s="954">
        <f>(0.3)*2*F739</f>
        <v>0</v>
      </c>
      <c r="F762" s="659"/>
      <c r="G762" s="660"/>
      <c r="H762" s="661"/>
      <c r="I762" s="660"/>
      <c r="J762" s="661"/>
      <c r="K762" s="660"/>
      <c r="L762" s="660"/>
      <c r="M762" s="660"/>
    </row>
    <row r="763" spans="1:14" s="69" customFormat="1" ht="16.5" hidden="1">
      <c r="A763" s="1123"/>
      <c r="B763" s="955"/>
      <c r="C763" s="25" t="s">
        <v>321</v>
      </c>
      <c r="D763" s="956" t="s">
        <v>21</v>
      </c>
      <c r="E763" s="957">
        <f>(19.2+5.97)/100</f>
        <v>0.25169999999999998</v>
      </c>
      <c r="F763" s="957">
        <f>F762*E763</f>
        <v>0</v>
      </c>
      <c r="G763" s="156"/>
      <c r="H763" s="156"/>
      <c r="I763" s="156"/>
      <c r="J763" s="156"/>
      <c r="K763" s="156"/>
      <c r="L763" s="156"/>
      <c r="M763" s="156"/>
    </row>
    <row r="764" spans="1:14" s="67" customFormat="1" hidden="1">
      <c r="A764" s="1123"/>
      <c r="B764" s="955"/>
      <c r="C764" s="205" t="s">
        <v>23</v>
      </c>
      <c r="D764" s="955" t="s">
        <v>9</v>
      </c>
      <c r="E764" s="149">
        <f>(0.59+0.24)/100</f>
        <v>8.3000000000000001E-3</v>
      </c>
      <c r="F764" s="149">
        <f>F762*E764</f>
        <v>0</v>
      </c>
      <c r="G764" s="293"/>
      <c r="H764" s="492"/>
      <c r="I764" s="293"/>
      <c r="J764" s="293"/>
      <c r="K764" s="293"/>
      <c r="L764" s="293"/>
      <c r="M764" s="156"/>
      <c r="N764" s="958"/>
    </row>
    <row r="765" spans="1:14" s="67" customFormat="1" hidden="1">
      <c r="A765" s="1123"/>
      <c r="B765" s="40"/>
      <c r="C765" s="205" t="s">
        <v>322</v>
      </c>
      <c r="D765" s="40" t="s">
        <v>7</v>
      </c>
      <c r="E765" s="305">
        <f>(0.29+0.14)*1000/100</f>
        <v>4.3</v>
      </c>
      <c r="F765" s="149">
        <f>E765*F762</f>
        <v>0</v>
      </c>
      <c r="G765" s="667"/>
      <c r="H765" s="293"/>
      <c r="I765" s="293"/>
      <c r="J765" s="293"/>
      <c r="K765" s="293"/>
      <c r="L765" s="293"/>
      <c r="M765" s="293"/>
      <c r="N765" s="958"/>
    </row>
    <row r="766" spans="1:14" s="67" customFormat="1" hidden="1">
      <c r="A766" s="1123"/>
      <c r="B766" s="40"/>
      <c r="C766" s="205" t="s">
        <v>323</v>
      </c>
      <c r="D766" s="40" t="s">
        <v>7</v>
      </c>
      <c r="E766" s="305">
        <v>0.76</v>
      </c>
      <c r="F766" s="149">
        <f>E766*F762</f>
        <v>0</v>
      </c>
      <c r="G766" s="667"/>
      <c r="H766" s="293"/>
      <c r="I766" s="293"/>
      <c r="J766" s="293"/>
      <c r="K766" s="293"/>
      <c r="L766" s="293"/>
      <c r="M766" s="293"/>
      <c r="N766" s="958"/>
    </row>
    <row r="767" spans="1:14" s="67" customFormat="1" hidden="1">
      <c r="A767" s="1122"/>
      <c r="B767" s="40"/>
      <c r="C767" s="205" t="s">
        <v>324</v>
      </c>
      <c r="D767" s="40" t="s">
        <v>325</v>
      </c>
      <c r="E767" s="305">
        <v>1.9E-3</v>
      </c>
      <c r="F767" s="149">
        <f>E767*F762</f>
        <v>0</v>
      </c>
      <c r="G767" s="293"/>
      <c r="H767" s="293"/>
      <c r="I767" s="293"/>
      <c r="J767" s="293"/>
      <c r="K767" s="293"/>
      <c r="L767" s="293"/>
      <c r="M767" s="293"/>
      <c r="N767" s="958"/>
    </row>
    <row r="768" spans="1:14" s="67" customFormat="1" hidden="1">
      <c r="A768" s="1121" t="s">
        <v>80</v>
      </c>
      <c r="B768" s="271" t="s">
        <v>63</v>
      </c>
      <c r="C768" s="893" t="s">
        <v>164</v>
      </c>
      <c r="D768" s="271" t="s">
        <v>39</v>
      </c>
      <c r="E768" s="959"/>
      <c r="F768" s="282">
        <f>F741-F748-0.2*0.2*F739</f>
        <v>0</v>
      </c>
      <c r="G768" s="661"/>
      <c r="H768" s="661"/>
      <c r="I768" s="661"/>
      <c r="J768" s="661"/>
      <c r="K768" s="661"/>
      <c r="L768" s="293"/>
      <c r="M768" s="660"/>
      <c r="N768" s="958"/>
    </row>
    <row r="769" spans="1:15" s="67" customFormat="1" hidden="1">
      <c r="A769" s="1122"/>
      <c r="B769" s="271"/>
      <c r="C769" s="25" t="s">
        <v>38</v>
      </c>
      <c r="D769" s="275" t="s">
        <v>12</v>
      </c>
      <c r="E769" s="960">
        <v>1.21</v>
      </c>
      <c r="F769" s="664">
        <f>F768*E769</f>
        <v>0</v>
      </c>
      <c r="G769" s="661"/>
      <c r="H769" s="661"/>
      <c r="I769" s="661"/>
      <c r="J769" s="661"/>
      <c r="K769" s="661"/>
      <c r="L769" s="293"/>
      <c r="M769" s="660"/>
      <c r="N769" s="958"/>
    </row>
    <row r="770" spans="1:15" s="67" customFormat="1" hidden="1">
      <c r="A770" s="1104" t="s">
        <v>81</v>
      </c>
      <c r="B770" s="961" t="s">
        <v>82</v>
      </c>
      <c r="C770" s="962" t="s">
        <v>122</v>
      </c>
      <c r="D770" s="191" t="s">
        <v>125</v>
      </c>
      <c r="E770" s="192"/>
      <c r="F770" s="193">
        <f>(F741-F768)*1.95</f>
        <v>0</v>
      </c>
      <c r="G770" s="930"/>
      <c r="H770" s="13"/>
      <c r="I770" s="930"/>
      <c r="J770" s="13"/>
      <c r="K770" s="930"/>
      <c r="L770" s="293"/>
      <c r="M770" s="13"/>
      <c r="N770" s="958"/>
    </row>
    <row r="771" spans="1:15" s="67" customFormat="1" hidden="1">
      <c r="A771" s="1105"/>
      <c r="B771" s="933"/>
      <c r="C771" s="963" t="s">
        <v>54</v>
      </c>
      <c r="D771" s="44" t="s">
        <v>12</v>
      </c>
      <c r="E771" s="45">
        <v>0.53</v>
      </c>
      <c r="F771" s="928">
        <f>F770*E771</f>
        <v>0</v>
      </c>
      <c r="G771" s="930"/>
      <c r="H771" s="13"/>
      <c r="I771" s="930"/>
      <c r="J771" s="13"/>
      <c r="K771" s="930"/>
      <c r="L771" s="293"/>
      <c r="M771" s="13"/>
      <c r="N771" s="958"/>
    </row>
    <row r="772" spans="1:15" s="67" customFormat="1" ht="27" hidden="1">
      <c r="A772" s="1106"/>
      <c r="B772" s="933" t="s">
        <v>600</v>
      </c>
      <c r="C772" s="893" t="s">
        <v>187</v>
      </c>
      <c r="D772" s="260" t="s">
        <v>40</v>
      </c>
      <c r="E772" s="15"/>
      <c r="F772" s="24">
        <f>F770</f>
        <v>0</v>
      </c>
      <c r="G772" s="930"/>
      <c r="H772" s="13"/>
      <c r="I772" s="930"/>
      <c r="J772" s="13"/>
      <c r="K772" s="22"/>
      <c r="L772" s="293"/>
      <c r="M772" s="13"/>
      <c r="N772" s="958"/>
    </row>
    <row r="773" spans="1:15" s="67" customFormat="1" ht="31.5" hidden="1">
      <c r="A773" s="1125" t="s">
        <v>77</v>
      </c>
      <c r="B773" s="155" t="s">
        <v>821</v>
      </c>
      <c r="C773" s="964" t="s">
        <v>855</v>
      </c>
      <c r="D773" s="155" t="s">
        <v>47</v>
      </c>
      <c r="E773" s="24"/>
      <c r="F773" s="316">
        <f>(0.4*2+0.3)*F739</f>
        <v>0</v>
      </c>
      <c r="G773" s="13"/>
      <c r="H773" s="13"/>
      <c r="I773" s="13"/>
      <c r="J773" s="13"/>
      <c r="K773" s="13"/>
      <c r="L773" s="156"/>
      <c r="M773" s="156"/>
      <c r="N773" s="958"/>
    </row>
    <row r="774" spans="1:15" s="67" customFormat="1" hidden="1">
      <c r="A774" s="1126"/>
      <c r="B774" s="933"/>
      <c r="C774" s="27" t="s">
        <v>822</v>
      </c>
      <c r="D774" s="933" t="s">
        <v>12</v>
      </c>
      <c r="E774" s="401">
        <v>11.8</v>
      </c>
      <c r="F774" s="929">
        <f>E774*F773</f>
        <v>0</v>
      </c>
      <c r="G774" s="965"/>
      <c r="H774" s="965"/>
      <c r="I774" s="930"/>
      <c r="J774" s="930"/>
      <c r="K774" s="965"/>
      <c r="L774" s="965"/>
      <c r="M774" s="930"/>
      <c r="N774" s="958"/>
    </row>
    <row r="775" spans="1:15" s="67" customFormat="1" hidden="1">
      <c r="A775" s="1126"/>
      <c r="B775" s="933"/>
      <c r="C775" s="27" t="s">
        <v>823</v>
      </c>
      <c r="D775" s="933" t="s">
        <v>9</v>
      </c>
      <c r="E775" s="401">
        <v>0.15</v>
      </c>
      <c r="F775" s="929">
        <f>E775*F773</f>
        <v>0</v>
      </c>
      <c r="G775" s="965"/>
      <c r="H775" s="965"/>
      <c r="I775" s="965"/>
      <c r="J775" s="965"/>
      <c r="K775" s="930"/>
      <c r="L775" s="930"/>
      <c r="M775" s="965"/>
      <c r="N775" s="958"/>
    </row>
    <row r="776" spans="1:15" s="67" customFormat="1" ht="31.5" hidden="1">
      <c r="A776" s="1126"/>
      <c r="B776" s="933"/>
      <c r="C776" s="27" t="s">
        <v>828</v>
      </c>
      <c r="D776" s="933" t="s">
        <v>47</v>
      </c>
      <c r="E776" s="401">
        <v>1.05</v>
      </c>
      <c r="F776" s="929">
        <f>E776*F773</f>
        <v>0</v>
      </c>
      <c r="G776" s="930"/>
      <c r="H776" s="930"/>
      <c r="I776" s="965"/>
      <c r="J776" s="965"/>
      <c r="K776" s="965"/>
      <c r="L776" s="965"/>
      <c r="M776" s="965"/>
      <c r="N776" s="958"/>
    </row>
    <row r="777" spans="1:15" s="67" customFormat="1" hidden="1">
      <c r="A777" s="1126"/>
      <c r="B777" s="933"/>
      <c r="C777" s="27" t="s">
        <v>754</v>
      </c>
      <c r="D777" s="933" t="s">
        <v>824</v>
      </c>
      <c r="E777" s="401">
        <v>3.5999999999999997E-2</v>
      </c>
      <c r="F777" s="929">
        <f>E777*F773</f>
        <v>0</v>
      </c>
      <c r="G777" s="930"/>
      <c r="H777" s="930"/>
      <c r="I777" s="965"/>
      <c r="J777" s="965"/>
      <c r="K777" s="965"/>
      <c r="L777" s="965"/>
      <c r="M777" s="965"/>
      <c r="N777" s="958"/>
    </row>
    <row r="778" spans="1:15" s="67" customFormat="1" hidden="1">
      <c r="A778" s="1127"/>
      <c r="B778" s="933"/>
      <c r="C778" s="27" t="s">
        <v>50</v>
      </c>
      <c r="D778" s="933" t="s">
        <v>26</v>
      </c>
      <c r="E778" s="401">
        <v>0.01</v>
      </c>
      <c r="F778" s="929">
        <f>E778*F773</f>
        <v>0</v>
      </c>
      <c r="G778" s="930"/>
      <c r="H778" s="930"/>
      <c r="I778" s="965"/>
      <c r="J778" s="965"/>
      <c r="K778" s="965"/>
      <c r="L778" s="965"/>
      <c r="M778" s="965"/>
      <c r="N778" s="958"/>
    </row>
    <row r="779" spans="1:15" s="67" customFormat="1" ht="47.25" hidden="1">
      <c r="A779" s="1125" t="s">
        <v>42</v>
      </c>
      <c r="B779" s="260" t="s">
        <v>24</v>
      </c>
      <c r="C779" s="966" t="s">
        <v>825</v>
      </c>
      <c r="D779" s="29" t="s">
        <v>47</v>
      </c>
      <c r="E779" s="15"/>
      <c r="F779" s="35">
        <f>0.4*F740</f>
        <v>0</v>
      </c>
      <c r="G779" s="30"/>
      <c r="H779" s="930"/>
      <c r="I779" s="20"/>
      <c r="J779" s="930"/>
      <c r="K779" s="21"/>
      <c r="L779" s="930"/>
      <c r="M779" s="930"/>
      <c r="N779" s="958"/>
    </row>
    <row r="780" spans="1:15" s="67" customFormat="1" hidden="1">
      <c r="A780" s="1126"/>
      <c r="B780" s="260"/>
      <c r="C780" s="105" t="s">
        <v>38</v>
      </c>
      <c r="D780" s="931" t="s">
        <v>12</v>
      </c>
      <c r="E780" s="401">
        <v>1</v>
      </c>
      <c r="F780" s="33">
        <f>F779*E780</f>
        <v>0</v>
      </c>
      <c r="G780" s="30"/>
      <c r="H780" s="930"/>
      <c r="I780" s="20"/>
      <c r="J780" s="930"/>
      <c r="K780" s="965"/>
      <c r="L780" s="965"/>
      <c r="M780" s="930"/>
      <c r="N780" s="958"/>
    </row>
    <row r="781" spans="1:15" s="67" customFormat="1" hidden="1">
      <c r="A781" s="1126"/>
      <c r="B781" s="933"/>
      <c r="C781" s="18" t="s">
        <v>826</v>
      </c>
      <c r="D781" s="933" t="s">
        <v>40</v>
      </c>
      <c r="E781" s="401"/>
      <c r="F781" s="33">
        <f>(2)*F740*1.1  *(0.02+0.04)*2*0.002*7.85</f>
        <v>0</v>
      </c>
      <c r="G781" s="930"/>
      <c r="H781" s="930"/>
      <c r="I781" s="965"/>
      <c r="J781" s="965"/>
      <c r="K781" s="965"/>
      <c r="L781" s="965"/>
      <c r="M781" s="965"/>
      <c r="N781" s="958"/>
    </row>
    <row r="782" spans="1:15" s="67" customFormat="1" ht="31.5" hidden="1">
      <c r="A782" s="1127"/>
      <c r="B782" s="933"/>
      <c r="C782" s="18" t="s">
        <v>827</v>
      </c>
      <c r="D782" s="933" t="s">
        <v>47</v>
      </c>
      <c r="E782" s="401">
        <v>1.1000000000000001</v>
      </c>
      <c r="F782" s="33">
        <f>F779*E782</f>
        <v>0</v>
      </c>
      <c r="G782" s="293"/>
      <c r="H782" s="930"/>
      <c r="I782" s="965"/>
      <c r="J782" s="965"/>
      <c r="K782" s="965"/>
      <c r="L782" s="965"/>
      <c r="M782" s="965"/>
      <c r="N782" s="958"/>
    </row>
    <row r="783" spans="1:15" s="72" customFormat="1" hidden="1">
      <c r="A783" s="927"/>
      <c r="B783" s="932"/>
      <c r="C783" s="792"/>
      <c r="D783" s="260"/>
      <c r="E783" s="15"/>
      <c r="F783" s="24"/>
      <c r="G783" s="509"/>
      <c r="H783" s="13"/>
      <c r="I783" s="13"/>
      <c r="J783" s="13"/>
      <c r="K783" s="13"/>
      <c r="L783" s="13"/>
      <c r="M783" s="930"/>
      <c r="N783" s="510"/>
      <c r="O783" s="393"/>
    </row>
    <row r="784" spans="1:15" s="72" customFormat="1" hidden="1">
      <c r="A784" s="436"/>
      <c r="B784" s="553"/>
      <c r="C784" s="48" t="s">
        <v>830</v>
      </c>
      <c r="D784" s="77" t="s">
        <v>43</v>
      </c>
      <c r="E784" s="396"/>
      <c r="F784" s="48">
        <v>0</v>
      </c>
      <c r="G784" s="509"/>
      <c r="H784" s="13"/>
      <c r="I784" s="13"/>
      <c r="J784" s="13"/>
      <c r="K784" s="13"/>
      <c r="L784" s="13"/>
      <c r="M784" s="945"/>
      <c r="N784" s="510"/>
      <c r="O784" s="393"/>
    </row>
    <row r="785" spans="1:15" s="72" customFormat="1" hidden="1">
      <c r="A785" s="436"/>
      <c r="B785" s="553"/>
      <c r="C785" s="48" t="s">
        <v>819</v>
      </c>
      <c r="D785" s="77" t="s">
        <v>43</v>
      </c>
      <c r="E785" s="396"/>
      <c r="F785" s="48">
        <v>0</v>
      </c>
      <c r="G785" s="509"/>
      <c r="H785" s="13"/>
      <c r="I785" s="13"/>
      <c r="J785" s="13"/>
      <c r="K785" s="13"/>
      <c r="L785" s="13"/>
      <c r="M785" s="945"/>
      <c r="N785" s="510"/>
      <c r="O785" s="393"/>
    </row>
    <row r="786" spans="1:15" s="69" customFormat="1" ht="31.5" hidden="1">
      <c r="A786" s="1140" t="s">
        <v>84</v>
      </c>
      <c r="B786" s="263" t="s">
        <v>33</v>
      </c>
      <c r="C786" s="950" t="s">
        <v>851</v>
      </c>
      <c r="D786" s="275" t="s">
        <v>39</v>
      </c>
      <c r="E786" s="951"/>
      <c r="F786" s="23">
        <f>0.8*0.7*F784</f>
        <v>0</v>
      </c>
      <c r="G786" s="13"/>
      <c r="H786" s="30"/>
      <c r="I786" s="13"/>
      <c r="J786" s="30"/>
      <c r="K786" s="13"/>
      <c r="L786" s="30"/>
      <c r="M786" s="30"/>
    </row>
    <row r="787" spans="1:15" s="69" customFormat="1" ht="16.5" hidden="1">
      <c r="A787" s="1142"/>
      <c r="B787" s="203"/>
      <c r="C787" s="25" t="s">
        <v>38</v>
      </c>
      <c r="D787" s="275" t="s">
        <v>12</v>
      </c>
      <c r="E787" s="951">
        <v>3.88</v>
      </c>
      <c r="F787" s="202">
        <f>F786*E787</f>
        <v>0</v>
      </c>
      <c r="G787" s="13"/>
      <c r="H787" s="30"/>
      <c r="I787" s="13"/>
      <c r="J787" s="30"/>
      <c r="K787" s="13"/>
      <c r="L787" s="30"/>
      <c r="M787" s="30"/>
    </row>
    <row r="788" spans="1:15" s="69" customFormat="1" ht="31.5" hidden="1">
      <c r="A788" s="1140" t="s">
        <v>478</v>
      </c>
      <c r="B788" s="263" t="s">
        <v>37</v>
      </c>
      <c r="C788" s="950" t="s">
        <v>848</v>
      </c>
      <c r="D788" s="275" t="s">
        <v>39</v>
      </c>
      <c r="E788" s="952">
        <f>0.8*0.1*F784</f>
        <v>0</v>
      </c>
      <c r="F788" s="23"/>
      <c r="G788" s="13"/>
      <c r="H788" s="30"/>
      <c r="I788" s="13"/>
      <c r="J788" s="30"/>
      <c r="K788" s="13"/>
      <c r="L788" s="30"/>
      <c r="M788" s="30"/>
    </row>
    <row r="789" spans="1:15" s="69" customFormat="1" ht="16.5" hidden="1">
      <c r="A789" s="1141"/>
      <c r="B789" s="948"/>
      <c r="C789" s="18" t="s">
        <v>38</v>
      </c>
      <c r="D789" s="948" t="s">
        <v>12</v>
      </c>
      <c r="E789" s="401">
        <v>3.52</v>
      </c>
      <c r="F789" s="944">
        <f>F788*E789</f>
        <v>0</v>
      </c>
      <c r="G789" s="945"/>
      <c r="H789" s="945"/>
      <c r="I789" s="945"/>
      <c r="J789" s="945"/>
      <c r="K789" s="945"/>
      <c r="L789" s="945"/>
      <c r="M789" s="945"/>
    </row>
    <row r="790" spans="1:15" s="69" customFormat="1" ht="16.5" hidden="1">
      <c r="A790" s="1141"/>
      <c r="B790" s="948"/>
      <c r="C790" s="18" t="s">
        <v>11</v>
      </c>
      <c r="D790" s="948" t="s">
        <v>9</v>
      </c>
      <c r="E790" s="401">
        <v>1.06</v>
      </c>
      <c r="F790" s="944">
        <f>F788*E790</f>
        <v>0</v>
      </c>
      <c r="G790" s="945"/>
      <c r="H790" s="945"/>
      <c r="I790" s="945"/>
      <c r="J790" s="945"/>
      <c r="K790" s="945"/>
      <c r="L790" s="945"/>
      <c r="M790" s="945"/>
    </row>
    <row r="791" spans="1:15" s="69" customFormat="1" ht="16.5" hidden="1">
      <c r="A791" s="1141"/>
      <c r="B791" s="948"/>
      <c r="C791" s="18" t="s">
        <v>32</v>
      </c>
      <c r="D791" s="948" t="s">
        <v>39</v>
      </c>
      <c r="E791" s="401">
        <f>0.18+0.09+0.97</f>
        <v>1.24</v>
      </c>
      <c r="F791" s="944">
        <f>F788*E791</f>
        <v>0</v>
      </c>
      <c r="G791" s="945"/>
      <c r="H791" s="945"/>
      <c r="I791" s="945"/>
      <c r="J791" s="945"/>
      <c r="K791" s="945"/>
      <c r="L791" s="945"/>
      <c r="M791" s="945"/>
    </row>
    <row r="792" spans="1:15" s="69" customFormat="1" ht="16.5" hidden="1">
      <c r="A792" s="1142"/>
      <c r="B792" s="948"/>
      <c r="C792" s="18" t="s">
        <v>13</v>
      </c>
      <c r="D792" s="948" t="s">
        <v>9</v>
      </c>
      <c r="E792" s="401">
        <v>0.02</v>
      </c>
      <c r="F792" s="944">
        <f>F788*E792</f>
        <v>0</v>
      </c>
      <c r="G792" s="945"/>
      <c r="H792" s="945"/>
      <c r="I792" s="945"/>
      <c r="J792" s="945"/>
      <c r="K792" s="945"/>
      <c r="L792" s="945"/>
      <c r="M792" s="945"/>
    </row>
    <row r="793" spans="1:15" s="69" customFormat="1" ht="31.5" hidden="1">
      <c r="A793" s="1149" t="s">
        <v>69</v>
      </c>
      <c r="B793" s="194" t="s">
        <v>178</v>
      </c>
      <c r="C793" s="779" t="s">
        <v>849</v>
      </c>
      <c r="D793" s="472" t="s">
        <v>39</v>
      </c>
      <c r="E793" s="473"/>
      <c r="F793" s="474">
        <f>0.8*0.1*F784</f>
        <v>0</v>
      </c>
      <c r="G793" s="293"/>
      <c r="H793" s="156"/>
      <c r="I793" s="156"/>
      <c r="J793" s="156"/>
      <c r="K793" s="156"/>
      <c r="L793" s="156"/>
      <c r="M793" s="485"/>
    </row>
    <row r="794" spans="1:15" s="69" customFormat="1" ht="16.5" hidden="1">
      <c r="A794" s="1150"/>
      <c r="B794" s="270"/>
      <c r="C794" s="547" t="s">
        <v>20</v>
      </c>
      <c r="D794" s="40" t="s">
        <v>21</v>
      </c>
      <c r="E794" s="476">
        <v>1.37</v>
      </c>
      <c r="F794" s="33">
        <f>E794*F793</f>
        <v>0</v>
      </c>
      <c r="G794" s="293"/>
      <c r="H794" s="293"/>
      <c r="I794" s="293"/>
      <c r="J794" s="293"/>
      <c r="K794" s="293"/>
      <c r="L794" s="293"/>
      <c r="M794" s="475"/>
    </row>
    <row r="795" spans="1:15" s="69" customFormat="1" ht="16.5" hidden="1">
      <c r="A795" s="1150"/>
      <c r="B795" s="270"/>
      <c r="C795" s="547" t="s">
        <v>23</v>
      </c>
      <c r="D795" s="40" t="s">
        <v>9</v>
      </c>
      <c r="E795" s="476">
        <v>0.28299999999999997</v>
      </c>
      <c r="F795" s="33">
        <f>F793*E795</f>
        <v>0</v>
      </c>
      <c r="G795" s="293"/>
      <c r="H795" s="293"/>
      <c r="I795" s="293"/>
      <c r="J795" s="293"/>
      <c r="K795" s="293"/>
      <c r="L795" s="293"/>
      <c r="M795" s="475"/>
    </row>
    <row r="796" spans="1:15" s="69" customFormat="1" ht="16.5" hidden="1">
      <c r="A796" s="1150"/>
      <c r="B796" s="270"/>
      <c r="C796" s="781" t="s">
        <v>313</v>
      </c>
      <c r="D796" s="270" t="s">
        <v>39</v>
      </c>
      <c r="E796" s="327">
        <v>1.02</v>
      </c>
      <c r="F796" s="486">
        <f>F793*E796</f>
        <v>0</v>
      </c>
      <c r="G796" s="293"/>
      <c r="H796" s="293"/>
      <c r="I796" s="293"/>
      <c r="J796" s="293"/>
      <c r="K796" s="293"/>
      <c r="L796" s="293"/>
      <c r="M796" s="475"/>
    </row>
    <row r="797" spans="1:15" s="69" customFormat="1" ht="16.5" hidden="1">
      <c r="A797" s="1151"/>
      <c r="B797" s="270"/>
      <c r="C797" s="781" t="s">
        <v>50</v>
      </c>
      <c r="D797" s="270" t="s">
        <v>9</v>
      </c>
      <c r="E797" s="327">
        <v>0.62</v>
      </c>
      <c r="F797" s="486">
        <f>F793*E797</f>
        <v>0</v>
      </c>
      <c r="G797" s="30"/>
      <c r="H797" s="293"/>
      <c r="I797" s="483"/>
      <c r="J797" s="293"/>
      <c r="K797" s="484"/>
      <c r="L797" s="293"/>
      <c r="M797" s="475"/>
    </row>
    <row r="798" spans="1:15" s="69" customFormat="1" ht="16.5" hidden="1">
      <c r="A798" s="1104" t="s">
        <v>85</v>
      </c>
      <c r="B798" s="260" t="s">
        <v>746</v>
      </c>
      <c r="C798" s="56" t="s">
        <v>850</v>
      </c>
      <c r="D798" s="260" t="s">
        <v>39</v>
      </c>
      <c r="E798" s="401"/>
      <c r="F798" s="23">
        <f>(0.5*0.4+0.2*1.2)*F784</f>
        <v>0</v>
      </c>
      <c r="G798" s="13"/>
      <c r="H798" s="30"/>
      <c r="I798" s="13"/>
      <c r="J798" s="30"/>
      <c r="K798" s="13"/>
      <c r="L798" s="30"/>
      <c r="M798" s="30"/>
    </row>
    <row r="799" spans="1:15" s="69" customFormat="1" ht="16.5" hidden="1">
      <c r="A799" s="1105"/>
      <c r="B799" s="948"/>
      <c r="C799" s="27" t="s">
        <v>38</v>
      </c>
      <c r="D799" s="948" t="s">
        <v>12</v>
      </c>
      <c r="E799" s="401">
        <v>3.78</v>
      </c>
      <c r="F799" s="944">
        <f>F798*E799</f>
        <v>0</v>
      </c>
      <c r="G799" s="269"/>
      <c r="H799" s="30"/>
      <c r="I799" s="269"/>
      <c r="J799" s="30"/>
      <c r="K799" s="269"/>
      <c r="L799" s="30"/>
      <c r="M799" s="30"/>
    </row>
    <row r="800" spans="1:15" s="69" customFormat="1" ht="16.5" hidden="1">
      <c r="A800" s="1105"/>
      <c r="B800" s="948"/>
      <c r="C800" s="27" t="s">
        <v>23</v>
      </c>
      <c r="D800" s="948" t="s">
        <v>9</v>
      </c>
      <c r="E800" s="401">
        <v>0.92</v>
      </c>
      <c r="F800" s="944">
        <f>F798*E800</f>
        <v>0</v>
      </c>
      <c r="G800" s="269"/>
      <c r="H800" s="30"/>
      <c r="I800" s="269"/>
      <c r="J800" s="30"/>
      <c r="K800" s="269"/>
      <c r="L800" s="30"/>
      <c r="M800" s="30"/>
    </row>
    <row r="801" spans="1:14" s="69" customFormat="1" ht="16.5" hidden="1">
      <c r="A801" s="1105"/>
      <c r="B801" s="948"/>
      <c r="C801" s="27" t="s">
        <v>235</v>
      </c>
      <c r="D801" s="948" t="s">
        <v>272</v>
      </c>
      <c r="E801" s="401">
        <v>1.0149999999999999</v>
      </c>
      <c r="F801" s="944">
        <f>F798*E801</f>
        <v>0</v>
      </c>
      <c r="G801" s="269"/>
      <c r="H801" s="30"/>
      <c r="I801" s="269"/>
      <c r="J801" s="30"/>
      <c r="K801" s="269"/>
      <c r="L801" s="30"/>
      <c r="M801" s="30"/>
    </row>
    <row r="802" spans="1:14" s="69" customFormat="1" ht="16.5" hidden="1">
      <c r="A802" s="1105"/>
      <c r="B802" s="948"/>
      <c r="C802" s="27" t="s">
        <v>316</v>
      </c>
      <c r="D802" s="948" t="s">
        <v>47</v>
      </c>
      <c r="E802" s="401">
        <v>0.70299999999999996</v>
      </c>
      <c r="F802" s="944">
        <f>F798*E802</f>
        <v>0</v>
      </c>
      <c r="G802" s="269"/>
      <c r="H802" s="30"/>
      <c r="I802" s="269"/>
      <c r="J802" s="30"/>
      <c r="K802" s="269"/>
      <c r="L802" s="30"/>
      <c r="M802" s="30"/>
    </row>
    <row r="803" spans="1:14" s="69" customFormat="1" ht="16.5" hidden="1">
      <c r="A803" s="1105"/>
      <c r="B803" s="948"/>
      <c r="C803" s="27" t="s">
        <v>41</v>
      </c>
      <c r="D803" s="948" t="s">
        <v>39</v>
      </c>
      <c r="E803" s="401">
        <f>(1.14)/100</f>
        <v>1.1399999999999999E-2</v>
      </c>
      <c r="F803" s="944">
        <f>F798*E803</f>
        <v>0</v>
      </c>
      <c r="G803" s="269"/>
      <c r="H803" s="30"/>
      <c r="I803" s="269"/>
      <c r="J803" s="30"/>
      <c r="K803" s="269"/>
      <c r="L803" s="30"/>
      <c r="M803" s="30"/>
    </row>
    <row r="804" spans="1:14" s="69" customFormat="1" ht="16.5" hidden="1">
      <c r="A804" s="1105"/>
      <c r="B804" s="948"/>
      <c r="C804" s="27" t="s">
        <v>13</v>
      </c>
      <c r="D804" s="948" t="s">
        <v>9</v>
      </c>
      <c r="E804" s="401">
        <v>0.6</v>
      </c>
      <c r="F804" s="944">
        <f>F798*E804</f>
        <v>0</v>
      </c>
      <c r="G804" s="269"/>
      <c r="H804" s="30"/>
      <c r="I804" s="269"/>
      <c r="J804" s="30"/>
      <c r="K804" s="269"/>
      <c r="L804" s="30"/>
      <c r="M804" s="30"/>
    </row>
    <row r="805" spans="1:14" s="69" customFormat="1" ht="16.5" hidden="1">
      <c r="A805" s="1105"/>
      <c r="B805" s="948"/>
      <c r="C805" s="953" t="s">
        <v>595</v>
      </c>
      <c r="D805" s="948" t="s">
        <v>40</v>
      </c>
      <c r="E805" s="401"/>
      <c r="F805" s="57">
        <v>0</v>
      </c>
      <c r="G805" s="269"/>
      <c r="H805" s="30"/>
      <c r="I805" s="269"/>
      <c r="J805" s="30"/>
      <c r="K805" s="269"/>
      <c r="L805" s="30"/>
      <c r="M805" s="30"/>
    </row>
    <row r="806" spans="1:14" s="69" customFormat="1" ht="16.5" hidden="1">
      <c r="A806" s="1105"/>
      <c r="B806" s="948"/>
      <c r="C806" s="953" t="s">
        <v>263</v>
      </c>
      <c r="D806" s="948" t="s">
        <v>40</v>
      </c>
      <c r="E806" s="401"/>
      <c r="F806" s="57">
        <v>0</v>
      </c>
      <c r="G806" s="269"/>
      <c r="H806" s="30"/>
      <c r="I806" s="30"/>
      <c r="J806" s="30"/>
      <c r="K806" s="30"/>
      <c r="L806" s="30"/>
      <c r="M806" s="30"/>
    </row>
    <row r="807" spans="1:14" s="69" customFormat="1" ht="16.5" hidden="1">
      <c r="A807" s="1121" t="s">
        <v>79</v>
      </c>
      <c r="B807" s="271" t="s">
        <v>598</v>
      </c>
      <c r="C807" s="950" t="s">
        <v>820</v>
      </c>
      <c r="D807" s="271" t="s">
        <v>47</v>
      </c>
      <c r="E807" s="954">
        <f>(0.3)*2*F784</f>
        <v>0</v>
      </c>
      <c r="F807" s="659"/>
      <c r="G807" s="660"/>
      <c r="H807" s="661"/>
      <c r="I807" s="660"/>
      <c r="J807" s="661"/>
      <c r="K807" s="660"/>
      <c r="L807" s="660"/>
      <c r="M807" s="660"/>
    </row>
    <row r="808" spans="1:14" s="69" customFormat="1" ht="16.5" hidden="1">
      <c r="A808" s="1123"/>
      <c r="B808" s="955"/>
      <c r="C808" s="25" t="s">
        <v>321</v>
      </c>
      <c r="D808" s="956" t="s">
        <v>21</v>
      </c>
      <c r="E808" s="957">
        <f>(19.2+5.97)/100</f>
        <v>0.25169999999999998</v>
      </c>
      <c r="F808" s="957">
        <f>F807*E808</f>
        <v>0</v>
      </c>
      <c r="G808" s="156"/>
      <c r="H808" s="156"/>
      <c r="I808" s="156"/>
      <c r="J808" s="156"/>
      <c r="K808" s="156"/>
      <c r="L808" s="156"/>
      <c r="M808" s="156"/>
    </row>
    <row r="809" spans="1:14" s="67" customFormat="1" hidden="1">
      <c r="A809" s="1123"/>
      <c r="B809" s="955"/>
      <c r="C809" s="205" t="s">
        <v>23</v>
      </c>
      <c r="D809" s="955" t="s">
        <v>9</v>
      </c>
      <c r="E809" s="149">
        <f>(0.59+0.24)/100</f>
        <v>8.3000000000000001E-3</v>
      </c>
      <c r="F809" s="149">
        <f>F807*E809</f>
        <v>0</v>
      </c>
      <c r="G809" s="293"/>
      <c r="H809" s="492"/>
      <c r="I809" s="293"/>
      <c r="J809" s="293"/>
      <c r="K809" s="293"/>
      <c r="L809" s="293"/>
      <c r="M809" s="156"/>
      <c r="N809" s="958"/>
    </row>
    <row r="810" spans="1:14" s="67" customFormat="1" hidden="1">
      <c r="A810" s="1123"/>
      <c r="B810" s="40"/>
      <c r="C810" s="205" t="s">
        <v>322</v>
      </c>
      <c r="D810" s="40" t="s">
        <v>7</v>
      </c>
      <c r="E810" s="305">
        <f>(0.29+0.14)*1000/100</f>
        <v>4.3</v>
      </c>
      <c r="F810" s="149">
        <f>E810*F807</f>
        <v>0</v>
      </c>
      <c r="G810" s="667"/>
      <c r="H810" s="293"/>
      <c r="I810" s="293"/>
      <c r="J810" s="293"/>
      <c r="K810" s="293"/>
      <c r="L810" s="293"/>
      <c r="M810" s="293"/>
      <c r="N810" s="958"/>
    </row>
    <row r="811" spans="1:14" s="67" customFormat="1" hidden="1">
      <c r="A811" s="1123"/>
      <c r="B811" s="40"/>
      <c r="C811" s="205" t="s">
        <v>323</v>
      </c>
      <c r="D811" s="40" t="s">
        <v>7</v>
      </c>
      <c r="E811" s="305">
        <v>0.76</v>
      </c>
      <c r="F811" s="149">
        <f>E811*F807</f>
        <v>0</v>
      </c>
      <c r="G811" s="667"/>
      <c r="H811" s="293"/>
      <c r="I811" s="293"/>
      <c r="J811" s="293"/>
      <c r="K811" s="293"/>
      <c r="L811" s="293"/>
      <c r="M811" s="293"/>
      <c r="N811" s="958"/>
    </row>
    <row r="812" spans="1:14" s="67" customFormat="1" hidden="1">
      <c r="A812" s="1122"/>
      <c r="B812" s="40"/>
      <c r="C812" s="205" t="s">
        <v>324</v>
      </c>
      <c r="D812" s="40" t="s">
        <v>325</v>
      </c>
      <c r="E812" s="305">
        <v>1.9E-3</v>
      </c>
      <c r="F812" s="149">
        <f>E812*F807</f>
        <v>0</v>
      </c>
      <c r="G812" s="293"/>
      <c r="H812" s="293"/>
      <c r="I812" s="293"/>
      <c r="J812" s="293"/>
      <c r="K812" s="293"/>
      <c r="L812" s="293"/>
      <c r="M812" s="293"/>
      <c r="N812" s="958"/>
    </row>
    <row r="813" spans="1:14" s="67" customFormat="1" hidden="1">
      <c r="A813" s="1121" t="s">
        <v>80</v>
      </c>
      <c r="B813" s="271" t="s">
        <v>63</v>
      </c>
      <c r="C813" s="893" t="s">
        <v>164</v>
      </c>
      <c r="D813" s="271" t="s">
        <v>39</v>
      </c>
      <c r="E813" s="959"/>
      <c r="F813" s="282">
        <f>F786-F793-(0.5*0.4+0.2*0.2)*F784</f>
        <v>0</v>
      </c>
      <c r="G813" s="661"/>
      <c r="H813" s="661"/>
      <c r="I813" s="661"/>
      <c r="J813" s="661"/>
      <c r="K813" s="661"/>
      <c r="L813" s="661"/>
      <c r="M813" s="660"/>
      <c r="N813" s="958"/>
    </row>
    <row r="814" spans="1:14" s="67" customFormat="1" hidden="1">
      <c r="A814" s="1122"/>
      <c r="B814" s="271"/>
      <c r="C814" s="25" t="s">
        <v>38</v>
      </c>
      <c r="D814" s="275" t="s">
        <v>12</v>
      </c>
      <c r="E814" s="960">
        <v>1.21</v>
      </c>
      <c r="F814" s="664">
        <f>F813*E814</f>
        <v>0</v>
      </c>
      <c r="G814" s="661"/>
      <c r="H814" s="661"/>
      <c r="I814" s="661"/>
      <c r="J814" s="661"/>
      <c r="K814" s="661"/>
      <c r="L814" s="661"/>
      <c r="M814" s="660"/>
      <c r="N814" s="958"/>
    </row>
    <row r="815" spans="1:14" s="67" customFormat="1" hidden="1">
      <c r="A815" s="1104" t="s">
        <v>81</v>
      </c>
      <c r="B815" s="961" t="s">
        <v>82</v>
      </c>
      <c r="C815" s="962" t="s">
        <v>122</v>
      </c>
      <c r="D815" s="191" t="s">
        <v>125</v>
      </c>
      <c r="E815" s="192"/>
      <c r="F815" s="193">
        <f>(F786-F813)*1.95</f>
        <v>0</v>
      </c>
      <c r="G815" s="945"/>
      <c r="H815" s="13"/>
      <c r="I815" s="945"/>
      <c r="J815" s="13"/>
      <c r="K815" s="945"/>
      <c r="L815" s="13"/>
      <c r="M815" s="13"/>
      <c r="N815" s="958"/>
    </row>
    <row r="816" spans="1:14" s="67" customFormat="1" hidden="1">
      <c r="A816" s="1105"/>
      <c r="B816" s="948"/>
      <c r="C816" s="963" t="s">
        <v>54</v>
      </c>
      <c r="D816" s="44" t="s">
        <v>12</v>
      </c>
      <c r="E816" s="45">
        <v>0.53</v>
      </c>
      <c r="F816" s="942">
        <f>F815*E816</f>
        <v>0</v>
      </c>
      <c r="G816" s="945"/>
      <c r="H816" s="13"/>
      <c r="I816" s="945"/>
      <c r="J816" s="13"/>
      <c r="K816" s="945"/>
      <c r="L816" s="13"/>
      <c r="M816" s="13"/>
      <c r="N816" s="958"/>
    </row>
    <row r="817" spans="1:15" s="67" customFormat="1" ht="27" hidden="1">
      <c r="A817" s="1106"/>
      <c r="B817" s="948" t="s">
        <v>600</v>
      </c>
      <c r="C817" s="893" t="s">
        <v>187</v>
      </c>
      <c r="D817" s="260" t="s">
        <v>40</v>
      </c>
      <c r="E817" s="15"/>
      <c r="F817" s="24">
        <f>F815</f>
        <v>0</v>
      </c>
      <c r="G817" s="945"/>
      <c r="H817" s="13"/>
      <c r="I817" s="945"/>
      <c r="J817" s="13"/>
      <c r="K817" s="22"/>
      <c r="L817" s="293"/>
      <c r="M817" s="13"/>
      <c r="N817" s="958"/>
    </row>
    <row r="818" spans="1:15" s="67" customFormat="1" ht="31.5" hidden="1">
      <c r="A818" s="1125" t="s">
        <v>77</v>
      </c>
      <c r="B818" s="155" t="s">
        <v>821</v>
      </c>
      <c r="C818" s="964" t="s">
        <v>852</v>
      </c>
      <c r="D818" s="155" t="s">
        <v>47</v>
      </c>
      <c r="E818" s="24"/>
      <c r="F818" s="316">
        <f>(1.1+0.4+0.3)*F784</f>
        <v>0</v>
      </c>
      <c r="G818" s="13"/>
      <c r="H818" s="13"/>
      <c r="I818" s="13"/>
      <c r="J818" s="13"/>
      <c r="K818" s="13"/>
      <c r="L818" s="156"/>
      <c r="M818" s="156"/>
      <c r="N818" s="958"/>
    </row>
    <row r="819" spans="1:15" s="67" customFormat="1" hidden="1">
      <c r="A819" s="1126"/>
      <c r="B819" s="948"/>
      <c r="C819" s="27" t="s">
        <v>822</v>
      </c>
      <c r="D819" s="948" t="s">
        <v>12</v>
      </c>
      <c r="E819" s="401">
        <v>11.8</v>
      </c>
      <c r="F819" s="944">
        <f>E819*F818</f>
        <v>0</v>
      </c>
      <c r="G819" s="965"/>
      <c r="H819" s="965"/>
      <c r="I819" s="945"/>
      <c r="J819" s="945"/>
      <c r="K819" s="965"/>
      <c r="L819" s="965"/>
      <c r="M819" s="945"/>
      <c r="N819" s="958"/>
    </row>
    <row r="820" spans="1:15" s="67" customFormat="1" hidden="1">
      <c r="A820" s="1126"/>
      <c r="B820" s="948"/>
      <c r="C820" s="27" t="s">
        <v>823</v>
      </c>
      <c r="D820" s="948" t="s">
        <v>9</v>
      </c>
      <c r="E820" s="401">
        <v>0.15</v>
      </c>
      <c r="F820" s="944">
        <f>E820*F818</f>
        <v>0</v>
      </c>
      <c r="G820" s="965"/>
      <c r="H820" s="965"/>
      <c r="I820" s="965"/>
      <c r="J820" s="965"/>
      <c r="K820" s="945"/>
      <c r="L820" s="945"/>
      <c r="M820" s="965"/>
      <c r="N820" s="958"/>
    </row>
    <row r="821" spans="1:15" s="67" customFormat="1" ht="31.5" hidden="1">
      <c r="A821" s="1126"/>
      <c r="B821" s="948"/>
      <c r="C821" s="27" t="s">
        <v>828</v>
      </c>
      <c r="D821" s="948" t="s">
        <v>47</v>
      </c>
      <c r="E821" s="401">
        <v>1.05</v>
      </c>
      <c r="F821" s="944">
        <f>E821*F818</f>
        <v>0</v>
      </c>
      <c r="G821" s="945"/>
      <c r="H821" s="945"/>
      <c r="I821" s="965"/>
      <c r="J821" s="965"/>
      <c r="K821" s="965"/>
      <c r="L821" s="965"/>
      <c r="M821" s="965"/>
      <c r="N821" s="958"/>
    </row>
    <row r="822" spans="1:15" s="67" customFormat="1" hidden="1">
      <c r="A822" s="1126"/>
      <c r="B822" s="948"/>
      <c r="C822" s="27" t="s">
        <v>754</v>
      </c>
      <c r="D822" s="948" t="s">
        <v>824</v>
      </c>
      <c r="E822" s="401">
        <v>3.5999999999999997E-2</v>
      </c>
      <c r="F822" s="944">
        <f>E822*F818</f>
        <v>0</v>
      </c>
      <c r="G822" s="945"/>
      <c r="H822" s="945"/>
      <c r="I822" s="965"/>
      <c r="J822" s="965"/>
      <c r="K822" s="965"/>
      <c r="L822" s="965"/>
      <c r="M822" s="965"/>
      <c r="N822" s="958"/>
    </row>
    <row r="823" spans="1:15" s="67" customFormat="1" hidden="1">
      <c r="A823" s="1127"/>
      <c r="B823" s="948"/>
      <c r="C823" s="27" t="s">
        <v>50</v>
      </c>
      <c r="D823" s="948" t="s">
        <v>26</v>
      </c>
      <c r="E823" s="401">
        <v>0.01</v>
      </c>
      <c r="F823" s="944">
        <f>E823*F818</f>
        <v>0</v>
      </c>
      <c r="G823" s="945"/>
      <c r="H823" s="945"/>
      <c r="I823" s="965"/>
      <c r="J823" s="965"/>
      <c r="K823" s="965"/>
      <c r="L823" s="965"/>
      <c r="M823" s="965"/>
      <c r="N823" s="958"/>
    </row>
    <row r="824" spans="1:15" s="67" customFormat="1" ht="47.25" hidden="1">
      <c r="A824" s="1125" t="s">
        <v>42</v>
      </c>
      <c r="B824" s="260" t="s">
        <v>24</v>
      </c>
      <c r="C824" s="966" t="s">
        <v>825</v>
      </c>
      <c r="D824" s="29" t="s">
        <v>47</v>
      </c>
      <c r="E824" s="15"/>
      <c r="F824" s="35">
        <f>0.4*F785</f>
        <v>0</v>
      </c>
      <c r="G824" s="30"/>
      <c r="H824" s="945"/>
      <c r="I824" s="20"/>
      <c r="J824" s="945"/>
      <c r="K824" s="21"/>
      <c r="L824" s="945"/>
      <c r="M824" s="945"/>
      <c r="N824" s="958"/>
    </row>
    <row r="825" spans="1:15" s="67" customFormat="1" hidden="1">
      <c r="A825" s="1126"/>
      <c r="B825" s="260"/>
      <c r="C825" s="105" t="s">
        <v>38</v>
      </c>
      <c r="D825" s="946" t="s">
        <v>12</v>
      </c>
      <c r="E825" s="401">
        <v>1</v>
      </c>
      <c r="F825" s="33">
        <f>F824*E825</f>
        <v>0</v>
      </c>
      <c r="G825" s="30"/>
      <c r="H825" s="945"/>
      <c r="I825" s="20"/>
      <c r="J825" s="945"/>
      <c r="K825" s="965"/>
      <c r="L825" s="965"/>
      <c r="M825" s="945"/>
      <c r="N825" s="958"/>
    </row>
    <row r="826" spans="1:15" s="67" customFormat="1" hidden="1">
      <c r="A826" s="1126"/>
      <c r="B826" s="948"/>
      <c r="C826" s="18" t="s">
        <v>826</v>
      </c>
      <c r="D826" s="948" t="s">
        <v>40</v>
      </c>
      <c r="E826" s="401"/>
      <c r="F826" s="33">
        <f>(2)*F785*1.1  *(0.02+0.04)*2*0.002*7.85</f>
        <v>0</v>
      </c>
      <c r="G826" s="945"/>
      <c r="H826" s="945"/>
      <c r="I826" s="965"/>
      <c r="J826" s="965"/>
      <c r="K826" s="965"/>
      <c r="L826" s="965"/>
      <c r="M826" s="965"/>
      <c r="N826" s="958"/>
    </row>
    <row r="827" spans="1:15" s="67" customFormat="1" ht="31.5" hidden="1">
      <c r="A827" s="1127"/>
      <c r="B827" s="948"/>
      <c r="C827" s="18" t="s">
        <v>827</v>
      </c>
      <c r="D827" s="948" t="s">
        <v>47</v>
      </c>
      <c r="E827" s="401">
        <v>1.1000000000000001</v>
      </c>
      <c r="F827" s="33">
        <f>F824*E827</f>
        <v>0</v>
      </c>
      <c r="G827" s="293"/>
      <c r="H827" s="945"/>
      <c r="I827" s="965"/>
      <c r="J827" s="965"/>
      <c r="K827" s="965"/>
      <c r="L827" s="965"/>
      <c r="M827" s="965"/>
      <c r="N827" s="958"/>
    </row>
    <row r="828" spans="1:15" s="72" customFormat="1" hidden="1">
      <c r="A828" s="940"/>
      <c r="B828" s="949"/>
      <c r="C828" s="792"/>
      <c r="D828" s="260"/>
      <c r="E828" s="15"/>
      <c r="F828" s="24"/>
      <c r="G828" s="509"/>
      <c r="H828" s="13"/>
      <c r="I828" s="13"/>
      <c r="J828" s="13"/>
      <c r="K828" s="13"/>
      <c r="L828" s="13"/>
      <c r="M828" s="945"/>
      <c r="N828" s="510"/>
      <c r="O828" s="393"/>
    </row>
    <row r="829" spans="1:15" s="72" customFormat="1" ht="31.5" hidden="1">
      <c r="A829" s="436"/>
      <c r="B829" s="553"/>
      <c r="C829" s="48" t="s">
        <v>913</v>
      </c>
      <c r="D829" s="77" t="s">
        <v>47</v>
      </c>
      <c r="E829" s="396"/>
      <c r="F829" s="48">
        <v>0</v>
      </c>
      <c r="G829" s="509"/>
      <c r="H829" s="13"/>
      <c r="I829" s="13"/>
      <c r="J829" s="13"/>
      <c r="K829" s="13"/>
      <c r="L829" s="13"/>
      <c r="M829" s="945"/>
      <c r="N829" s="510"/>
      <c r="O829" s="393"/>
    </row>
    <row r="830" spans="1:15" s="72" customFormat="1" ht="31.5" hidden="1">
      <c r="A830" s="1107" t="s">
        <v>84</v>
      </c>
      <c r="B830" s="949" t="s">
        <v>834</v>
      </c>
      <c r="C830" s="716" t="s">
        <v>833</v>
      </c>
      <c r="D830" s="260" t="s">
        <v>47</v>
      </c>
      <c r="E830" s="15"/>
      <c r="F830" s="24">
        <f>F829</f>
        <v>0</v>
      </c>
      <c r="G830" s="509"/>
      <c r="H830" s="945"/>
      <c r="I830" s="13"/>
      <c r="J830" s="13"/>
      <c r="K830" s="13"/>
      <c r="L830" s="13"/>
      <c r="M830" s="945"/>
      <c r="N830" s="510"/>
      <c r="O830" s="393"/>
    </row>
    <row r="831" spans="1:15" s="72" customFormat="1" hidden="1">
      <c r="A831" s="1108"/>
      <c r="B831" s="949"/>
      <c r="C831" s="969" t="s">
        <v>38</v>
      </c>
      <c r="D831" s="896" t="s">
        <v>12</v>
      </c>
      <c r="E831" s="943">
        <v>1.42</v>
      </c>
      <c r="F831" s="705">
        <f>F830*E831</f>
        <v>0</v>
      </c>
      <c r="G831" s="945"/>
      <c r="H831" s="945"/>
      <c r="I831" s="945"/>
      <c r="J831" s="945"/>
      <c r="K831" s="945"/>
      <c r="L831" s="945"/>
      <c r="M831" s="945"/>
      <c r="N831" s="510"/>
      <c r="O831" s="393"/>
    </row>
    <row r="832" spans="1:15" s="72" customFormat="1" hidden="1">
      <c r="A832" s="1108"/>
      <c r="B832" s="949"/>
      <c r="C832" s="970" t="s">
        <v>11</v>
      </c>
      <c r="D832" s="947" t="s">
        <v>9</v>
      </c>
      <c r="E832" s="94">
        <f>0.03*0.01</f>
        <v>2.9999999999999997E-4</v>
      </c>
      <c r="F832" s="94">
        <f>F830*E832</f>
        <v>0</v>
      </c>
      <c r="G832" s="945"/>
      <c r="H832" s="945"/>
      <c r="I832" s="945"/>
      <c r="J832" s="945"/>
      <c r="K832" s="945"/>
      <c r="L832" s="945"/>
      <c r="M832" s="945"/>
      <c r="N832" s="510"/>
      <c r="O832" s="393"/>
    </row>
    <row r="833" spans="1:15" s="72" customFormat="1" hidden="1">
      <c r="A833" s="1108"/>
      <c r="B833" s="949"/>
      <c r="C833" s="618" t="s">
        <v>835</v>
      </c>
      <c r="D833" s="948" t="s">
        <v>39</v>
      </c>
      <c r="E833" s="401">
        <v>3.6499999999999998E-2</v>
      </c>
      <c r="F833" s="944">
        <f>F830*E833</f>
        <v>0</v>
      </c>
      <c r="G833" s="509"/>
      <c r="H833" s="945"/>
      <c r="I833" s="13"/>
      <c r="J833" s="13"/>
      <c r="K833" s="13"/>
      <c r="L833" s="13"/>
      <c r="M833" s="945"/>
      <c r="N833" s="510"/>
      <c r="O833" s="393"/>
    </row>
    <row r="834" spans="1:15" s="72" customFormat="1" hidden="1">
      <c r="A834" s="1108"/>
      <c r="B834" s="949"/>
      <c r="C834" s="618" t="s">
        <v>837</v>
      </c>
      <c r="D834" s="948" t="s">
        <v>47</v>
      </c>
      <c r="E834" s="401">
        <v>1.08</v>
      </c>
      <c r="F834" s="944">
        <f>F830*E834</f>
        <v>0</v>
      </c>
      <c r="G834" s="509"/>
      <c r="H834" s="945"/>
      <c r="I834" s="13"/>
      <c r="J834" s="13"/>
      <c r="K834" s="13"/>
      <c r="L834" s="13"/>
      <c r="M834" s="945"/>
      <c r="N834" s="510"/>
      <c r="O834" s="393"/>
    </row>
    <row r="835" spans="1:15" s="72" customFormat="1" hidden="1">
      <c r="A835" s="1108"/>
      <c r="B835" s="949"/>
      <c r="C835" s="618" t="s">
        <v>836</v>
      </c>
      <c r="D835" s="948" t="s">
        <v>7</v>
      </c>
      <c r="E835" s="401">
        <v>0.12</v>
      </c>
      <c r="F835" s="944">
        <f>F830*E835</f>
        <v>0</v>
      </c>
      <c r="G835" s="509"/>
      <c r="H835" s="945"/>
      <c r="I835" s="13"/>
      <c r="J835" s="13"/>
      <c r="K835" s="13"/>
      <c r="L835" s="13"/>
      <c r="M835" s="945"/>
      <c r="N835" s="510"/>
      <c r="O835" s="393"/>
    </row>
    <row r="836" spans="1:15" s="72" customFormat="1" hidden="1">
      <c r="A836" s="1109"/>
      <c r="B836" s="949"/>
      <c r="C836" s="618" t="s">
        <v>50</v>
      </c>
      <c r="D836" s="948" t="s">
        <v>9</v>
      </c>
      <c r="E836" s="401">
        <v>3.0000000000000001E-3</v>
      </c>
      <c r="F836" s="944">
        <f>F830*E836</f>
        <v>0</v>
      </c>
      <c r="G836" s="509"/>
      <c r="H836" s="945"/>
      <c r="I836" s="13"/>
      <c r="J836" s="13"/>
      <c r="K836" s="13"/>
      <c r="L836" s="13"/>
      <c r="M836" s="945"/>
      <c r="N836" s="510"/>
      <c r="O836" s="393"/>
    </row>
    <row r="837" spans="1:15" s="72" customFormat="1" ht="31.5" hidden="1">
      <c r="A837" s="1107" t="s">
        <v>69</v>
      </c>
      <c r="B837" s="949" t="s">
        <v>839</v>
      </c>
      <c r="C837" s="941" t="s">
        <v>838</v>
      </c>
      <c r="D837" s="260" t="s">
        <v>47</v>
      </c>
      <c r="E837" s="15"/>
      <c r="F837" s="24">
        <f>F829</f>
        <v>0</v>
      </c>
      <c r="G837" s="509"/>
      <c r="H837" s="945"/>
      <c r="I837" s="13"/>
      <c r="J837" s="13"/>
      <c r="K837" s="13"/>
      <c r="L837" s="13"/>
      <c r="M837" s="945"/>
      <c r="N837" s="510"/>
      <c r="O837" s="393"/>
    </row>
    <row r="838" spans="1:15" s="72" customFormat="1" hidden="1">
      <c r="A838" s="1108"/>
      <c r="B838" s="949"/>
      <c r="C838" s="969" t="s">
        <v>38</v>
      </c>
      <c r="D838" s="896" t="s">
        <v>12</v>
      </c>
      <c r="E838" s="943">
        <v>2.44</v>
      </c>
      <c r="F838" s="705">
        <f>F837*E838</f>
        <v>0</v>
      </c>
      <c r="G838" s="945"/>
      <c r="H838" s="945"/>
      <c r="I838" s="945"/>
      <c r="J838" s="945"/>
      <c r="K838" s="945"/>
      <c r="L838" s="945"/>
      <c r="M838" s="945"/>
      <c r="N838" s="510"/>
      <c r="O838" s="393"/>
    </row>
    <row r="839" spans="1:15" s="72" customFormat="1" hidden="1">
      <c r="A839" s="1108"/>
      <c r="B839" s="949"/>
      <c r="C839" s="969" t="s">
        <v>841</v>
      </c>
      <c r="D839" s="896" t="s">
        <v>44</v>
      </c>
      <c r="E839" s="943">
        <v>2.4E-2</v>
      </c>
      <c r="F839" s="971">
        <f>F837*E839</f>
        <v>0</v>
      </c>
      <c r="G839" s="945"/>
      <c r="H839" s="945"/>
      <c r="I839" s="945"/>
      <c r="J839" s="945"/>
      <c r="K839" s="945"/>
      <c r="L839" s="945"/>
      <c r="M839" s="945"/>
      <c r="N839" s="510"/>
      <c r="O839" s="393"/>
    </row>
    <row r="840" spans="1:15" s="72" customFormat="1" hidden="1">
      <c r="A840" s="1108"/>
      <c r="B840" s="949"/>
      <c r="C840" s="970" t="s">
        <v>11</v>
      </c>
      <c r="D840" s="947" t="s">
        <v>9</v>
      </c>
      <c r="E840" s="94">
        <v>4.4999999999999998E-2</v>
      </c>
      <c r="F840" s="94">
        <f>F837*E840</f>
        <v>0</v>
      </c>
      <c r="G840" s="945"/>
      <c r="H840" s="945"/>
      <c r="I840" s="945"/>
      <c r="J840" s="945"/>
      <c r="K840" s="945"/>
      <c r="L840" s="945"/>
      <c r="M840" s="945"/>
      <c r="N840" s="510"/>
      <c r="O840" s="393"/>
    </row>
    <row r="841" spans="1:15" s="72" customFormat="1" hidden="1">
      <c r="A841" s="1108"/>
      <c r="B841" s="949"/>
      <c r="C841" s="618" t="s">
        <v>840</v>
      </c>
      <c r="D841" s="948" t="s">
        <v>7</v>
      </c>
      <c r="E841" s="401">
        <v>7</v>
      </c>
      <c r="F841" s="944">
        <f>F837*E841</f>
        <v>0</v>
      </c>
      <c r="G841" s="509"/>
      <c r="H841" s="945"/>
      <c r="I841" s="13"/>
      <c r="J841" s="13"/>
      <c r="K841" s="13"/>
      <c r="L841" s="13"/>
      <c r="M841" s="945"/>
      <c r="N841" s="510"/>
      <c r="O841" s="393"/>
    </row>
    <row r="842" spans="1:15" s="72" customFormat="1" hidden="1">
      <c r="A842" s="1109"/>
      <c r="B842" s="949"/>
      <c r="C842" s="618" t="s">
        <v>50</v>
      </c>
      <c r="D842" s="948" t="s">
        <v>9</v>
      </c>
      <c r="E842" s="401">
        <v>0.03</v>
      </c>
      <c r="F842" s="944">
        <f>F837*E842</f>
        <v>0</v>
      </c>
      <c r="G842" s="509"/>
      <c r="H842" s="945"/>
      <c r="I842" s="13"/>
      <c r="J842" s="13"/>
      <c r="K842" s="13"/>
      <c r="L842" s="13"/>
      <c r="M842" s="945"/>
      <c r="N842" s="510"/>
      <c r="O842" s="393"/>
    </row>
    <row r="843" spans="1:15" s="72" customFormat="1" ht="31.5" hidden="1">
      <c r="A843" s="1186" t="s">
        <v>85</v>
      </c>
      <c r="B843" s="155" t="s">
        <v>842</v>
      </c>
      <c r="C843" s="56" t="s">
        <v>847</v>
      </c>
      <c r="D843" s="260" t="s">
        <v>30</v>
      </c>
      <c r="E843" s="401"/>
      <c r="F843" s="24">
        <f>F829</f>
        <v>0</v>
      </c>
      <c r="G843" s="13"/>
      <c r="H843" s="13"/>
      <c r="I843" s="13"/>
      <c r="J843" s="13"/>
      <c r="K843" s="13"/>
      <c r="L843" s="13"/>
      <c r="M843" s="13"/>
      <c r="N843" s="510"/>
      <c r="O843" s="393"/>
    </row>
    <row r="844" spans="1:15" s="72" customFormat="1" hidden="1">
      <c r="A844" s="1186"/>
      <c r="B844" s="155"/>
      <c r="C844" s="39" t="s">
        <v>150</v>
      </c>
      <c r="D844" s="204" t="s">
        <v>21</v>
      </c>
      <c r="E844" s="320">
        <v>0.65800000000000003</v>
      </c>
      <c r="F844" s="325">
        <f>E844*F843</f>
        <v>0</v>
      </c>
      <c r="G844" s="13"/>
      <c r="H844" s="13"/>
      <c r="I844" s="13"/>
      <c r="J844" s="13"/>
      <c r="K844" s="13"/>
      <c r="L844" s="13"/>
      <c r="M844" s="13"/>
      <c r="N844" s="510"/>
      <c r="O844" s="393"/>
    </row>
    <row r="845" spans="1:15" s="72" customFormat="1" hidden="1">
      <c r="A845" s="1186"/>
      <c r="B845" s="155"/>
      <c r="C845" s="39" t="s">
        <v>11</v>
      </c>
      <c r="D845" s="204" t="s">
        <v>9</v>
      </c>
      <c r="E845" s="320">
        <v>0.01</v>
      </c>
      <c r="F845" s="325">
        <f>E845*F843</f>
        <v>0</v>
      </c>
      <c r="G845" s="13"/>
      <c r="H845" s="13"/>
      <c r="I845" s="13"/>
      <c r="J845" s="13"/>
      <c r="K845" s="13"/>
      <c r="L845" s="13"/>
      <c r="M845" s="13"/>
      <c r="N845" s="510"/>
      <c r="O845" s="393"/>
    </row>
    <row r="846" spans="1:15" s="72" customFormat="1" hidden="1">
      <c r="A846" s="1186"/>
      <c r="B846" s="155"/>
      <c r="C846" s="39" t="s">
        <v>843</v>
      </c>
      <c r="D846" s="204" t="s">
        <v>7</v>
      </c>
      <c r="E846" s="320">
        <v>0.63</v>
      </c>
      <c r="F846" s="939">
        <v>0</v>
      </c>
      <c r="G846" s="13"/>
      <c r="H846" s="13"/>
      <c r="I846" s="13"/>
      <c r="J846" s="13"/>
      <c r="K846" s="13"/>
      <c r="L846" s="13"/>
      <c r="M846" s="13"/>
      <c r="N846" s="510"/>
      <c r="O846" s="393"/>
    </row>
    <row r="847" spans="1:15" s="72" customFormat="1" hidden="1">
      <c r="A847" s="1186"/>
      <c r="B847" s="155"/>
      <c r="C847" s="39" t="s">
        <v>844</v>
      </c>
      <c r="D847" s="204" t="s">
        <v>47</v>
      </c>
      <c r="E847" s="320">
        <v>0.05</v>
      </c>
      <c r="F847" s="939">
        <v>0</v>
      </c>
      <c r="G847" s="13"/>
      <c r="H847" s="13"/>
      <c r="I847" s="13"/>
      <c r="J847" s="13"/>
      <c r="K847" s="13"/>
      <c r="L847" s="13"/>
      <c r="M847" s="13"/>
      <c r="N847" s="510"/>
      <c r="O847" s="393"/>
    </row>
    <row r="848" spans="1:15" s="72" customFormat="1" hidden="1">
      <c r="A848" s="1186"/>
      <c r="B848" s="155"/>
      <c r="C848" s="39" t="s">
        <v>845</v>
      </c>
      <c r="D848" s="204" t="s">
        <v>7</v>
      </c>
      <c r="E848" s="320">
        <v>0.15</v>
      </c>
      <c r="F848" s="325">
        <f>F843*E848</f>
        <v>0</v>
      </c>
      <c r="G848" s="13"/>
      <c r="H848" s="13"/>
      <c r="I848" s="13"/>
      <c r="J848" s="13"/>
      <c r="K848" s="13"/>
      <c r="L848" s="13"/>
      <c r="M848" s="13"/>
      <c r="N848" s="510"/>
      <c r="O848" s="393"/>
    </row>
    <row r="849" spans="1:15" s="72" customFormat="1" hidden="1">
      <c r="A849" s="1186"/>
      <c r="B849" s="155"/>
      <c r="C849" s="39" t="s">
        <v>846</v>
      </c>
      <c r="D849" s="204" t="s">
        <v>76</v>
      </c>
      <c r="E849" s="320">
        <v>0.45</v>
      </c>
      <c r="F849" s="325">
        <f>E849*F843</f>
        <v>0</v>
      </c>
      <c r="G849" s="13"/>
      <c r="H849" s="13"/>
      <c r="I849" s="13"/>
      <c r="J849" s="13"/>
      <c r="K849" s="13"/>
      <c r="L849" s="13"/>
      <c r="M849" s="13"/>
      <c r="N849" s="510"/>
      <c r="O849" s="393"/>
    </row>
    <row r="850" spans="1:15" s="72" customFormat="1" hidden="1">
      <c r="A850" s="1186"/>
      <c r="B850" s="155"/>
      <c r="C850" s="39" t="s">
        <v>13</v>
      </c>
      <c r="D850" s="204" t="s">
        <v>9</v>
      </c>
      <c r="E850" s="320">
        <v>1.6000000000000001E-3</v>
      </c>
      <c r="F850" s="325">
        <f>E850*F843</f>
        <v>0</v>
      </c>
      <c r="G850" s="13"/>
      <c r="H850" s="13"/>
      <c r="I850" s="13"/>
      <c r="J850" s="13"/>
      <c r="K850" s="13"/>
      <c r="L850" s="13"/>
      <c r="M850" s="13"/>
      <c r="N850" s="510"/>
      <c r="O850" s="393"/>
    </row>
    <row r="851" spans="1:15" s="72" customFormat="1" ht="31.5" hidden="1">
      <c r="A851" s="1125" t="s">
        <v>79</v>
      </c>
      <c r="B851" s="155" t="s">
        <v>821</v>
      </c>
      <c r="C851" s="964" t="s">
        <v>832</v>
      </c>
      <c r="D851" s="155" t="s">
        <v>47</v>
      </c>
      <c r="E851" s="24"/>
      <c r="F851" s="316">
        <v>0</v>
      </c>
      <c r="G851" s="13"/>
      <c r="H851" s="13"/>
      <c r="I851" s="13"/>
      <c r="J851" s="13"/>
      <c r="K851" s="13"/>
      <c r="L851" s="156"/>
      <c r="M851" s="13"/>
      <c r="N851" s="510"/>
      <c r="O851" s="393"/>
    </row>
    <row r="852" spans="1:15" s="72" customFormat="1" hidden="1">
      <c r="A852" s="1126"/>
      <c r="B852" s="948"/>
      <c r="C852" s="27" t="s">
        <v>822</v>
      </c>
      <c r="D852" s="948" t="s">
        <v>12</v>
      </c>
      <c r="E852" s="401">
        <v>11.8</v>
      </c>
      <c r="F852" s="944">
        <f>E852*F851</f>
        <v>0</v>
      </c>
      <c r="G852" s="965"/>
      <c r="H852" s="965"/>
      <c r="I852" s="945"/>
      <c r="J852" s="945"/>
      <c r="K852" s="965"/>
      <c r="L852" s="965"/>
      <c r="M852" s="13"/>
      <c r="N852" s="510"/>
      <c r="O852" s="393"/>
    </row>
    <row r="853" spans="1:15" s="72" customFormat="1" hidden="1">
      <c r="A853" s="1126"/>
      <c r="B853" s="948"/>
      <c r="C853" s="27" t="s">
        <v>823</v>
      </c>
      <c r="D853" s="948" t="s">
        <v>9</v>
      </c>
      <c r="E853" s="401">
        <v>0.15</v>
      </c>
      <c r="F853" s="944">
        <f>E853*F851</f>
        <v>0</v>
      </c>
      <c r="G853" s="965"/>
      <c r="H853" s="965"/>
      <c r="I853" s="965"/>
      <c r="J853" s="965"/>
      <c r="K853" s="945"/>
      <c r="L853" s="945"/>
      <c r="M853" s="13"/>
      <c r="N853" s="510"/>
      <c r="O853" s="393"/>
    </row>
    <row r="854" spans="1:15" s="72" customFormat="1" ht="31.5" hidden="1">
      <c r="A854" s="1126"/>
      <c r="B854" s="948"/>
      <c r="C854" s="27" t="s">
        <v>828</v>
      </c>
      <c r="D854" s="948" t="s">
        <v>47</v>
      </c>
      <c r="E854" s="401">
        <v>1.05</v>
      </c>
      <c r="F854" s="944">
        <f>E854*F851</f>
        <v>0</v>
      </c>
      <c r="G854" s="945"/>
      <c r="H854" s="945"/>
      <c r="I854" s="965"/>
      <c r="J854" s="965"/>
      <c r="K854" s="965"/>
      <c r="L854" s="965"/>
      <c r="M854" s="13"/>
      <c r="N854" s="510"/>
      <c r="O854" s="393"/>
    </row>
    <row r="855" spans="1:15" s="72" customFormat="1" hidden="1">
      <c r="A855" s="1126"/>
      <c r="B855" s="948"/>
      <c r="C855" s="27" t="s">
        <v>754</v>
      </c>
      <c r="D855" s="948" t="s">
        <v>824</v>
      </c>
      <c r="E855" s="401">
        <v>3.5999999999999997E-2</v>
      </c>
      <c r="F855" s="944">
        <f>E855*F851</f>
        <v>0</v>
      </c>
      <c r="G855" s="945"/>
      <c r="H855" s="945"/>
      <c r="I855" s="965"/>
      <c r="J855" s="965"/>
      <c r="K855" s="965"/>
      <c r="L855" s="965"/>
      <c r="M855" s="13"/>
      <c r="N855" s="510"/>
      <c r="O855" s="393"/>
    </row>
    <row r="856" spans="1:15" s="72" customFormat="1" hidden="1">
      <c r="A856" s="1127"/>
      <c r="B856" s="948"/>
      <c r="C856" s="27" t="s">
        <v>50</v>
      </c>
      <c r="D856" s="948" t="s">
        <v>26</v>
      </c>
      <c r="E856" s="401">
        <v>0.01</v>
      </c>
      <c r="F856" s="944">
        <f>E856*F851</f>
        <v>0</v>
      </c>
      <c r="G856" s="945"/>
      <c r="H856" s="945"/>
      <c r="I856" s="965"/>
      <c r="J856" s="965"/>
      <c r="K856" s="965"/>
      <c r="L856" s="965"/>
      <c r="M856" s="13"/>
      <c r="N856" s="510"/>
      <c r="O856" s="393"/>
    </row>
    <row r="857" spans="1:15" s="72" customFormat="1" hidden="1">
      <c r="A857" s="940"/>
      <c r="B857" s="949"/>
      <c r="C857" s="618"/>
      <c r="D857" s="948"/>
      <c r="E857" s="401"/>
      <c r="F857" s="944"/>
      <c r="G857" s="509"/>
      <c r="H857" s="13"/>
      <c r="I857" s="13"/>
      <c r="J857" s="13"/>
      <c r="K857" s="13"/>
      <c r="L857" s="13"/>
      <c r="M857" s="945"/>
      <c r="N857" s="510"/>
      <c r="O857" s="393"/>
    </row>
    <row r="858" spans="1:15" s="69" customFormat="1" ht="16.5">
      <c r="A858" s="436"/>
      <c r="B858" s="553"/>
      <c r="C858" s="48" t="s">
        <v>764</v>
      </c>
      <c r="D858" s="77"/>
      <c r="E858" s="396"/>
      <c r="F858" s="48"/>
      <c r="G858" s="20"/>
      <c r="H858" s="877"/>
      <c r="I858" s="20"/>
      <c r="J858" s="877"/>
      <c r="K858" s="21"/>
      <c r="L858" s="877"/>
      <c r="M858" s="877"/>
      <c r="N858" s="900"/>
    </row>
    <row r="859" spans="1:15" s="69" customFormat="1" ht="31.5">
      <c r="A859" s="1146" t="s">
        <v>84</v>
      </c>
      <c r="B859" s="587" t="s">
        <v>765</v>
      </c>
      <c r="C859" s="101" t="s">
        <v>766</v>
      </c>
      <c r="D859" s="590" t="s">
        <v>39</v>
      </c>
      <c r="E859" s="588"/>
      <c r="F859" s="46">
        <f>(2*3.5)*0.2</f>
        <v>1.4000000000000001</v>
      </c>
      <c r="G859" s="20"/>
      <c r="H859" s="877"/>
      <c r="I859" s="20"/>
      <c r="J859" s="877"/>
      <c r="K859" s="21"/>
      <c r="L859" s="877"/>
      <c r="M859" s="877"/>
      <c r="N859" s="900"/>
    </row>
    <row r="860" spans="1:15" s="69" customFormat="1" ht="16.5">
      <c r="A860" s="1147"/>
      <c r="B860" s="590"/>
      <c r="C860" s="102" t="s">
        <v>38</v>
      </c>
      <c r="D860" s="590" t="s">
        <v>12</v>
      </c>
      <c r="E860" s="588">
        <v>3.88</v>
      </c>
      <c r="F860" s="588">
        <f>F859*E860</f>
        <v>5.4320000000000004</v>
      </c>
      <c r="G860" s="20"/>
      <c r="H860" s="877"/>
      <c r="I860" s="20"/>
      <c r="J860" s="877"/>
      <c r="K860" s="22"/>
      <c r="L860" s="877"/>
      <c r="M860" s="877"/>
      <c r="N860" s="900"/>
    </row>
    <row r="861" spans="1:15" s="69" customFormat="1" ht="31.5">
      <c r="A861" s="1146" t="s">
        <v>69</v>
      </c>
      <c r="B861" s="75" t="s">
        <v>82</v>
      </c>
      <c r="C861" s="98" t="s">
        <v>122</v>
      </c>
      <c r="D861" s="260" t="s">
        <v>40</v>
      </c>
      <c r="E861" s="701"/>
      <c r="F861" s="76">
        <f>F859*1.95</f>
        <v>2.73</v>
      </c>
      <c r="G861" s="22"/>
      <c r="H861" s="877"/>
      <c r="I861" s="22"/>
      <c r="J861" s="877"/>
      <c r="K861" s="22"/>
      <c r="L861" s="877"/>
      <c r="M861" s="877"/>
      <c r="N861" s="900"/>
    </row>
    <row r="862" spans="1:15" s="69" customFormat="1" ht="16.5">
      <c r="A862" s="1148"/>
      <c r="B862" s="636"/>
      <c r="C862" s="41" t="s">
        <v>56</v>
      </c>
      <c r="D862" s="42" t="s">
        <v>12</v>
      </c>
      <c r="E862" s="701">
        <v>0.53</v>
      </c>
      <c r="F862" s="43">
        <f>F861*E862</f>
        <v>1.4469000000000001</v>
      </c>
      <c r="G862" s="22"/>
      <c r="H862" s="877"/>
      <c r="I862" s="22"/>
      <c r="J862" s="877"/>
      <c r="K862" s="22"/>
      <c r="L862" s="877"/>
      <c r="M862" s="877"/>
      <c r="N862" s="900"/>
    </row>
    <row r="863" spans="1:15" s="69" customFormat="1" ht="16.5">
      <c r="A863" s="1147"/>
      <c r="B863" s="883" t="s">
        <v>92</v>
      </c>
      <c r="C863" s="99" t="s">
        <v>171</v>
      </c>
      <c r="D863" s="260" t="s">
        <v>40</v>
      </c>
      <c r="E863" s="701"/>
      <c r="F863" s="76">
        <f>F861</f>
        <v>2.73</v>
      </c>
      <c r="G863" s="22"/>
      <c r="H863" s="877"/>
      <c r="I863" s="22"/>
      <c r="J863" s="877"/>
      <c r="K863" s="22"/>
      <c r="L863" s="877"/>
      <c r="M863" s="877"/>
      <c r="N863" s="900"/>
    </row>
    <row r="864" spans="1:15" s="69" customFormat="1" ht="31.5">
      <c r="A864" s="1146" t="s">
        <v>85</v>
      </c>
      <c r="B864" s="590" t="s">
        <v>37</v>
      </c>
      <c r="C864" s="101" t="s">
        <v>767</v>
      </c>
      <c r="D864" s="590" t="s">
        <v>39</v>
      </c>
      <c r="E864" s="588"/>
      <c r="F864" s="76">
        <f>(2*3.5)*0.1</f>
        <v>0.70000000000000007</v>
      </c>
      <c r="G864" s="20"/>
      <c r="H864" s="877"/>
      <c r="I864" s="20"/>
      <c r="J864" s="877"/>
      <c r="K864" s="21"/>
      <c r="L864" s="13"/>
      <c r="M864" s="877"/>
      <c r="N864" s="900"/>
    </row>
    <row r="865" spans="1:14" s="69" customFormat="1" ht="16.5">
      <c r="A865" s="1148"/>
      <c r="B865" s="590"/>
      <c r="C865" s="102" t="s">
        <v>38</v>
      </c>
      <c r="D865" s="590" t="s">
        <v>12</v>
      </c>
      <c r="E865" s="588">
        <v>3.52</v>
      </c>
      <c r="F865" s="588">
        <f>F864*E865</f>
        <v>2.4640000000000004</v>
      </c>
      <c r="G865" s="877"/>
      <c r="H865" s="13"/>
      <c r="I865" s="20"/>
      <c r="J865" s="877"/>
      <c r="K865" s="22"/>
      <c r="L865" s="877"/>
      <c r="M865" s="877"/>
      <c r="N865" s="900"/>
    </row>
    <row r="866" spans="1:14" s="69" customFormat="1" ht="16.5">
      <c r="A866" s="1148"/>
      <c r="B866" s="590"/>
      <c r="C866" s="102" t="s">
        <v>23</v>
      </c>
      <c r="D866" s="883" t="s">
        <v>9</v>
      </c>
      <c r="E866" s="876">
        <v>1.06</v>
      </c>
      <c r="F866" s="876">
        <f>F864*E866</f>
        <v>0.7420000000000001</v>
      </c>
      <c r="G866" s="269"/>
      <c r="H866" s="13"/>
      <c r="I866" s="877"/>
      <c r="J866" s="13"/>
      <c r="K866" s="877"/>
      <c r="L866" s="877"/>
      <c r="M866" s="877"/>
      <c r="N866" s="900"/>
    </row>
    <row r="867" spans="1:14" s="69" customFormat="1" ht="16.5">
      <c r="A867" s="1148"/>
      <c r="B867" s="590"/>
      <c r="C867" s="102" t="s">
        <v>32</v>
      </c>
      <c r="D867" s="883" t="s">
        <v>39</v>
      </c>
      <c r="E867" s="876">
        <f>0.18+0.09+0.97</f>
        <v>1.24</v>
      </c>
      <c r="F867" s="876">
        <f>F864*E867</f>
        <v>0.8680000000000001</v>
      </c>
      <c r="G867" s="269"/>
      <c r="H867" s="13"/>
      <c r="I867" s="877"/>
      <c r="J867" s="13"/>
      <c r="K867" s="877"/>
      <c r="L867" s="13"/>
      <c r="M867" s="877"/>
      <c r="N867" s="900"/>
    </row>
    <row r="868" spans="1:14" s="69" customFormat="1" ht="16.5">
      <c r="A868" s="1147"/>
      <c r="B868" s="590"/>
      <c r="C868" s="102" t="s">
        <v>50</v>
      </c>
      <c r="D868" s="883" t="s">
        <v>9</v>
      </c>
      <c r="E868" s="876">
        <v>0.02</v>
      </c>
      <c r="F868" s="876">
        <f>F864*E868</f>
        <v>1.4000000000000002E-2</v>
      </c>
      <c r="G868" s="269"/>
      <c r="H868" s="13"/>
      <c r="I868" s="877"/>
      <c r="J868" s="13"/>
      <c r="K868" s="877"/>
      <c r="L868" s="13"/>
      <c r="M868" s="877"/>
      <c r="N868" s="900"/>
    </row>
    <row r="869" spans="1:14" s="69" customFormat="1" ht="16.5">
      <c r="A869" s="1118" t="s">
        <v>79</v>
      </c>
      <c r="B869" s="271" t="s">
        <v>768</v>
      </c>
      <c r="C869" s="901" t="s">
        <v>769</v>
      </c>
      <c r="D869" s="275" t="s">
        <v>39</v>
      </c>
      <c r="E869" s="873"/>
      <c r="F869" s="23">
        <f>(2*3.4*0.15)+0.2*0.15/2*2*10</f>
        <v>1.32</v>
      </c>
      <c r="G869" s="13"/>
      <c r="H869" s="13"/>
      <c r="I869" s="13"/>
      <c r="J869" s="13"/>
      <c r="K869" s="13"/>
      <c r="L869" s="156"/>
      <c r="M869" s="156"/>
      <c r="N869" s="900"/>
    </row>
    <row r="870" spans="1:14" s="69" customFormat="1" ht="16.5">
      <c r="A870" s="1119"/>
      <c r="B870" s="902"/>
      <c r="C870" s="903" t="s">
        <v>38</v>
      </c>
      <c r="D870" s="883" t="s">
        <v>12</v>
      </c>
      <c r="E870" s="876">
        <v>8.44</v>
      </c>
      <c r="F870" s="876">
        <f>F869*E870</f>
        <v>11.1408</v>
      </c>
      <c r="G870" s="877"/>
      <c r="H870" s="13"/>
      <c r="I870" s="877"/>
      <c r="J870" s="13"/>
      <c r="K870" s="877"/>
      <c r="L870" s="156"/>
      <c r="M870" s="156"/>
      <c r="N870" s="900"/>
    </row>
    <row r="871" spans="1:14" s="69" customFormat="1" ht="16.5">
      <c r="A871" s="1119"/>
      <c r="B871" s="883"/>
      <c r="C871" s="18" t="s">
        <v>11</v>
      </c>
      <c r="D871" s="883" t="s">
        <v>9</v>
      </c>
      <c r="E871" s="875">
        <v>1.1000000000000001</v>
      </c>
      <c r="F871" s="875">
        <f>F869*E871</f>
        <v>1.4520000000000002</v>
      </c>
      <c r="G871" s="877"/>
      <c r="H871" s="13"/>
      <c r="I871" s="877"/>
      <c r="J871" s="13"/>
      <c r="K871" s="877"/>
      <c r="L871" s="156"/>
      <c r="M871" s="156"/>
      <c r="N871" s="900"/>
    </row>
    <row r="872" spans="1:14" s="69" customFormat="1" ht="16.5">
      <c r="A872" s="1119"/>
      <c r="B872" s="883" t="s">
        <v>770</v>
      </c>
      <c r="C872" s="18" t="s">
        <v>771</v>
      </c>
      <c r="D872" s="883" t="s">
        <v>31</v>
      </c>
      <c r="E872" s="876">
        <v>1.0149999999999999</v>
      </c>
      <c r="F872" s="875">
        <f>F869*E872</f>
        <v>1.3397999999999999</v>
      </c>
      <c r="G872" s="877"/>
      <c r="H872" s="13"/>
      <c r="I872" s="877"/>
      <c r="J872" s="13"/>
      <c r="K872" s="877"/>
      <c r="L872" s="156"/>
      <c r="M872" s="156"/>
      <c r="N872" s="900"/>
    </row>
    <row r="873" spans="1:14" s="69" customFormat="1" ht="16.5">
      <c r="A873" s="1119"/>
      <c r="B873" s="880" t="s">
        <v>772</v>
      </c>
      <c r="C873" s="903" t="s">
        <v>773</v>
      </c>
      <c r="D873" s="883" t="s">
        <v>749</v>
      </c>
      <c r="E873" s="876">
        <v>1.84</v>
      </c>
      <c r="F873" s="876">
        <f>F869*E873</f>
        <v>2.4288000000000003</v>
      </c>
      <c r="G873" s="269"/>
      <c r="H873" s="13"/>
      <c r="I873" s="877"/>
      <c r="J873" s="13"/>
      <c r="K873" s="877"/>
      <c r="L873" s="156"/>
      <c r="M873" s="156"/>
      <c r="N873" s="900"/>
    </row>
    <row r="874" spans="1:14" s="69" customFormat="1" ht="16.5">
      <c r="A874" s="1119"/>
      <c r="B874" s="880" t="s">
        <v>774</v>
      </c>
      <c r="C874" s="903" t="s">
        <v>41</v>
      </c>
      <c r="D874" s="880" t="s">
        <v>31</v>
      </c>
      <c r="E874" s="876">
        <f>(0.34+3.91)/100</f>
        <v>4.2500000000000003E-2</v>
      </c>
      <c r="F874" s="876">
        <f>F869*E874</f>
        <v>5.6100000000000004E-2</v>
      </c>
      <c r="G874" s="877"/>
      <c r="H874" s="13"/>
      <c r="I874" s="877"/>
      <c r="J874" s="13"/>
      <c r="K874" s="877"/>
      <c r="L874" s="156"/>
      <c r="M874" s="156"/>
      <c r="N874" s="900"/>
    </row>
    <row r="875" spans="1:14" s="69" customFormat="1" ht="16.5">
      <c r="A875" s="1119"/>
      <c r="B875" s="880" t="s">
        <v>775</v>
      </c>
      <c r="C875" s="903" t="s">
        <v>776</v>
      </c>
      <c r="D875" s="880" t="s">
        <v>7</v>
      </c>
      <c r="E875" s="875">
        <v>0.22</v>
      </c>
      <c r="F875" s="876">
        <f>F869*E875</f>
        <v>0.29039999999999999</v>
      </c>
      <c r="G875" s="877"/>
      <c r="H875" s="13"/>
      <c r="I875" s="877"/>
      <c r="J875" s="13"/>
      <c r="K875" s="877"/>
      <c r="L875" s="156"/>
      <c r="M875" s="156"/>
      <c r="N875" s="900"/>
    </row>
    <row r="876" spans="1:14" s="69" customFormat="1" ht="16.5">
      <c r="A876" s="1119"/>
      <c r="B876" s="880" t="s">
        <v>777</v>
      </c>
      <c r="C876" s="903" t="s">
        <v>45</v>
      </c>
      <c r="D876" s="880" t="s">
        <v>76</v>
      </c>
      <c r="E876" s="875">
        <v>2.5</v>
      </c>
      <c r="F876" s="876">
        <f>F869*E876</f>
        <v>3.3000000000000003</v>
      </c>
      <c r="G876" s="877"/>
      <c r="H876" s="13"/>
      <c r="I876" s="877"/>
      <c r="J876" s="13"/>
      <c r="K876" s="877"/>
      <c r="L876" s="156"/>
      <c r="M876" s="156"/>
      <c r="N876" s="900"/>
    </row>
    <row r="877" spans="1:14" s="69" customFormat="1" ht="16.5">
      <c r="A877" s="1119"/>
      <c r="B877" s="883"/>
      <c r="C877" s="18" t="s">
        <v>50</v>
      </c>
      <c r="D877" s="883" t="s">
        <v>9</v>
      </c>
      <c r="E877" s="875">
        <v>0.74</v>
      </c>
      <c r="F877" s="875">
        <f>F869*E877</f>
        <v>0.9768</v>
      </c>
      <c r="G877" s="877"/>
      <c r="H877" s="13"/>
      <c r="I877" s="877"/>
      <c r="J877" s="13"/>
      <c r="K877" s="877"/>
      <c r="L877" s="156"/>
      <c r="M877" s="156"/>
      <c r="N877" s="900"/>
    </row>
    <row r="878" spans="1:14" s="69" customFormat="1" ht="16.5">
      <c r="A878" s="1119"/>
      <c r="B878" s="880" t="s">
        <v>778</v>
      </c>
      <c r="C878" s="904" t="s">
        <v>779</v>
      </c>
      <c r="D878" s="883" t="s">
        <v>298</v>
      </c>
      <c r="E878" s="875"/>
      <c r="F878" s="905">
        <f>(2*3.5)*16*1*1.05*0.395/1000   +  (   4*2*10   +14*(0.6+0.3)*(10)     )*1.05*0.395/1000</f>
        <v>0.13189049999999999</v>
      </c>
      <c r="G878" s="269"/>
      <c r="H878" s="13"/>
      <c r="I878" s="877"/>
      <c r="J878" s="13"/>
      <c r="K878" s="877"/>
      <c r="L878" s="156"/>
      <c r="M878" s="156"/>
      <c r="N878" s="900"/>
    </row>
    <row r="879" spans="1:14" s="69" customFormat="1" ht="16.5" hidden="1">
      <c r="A879" s="1120"/>
      <c r="B879" s="883" t="s">
        <v>780</v>
      </c>
      <c r="C879" s="904" t="s">
        <v>781</v>
      </c>
      <c r="D879" s="883" t="s">
        <v>298</v>
      </c>
      <c r="E879" s="875"/>
      <c r="F879" s="905">
        <f>0</f>
        <v>0</v>
      </c>
      <c r="G879" s="877"/>
      <c r="H879" s="13"/>
      <c r="I879" s="877"/>
      <c r="J879" s="13"/>
      <c r="K879" s="877"/>
      <c r="L879" s="156"/>
      <c r="M879" s="156"/>
      <c r="N879" s="900"/>
    </row>
    <row r="880" spans="1:14" s="69" customFormat="1" ht="31.5">
      <c r="A880" s="1104" t="s">
        <v>80</v>
      </c>
      <c r="B880" s="155" t="s">
        <v>753</v>
      </c>
      <c r="C880" s="92" t="s">
        <v>933</v>
      </c>
      <c r="D880" s="882" t="s">
        <v>47</v>
      </c>
      <c r="E880" s="177"/>
      <c r="F880" s="46">
        <f>(0.3+0.15)*2*10</f>
        <v>9</v>
      </c>
      <c r="G880" s="877"/>
      <c r="H880" s="877"/>
      <c r="I880" s="877"/>
      <c r="J880" s="877"/>
      <c r="K880" s="877"/>
      <c r="L880" s="877"/>
      <c r="M880" s="877"/>
      <c r="N880" s="900"/>
    </row>
    <row r="881" spans="1:14" s="69" customFormat="1" ht="16.5">
      <c r="A881" s="1105"/>
      <c r="B881" s="204"/>
      <c r="C881" s="39" t="s">
        <v>38</v>
      </c>
      <c r="D881" s="204" t="s">
        <v>12</v>
      </c>
      <c r="E881" s="320">
        <v>7.6</v>
      </c>
      <c r="F881" s="325">
        <f>F880*E881</f>
        <v>68.399999999999991</v>
      </c>
      <c r="G881" s="13"/>
      <c r="H881" s="13"/>
      <c r="I881" s="13"/>
      <c r="J881" s="13"/>
      <c r="K881" s="13"/>
      <c r="L881" s="156"/>
      <c r="M881" s="156"/>
      <c r="N881" s="900"/>
    </row>
    <row r="882" spans="1:14" s="69" customFormat="1" ht="16.5">
      <c r="A882" s="1105"/>
      <c r="B882" s="204"/>
      <c r="C882" s="39" t="s">
        <v>23</v>
      </c>
      <c r="D882" s="204" t="s">
        <v>9</v>
      </c>
      <c r="E882" s="320">
        <v>0.2</v>
      </c>
      <c r="F882" s="325">
        <f>F880*E882</f>
        <v>1.8</v>
      </c>
      <c r="G882" s="13"/>
      <c r="H882" s="13"/>
      <c r="I882" s="13"/>
      <c r="J882" s="13"/>
      <c r="K882" s="13"/>
      <c r="L882" s="156"/>
      <c r="M882" s="156"/>
      <c r="N882" s="900"/>
    </row>
    <row r="883" spans="1:14" s="69" customFormat="1" ht="21" customHeight="1">
      <c r="A883" s="1105"/>
      <c r="B883" s="204"/>
      <c r="C883" s="39" t="s">
        <v>934</v>
      </c>
      <c r="D883" s="204" t="s">
        <v>47</v>
      </c>
      <c r="E883" s="320">
        <v>1</v>
      </c>
      <c r="F883" s="325">
        <f>F880*E883</f>
        <v>9</v>
      </c>
      <c r="G883" s="13"/>
      <c r="H883" s="13"/>
      <c r="I883" s="13"/>
      <c r="J883" s="13"/>
      <c r="K883" s="13"/>
      <c r="L883" s="156"/>
      <c r="M883" s="156"/>
      <c r="N883" s="900"/>
    </row>
    <row r="884" spans="1:14" s="69" customFormat="1" ht="16.5">
      <c r="A884" s="1105"/>
      <c r="B884" s="204"/>
      <c r="C884" s="39" t="s">
        <v>754</v>
      </c>
      <c r="D884" s="204" t="s">
        <v>39</v>
      </c>
      <c r="E884" s="320">
        <v>3.5999999999999997E-2</v>
      </c>
      <c r="F884" s="325">
        <f>F880*E884</f>
        <v>0.32399999999999995</v>
      </c>
      <c r="G884" s="13"/>
      <c r="H884" s="13"/>
      <c r="I884" s="13"/>
      <c r="J884" s="13"/>
      <c r="K884" s="13"/>
      <c r="L884" s="156"/>
      <c r="M884" s="156"/>
      <c r="N884" s="900"/>
    </row>
    <row r="885" spans="1:14" s="69" customFormat="1" ht="16.5">
      <c r="A885" s="1106"/>
      <c r="B885" s="204"/>
      <c r="C885" s="39" t="s">
        <v>50</v>
      </c>
      <c r="D885" s="204" t="s">
        <v>9</v>
      </c>
      <c r="E885" s="320">
        <v>0.09</v>
      </c>
      <c r="F885" s="325">
        <f>F880*E885</f>
        <v>0.80999999999999994</v>
      </c>
      <c r="G885" s="13"/>
      <c r="H885" s="13"/>
      <c r="I885" s="13"/>
      <c r="J885" s="13"/>
      <c r="K885" s="13"/>
      <c r="L885" s="156"/>
      <c r="M885" s="156"/>
      <c r="N885" s="900"/>
    </row>
    <row r="886" spans="1:14" s="72" customFormat="1" ht="0.75" customHeight="1">
      <c r="A886" s="874"/>
      <c r="B886" s="155"/>
      <c r="C886" s="39"/>
      <c r="D886" s="204"/>
      <c r="E886" s="876"/>
      <c r="F886" s="325"/>
      <c r="G886" s="13"/>
      <c r="H886" s="13"/>
      <c r="I886" s="13"/>
      <c r="J886" s="13"/>
      <c r="K886" s="13"/>
      <c r="L886" s="156"/>
      <c r="M886" s="156"/>
      <c r="N886" s="510"/>
    </row>
    <row r="887" spans="1:14" s="69" customFormat="1" ht="16.5">
      <c r="A887" s="310"/>
      <c r="B887" s="1067"/>
      <c r="C887" s="1087" t="s">
        <v>935</v>
      </c>
      <c r="D887" s="1068"/>
      <c r="E887" s="1069"/>
      <c r="F887" s="1070"/>
      <c r="G887" s="1071"/>
      <c r="H887" s="30"/>
      <c r="I887" s="1072"/>
      <c r="J887" s="30"/>
      <c r="K887" s="1072"/>
      <c r="L887" s="30"/>
      <c r="M887" s="30"/>
    </row>
    <row r="888" spans="1:14" s="69" customFormat="1" ht="31.5">
      <c r="A888" s="1048"/>
      <c r="B888" s="1048"/>
      <c r="C888" s="1089" t="s">
        <v>936</v>
      </c>
      <c r="D888" s="1048"/>
      <c r="E888" s="335"/>
      <c r="F888" s="326"/>
      <c r="G888" s="1073"/>
      <c r="H888" s="30"/>
      <c r="I888" s="30"/>
      <c r="J888" s="30"/>
      <c r="K888" s="30"/>
      <c r="L888" s="30"/>
      <c r="M888" s="30"/>
    </row>
    <row r="889" spans="1:14" s="69" customFormat="1" ht="31.5">
      <c r="A889" s="1187" t="s">
        <v>84</v>
      </c>
      <c r="B889" s="29" t="s">
        <v>33</v>
      </c>
      <c r="C889" s="966" t="s">
        <v>937</v>
      </c>
      <c r="D889" s="1048" t="s">
        <v>39</v>
      </c>
      <c r="E889" s="335"/>
      <c r="F889" s="46">
        <f>1.5*0.8*10</f>
        <v>12.000000000000002</v>
      </c>
      <c r="G889" s="1073"/>
      <c r="H889" s="30"/>
      <c r="I889" s="30"/>
      <c r="J889" s="30"/>
      <c r="K889" s="30"/>
      <c r="L889" s="30"/>
      <c r="M889" s="30"/>
      <c r="N889" s="69">
        <f>8.4/0.6+1</f>
        <v>15.000000000000002</v>
      </c>
    </row>
    <row r="890" spans="1:14" s="69" customFormat="1" ht="16.5">
      <c r="A890" s="1188"/>
      <c r="B890" s="1048"/>
      <c r="C890" s="102" t="s">
        <v>38</v>
      </c>
      <c r="D890" s="590" t="s">
        <v>12</v>
      </c>
      <c r="E890" s="588">
        <v>3.88</v>
      </c>
      <c r="F890" s="588">
        <f>F889*E890</f>
        <v>46.56</v>
      </c>
      <c r="G890" s="20"/>
      <c r="H890" s="1045"/>
      <c r="I890" s="84"/>
      <c r="J890" s="84"/>
      <c r="K890" s="84"/>
      <c r="L890" s="1074"/>
      <c r="M890" s="1074"/>
    </row>
    <row r="891" spans="1:14" s="69" customFormat="1" ht="31.5" hidden="1">
      <c r="A891" s="1187" t="s">
        <v>69</v>
      </c>
      <c r="B891" s="29" t="s">
        <v>37</v>
      </c>
      <c r="C891" s="966" t="s">
        <v>938</v>
      </c>
      <c r="D891" s="1048"/>
      <c r="E891" s="1088">
        <f>1*10*0.1</f>
        <v>1</v>
      </c>
      <c r="F891" s="46"/>
      <c r="G891" s="1073"/>
      <c r="H891" s="30"/>
      <c r="I891" s="30"/>
      <c r="J891" s="30"/>
      <c r="K891" s="30"/>
      <c r="L891" s="30"/>
      <c r="M891" s="30"/>
    </row>
    <row r="892" spans="1:14" s="69" customFormat="1" ht="16.5" hidden="1">
      <c r="A892" s="1189"/>
      <c r="B892" s="1048"/>
      <c r="C892" s="102" t="s">
        <v>38</v>
      </c>
      <c r="D892" s="590" t="s">
        <v>12</v>
      </c>
      <c r="E892" s="588">
        <v>3.52</v>
      </c>
      <c r="F892" s="588">
        <f>F891*E892</f>
        <v>0</v>
      </c>
      <c r="G892" s="20"/>
      <c r="H892" s="1045"/>
      <c r="I892" s="84"/>
      <c r="J892" s="84"/>
      <c r="K892" s="84"/>
      <c r="L892" s="1074"/>
      <c r="M892" s="1074"/>
    </row>
    <row r="893" spans="1:14" s="69" customFormat="1" ht="16.5" hidden="1">
      <c r="A893" s="1189"/>
      <c r="B893" s="1048"/>
      <c r="C893" s="105" t="s">
        <v>23</v>
      </c>
      <c r="D893" s="1048" t="s">
        <v>9</v>
      </c>
      <c r="E893" s="335">
        <v>1.06</v>
      </c>
      <c r="F893" s="326">
        <f>F891*E893</f>
        <v>0</v>
      </c>
      <c r="G893" s="1073"/>
      <c r="H893" s="1045"/>
      <c r="I893" s="84"/>
      <c r="J893" s="84"/>
      <c r="K893" s="84"/>
      <c r="L893" s="1074"/>
      <c r="M893" s="1074"/>
    </row>
    <row r="894" spans="1:14" s="69" customFormat="1" ht="16.5" hidden="1">
      <c r="A894" s="1189"/>
      <c r="B894" s="1048"/>
      <c r="C894" s="105" t="s">
        <v>32</v>
      </c>
      <c r="D894" s="1048" t="s">
        <v>39</v>
      </c>
      <c r="E894" s="335">
        <f>0.18+0.09+0.97</f>
        <v>1.24</v>
      </c>
      <c r="F894" s="326">
        <f>F891*E894</f>
        <v>0</v>
      </c>
      <c r="G894" s="1073"/>
      <c r="H894" s="84"/>
      <c r="I894" s="20"/>
      <c r="J894" s="1045"/>
      <c r="K894" s="21"/>
      <c r="L894" s="1045"/>
      <c r="M894" s="1074"/>
    </row>
    <row r="895" spans="1:14" s="69" customFormat="1" ht="16.5" hidden="1">
      <c r="A895" s="1188"/>
      <c r="B895" s="1048"/>
      <c r="C895" s="105" t="s">
        <v>50</v>
      </c>
      <c r="D895" s="1048" t="s">
        <v>9</v>
      </c>
      <c r="E895" s="335">
        <v>0.02</v>
      </c>
      <c r="F895" s="326">
        <f>F891*E895</f>
        <v>0</v>
      </c>
      <c r="G895" s="1073"/>
      <c r="H895" s="84"/>
      <c r="I895" s="20"/>
      <c r="J895" s="1045"/>
      <c r="K895" s="21"/>
      <c r="L895" s="1045"/>
      <c r="M895" s="1074"/>
    </row>
    <row r="896" spans="1:14" s="69" customFormat="1" ht="31.5">
      <c r="A896" s="1149" t="s">
        <v>85</v>
      </c>
      <c r="B896" s="194" t="s">
        <v>178</v>
      </c>
      <c r="C896" s="779" t="s">
        <v>849</v>
      </c>
      <c r="D896" s="472" t="s">
        <v>39</v>
      </c>
      <c r="E896" s="473"/>
      <c r="F896" s="474">
        <f>1*10*0.1</f>
        <v>1</v>
      </c>
      <c r="G896" s="293"/>
      <c r="H896" s="156"/>
      <c r="I896" s="156"/>
      <c r="J896" s="156"/>
      <c r="K896" s="156"/>
      <c r="L896" s="156"/>
      <c r="M896" s="485"/>
    </row>
    <row r="897" spans="1:13" s="69" customFormat="1" ht="16.5">
      <c r="A897" s="1150"/>
      <c r="B897" s="270"/>
      <c r="C897" s="547" t="s">
        <v>20</v>
      </c>
      <c r="D897" s="40" t="s">
        <v>21</v>
      </c>
      <c r="E897" s="476">
        <v>1.37</v>
      </c>
      <c r="F897" s="33">
        <f>E897*F896</f>
        <v>1.37</v>
      </c>
      <c r="G897" s="293"/>
      <c r="H897" s="293"/>
      <c r="I897" s="293"/>
      <c r="J897" s="293"/>
      <c r="K897" s="293"/>
      <c r="L897" s="293"/>
      <c r="M897" s="475"/>
    </row>
    <row r="898" spans="1:13" s="69" customFormat="1" ht="16.5">
      <c r="A898" s="1150"/>
      <c r="B898" s="270"/>
      <c r="C898" s="547" t="s">
        <v>23</v>
      </c>
      <c r="D898" s="40" t="s">
        <v>9</v>
      </c>
      <c r="E898" s="476">
        <v>0.28299999999999997</v>
      </c>
      <c r="F898" s="33">
        <f>F896*E898</f>
        <v>0.28299999999999997</v>
      </c>
      <c r="G898" s="293"/>
      <c r="H898" s="293"/>
      <c r="I898" s="293"/>
      <c r="J898" s="293"/>
      <c r="K898" s="293"/>
      <c r="L898" s="293"/>
      <c r="M898" s="475"/>
    </row>
    <row r="899" spans="1:13" s="69" customFormat="1" ht="16.5">
      <c r="A899" s="1150"/>
      <c r="B899" s="270"/>
      <c r="C899" s="781" t="s">
        <v>313</v>
      </c>
      <c r="D899" s="270" t="s">
        <v>39</v>
      </c>
      <c r="E899" s="327">
        <v>1.02</v>
      </c>
      <c r="F899" s="486">
        <f>F896*E899</f>
        <v>1.02</v>
      </c>
      <c r="G899" s="293"/>
      <c r="H899" s="293"/>
      <c r="I899" s="293"/>
      <c r="J899" s="293"/>
      <c r="K899" s="293"/>
      <c r="L899" s="293"/>
      <c r="M899" s="475"/>
    </row>
    <row r="900" spans="1:13" s="69" customFormat="1" ht="16.5">
      <c r="A900" s="1151"/>
      <c r="B900" s="270"/>
      <c r="C900" s="781" t="s">
        <v>50</v>
      </c>
      <c r="D900" s="270" t="s">
        <v>9</v>
      </c>
      <c r="E900" s="327">
        <v>0.62</v>
      </c>
      <c r="F900" s="486">
        <f>F896*E900</f>
        <v>0.62</v>
      </c>
      <c r="G900" s="30"/>
      <c r="H900" s="293"/>
      <c r="I900" s="483"/>
      <c r="J900" s="293"/>
      <c r="K900" s="484"/>
      <c r="L900" s="293"/>
      <c r="M900" s="475"/>
    </row>
    <row r="901" spans="1:13" s="69" customFormat="1" ht="16.5">
      <c r="A901" s="1187" t="s">
        <v>79</v>
      </c>
      <c r="B901" s="29" t="s">
        <v>746</v>
      </c>
      <c r="C901" s="966" t="s">
        <v>939</v>
      </c>
      <c r="D901" s="1048" t="s">
        <v>39</v>
      </c>
      <c r="E901" s="335"/>
      <c r="F901" s="46">
        <f>(0.8*0.3+0.3*0.4)*10</f>
        <v>3.5999999999999996</v>
      </c>
      <c r="G901" s="1073"/>
      <c r="H901" s="84"/>
      <c r="I901" s="20"/>
      <c r="J901" s="1045"/>
      <c r="K901" s="21"/>
      <c r="L901" s="1045"/>
      <c r="M901" s="1074"/>
    </row>
    <row r="902" spans="1:13" s="69" customFormat="1" ht="16.5">
      <c r="A902" s="1189"/>
      <c r="B902" s="1048"/>
      <c r="C902" s="102" t="s">
        <v>38</v>
      </c>
      <c r="D902" s="590" t="s">
        <v>12</v>
      </c>
      <c r="E902" s="588">
        <v>3.78</v>
      </c>
      <c r="F902" s="588">
        <f>F901*E902</f>
        <v>13.607999999999999</v>
      </c>
      <c r="G902" s="20"/>
      <c r="H902" s="1045"/>
      <c r="I902" s="84"/>
      <c r="J902" s="84"/>
      <c r="K902" s="84"/>
      <c r="L902" s="1074"/>
      <c r="M902" s="1074"/>
    </row>
    <row r="903" spans="1:13" s="69" customFormat="1" ht="16.5">
      <c r="A903" s="1189"/>
      <c r="B903" s="1048"/>
      <c r="C903" s="105" t="s">
        <v>23</v>
      </c>
      <c r="D903" s="1048" t="s">
        <v>9</v>
      </c>
      <c r="E903" s="335">
        <v>0.92</v>
      </c>
      <c r="F903" s="326">
        <f>F901*E903</f>
        <v>3.3119999999999998</v>
      </c>
      <c r="G903" s="1073"/>
      <c r="H903" s="1045"/>
      <c r="I903" s="84"/>
      <c r="J903" s="84"/>
      <c r="K903" s="84"/>
      <c r="L903" s="1074"/>
      <c r="M903" s="1074"/>
    </row>
    <row r="904" spans="1:13" s="69" customFormat="1" ht="16.5">
      <c r="A904" s="1189"/>
      <c r="B904" s="1048"/>
      <c r="C904" s="105" t="s">
        <v>751</v>
      </c>
      <c r="D904" s="1048" t="s">
        <v>39</v>
      </c>
      <c r="E904" s="335">
        <v>1.0149999999999999</v>
      </c>
      <c r="F904" s="326">
        <f>F901*E904</f>
        <v>3.6539999999999995</v>
      </c>
      <c r="G904" s="1073"/>
      <c r="H904" s="84"/>
      <c r="I904" s="20"/>
      <c r="J904" s="1045"/>
      <c r="K904" s="21"/>
      <c r="L904" s="1045"/>
      <c r="M904" s="1074"/>
    </row>
    <row r="905" spans="1:13" s="69" customFormat="1" ht="16.5">
      <c r="A905" s="1189"/>
      <c r="B905" s="1048"/>
      <c r="C905" s="105" t="s">
        <v>940</v>
      </c>
      <c r="D905" s="1048" t="s">
        <v>47</v>
      </c>
      <c r="E905" s="335">
        <v>0.70299999999999996</v>
      </c>
      <c r="F905" s="326">
        <f>F901*E905</f>
        <v>2.5307999999999997</v>
      </c>
      <c r="G905" s="1073"/>
      <c r="H905" s="84"/>
      <c r="I905" s="20"/>
      <c r="J905" s="1045"/>
      <c r="K905" s="21"/>
      <c r="L905" s="1045"/>
      <c r="M905" s="1074"/>
    </row>
    <row r="906" spans="1:13" s="69" customFormat="1" ht="16.5">
      <c r="A906" s="1189"/>
      <c r="B906" s="1048"/>
      <c r="C906" s="105" t="s">
        <v>41</v>
      </c>
      <c r="D906" s="1048" t="s">
        <v>39</v>
      </c>
      <c r="E906" s="335">
        <v>1.4E-2</v>
      </c>
      <c r="F906" s="326">
        <f>F901*E906</f>
        <v>5.0399999999999993E-2</v>
      </c>
      <c r="G906" s="1073"/>
      <c r="H906" s="84"/>
      <c r="I906" s="30"/>
      <c r="J906" s="30"/>
      <c r="K906" s="30"/>
      <c r="L906" s="30"/>
      <c r="M906" s="1074"/>
    </row>
    <row r="907" spans="1:13" s="69" customFormat="1" ht="16.5">
      <c r="A907" s="1189"/>
      <c r="B907" s="1048"/>
      <c r="C907" s="105" t="s">
        <v>941</v>
      </c>
      <c r="D907" s="1048" t="s">
        <v>9</v>
      </c>
      <c r="E907" s="335">
        <v>0.6</v>
      </c>
      <c r="F907" s="326">
        <f>F901*E907</f>
        <v>2.1599999999999997</v>
      </c>
      <c r="G907" s="1073"/>
      <c r="H907" s="84"/>
      <c r="I907" s="30"/>
      <c r="J907" s="30"/>
      <c r="K907" s="30"/>
      <c r="L907" s="30"/>
      <c r="M907" s="1074"/>
    </row>
    <row r="908" spans="1:13" s="69" customFormat="1" ht="16.5">
      <c r="A908" s="1189"/>
      <c r="B908" s="1048"/>
      <c r="C908" s="1075" t="s">
        <v>942</v>
      </c>
      <c r="D908" s="1048" t="s">
        <v>40</v>
      </c>
      <c r="E908" s="335"/>
      <c r="F908" s="1076">
        <f>0.0162*10</f>
        <v>0.16199999999999998</v>
      </c>
      <c r="G908" s="1073"/>
      <c r="H908" s="30"/>
      <c r="I908" s="30"/>
      <c r="J908" s="30"/>
      <c r="K908" s="30"/>
      <c r="L908" s="30"/>
      <c r="M908" s="30"/>
    </row>
    <row r="909" spans="1:13" s="69" customFormat="1" ht="16.5" hidden="1">
      <c r="A909" s="1188"/>
      <c r="B909" s="1048"/>
      <c r="C909" s="1090" t="s">
        <v>943</v>
      </c>
      <c r="D909" s="1046" t="s">
        <v>40</v>
      </c>
      <c r="E909" s="1091"/>
      <c r="F909" s="1092">
        <v>0</v>
      </c>
      <c r="G909" s="1073"/>
      <c r="H909" s="30"/>
      <c r="I909" s="30"/>
      <c r="J909" s="30"/>
      <c r="K909" s="30"/>
      <c r="L909" s="30"/>
      <c r="M909" s="30"/>
    </row>
    <row r="910" spans="1:13" s="69" customFormat="1" ht="33.75" customHeight="1">
      <c r="A910" s="1191" t="s">
        <v>80</v>
      </c>
      <c r="B910" s="1077"/>
      <c r="C910" s="966" t="s">
        <v>944</v>
      </c>
      <c r="D910" s="1048" t="s">
        <v>52</v>
      </c>
      <c r="E910" s="401"/>
      <c r="F910" s="46">
        <v>9</v>
      </c>
      <c r="G910" s="1093"/>
      <c r="H910" s="1093"/>
      <c r="I910" s="1093"/>
      <c r="J910" s="1093"/>
      <c r="K910" s="1093"/>
      <c r="L910" s="1093"/>
      <c r="M910" s="1093"/>
    </row>
    <row r="911" spans="1:13" s="69" customFormat="1" ht="16.5">
      <c r="A911" s="1192"/>
      <c r="B911" s="1077"/>
      <c r="C911" s="1094" t="s">
        <v>953</v>
      </c>
      <c r="D911" s="1095" t="s">
        <v>39</v>
      </c>
      <c r="E911" s="1096">
        <f>0.15*0.1*2.5*F910*1.1</f>
        <v>0.37124999999999997</v>
      </c>
      <c r="F911" s="103"/>
      <c r="G911" s="1093"/>
      <c r="H911" s="1093"/>
      <c r="I911" s="1093"/>
      <c r="J911" s="1093"/>
      <c r="K911" s="1093"/>
      <c r="L911" s="1093"/>
      <c r="M911" s="1093"/>
    </row>
    <row r="912" spans="1:13" s="69" customFormat="1" ht="16.5">
      <c r="A912" s="1192"/>
      <c r="B912" s="1077"/>
      <c r="C912" s="1094" t="s">
        <v>954</v>
      </c>
      <c r="D912" s="1095" t="s">
        <v>39</v>
      </c>
      <c r="E912" s="1096">
        <f>0.15*0.1*2.7*F910*1.1</f>
        <v>0.40095000000000003</v>
      </c>
      <c r="F912" s="103"/>
      <c r="G912" s="1093"/>
      <c r="H912" s="1093"/>
      <c r="I912" s="1093"/>
      <c r="J912" s="1093"/>
      <c r="K912" s="1093"/>
      <c r="L912" s="1093"/>
      <c r="M912" s="1093"/>
    </row>
    <row r="913" spans="1:13" s="69" customFormat="1" ht="16.5">
      <c r="A913" s="1192"/>
      <c r="B913" s="1077"/>
      <c r="C913" s="1094" t="s">
        <v>952</v>
      </c>
      <c r="D913" s="1095" t="s">
        <v>39</v>
      </c>
      <c r="E913" s="1096">
        <f>0.1*0.1*0.7*F910*1.1</f>
        <v>6.9300000000000028E-2</v>
      </c>
      <c r="F913" s="103"/>
      <c r="G913" s="1093"/>
      <c r="H913" s="1093"/>
      <c r="I913" s="1093"/>
      <c r="J913" s="1093"/>
      <c r="K913" s="1093"/>
      <c r="L913" s="1093"/>
      <c r="M913" s="1093"/>
    </row>
    <row r="914" spans="1:13" s="69" customFormat="1" ht="16.5">
      <c r="A914" s="1192"/>
      <c r="B914" s="1077"/>
      <c r="C914" s="1094" t="s">
        <v>945</v>
      </c>
      <c r="D914" s="1095" t="s">
        <v>39</v>
      </c>
      <c r="E914" s="1096">
        <f>0.07*0.07*15*20*1.1</f>
        <v>1.6170000000000004</v>
      </c>
      <c r="F914" s="103"/>
      <c r="G914" s="1093"/>
      <c r="H914" s="1093"/>
      <c r="I914" s="1093"/>
      <c r="J914" s="1093"/>
      <c r="K914" s="1093"/>
      <c r="L914" s="1093"/>
      <c r="M914" s="1093"/>
    </row>
    <row r="915" spans="1:13" s="69" customFormat="1" ht="16.5">
      <c r="A915" s="1192"/>
      <c r="B915" s="1077" t="s">
        <v>946</v>
      </c>
      <c r="C915" s="1097" t="s">
        <v>947</v>
      </c>
      <c r="D915" s="1095" t="s">
        <v>39</v>
      </c>
      <c r="E915" s="1098"/>
      <c r="F915" s="1096">
        <f>SUM(E911:E914)</f>
        <v>2.4585000000000004</v>
      </c>
      <c r="G915" s="1093"/>
      <c r="H915" s="1093"/>
      <c r="I915" s="1093"/>
      <c r="J915" s="1093"/>
      <c r="K915" s="1093"/>
      <c r="L915" s="1093"/>
      <c r="M915" s="1093"/>
    </row>
    <row r="916" spans="1:13" s="69" customFormat="1" ht="16.5">
      <c r="A916" s="1192"/>
      <c r="B916" s="1048"/>
      <c r="C916" s="1078" t="s">
        <v>38</v>
      </c>
      <c r="D916" s="1047" t="s">
        <v>12</v>
      </c>
      <c r="E916" s="517">
        <v>24</v>
      </c>
      <c r="F916" s="517">
        <f>F915*E916</f>
        <v>59.004000000000005</v>
      </c>
      <c r="G916" s="1079"/>
      <c r="H916" s="84"/>
      <c r="I916" s="30"/>
      <c r="J916" s="30"/>
      <c r="K916" s="30"/>
      <c r="L916" s="30"/>
      <c r="M916" s="84"/>
    </row>
    <row r="917" spans="1:13" s="69" customFormat="1" ht="16.5">
      <c r="A917" s="1192"/>
      <c r="B917" s="1048"/>
      <c r="C917" s="105" t="s">
        <v>23</v>
      </c>
      <c r="D917" s="1048" t="s">
        <v>9</v>
      </c>
      <c r="E917" s="335">
        <v>1.3</v>
      </c>
      <c r="F917" s="335">
        <f>F915*E917</f>
        <v>3.1960500000000005</v>
      </c>
      <c r="G917" s="1079"/>
      <c r="H917" s="84"/>
      <c r="I917" s="30"/>
      <c r="J917" s="30"/>
      <c r="K917" s="30"/>
      <c r="L917" s="1074"/>
      <c r="M917" s="84"/>
    </row>
    <row r="918" spans="1:13" s="69" customFormat="1" ht="16.5">
      <c r="A918" s="1192"/>
      <c r="B918" s="1048"/>
      <c r="C918" s="105" t="s">
        <v>41</v>
      </c>
      <c r="D918" s="1048" t="s">
        <v>39</v>
      </c>
      <c r="E918" s="335">
        <f>0.93+0.12</f>
        <v>1.05</v>
      </c>
      <c r="F918" s="335">
        <f>F915*E918</f>
        <v>2.5814250000000003</v>
      </c>
      <c r="G918" s="1079"/>
      <c r="H918" s="84"/>
      <c r="I918" s="30"/>
      <c r="J918" s="30"/>
      <c r="K918" s="30"/>
      <c r="L918" s="30"/>
      <c r="M918" s="84"/>
    </row>
    <row r="919" spans="1:13" s="69" customFormat="1" ht="16.5">
      <c r="A919" s="1192"/>
      <c r="B919" s="1048"/>
      <c r="C919" s="105" t="s">
        <v>348</v>
      </c>
      <c r="D919" s="1048" t="s">
        <v>7</v>
      </c>
      <c r="E919" s="335">
        <v>7.5</v>
      </c>
      <c r="F919" s="335">
        <f>F915*E919</f>
        <v>18.438750000000002</v>
      </c>
      <c r="G919" s="1079"/>
      <c r="H919" s="84"/>
      <c r="I919" s="30"/>
      <c r="J919" s="30"/>
      <c r="K919" s="30"/>
      <c r="L919" s="30"/>
      <c r="M919" s="84"/>
    </row>
    <row r="920" spans="1:13" s="69" customFormat="1" ht="16.5">
      <c r="A920" s="1192"/>
      <c r="B920" s="1048"/>
      <c r="C920" s="105" t="s">
        <v>349</v>
      </c>
      <c r="D920" s="1048" t="s">
        <v>7</v>
      </c>
      <c r="E920" s="335">
        <v>3.01</v>
      </c>
      <c r="F920" s="335">
        <f>F915*E920</f>
        <v>7.4000850000000007</v>
      </c>
      <c r="G920" s="1079"/>
      <c r="H920" s="84"/>
      <c r="I920" s="30"/>
      <c r="J920" s="30"/>
      <c r="K920" s="30"/>
      <c r="L920" s="30"/>
      <c r="M920" s="84"/>
    </row>
    <row r="921" spans="1:13" s="69" customFormat="1" ht="16.5">
      <c r="A921" s="1192"/>
      <c r="B921" s="1048"/>
      <c r="C921" s="105" t="s">
        <v>350</v>
      </c>
      <c r="D921" s="1048" t="s">
        <v>7</v>
      </c>
      <c r="E921" s="335">
        <v>3.08</v>
      </c>
      <c r="F921" s="335">
        <f>F915*E921</f>
        <v>7.5721800000000012</v>
      </c>
      <c r="G921" s="1079"/>
      <c r="H921" s="84"/>
      <c r="I921" s="30"/>
      <c r="J921" s="30"/>
      <c r="K921" s="30"/>
      <c r="L921" s="30"/>
      <c r="M921" s="84"/>
    </row>
    <row r="922" spans="1:13" s="69" customFormat="1" ht="16.5">
      <c r="A922" s="1192"/>
      <c r="B922" s="1048"/>
      <c r="C922" s="105" t="s">
        <v>50</v>
      </c>
      <c r="D922" s="1048" t="s">
        <v>9</v>
      </c>
      <c r="E922" s="335">
        <v>1.38</v>
      </c>
      <c r="F922" s="335">
        <f>F915*E922</f>
        <v>3.3927300000000002</v>
      </c>
      <c r="G922" s="1079"/>
      <c r="H922" s="84"/>
      <c r="I922" s="30"/>
      <c r="J922" s="30"/>
      <c r="K922" s="30"/>
      <c r="L922" s="30"/>
      <c r="M922" s="84"/>
    </row>
    <row r="923" spans="1:13" s="69" customFormat="1" ht="31.5">
      <c r="A923" s="1192"/>
      <c r="B923" s="1048"/>
      <c r="C923" s="105" t="s">
        <v>955</v>
      </c>
      <c r="D923" s="1048" t="s">
        <v>351</v>
      </c>
      <c r="E923" s="335"/>
      <c r="F923" s="89">
        <f>0.162*0.112*1*F910*1.1*47.1/1000</f>
        <v>8.4603657600000014E-3</v>
      </c>
      <c r="G923" s="1073"/>
      <c r="H923" s="84"/>
      <c r="I923" s="30"/>
      <c r="J923" s="30"/>
      <c r="K923" s="30"/>
      <c r="L923" s="30"/>
      <c r="M923" s="84"/>
    </row>
    <row r="924" spans="1:13" s="69" customFormat="1" ht="31.5">
      <c r="A924" s="1192"/>
      <c r="B924" s="1048"/>
      <c r="C924" s="105" t="s">
        <v>956</v>
      </c>
      <c r="D924" s="1048" t="s">
        <v>40</v>
      </c>
      <c r="E924" s="401"/>
      <c r="F924" s="89">
        <f>0.2*0.15*2*F910*1.1*47.1/1000</f>
        <v>2.7977400000000006E-2</v>
      </c>
      <c r="G924" s="30"/>
      <c r="H924" s="84"/>
      <c r="I924" s="30"/>
      <c r="J924" s="30"/>
      <c r="K924" s="30"/>
      <c r="L924" s="30"/>
      <c r="M924" s="84"/>
    </row>
    <row r="925" spans="1:13" s="69" customFormat="1" ht="31.5">
      <c r="A925" s="1192"/>
      <c r="B925" s="1048"/>
      <c r="C925" s="105" t="s">
        <v>957</v>
      </c>
      <c r="D925" s="1048" t="s">
        <v>40</v>
      </c>
      <c r="E925" s="401"/>
      <c r="F925" s="89">
        <f>0.2*0.112*2*F910*1.1*47.1/1000</f>
        <v>2.0889792000000004E-2</v>
      </c>
      <c r="G925" s="30"/>
      <c r="H925" s="84"/>
      <c r="I925" s="30"/>
      <c r="J925" s="30"/>
      <c r="K925" s="30"/>
      <c r="L925" s="30"/>
      <c r="M925" s="84"/>
    </row>
    <row r="926" spans="1:13" s="69" customFormat="1" ht="31.5">
      <c r="A926" s="1192"/>
      <c r="B926" s="1048"/>
      <c r="C926" s="105" t="s">
        <v>958</v>
      </c>
      <c r="D926" s="1048" t="s">
        <v>40</v>
      </c>
      <c r="E926" s="401"/>
      <c r="F926" s="89">
        <f>1*F910</f>
        <v>9</v>
      </c>
      <c r="G926" s="30"/>
      <c r="H926" s="84"/>
      <c r="I926" s="30"/>
      <c r="J926" s="30"/>
      <c r="K926" s="30"/>
      <c r="L926" s="30"/>
      <c r="M926" s="84"/>
    </row>
    <row r="927" spans="1:13" s="69" customFormat="1" ht="31.5">
      <c r="A927" s="1192"/>
      <c r="B927" s="1048"/>
      <c r="C927" s="105" t="s">
        <v>959</v>
      </c>
      <c r="D927" s="1048" t="s">
        <v>40</v>
      </c>
      <c r="E927" s="335"/>
      <c r="F927" s="89">
        <f>2*F910*1.05*0.888/1000</f>
        <v>1.6783200000000002E-2</v>
      </c>
      <c r="G927" s="1073"/>
      <c r="H927" s="84"/>
      <c r="I927" s="30"/>
      <c r="J927" s="30"/>
      <c r="K927" s="30"/>
      <c r="L927" s="30"/>
      <c r="M927" s="84"/>
    </row>
    <row r="928" spans="1:13" s="69" customFormat="1" ht="16.5">
      <c r="A928" s="1192"/>
      <c r="B928" s="1048"/>
      <c r="C928" s="105" t="s">
        <v>960</v>
      </c>
      <c r="D928" s="1048" t="s">
        <v>52</v>
      </c>
      <c r="E928" s="335"/>
      <c r="F928" s="89">
        <f>4*F910</f>
        <v>36</v>
      </c>
      <c r="G928" s="1073"/>
      <c r="H928" s="84"/>
      <c r="I928" s="30"/>
      <c r="J928" s="30"/>
      <c r="K928" s="30"/>
      <c r="L928" s="30"/>
      <c r="M928" s="84"/>
    </row>
    <row r="929" spans="1:13" s="69" customFormat="1" ht="16.5">
      <c r="A929" s="1192"/>
      <c r="B929" s="1048"/>
      <c r="C929" s="105" t="s">
        <v>961</v>
      </c>
      <c r="D929" s="1048" t="s">
        <v>52</v>
      </c>
      <c r="E929" s="335"/>
      <c r="F929" s="89">
        <f>4*F910</f>
        <v>36</v>
      </c>
      <c r="G929" s="1073"/>
      <c r="H929" s="84"/>
      <c r="I929" s="30"/>
      <c r="J929" s="30"/>
      <c r="K929" s="30"/>
      <c r="L929" s="30"/>
      <c r="M929" s="84"/>
    </row>
    <row r="930" spans="1:13" s="69" customFormat="1" ht="16.5">
      <c r="A930" s="1192"/>
      <c r="B930" s="1048"/>
      <c r="C930" s="105" t="s">
        <v>948</v>
      </c>
      <c r="D930" s="1048" t="s">
        <v>7</v>
      </c>
      <c r="E930" s="335"/>
      <c r="F930" s="89">
        <v>10</v>
      </c>
      <c r="G930" s="1073"/>
      <c r="H930" s="84"/>
      <c r="I930" s="30"/>
      <c r="J930" s="30"/>
      <c r="K930" s="30"/>
      <c r="L930" s="30"/>
      <c r="M930" s="84"/>
    </row>
    <row r="931" spans="1:13" s="69" customFormat="1" ht="31.5">
      <c r="A931" s="1048"/>
      <c r="B931" s="1048"/>
      <c r="C931" s="1089" t="s">
        <v>352</v>
      </c>
      <c r="D931" s="1048"/>
      <c r="E931" s="335"/>
      <c r="F931" s="326"/>
      <c r="G931" s="1073"/>
      <c r="H931" s="30"/>
      <c r="I931" s="30"/>
      <c r="J931" s="30"/>
      <c r="K931" s="30"/>
      <c r="L931" s="30"/>
      <c r="M931" s="30"/>
    </row>
    <row r="932" spans="1:13" s="69" customFormat="1" ht="16.5">
      <c r="A932" s="1190" t="s">
        <v>81</v>
      </c>
      <c r="B932" s="275" t="s">
        <v>353</v>
      </c>
      <c r="C932" s="1080" t="s">
        <v>354</v>
      </c>
      <c r="D932" s="44" t="s">
        <v>18</v>
      </c>
      <c r="E932" s="45"/>
      <c r="F932" s="164">
        <f>F915</f>
        <v>2.4585000000000004</v>
      </c>
      <c r="G932" s="84"/>
      <c r="H932" s="84"/>
      <c r="I932" s="84"/>
      <c r="J932" s="84"/>
      <c r="K932" s="84"/>
      <c r="L932" s="84"/>
      <c r="M932" s="84"/>
    </row>
    <row r="933" spans="1:13" s="69" customFormat="1" ht="16.5">
      <c r="A933" s="1190"/>
      <c r="B933" s="275"/>
      <c r="C933" s="1081" t="s">
        <v>54</v>
      </c>
      <c r="D933" s="44" t="s">
        <v>12</v>
      </c>
      <c r="E933" s="45">
        <v>0.87</v>
      </c>
      <c r="F933" s="401">
        <f>F932*E933</f>
        <v>2.1388950000000002</v>
      </c>
      <c r="G933" s="84"/>
      <c r="H933" s="84"/>
      <c r="I933" s="84"/>
      <c r="J933" s="84"/>
      <c r="K933" s="84"/>
      <c r="L933" s="84"/>
      <c r="M933" s="84"/>
    </row>
    <row r="934" spans="1:13" s="69" customFormat="1" ht="16.5">
      <c r="A934" s="1190"/>
      <c r="B934" s="275"/>
      <c r="C934" s="1081" t="s">
        <v>240</v>
      </c>
      <c r="D934" s="44" t="s">
        <v>9</v>
      </c>
      <c r="E934" s="45">
        <v>0.13</v>
      </c>
      <c r="F934" s="401">
        <f>F932*E934</f>
        <v>0.31960500000000008</v>
      </c>
      <c r="G934" s="84"/>
      <c r="H934" s="84"/>
      <c r="I934" s="84"/>
      <c r="J934" s="84"/>
      <c r="K934" s="84"/>
      <c r="L934" s="84"/>
      <c r="M934" s="84"/>
    </row>
    <row r="935" spans="1:13" s="69" customFormat="1" ht="16.5">
      <c r="A935" s="1190"/>
      <c r="B935" s="275"/>
      <c r="C935" s="1081" t="s">
        <v>355</v>
      </c>
      <c r="D935" s="44" t="s">
        <v>7</v>
      </c>
      <c r="E935" s="45">
        <v>7.2</v>
      </c>
      <c r="F935" s="401">
        <f>F932*E935</f>
        <v>17.701200000000004</v>
      </c>
      <c r="G935" s="84"/>
      <c r="H935" s="84"/>
      <c r="I935" s="84"/>
      <c r="J935" s="84"/>
      <c r="K935" s="84"/>
      <c r="L935" s="84"/>
      <c r="M935" s="84"/>
    </row>
    <row r="936" spans="1:13" s="69" customFormat="1" ht="16.5">
      <c r="A936" s="1190"/>
      <c r="B936" s="275"/>
      <c r="C936" s="1081" t="s">
        <v>356</v>
      </c>
      <c r="D936" s="44" t="s">
        <v>7</v>
      </c>
      <c r="E936" s="45">
        <v>1.79</v>
      </c>
      <c r="F936" s="401">
        <f>F932*E936</f>
        <v>4.4007150000000008</v>
      </c>
      <c r="G936" s="84"/>
      <c r="H936" s="84"/>
      <c r="I936" s="84"/>
      <c r="J936" s="84"/>
      <c r="K936" s="84"/>
      <c r="L936" s="84"/>
      <c r="M936" s="84"/>
    </row>
    <row r="937" spans="1:13" s="69" customFormat="1" ht="16.5">
      <c r="A937" s="1190"/>
      <c r="B937" s="275"/>
      <c r="C937" s="1081" t="s">
        <v>357</v>
      </c>
      <c r="D937" s="44" t="s">
        <v>7</v>
      </c>
      <c r="E937" s="45">
        <v>1.07</v>
      </c>
      <c r="F937" s="401">
        <f>F932*E937</f>
        <v>2.6305950000000005</v>
      </c>
      <c r="G937" s="84"/>
      <c r="H937" s="84"/>
      <c r="I937" s="84"/>
      <c r="J937" s="84"/>
      <c r="K937" s="84"/>
      <c r="L937" s="84"/>
      <c r="M937" s="84"/>
    </row>
    <row r="938" spans="1:13" s="69" customFormat="1" ht="16.5">
      <c r="A938" s="1190"/>
      <c r="B938" s="275"/>
      <c r="C938" s="1081" t="s">
        <v>50</v>
      </c>
      <c r="D938" s="44" t="s">
        <v>9</v>
      </c>
      <c r="E938" s="45">
        <v>0.1</v>
      </c>
      <c r="F938" s="401">
        <f>F932*E938</f>
        <v>0.24585000000000004</v>
      </c>
      <c r="G938" s="84"/>
      <c r="H938" s="84"/>
      <c r="I938" s="84"/>
      <c r="J938" s="84"/>
      <c r="K938" s="84"/>
      <c r="L938" s="84"/>
      <c r="M938" s="84"/>
    </row>
    <row r="939" spans="1:13" s="69" customFormat="1" ht="16.5">
      <c r="A939" s="1190" t="s">
        <v>77</v>
      </c>
      <c r="B939" s="521" t="s">
        <v>358</v>
      </c>
      <c r="C939" s="1080" t="s">
        <v>949</v>
      </c>
      <c r="D939" s="44" t="s">
        <v>373</v>
      </c>
      <c r="E939" s="45"/>
      <c r="F939" s="15">
        <f>(0.15+0.1)*2*(2.5+0.5)*15+(0.15+0.1)*2*(2+0.5)*15 +(0.07+0.07)*2*15*8.4</f>
        <v>76.53</v>
      </c>
      <c r="G939" s="84"/>
      <c r="H939" s="84"/>
      <c r="I939" s="84"/>
      <c r="J939" s="84"/>
      <c r="K939" s="84"/>
      <c r="L939" s="84"/>
      <c r="M939" s="84"/>
    </row>
    <row r="940" spans="1:13" s="69" customFormat="1" ht="16.5">
      <c r="A940" s="1190"/>
      <c r="B940" s="521"/>
      <c r="C940" s="1081" t="s">
        <v>54</v>
      </c>
      <c r="D940" s="44" t="s">
        <v>12</v>
      </c>
      <c r="E940" s="45">
        <v>9.9699999999999997E-2</v>
      </c>
      <c r="F940" s="401">
        <f>F939*E940</f>
        <v>7.6300410000000003</v>
      </c>
      <c r="G940" s="84"/>
      <c r="H940" s="84"/>
      <c r="I940" s="84"/>
      <c r="J940" s="84"/>
      <c r="K940" s="84"/>
      <c r="L940" s="84"/>
      <c r="M940" s="84"/>
    </row>
    <row r="941" spans="1:13" s="69" customFormat="1" ht="16.5">
      <c r="A941" s="1190"/>
      <c r="B941" s="521"/>
      <c r="C941" s="1081" t="s">
        <v>240</v>
      </c>
      <c r="D941" s="44" t="s">
        <v>9</v>
      </c>
      <c r="E941" s="45">
        <v>3.0000000000000001E-3</v>
      </c>
      <c r="F941" s="401">
        <f>F939*E941</f>
        <v>0.22959000000000002</v>
      </c>
      <c r="G941" s="84"/>
      <c r="H941" s="84"/>
      <c r="I941" s="84"/>
      <c r="J941" s="84"/>
      <c r="K941" s="84"/>
      <c r="L941" s="84"/>
      <c r="M941" s="84"/>
    </row>
    <row r="942" spans="1:13" s="69" customFormat="1" ht="16.5">
      <c r="A942" s="1190"/>
      <c r="B942" s="521"/>
      <c r="C942" s="963" t="s">
        <v>360</v>
      </c>
      <c r="D942" s="44" t="s">
        <v>7</v>
      </c>
      <c r="E942" s="45">
        <v>0.9</v>
      </c>
      <c r="F942" s="401">
        <f>F939*E942</f>
        <v>68.87700000000001</v>
      </c>
      <c r="G942" s="84"/>
      <c r="H942" s="84"/>
      <c r="I942" s="84"/>
      <c r="J942" s="84"/>
      <c r="K942" s="84"/>
      <c r="L942" s="84"/>
      <c r="M942" s="84"/>
    </row>
    <row r="943" spans="1:13" s="69" customFormat="1" ht="27">
      <c r="A943" s="1183" t="s">
        <v>42</v>
      </c>
      <c r="B943" s="1082" t="s">
        <v>614</v>
      </c>
      <c r="C943" s="1083" t="s">
        <v>950</v>
      </c>
      <c r="D943" s="44" t="s">
        <v>47</v>
      </c>
      <c r="E943" s="523"/>
      <c r="F943" s="15">
        <f>(0.15+0.1)*2*(2.5+0.5)*15+(0.15+0.1)*2*(2+0.5)*15 +(0.07+0.07)*2*15*8.4</f>
        <v>76.53</v>
      </c>
      <c r="G943" s="1084"/>
      <c r="H943" s="84"/>
      <c r="I943" s="84"/>
      <c r="J943" s="84"/>
      <c r="K943" s="84"/>
      <c r="L943" s="84"/>
      <c r="M943" s="84"/>
    </row>
    <row r="944" spans="1:13" s="69" customFormat="1" ht="16.5">
      <c r="A944" s="1184"/>
      <c r="B944" s="1082"/>
      <c r="C944" s="471" t="s">
        <v>54</v>
      </c>
      <c r="D944" s="1085" t="s">
        <v>12</v>
      </c>
      <c r="E944" s="45">
        <v>0.72499999999999998</v>
      </c>
      <c r="F944" s="43">
        <f>F943*E944</f>
        <v>55.484249999999996</v>
      </c>
      <c r="G944" s="13"/>
      <c r="H944" s="13"/>
      <c r="I944" s="13"/>
      <c r="J944" s="13"/>
      <c r="K944" s="1045"/>
      <c r="L944" s="13"/>
      <c r="M944" s="13"/>
    </row>
    <row r="945" spans="1:15" s="69" customFormat="1" ht="16.5">
      <c r="A945" s="1184"/>
      <c r="B945" s="1082"/>
      <c r="C945" s="471" t="s">
        <v>616</v>
      </c>
      <c r="D945" s="1086" t="s">
        <v>7</v>
      </c>
      <c r="E945" s="524">
        <v>0.20799999999999999</v>
      </c>
      <c r="F945" s="43">
        <f>F943*E945</f>
        <v>15.918239999999999</v>
      </c>
      <c r="G945" s="13"/>
      <c r="H945" s="13"/>
      <c r="I945" s="13"/>
      <c r="J945" s="13"/>
      <c r="K945" s="13"/>
      <c r="L945" s="13"/>
      <c r="M945" s="13"/>
    </row>
    <row r="946" spans="1:15" s="69" customFormat="1" ht="15" customHeight="1">
      <c r="A946" s="1185"/>
      <c r="B946" s="1082"/>
      <c r="C946" s="471" t="s">
        <v>50</v>
      </c>
      <c r="D946" s="1086"/>
      <c r="E946" s="524">
        <v>1.1999999999999999E-3</v>
      </c>
      <c r="F946" s="43">
        <f>F943*E946</f>
        <v>9.1835999999999987E-2</v>
      </c>
      <c r="G946" s="13"/>
      <c r="H946" s="13"/>
      <c r="I946" s="13"/>
      <c r="J946" s="13"/>
      <c r="K946" s="13"/>
      <c r="L946" s="13"/>
      <c r="M946" s="13"/>
    </row>
    <row r="947" spans="1:15" s="72" customFormat="1" hidden="1">
      <c r="A947" s="1043"/>
      <c r="B947" s="512"/>
      <c r="C947" s="39"/>
      <c r="D947" s="204"/>
      <c r="E947" s="1044"/>
      <c r="F947" s="325"/>
      <c r="G947" s="13"/>
      <c r="H947" s="13"/>
      <c r="I947" s="13"/>
      <c r="J947" s="13"/>
      <c r="K947" s="13"/>
      <c r="L947" s="156"/>
      <c r="M947" s="156"/>
      <c r="N947" s="510"/>
    </row>
    <row r="948" spans="1:15" s="69" customFormat="1" ht="16.5">
      <c r="A948" s="436"/>
      <c r="B948" s="553"/>
      <c r="C948" s="48" t="s">
        <v>340</v>
      </c>
      <c r="D948" s="77" t="s">
        <v>75</v>
      </c>
      <c r="E948" s="396"/>
      <c r="F948" s="48">
        <v>1</v>
      </c>
      <c r="G948" s="412"/>
      <c r="H948" s="412"/>
      <c r="I948" s="412"/>
      <c r="J948" s="412"/>
      <c r="K948" s="412"/>
      <c r="L948" s="412"/>
      <c r="M948" s="412"/>
      <c r="N948" s="428"/>
      <c r="O948" s="528"/>
    </row>
    <row r="949" spans="1:15" s="69" customFormat="1" ht="31.5">
      <c r="A949" s="410"/>
      <c r="B949" s="424"/>
      <c r="C949" s="716" t="s">
        <v>341</v>
      </c>
      <c r="D949" s="260"/>
      <c r="E949" s="401"/>
      <c r="F949" s="411"/>
      <c r="G949" s="412"/>
      <c r="H949" s="412"/>
      <c r="I949" s="412"/>
      <c r="J949" s="412"/>
      <c r="K949" s="412"/>
      <c r="L949" s="412"/>
      <c r="M949" s="412"/>
      <c r="N949" s="428"/>
      <c r="O949" s="528"/>
    </row>
    <row r="950" spans="1:15" s="69" customFormat="1" ht="47.25">
      <c r="A950" s="1139" t="s">
        <v>84</v>
      </c>
      <c r="B950" s="260" t="s">
        <v>33</v>
      </c>
      <c r="C950" s="716" t="s">
        <v>384</v>
      </c>
      <c r="D950" s="260" t="s">
        <v>39</v>
      </c>
      <c r="E950" s="401"/>
      <c r="F950" s="24">
        <f>12*0.3*F948</f>
        <v>3.5999999999999996</v>
      </c>
      <c r="G950" s="412"/>
      <c r="H950" s="412"/>
      <c r="I950" s="412"/>
      <c r="J950" s="412"/>
      <c r="K950" s="412"/>
      <c r="L950" s="412"/>
      <c r="M950" s="412"/>
      <c r="N950" s="428"/>
      <c r="O950" s="528"/>
    </row>
    <row r="951" spans="1:15" s="69" customFormat="1" ht="16.5">
      <c r="A951" s="1139"/>
      <c r="B951" s="424"/>
      <c r="C951" s="544" t="s">
        <v>38</v>
      </c>
      <c r="D951" s="424" t="s">
        <v>12</v>
      </c>
      <c r="E951" s="401">
        <v>3.88</v>
      </c>
      <c r="F951" s="411">
        <f>F950*E951</f>
        <v>13.967999999999998</v>
      </c>
      <c r="G951" s="412"/>
      <c r="H951" s="412"/>
      <c r="I951" s="412"/>
      <c r="J951" s="412"/>
      <c r="K951" s="412"/>
      <c r="L951" s="412"/>
      <c r="M951" s="412"/>
      <c r="N951" s="428"/>
      <c r="O951" s="528"/>
    </row>
    <row r="952" spans="1:15" s="69" customFormat="1" ht="31.5">
      <c r="A952" s="1143" t="s">
        <v>69</v>
      </c>
      <c r="B952" s="478" t="s">
        <v>82</v>
      </c>
      <c r="C952" s="762" t="s">
        <v>122</v>
      </c>
      <c r="D952" s="194" t="s">
        <v>125</v>
      </c>
      <c r="E952" s="479"/>
      <c r="F952" s="480">
        <f>F950*1.95</f>
        <v>7.02</v>
      </c>
      <c r="G952" s="293"/>
      <c r="H952" s="293"/>
      <c r="I952" s="293"/>
      <c r="J952" s="293"/>
      <c r="K952" s="293"/>
      <c r="L952" s="293"/>
      <c r="M952" s="475"/>
      <c r="N952" s="428"/>
      <c r="O952" s="528"/>
    </row>
    <row r="953" spans="1:15" s="69" customFormat="1" ht="16.5">
      <c r="A953" s="1145"/>
      <c r="B953" s="40"/>
      <c r="C953" s="763" t="s">
        <v>54</v>
      </c>
      <c r="D953" s="40" t="s">
        <v>12</v>
      </c>
      <c r="E953" s="476">
        <v>0.53</v>
      </c>
      <c r="F953" s="477">
        <f>F952*E953</f>
        <v>3.7206000000000001</v>
      </c>
      <c r="G953" s="293"/>
      <c r="H953" s="293"/>
      <c r="I953" s="293"/>
      <c r="J953" s="293"/>
      <c r="K953" s="293"/>
      <c r="L953" s="293"/>
      <c r="M953" s="475"/>
      <c r="N953" s="428"/>
      <c r="O953" s="528"/>
    </row>
    <row r="954" spans="1:15" s="69" customFormat="1" ht="31.5">
      <c r="A954" s="481" t="s">
        <v>85</v>
      </c>
      <c r="B954" s="194" t="s">
        <v>177</v>
      </c>
      <c r="C954" s="762" t="s">
        <v>339</v>
      </c>
      <c r="D954" s="194" t="s">
        <v>40</v>
      </c>
      <c r="E954" s="482"/>
      <c r="F954" s="480">
        <f>F952</f>
        <v>7.02</v>
      </c>
      <c r="G954" s="293"/>
      <c r="H954" s="293"/>
      <c r="I954" s="293"/>
      <c r="J954" s="293"/>
      <c r="K954" s="22"/>
      <c r="L954" s="293"/>
      <c r="M954" s="475"/>
      <c r="N954" s="428"/>
      <c r="O954" s="528"/>
    </row>
    <row r="955" spans="1:15" s="69" customFormat="1" ht="31.5" hidden="1">
      <c r="A955" s="1139" t="s">
        <v>79</v>
      </c>
      <c r="B955" s="260" t="s">
        <v>37</v>
      </c>
      <c r="C955" s="716" t="s">
        <v>342</v>
      </c>
      <c r="D955" s="260" t="s">
        <v>47</v>
      </c>
      <c r="E955" s="556">
        <f>(10.5*F948)*0.1</f>
        <v>1.05</v>
      </c>
      <c r="F955" s="24"/>
      <c r="G955" s="412"/>
      <c r="H955" s="412"/>
      <c r="I955" s="412"/>
      <c r="J955" s="412"/>
      <c r="K955" s="412"/>
      <c r="L955" s="412"/>
      <c r="M955" s="412"/>
      <c r="N955" s="428"/>
      <c r="O955" s="528"/>
    </row>
    <row r="956" spans="1:15" s="69" customFormat="1" ht="16.5" hidden="1">
      <c r="A956" s="1139"/>
      <c r="B956" s="424"/>
      <c r="C956" s="544" t="s">
        <v>20</v>
      </c>
      <c r="D956" s="424" t="s">
        <v>21</v>
      </c>
      <c r="E956" s="401">
        <v>3.52</v>
      </c>
      <c r="F956" s="33">
        <f>E956*F955</f>
        <v>0</v>
      </c>
      <c r="G956" s="412"/>
      <c r="H956" s="412"/>
      <c r="I956" s="412"/>
      <c r="J956" s="412"/>
      <c r="K956" s="412"/>
      <c r="L956" s="412"/>
      <c r="M956" s="412"/>
      <c r="N956" s="428"/>
      <c r="O956" s="528"/>
    </row>
    <row r="957" spans="1:15" s="69" customFormat="1" ht="16.5" hidden="1">
      <c r="A957" s="1139"/>
      <c r="B957" s="424"/>
      <c r="C957" s="544" t="s">
        <v>23</v>
      </c>
      <c r="D957" s="424" t="s">
        <v>9</v>
      </c>
      <c r="E957" s="401">
        <v>1.06</v>
      </c>
      <c r="F957" s="33">
        <f>F955*E957</f>
        <v>0</v>
      </c>
      <c r="G957" s="412"/>
      <c r="H957" s="412"/>
      <c r="I957" s="412"/>
      <c r="J957" s="412"/>
      <c r="K957" s="412"/>
      <c r="L957" s="412"/>
      <c r="M957" s="412"/>
      <c r="N957" s="428"/>
      <c r="O957" s="528"/>
    </row>
    <row r="958" spans="1:15" s="69" customFormat="1" ht="16.5" hidden="1">
      <c r="A958" s="1139"/>
      <c r="B958" s="424"/>
      <c r="C958" s="544" t="s">
        <v>140</v>
      </c>
      <c r="D958" s="424" t="s">
        <v>31</v>
      </c>
      <c r="E958" s="401">
        <f>0.18+0.09+0.97</f>
        <v>1.24</v>
      </c>
      <c r="F958" s="33">
        <f>E958*F955</f>
        <v>0</v>
      </c>
      <c r="G958" s="412"/>
      <c r="H958" s="412"/>
      <c r="I958" s="412"/>
      <c r="J958" s="412"/>
      <c r="K958" s="412"/>
      <c r="L958" s="412"/>
      <c r="M958" s="412"/>
      <c r="N958" s="428"/>
      <c r="O958" s="528"/>
    </row>
    <row r="959" spans="1:15" s="69" customFormat="1" ht="16.5" hidden="1">
      <c r="A959" s="1139"/>
      <c r="B959" s="424"/>
      <c r="C959" s="748" t="s">
        <v>50</v>
      </c>
      <c r="D959" s="423" t="s">
        <v>9</v>
      </c>
      <c r="E959" s="401">
        <v>0.02</v>
      </c>
      <c r="F959" s="33">
        <f>F955*E959</f>
        <v>0</v>
      </c>
      <c r="G959" s="30"/>
      <c r="H959" s="412"/>
      <c r="I959" s="20"/>
      <c r="J959" s="412"/>
      <c r="K959" s="21"/>
      <c r="L959" s="412"/>
      <c r="M959" s="412"/>
      <c r="N959" s="428"/>
      <c r="O959" s="528"/>
    </row>
    <row r="960" spans="1:15" s="69" customFormat="1" ht="47.25">
      <c r="A960" s="1139" t="s">
        <v>80</v>
      </c>
      <c r="B960" s="260" t="s">
        <v>178</v>
      </c>
      <c r="C960" s="716" t="s">
        <v>385</v>
      </c>
      <c r="D960" s="260" t="s">
        <v>39</v>
      </c>
      <c r="E960" s="401"/>
      <c r="F960" s="24">
        <f>(10.5*F948)*0.1</f>
        <v>1.05</v>
      </c>
      <c r="G960" s="412"/>
      <c r="H960" s="412"/>
      <c r="I960" s="412"/>
      <c r="J960" s="412"/>
      <c r="K960" s="412"/>
      <c r="L960" s="412"/>
      <c r="M960" s="412"/>
      <c r="N960" s="428"/>
      <c r="O960" s="528"/>
    </row>
    <row r="961" spans="1:15" s="69" customFormat="1" ht="16.5">
      <c r="A961" s="1139"/>
      <c r="B961" s="204"/>
      <c r="C961" s="757" t="s">
        <v>150</v>
      </c>
      <c r="D961" s="204" t="s">
        <v>21</v>
      </c>
      <c r="E961" s="320">
        <v>1.37</v>
      </c>
      <c r="F961" s="325">
        <f>E961*F960</f>
        <v>1.4385000000000001</v>
      </c>
      <c r="G961" s="269"/>
      <c r="H961" s="412"/>
      <c r="I961" s="269"/>
      <c r="J961" s="412"/>
      <c r="K961" s="269"/>
      <c r="L961" s="412"/>
      <c r="M961" s="412"/>
      <c r="N961" s="428"/>
      <c r="O961" s="528"/>
    </row>
    <row r="962" spans="1:15" s="69" customFormat="1" ht="16.5">
      <c r="A962" s="1139"/>
      <c r="B962" s="204"/>
      <c r="C962" s="544" t="s">
        <v>11</v>
      </c>
      <c r="D962" s="515" t="s">
        <v>9</v>
      </c>
      <c r="E962" s="320">
        <v>0.28299999999999997</v>
      </c>
      <c r="F962" s="325">
        <f>E962*F960</f>
        <v>0.29714999999999997</v>
      </c>
      <c r="G962" s="269"/>
      <c r="H962" s="412"/>
      <c r="I962" s="269"/>
      <c r="J962" s="412"/>
      <c r="K962" s="269"/>
      <c r="L962" s="412"/>
      <c r="M962" s="412"/>
      <c r="N962" s="428"/>
      <c r="O962" s="528"/>
    </row>
    <row r="963" spans="1:15" s="69" customFormat="1" ht="16.5">
      <c r="A963" s="1139"/>
      <c r="B963" s="204"/>
      <c r="C963" s="757" t="s">
        <v>386</v>
      </c>
      <c r="D963" s="204" t="s">
        <v>31</v>
      </c>
      <c r="E963" s="320">
        <v>1.02</v>
      </c>
      <c r="F963" s="325">
        <f>E963*F960</f>
        <v>1.0710000000000002</v>
      </c>
      <c r="G963" s="269"/>
      <c r="H963" s="412"/>
      <c r="I963" s="269"/>
      <c r="J963" s="412"/>
      <c r="K963" s="269"/>
      <c r="L963" s="412"/>
      <c r="M963" s="412"/>
      <c r="N963" s="428"/>
      <c r="O963" s="528"/>
    </row>
    <row r="964" spans="1:15" s="69" customFormat="1" ht="16.5">
      <c r="A964" s="1139"/>
      <c r="B964" s="204"/>
      <c r="C964" s="544" t="s">
        <v>13</v>
      </c>
      <c r="D964" s="516" t="s">
        <v>9</v>
      </c>
      <c r="E964" s="320">
        <v>0.62</v>
      </c>
      <c r="F964" s="325">
        <f>E964*F960</f>
        <v>0.65100000000000002</v>
      </c>
      <c r="G964" s="269"/>
      <c r="H964" s="412"/>
      <c r="I964" s="269"/>
      <c r="J964" s="412"/>
      <c r="K964" s="269"/>
      <c r="L964" s="412"/>
      <c r="M964" s="412"/>
      <c r="N964" s="428"/>
      <c r="O964" s="528"/>
    </row>
    <row r="965" spans="1:15" s="69" customFormat="1" ht="31.5">
      <c r="A965" s="1107" t="s">
        <v>81</v>
      </c>
      <c r="B965" s="260" t="s">
        <v>270</v>
      </c>
      <c r="C965" s="716" t="s">
        <v>343</v>
      </c>
      <c r="D965" s="260" t="s">
        <v>39</v>
      </c>
      <c r="E965" s="401"/>
      <c r="F965" s="24">
        <f>(10.5*0.2*F948)</f>
        <v>2.1</v>
      </c>
      <c r="G965" s="412"/>
      <c r="H965" s="412"/>
      <c r="I965" s="412"/>
      <c r="J965" s="412"/>
      <c r="K965" s="412"/>
      <c r="L965" s="412"/>
      <c r="M965" s="412"/>
      <c r="N965" s="428"/>
      <c r="O965" s="528"/>
    </row>
    <row r="966" spans="1:15" s="69" customFormat="1" ht="16.5">
      <c r="A966" s="1108"/>
      <c r="B966" s="424"/>
      <c r="C966" s="544" t="s">
        <v>38</v>
      </c>
      <c r="D966" s="424" t="s">
        <v>12</v>
      </c>
      <c r="E966" s="401">
        <v>1.87</v>
      </c>
      <c r="F966" s="411">
        <f>F965*E966</f>
        <v>3.9270000000000005</v>
      </c>
      <c r="G966" s="412"/>
      <c r="H966" s="412"/>
      <c r="I966" s="269"/>
      <c r="J966" s="412"/>
      <c r="K966" s="412"/>
      <c r="L966" s="412"/>
      <c r="M966" s="412"/>
      <c r="N966" s="428"/>
      <c r="O966" s="528"/>
    </row>
    <row r="967" spans="1:15" s="69" customFormat="1" ht="16.5">
      <c r="A967" s="1108"/>
      <c r="B967" s="424"/>
      <c r="C967" s="544" t="s">
        <v>23</v>
      </c>
      <c r="D967" s="424" t="s">
        <v>9</v>
      </c>
      <c r="E967" s="401">
        <v>0.77</v>
      </c>
      <c r="F967" s="411">
        <f>F965*E967</f>
        <v>1.6170000000000002</v>
      </c>
      <c r="G967" s="412"/>
      <c r="H967" s="412"/>
      <c r="I967" s="412"/>
      <c r="J967" s="412"/>
      <c r="K967" s="412"/>
      <c r="L967" s="412"/>
      <c r="M967" s="412"/>
      <c r="N967" s="428"/>
      <c r="O967" s="528"/>
    </row>
    <row r="968" spans="1:15" s="69" customFormat="1" ht="16.5">
      <c r="A968" s="1108"/>
      <c r="B968" s="424"/>
      <c r="C968" s="544" t="s">
        <v>235</v>
      </c>
      <c r="D968" s="424" t="s">
        <v>272</v>
      </c>
      <c r="E968" s="401">
        <v>1.0149999999999999</v>
      </c>
      <c r="F968" s="411">
        <f>F965*E968</f>
        <v>2.1315</v>
      </c>
      <c r="G968" s="412"/>
      <c r="H968" s="412"/>
      <c r="I968" s="412"/>
      <c r="J968" s="412"/>
      <c r="K968" s="412"/>
      <c r="L968" s="412"/>
      <c r="M968" s="412"/>
      <c r="N968" s="428"/>
      <c r="O968" s="528"/>
    </row>
    <row r="969" spans="1:15" s="69" customFormat="1" ht="16.5">
      <c r="A969" s="1108"/>
      <c r="B969" s="424"/>
      <c r="C969" s="544" t="s">
        <v>344</v>
      </c>
      <c r="D969" s="424" t="s">
        <v>47</v>
      </c>
      <c r="E969" s="401">
        <v>7.5399999999999995E-2</v>
      </c>
      <c r="F969" s="411">
        <f>F965*E969</f>
        <v>0.15834000000000001</v>
      </c>
      <c r="G969" s="412"/>
      <c r="H969" s="412"/>
      <c r="I969" s="412"/>
      <c r="J969" s="412"/>
      <c r="K969" s="412"/>
      <c r="L969" s="412"/>
      <c r="M969" s="412"/>
      <c r="N969" s="428"/>
      <c r="O969" s="528"/>
    </row>
    <row r="970" spans="1:15" s="69" customFormat="1" ht="16.5">
      <c r="A970" s="1108"/>
      <c r="B970" s="424"/>
      <c r="C970" s="544" t="s">
        <v>41</v>
      </c>
      <c r="D970" s="424" t="s">
        <v>39</v>
      </c>
      <c r="E970" s="401">
        <f>0.0008</f>
        <v>8.0000000000000004E-4</v>
      </c>
      <c r="F970" s="411">
        <f>F965*E970</f>
        <v>1.6800000000000001E-3</v>
      </c>
      <c r="G970" s="412"/>
      <c r="H970" s="412"/>
      <c r="I970" s="412"/>
      <c r="J970" s="412"/>
      <c r="K970" s="412"/>
      <c r="L970" s="412"/>
      <c r="M970" s="412"/>
      <c r="N970" s="428"/>
      <c r="O970" s="528"/>
    </row>
    <row r="971" spans="1:15" s="69" customFormat="1" ht="16.5">
      <c r="A971" s="1108"/>
      <c r="B971" s="424"/>
      <c r="C971" s="544" t="s">
        <v>13</v>
      </c>
      <c r="D971" s="424" t="s">
        <v>9</v>
      </c>
      <c r="E971" s="401">
        <v>0.16</v>
      </c>
      <c r="F971" s="411">
        <f>F965*E971</f>
        <v>0.33600000000000002</v>
      </c>
      <c r="G971" s="412"/>
      <c r="H971" s="412"/>
      <c r="I971" s="412"/>
      <c r="J971" s="412"/>
      <c r="K971" s="412"/>
      <c r="L971" s="412"/>
      <c r="M971" s="412"/>
      <c r="N971" s="428"/>
      <c r="O971" s="528"/>
    </row>
    <row r="972" spans="1:15" s="69" customFormat="1" ht="16.5">
      <c r="A972" s="1108"/>
      <c r="B972" s="424"/>
      <c r="C972" s="793" t="s">
        <v>387</v>
      </c>
      <c r="D972" s="424" t="s">
        <v>40</v>
      </c>
      <c r="E972" s="401"/>
      <c r="F972" s="57">
        <f>10.5*16*2*1.05*0.617/1000*F948</f>
        <v>0.2176776</v>
      </c>
      <c r="G972" s="412"/>
      <c r="H972" s="412"/>
      <c r="I972" s="412"/>
      <c r="J972" s="412"/>
      <c r="K972" s="412"/>
      <c r="L972" s="412"/>
      <c r="M972" s="412"/>
      <c r="N972" s="428"/>
      <c r="O972" s="528"/>
    </row>
    <row r="973" spans="1:15" s="69" customFormat="1" ht="16.5">
      <c r="A973" s="1109"/>
      <c r="B973" s="424"/>
      <c r="C973" s="793" t="s">
        <v>345</v>
      </c>
      <c r="D973" s="424" t="s">
        <v>40</v>
      </c>
      <c r="E973" s="401"/>
      <c r="F973" s="57">
        <f>10.5*9*0.3*1.05*F948*0.222/1000</f>
        <v>6.6083849999999996E-3</v>
      </c>
      <c r="G973" s="412"/>
      <c r="H973" s="412"/>
      <c r="I973" s="412"/>
      <c r="J973" s="412"/>
      <c r="K973" s="412"/>
      <c r="L973" s="412"/>
      <c r="M973" s="412"/>
      <c r="N973" s="428"/>
      <c r="O973" s="528"/>
    </row>
    <row r="974" spans="1:15" s="69" customFormat="1" ht="16.5">
      <c r="A974" s="1107" t="s">
        <v>77</v>
      </c>
      <c r="B974" s="424"/>
      <c r="C974" s="879" t="s">
        <v>346</v>
      </c>
      <c r="D974" s="424"/>
      <c r="E974" s="401"/>
      <c r="F974" s="411"/>
      <c r="G974" s="412"/>
      <c r="H974" s="412"/>
      <c r="I974" s="412"/>
      <c r="J974" s="412"/>
      <c r="K974" s="412"/>
      <c r="L974" s="412"/>
      <c r="M974" s="412"/>
      <c r="N974" s="428"/>
      <c r="O974" s="528"/>
    </row>
    <row r="975" spans="1:15" s="69" customFormat="1" ht="16.5">
      <c r="A975" s="1108"/>
      <c r="B975" s="424"/>
      <c r="C975" s="879" t="s">
        <v>347</v>
      </c>
      <c r="D975" s="260" t="s">
        <v>39</v>
      </c>
      <c r="E975" s="15"/>
      <c r="F975" s="322">
        <f>(   0.15*0.15*6*3   +   0.1*0.15*(2+2.3)*6   +   0.1*0.1*6*2.5   +   0.1*0.1*0.8*1   +0.05*0.1*2*5*2  )*1.1</f>
        <v>1.1550000000000002</v>
      </c>
      <c r="G975" s="412"/>
      <c r="H975" s="412"/>
      <c r="I975" s="412"/>
      <c r="J975" s="412"/>
      <c r="K975" s="412"/>
      <c r="L975" s="412"/>
      <c r="M975" s="412"/>
      <c r="N975" s="428"/>
      <c r="O975" s="536"/>
    </row>
    <row r="976" spans="1:15" s="69" customFormat="1" ht="16.5">
      <c r="A976" s="1108"/>
      <c r="B976" s="424" t="s">
        <v>24</v>
      </c>
      <c r="C976" s="794" t="s">
        <v>38</v>
      </c>
      <c r="D976" s="422" t="s">
        <v>12</v>
      </c>
      <c r="E976" s="517">
        <v>24</v>
      </c>
      <c r="F976" s="546">
        <f>F975*E976</f>
        <v>27.720000000000006</v>
      </c>
      <c r="G976" s="518"/>
      <c r="H976" s="412"/>
      <c r="I976" s="496"/>
      <c r="J976" s="30"/>
      <c r="K976" s="496"/>
      <c r="L976" s="30"/>
      <c r="M976" s="412"/>
      <c r="N976" s="428"/>
      <c r="O976" s="536"/>
    </row>
    <row r="977" spans="1:15" s="69" customFormat="1" ht="16.5">
      <c r="A977" s="1108"/>
      <c r="B977" s="424"/>
      <c r="C977" s="748" t="s">
        <v>23</v>
      </c>
      <c r="D977" s="423" t="s">
        <v>9</v>
      </c>
      <c r="E977" s="335">
        <v>1.3</v>
      </c>
      <c r="F977" s="326">
        <f>F975*E977</f>
        <v>1.5015000000000003</v>
      </c>
      <c r="G977" s="518"/>
      <c r="H977" s="412"/>
      <c r="I977" s="496"/>
      <c r="J977" s="30"/>
      <c r="K977" s="496"/>
      <c r="L977" s="412"/>
      <c r="M977" s="412"/>
      <c r="N977" s="428"/>
      <c r="O977" s="536"/>
    </row>
    <row r="978" spans="1:15" s="69" customFormat="1" ht="16.5">
      <c r="A978" s="1108"/>
      <c r="B978" s="424"/>
      <c r="C978" s="748" t="s">
        <v>396</v>
      </c>
      <c r="D978" s="423" t="s">
        <v>39</v>
      </c>
      <c r="E978" s="335">
        <f>0.93+0.12</f>
        <v>1.05</v>
      </c>
      <c r="F978" s="326">
        <f>F975*E978</f>
        <v>1.2127500000000002</v>
      </c>
      <c r="G978" s="518"/>
      <c r="H978" s="412"/>
      <c r="I978" s="496"/>
      <c r="J978" s="30"/>
      <c r="K978" s="496"/>
      <c r="L978" s="30"/>
      <c r="M978" s="412"/>
      <c r="N978" s="428"/>
      <c r="O978" s="536"/>
    </row>
    <row r="979" spans="1:15" s="69" customFormat="1" ht="16.5">
      <c r="A979" s="1108"/>
      <c r="B979" s="424"/>
      <c r="C979" s="748" t="s">
        <v>348</v>
      </c>
      <c r="D979" s="423" t="s">
        <v>7</v>
      </c>
      <c r="E979" s="335">
        <v>7.5</v>
      </c>
      <c r="F979" s="326">
        <f>F975*E979</f>
        <v>8.6625000000000014</v>
      </c>
      <c r="G979" s="518"/>
      <c r="H979" s="412"/>
      <c r="I979" s="496"/>
      <c r="J979" s="30"/>
      <c r="K979" s="496"/>
      <c r="L979" s="30"/>
      <c r="M979" s="412"/>
      <c r="N979" s="428"/>
      <c r="O979" s="536"/>
    </row>
    <row r="980" spans="1:15" s="69" customFormat="1" ht="16.5">
      <c r="A980" s="1108"/>
      <c r="B980" s="424"/>
      <c r="C980" s="748" t="s">
        <v>349</v>
      </c>
      <c r="D980" s="423" t="s">
        <v>7</v>
      </c>
      <c r="E980" s="335">
        <v>3.01</v>
      </c>
      <c r="F980" s="326">
        <f>F975*E980</f>
        <v>3.4765500000000005</v>
      </c>
      <c r="G980" s="518"/>
      <c r="H980" s="412"/>
      <c r="I980" s="496"/>
      <c r="J980" s="30"/>
      <c r="K980" s="496"/>
      <c r="L980" s="30"/>
      <c r="M980" s="412"/>
      <c r="N980" s="428"/>
      <c r="O980" s="536"/>
    </row>
    <row r="981" spans="1:15" s="69" customFormat="1" ht="16.5">
      <c r="A981" s="1108"/>
      <c r="B981" s="424"/>
      <c r="C981" s="748" t="s">
        <v>350</v>
      </c>
      <c r="D981" s="423" t="s">
        <v>7</v>
      </c>
      <c r="E981" s="335">
        <v>3.08</v>
      </c>
      <c r="F981" s="326">
        <f>F975*E981</f>
        <v>3.5574000000000008</v>
      </c>
      <c r="G981" s="518"/>
      <c r="H981" s="412"/>
      <c r="I981" s="496"/>
      <c r="J981" s="30"/>
      <c r="K981" s="496"/>
      <c r="L981" s="30"/>
      <c r="M981" s="412"/>
      <c r="N981" s="428"/>
      <c r="O981" s="536"/>
    </row>
    <row r="982" spans="1:15" s="69" customFormat="1" ht="19.5" customHeight="1">
      <c r="A982" s="1108"/>
      <c r="B982" s="424"/>
      <c r="C982" s="748" t="s">
        <v>397</v>
      </c>
      <c r="D982" s="423" t="s">
        <v>43</v>
      </c>
      <c r="E982" s="335"/>
      <c r="F982" s="326">
        <f>2*6</f>
        <v>12</v>
      </c>
      <c r="G982" s="518"/>
      <c r="H982" s="412"/>
      <c r="I982" s="496"/>
      <c r="J982" s="30"/>
      <c r="K982" s="496"/>
      <c r="L982" s="30"/>
      <c r="M982" s="412"/>
      <c r="N982" s="428"/>
      <c r="O982" s="536"/>
    </row>
    <row r="983" spans="1:15" s="69" customFormat="1" ht="19.5" customHeight="1">
      <c r="A983" s="1108"/>
      <c r="B983" s="424"/>
      <c r="C983" s="748" t="s">
        <v>398</v>
      </c>
      <c r="D983" s="423" t="s">
        <v>52</v>
      </c>
      <c r="E983" s="335"/>
      <c r="F983" s="326">
        <f>5*8</f>
        <v>40</v>
      </c>
      <c r="G983" s="518"/>
      <c r="H983" s="412"/>
      <c r="I983" s="496"/>
      <c r="J983" s="30"/>
      <c r="K983" s="496"/>
      <c r="L983" s="30"/>
      <c r="M983" s="412"/>
      <c r="N983" s="428"/>
      <c r="O983" s="536"/>
    </row>
    <row r="984" spans="1:15" s="69" customFormat="1" ht="16.5">
      <c r="A984" s="1108"/>
      <c r="B984" s="424"/>
      <c r="C984" s="748" t="s">
        <v>50</v>
      </c>
      <c r="D984" s="423" t="s">
        <v>9</v>
      </c>
      <c r="E984" s="335">
        <v>1.38</v>
      </c>
      <c r="F984" s="326">
        <f>F975*E984</f>
        <v>1.5939000000000003</v>
      </c>
      <c r="G984" s="518"/>
      <c r="H984" s="412"/>
      <c r="I984" s="496"/>
      <c r="J984" s="30"/>
      <c r="K984" s="496"/>
      <c r="L984" s="30"/>
      <c r="M984" s="412"/>
      <c r="N984" s="428"/>
      <c r="O984" s="528"/>
    </row>
    <row r="985" spans="1:15" s="69" customFormat="1" ht="16.5">
      <c r="A985" s="1108"/>
      <c r="B985" s="424"/>
      <c r="C985" s="748" t="s">
        <v>394</v>
      </c>
      <c r="D985" s="423" t="s">
        <v>351</v>
      </c>
      <c r="E985" s="335" t="s">
        <v>332</v>
      </c>
      <c r="F985" s="89">
        <f>0.162*0.112*1*6*1.1*(0.006*7.85)</f>
        <v>5.6402438399999998E-3</v>
      </c>
      <c r="G985" s="519"/>
      <c r="H985" s="412"/>
      <c r="I985" s="496"/>
      <c r="J985" s="30"/>
      <c r="K985" s="496"/>
      <c r="L985" s="30"/>
      <c r="M985" s="412"/>
      <c r="N985" s="428"/>
      <c r="O985" s="528"/>
    </row>
    <row r="986" spans="1:15" s="69" customFormat="1" ht="16.5">
      <c r="A986" s="1108"/>
      <c r="B986" s="424"/>
      <c r="C986" s="748" t="s">
        <v>388</v>
      </c>
      <c r="D986" s="423" t="s">
        <v>40</v>
      </c>
      <c r="E986" s="335" t="s">
        <v>332</v>
      </c>
      <c r="F986" s="89">
        <f>0.2*0.15*2*6*1.1*(0.006*7.85)</f>
        <v>1.8651600000000001E-2</v>
      </c>
      <c r="G986" s="496"/>
      <c r="H986" s="412"/>
      <c r="I986" s="496"/>
      <c r="J986" s="30"/>
      <c r="K986" s="496"/>
      <c r="L986" s="30"/>
      <c r="M986" s="412"/>
      <c r="N986" s="428"/>
      <c r="O986" s="528"/>
    </row>
    <row r="987" spans="1:15" s="69" customFormat="1" ht="16.5">
      <c r="A987" s="1108"/>
      <c r="B987" s="424"/>
      <c r="C987" s="748" t="s">
        <v>389</v>
      </c>
      <c r="D987" s="423" t="s">
        <v>40</v>
      </c>
      <c r="E987" s="335" t="s">
        <v>332</v>
      </c>
      <c r="F987" s="89">
        <f>0.2*0.112*2*6*1.1*(0.006*7.85)</f>
        <v>1.3926528000000001E-2</v>
      </c>
      <c r="G987" s="496"/>
      <c r="H987" s="412"/>
      <c r="I987" s="496"/>
      <c r="J987" s="30"/>
      <c r="K987" s="496"/>
      <c r="L987" s="30"/>
      <c r="M987" s="412"/>
      <c r="N987" s="428"/>
      <c r="O987" s="528"/>
    </row>
    <row r="988" spans="1:15" s="69" customFormat="1" ht="16.5">
      <c r="A988" s="1108"/>
      <c r="B988" s="424"/>
      <c r="C988" s="748" t="s">
        <v>390</v>
      </c>
      <c r="D988" s="423" t="s">
        <v>40</v>
      </c>
      <c r="E988" s="335" t="s">
        <v>332</v>
      </c>
      <c r="F988" s="89">
        <f>1*6</f>
        <v>6</v>
      </c>
      <c r="G988" s="496"/>
      <c r="H988" s="412"/>
      <c r="I988" s="496"/>
      <c r="J988" s="30"/>
      <c r="K988" s="496"/>
      <c r="L988" s="30"/>
      <c r="M988" s="412"/>
      <c r="N988" s="428"/>
      <c r="O988" s="528"/>
    </row>
    <row r="989" spans="1:15" s="69" customFormat="1" ht="16.5">
      <c r="A989" s="1108"/>
      <c r="B989" s="424"/>
      <c r="C989" s="748" t="s">
        <v>395</v>
      </c>
      <c r="D989" s="423" t="s">
        <v>40</v>
      </c>
      <c r="E989" s="335" t="s">
        <v>332</v>
      </c>
      <c r="F989" s="89">
        <f>2*6*1.05*0.888/1000</f>
        <v>1.11888E-2</v>
      </c>
      <c r="G989" s="519"/>
      <c r="H989" s="412"/>
      <c r="I989" s="496"/>
      <c r="J989" s="30"/>
      <c r="K989" s="496"/>
      <c r="L989" s="30"/>
      <c r="M989" s="412"/>
      <c r="N989" s="428"/>
      <c r="O989" s="528"/>
    </row>
    <row r="990" spans="1:15" s="69" customFormat="1" ht="16.5">
      <c r="A990" s="1108"/>
      <c r="B990" s="424"/>
      <c r="C990" s="748" t="s">
        <v>391</v>
      </c>
      <c r="D990" s="423" t="s">
        <v>52</v>
      </c>
      <c r="E990" s="335" t="s">
        <v>332</v>
      </c>
      <c r="F990" s="89">
        <f>4*6</f>
        <v>24</v>
      </c>
      <c r="G990" s="519"/>
      <c r="H990" s="412"/>
      <c r="I990" s="496"/>
      <c r="J990" s="30"/>
      <c r="K990" s="496"/>
      <c r="L990" s="30"/>
      <c r="M990" s="412"/>
      <c r="N990" s="428"/>
      <c r="O990" s="528"/>
    </row>
    <row r="991" spans="1:15" s="69" customFormat="1" ht="16.5">
      <c r="A991" s="1108"/>
      <c r="B991" s="424"/>
      <c r="C991" s="748" t="s">
        <v>392</v>
      </c>
      <c r="D991" s="423" t="s">
        <v>52</v>
      </c>
      <c r="E991" s="335" t="s">
        <v>332</v>
      </c>
      <c r="F991" s="89">
        <f>4*6</f>
        <v>24</v>
      </c>
      <c r="G991" s="519"/>
      <c r="H991" s="412"/>
      <c r="I991" s="496"/>
      <c r="J991" s="30"/>
      <c r="K991" s="496"/>
      <c r="L991" s="30"/>
      <c r="M991" s="412"/>
      <c r="N991" s="428"/>
      <c r="O991" s="528"/>
    </row>
    <row r="992" spans="1:15" s="69" customFormat="1" ht="16.5" hidden="1">
      <c r="A992" s="1109"/>
      <c r="B992" s="424"/>
      <c r="C992" s="748" t="s">
        <v>393</v>
      </c>
      <c r="D992" s="423" t="s">
        <v>7</v>
      </c>
      <c r="E992" s="335" t="s">
        <v>332</v>
      </c>
      <c r="F992" s="723">
        <v>0</v>
      </c>
      <c r="G992" s="519"/>
      <c r="H992" s="412"/>
      <c r="I992" s="496"/>
      <c r="J992" s="30"/>
      <c r="K992" s="496"/>
      <c r="L992" s="30"/>
      <c r="M992" s="412"/>
      <c r="N992" s="428"/>
      <c r="O992" s="528"/>
    </row>
    <row r="993" spans="1:15" s="69" customFormat="1" ht="31.5">
      <c r="A993" s="540"/>
      <c r="B993" s="423"/>
      <c r="C993" s="795" t="s">
        <v>352</v>
      </c>
      <c r="D993" s="423"/>
      <c r="E993" s="335"/>
      <c r="F993" s="326"/>
      <c r="G993" s="519"/>
      <c r="H993" s="30"/>
      <c r="I993" s="496"/>
      <c r="J993" s="30"/>
      <c r="K993" s="496"/>
      <c r="L993" s="30"/>
      <c r="M993" s="30"/>
      <c r="N993" s="428"/>
      <c r="O993" s="528"/>
    </row>
    <row r="994" spans="1:15" s="69" customFormat="1" ht="16.5">
      <c r="A994" s="1160" t="s">
        <v>42</v>
      </c>
      <c r="B994" s="194" t="s">
        <v>353</v>
      </c>
      <c r="C994" s="796" t="s">
        <v>354</v>
      </c>
      <c r="D994" s="44" t="s">
        <v>39</v>
      </c>
      <c r="E994" s="45"/>
      <c r="F994" s="24">
        <f>F975</f>
        <v>1.1550000000000002</v>
      </c>
      <c r="G994" s="412"/>
      <c r="H994" s="412"/>
      <c r="I994" s="412"/>
      <c r="J994" s="412"/>
      <c r="K994" s="412"/>
      <c r="L994" s="412"/>
      <c r="M994" s="412"/>
      <c r="N994" s="428"/>
      <c r="O994" s="528"/>
    </row>
    <row r="995" spans="1:15" s="69" customFormat="1" ht="16.5">
      <c r="A995" s="1160"/>
      <c r="B995" s="40"/>
      <c r="C995" s="740" t="s">
        <v>54</v>
      </c>
      <c r="D995" s="44" t="s">
        <v>12</v>
      </c>
      <c r="E995" s="45">
        <v>0.87</v>
      </c>
      <c r="F995" s="411">
        <f>F994*E995</f>
        <v>1.0048500000000002</v>
      </c>
      <c r="G995" s="412"/>
      <c r="H995" s="412"/>
      <c r="I995" s="412"/>
      <c r="J995" s="412"/>
      <c r="K995" s="412"/>
      <c r="L995" s="412"/>
      <c r="M995" s="412"/>
      <c r="N995" s="428"/>
      <c r="O995" s="528"/>
    </row>
    <row r="996" spans="1:15" s="69" customFormat="1" ht="16.5">
      <c r="A996" s="1160"/>
      <c r="B996" s="40"/>
      <c r="C996" s="740" t="s">
        <v>240</v>
      </c>
      <c r="D996" s="44" t="s">
        <v>9</v>
      </c>
      <c r="E996" s="45">
        <v>0.13</v>
      </c>
      <c r="F996" s="411">
        <f>F994*E996</f>
        <v>0.15015000000000003</v>
      </c>
      <c r="G996" s="412"/>
      <c r="H996" s="412"/>
      <c r="I996" s="412"/>
      <c r="J996" s="412"/>
      <c r="K996" s="412"/>
      <c r="L996" s="412"/>
      <c r="M996" s="412"/>
      <c r="N996" s="428"/>
      <c r="O996" s="528"/>
    </row>
    <row r="997" spans="1:15" s="69" customFormat="1" ht="16.5">
      <c r="A997" s="1160"/>
      <c r="B997" s="40"/>
      <c r="C997" s="740" t="s">
        <v>355</v>
      </c>
      <c r="D997" s="44" t="s">
        <v>7</v>
      </c>
      <c r="E997" s="45">
        <v>7.2</v>
      </c>
      <c r="F997" s="411">
        <f>F994*E997</f>
        <v>8.3160000000000025</v>
      </c>
      <c r="G997" s="412"/>
      <c r="H997" s="412"/>
      <c r="I997" s="412"/>
      <c r="J997" s="412"/>
      <c r="K997" s="412"/>
      <c r="L997" s="412"/>
      <c r="M997" s="412"/>
      <c r="N997" s="428"/>
      <c r="O997" s="528"/>
    </row>
    <row r="998" spans="1:15" s="69" customFormat="1" ht="16.5">
      <c r="A998" s="1160"/>
      <c r="B998" s="40"/>
      <c r="C998" s="740" t="s">
        <v>356</v>
      </c>
      <c r="D998" s="44" t="s">
        <v>7</v>
      </c>
      <c r="E998" s="45">
        <v>1.79</v>
      </c>
      <c r="F998" s="411">
        <f>F994*E998</f>
        <v>2.0674500000000005</v>
      </c>
      <c r="G998" s="412"/>
      <c r="H998" s="412"/>
      <c r="I998" s="412"/>
      <c r="J998" s="412"/>
      <c r="K998" s="412"/>
      <c r="L998" s="412"/>
      <c r="M998" s="412"/>
      <c r="N998" s="428"/>
      <c r="O998" s="528"/>
    </row>
    <row r="999" spans="1:15" s="69" customFormat="1" ht="16.5">
      <c r="A999" s="1160"/>
      <c r="B999" s="40"/>
      <c r="C999" s="740" t="s">
        <v>357</v>
      </c>
      <c r="D999" s="44" t="s">
        <v>7</v>
      </c>
      <c r="E999" s="45">
        <v>1.07</v>
      </c>
      <c r="F999" s="411">
        <f>F994*E999</f>
        <v>1.2358500000000003</v>
      </c>
      <c r="G999" s="412"/>
      <c r="H999" s="412"/>
      <c r="I999" s="412"/>
      <c r="J999" s="412"/>
      <c r="K999" s="412"/>
      <c r="L999" s="412"/>
      <c r="M999" s="412"/>
      <c r="N999" s="428"/>
      <c r="O999" s="528"/>
    </row>
    <row r="1000" spans="1:15" s="69" customFormat="1" ht="16.5">
      <c r="A1000" s="1160"/>
      <c r="B1000" s="40"/>
      <c r="C1000" s="740" t="s">
        <v>50</v>
      </c>
      <c r="D1000" s="44" t="s">
        <v>9</v>
      </c>
      <c r="E1000" s="45">
        <v>0.1</v>
      </c>
      <c r="F1000" s="411">
        <f>F994*E1000</f>
        <v>0.11550000000000003</v>
      </c>
      <c r="G1000" s="412"/>
      <c r="H1000" s="412"/>
      <c r="I1000" s="412"/>
      <c r="J1000" s="412"/>
      <c r="K1000" s="412"/>
      <c r="L1000" s="412"/>
      <c r="M1000" s="412"/>
      <c r="N1000" s="428"/>
      <c r="O1000" s="528"/>
    </row>
    <row r="1001" spans="1:15" s="69" customFormat="1" ht="21.75" customHeight="1">
      <c r="A1001" s="1160" t="s">
        <v>46</v>
      </c>
      <c r="B1001" s="520" t="s">
        <v>358</v>
      </c>
      <c r="C1001" s="796" t="s">
        <v>359</v>
      </c>
      <c r="D1001" s="44" t="s">
        <v>47</v>
      </c>
      <c r="E1001" s="45"/>
      <c r="F1001" s="24">
        <f>(      (0.15+0.15)*2*3*6+(0.1+0.15)*2*2*6+(0.1+0.1)*2*2.5*6+(0.1+0.1)*2*0.8*1 +(0.05+0.1)*2*2*5*2  +0.3*2*2*6+ 0.75*(0.1+0.1)*2*8*5                     )</f>
        <v>48.319999999999993</v>
      </c>
      <c r="G1001" s="412"/>
      <c r="H1001" s="412"/>
      <c r="I1001" s="412"/>
      <c r="J1001" s="412"/>
      <c r="K1001" s="412"/>
      <c r="L1001" s="412"/>
      <c r="M1001" s="412"/>
      <c r="N1001" s="428"/>
      <c r="O1001" s="528"/>
    </row>
    <row r="1002" spans="1:15" s="69" customFormat="1" ht="16.5">
      <c r="A1002" s="1160"/>
      <c r="B1002" s="521"/>
      <c r="C1002" s="740" t="s">
        <v>54</v>
      </c>
      <c r="D1002" s="44" t="s">
        <v>12</v>
      </c>
      <c r="E1002" s="45">
        <v>9.9699999999999997E-2</v>
      </c>
      <c r="F1002" s="411">
        <f>F1001*E1002</f>
        <v>4.8175039999999996</v>
      </c>
      <c r="G1002" s="412"/>
      <c r="H1002" s="412"/>
      <c r="I1002" s="412"/>
      <c r="J1002" s="412"/>
      <c r="K1002" s="412"/>
      <c r="L1002" s="412"/>
      <c r="M1002" s="412"/>
      <c r="N1002" s="428"/>
      <c r="O1002" s="528"/>
    </row>
    <row r="1003" spans="1:15" s="69" customFormat="1" ht="16.5">
      <c r="A1003" s="1160"/>
      <c r="B1003" s="521"/>
      <c r="C1003" s="740" t="s">
        <v>240</v>
      </c>
      <c r="D1003" s="44" t="s">
        <v>9</v>
      </c>
      <c r="E1003" s="45">
        <v>3.0000000000000001E-3</v>
      </c>
      <c r="F1003" s="411">
        <f>F1001*E1003</f>
        <v>0.14495999999999998</v>
      </c>
      <c r="G1003" s="412"/>
      <c r="H1003" s="412"/>
      <c r="I1003" s="412"/>
      <c r="J1003" s="412"/>
      <c r="K1003" s="412"/>
      <c r="L1003" s="412"/>
      <c r="M1003" s="412"/>
      <c r="N1003" s="428"/>
      <c r="O1003" s="528"/>
    </row>
    <row r="1004" spans="1:15" s="69" customFormat="1" ht="16.5">
      <c r="A1004" s="1160"/>
      <c r="B1004" s="521"/>
      <c r="C1004" s="621" t="s">
        <v>360</v>
      </c>
      <c r="D1004" s="44" t="s">
        <v>7</v>
      </c>
      <c r="E1004" s="45">
        <f>0.09/100*1000</f>
        <v>0.9</v>
      </c>
      <c r="F1004" s="411">
        <f>F1001*E1004</f>
        <v>43.487999999999992</v>
      </c>
      <c r="G1004" s="412"/>
      <c r="H1004" s="412"/>
      <c r="I1004" s="412"/>
      <c r="J1004" s="412"/>
      <c r="K1004" s="412"/>
      <c r="L1004" s="412"/>
      <c r="M1004" s="412"/>
      <c r="N1004" s="428"/>
      <c r="O1004" s="528"/>
    </row>
    <row r="1005" spans="1:15" s="69" customFormat="1" ht="31.5">
      <c r="A1005" s="1143" t="s">
        <v>48</v>
      </c>
      <c r="B1005" s="522" t="s">
        <v>361</v>
      </c>
      <c r="C1005" s="739" t="s">
        <v>362</v>
      </c>
      <c r="D1005" s="44" t="s">
        <v>47</v>
      </c>
      <c r="E1005" s="523"/>
      <c r="F1005" s="24">
        <f>F1001</f>
        <v>48.319999999999993</v>
      </c>
      <c r="G1005" s="413"/>
      <c r="H1005" s="412"/>
      <c r="I1005" s="412"/>
      <c r="J1005" s="412"/>
      <c r="K1005" s="412"/>
      <c r="L1005" s="412"/>
      <c r="M1005" s="412"/>
      <c r="N1005" s="428"/>
      <c r="O1005" s="528"/>
    </row>
    <row r="1006" spans="1:15" s="69" customFormat="1" ht="16.5">
      <c r="A1006" s="1144"/>
      <c r="B1006" s="424"/>
      <c r="C1006" s="544" t="s">
        <v>38</v>
      </c>
      <c r="D1006" s="424" t="s">
        <v>12</v>
      </c>
      <c r="E1006" s="45">
        <v>6.2E-2</v>
      </c>
      <c r="F1006" s="411">
        <f>F1005*E1006</f>
        <v>2.9958399999999994</v>
      </c>
      <c r="G1006" s="412"/>
      <c r="H1006" s="412"/>
      <c r="I1006" s="290"/>
      <c r="J1006" s="412"/>
      <c r="K1006" s="412"/>
      <c r="L1006" s="412"/>
      <c r="M1006" s="412"/>
      <c r="N1006" s="428"/>
      <c r="O1006" s="528"/>
    </row>
    <row r="1007" spans="1:15" s="69" customFormat="1" ht="16.5">
      <c r="A1007" s="1144"/>
      <c r="B1007" s="424"/>
      <c r="C1007" s="544" t="s">
        <v>363</v>
      </c>
      <c r="D1007" s="424" t="s">
        <v>7</v>
      </c>
      <c r="E1007" s="524">
        <v>0.11</v>
      </c>
      <c r="F1007" s="411">
        <f>F1005*E1007</f>
        <v>5.315199999999999</v>
      </c>
      <c r="G1007" s="290"/>
      <c r="H1007" s="412"/>
      <c r="I1007" s="412"/>
      <c r="J1007" s="412"/>
      <c r="K1007" s="412"/>
      <c r="L1007" s="412"/>
      <c r="M1007" s="412"/>
      <c r="N1007" s="428"/>
      <c r="O1007" s="528"/>
    </row>
    <row r="1008" spans="1:15" s="69" customFormat="1" ht="16.5">
      <c r="A1008" s="1145"/>
      <c r="B1008" s="424"/>
      <c r="C1008" s="544" t="s">
        <v>364</v>
      </c>
      <c r="D1008" s="424" t="s">
        <v>9</v>
      </c>
      <c r="E1008" s="524">
        <v>5.9999999999999995E-4</v>
      </c>
      <c r="F1008" s="411">
        <f>F1005*E1008</f>
        <v>2.8991999999999993E-2</v>
      </c>
      <c r="G1008" s="290"/>
      <c r="H1008" s="412"/>
      <c r="I1008" s="412"/>
      <c r="J1008" s="412"/>
      <c r="K1008" s="412"/>
      <c r="L1008" s="412"/>
      <c r="M1008" s="412"/>
      <c r="N1008" s="428"/>
      <c r="O1008" s="528"/>
    </row>
    <row r="1009" spans="1:15" s="69" customFormat="1" ht="16.5">
      <c r="A1009" s="513"/>
      <c r="B1009" s="424"/>
      <c r="C1009" s="797" t="s">
        <v>365</v>
      </c>
      <c r="D1009" s="424"/>
      <c r="E1009" s="401"/>
      <c r="F1009" s="525"/>
      <c r="G1009" s="412"/>
      <c r="H1009" s="412"/>
      <c r="I1009" s="412"/>
      <c r="J1009" s="412"/>
      <c r="K1009" s="412"/>
      <c r="L1009" s="412"/>
      <c r="M1009" s="412"/>
      <c r="N1009" s="428"/>
      <c r="O1009" s="528"/>
    </row>
    <row r="1010" spans="1:15" s="69" customFormat="1" ht="16.5">
      <c r="A1010" s="1107" t="s">
        <v>159</v>
      </c>
      <c r="B1010" s="194" t="s">
        <v>366</v>
      </c>
      <c r="C1010" s="796" t="s">
        <v>367</v>
      </c>
      <c r="D1010" s="44" t="s">
        <v>47</v>
      </c>
      <c r="E1010" s="45"/>
      <c r="F1010" s="24">
        <f>15</f>
        <v>15</v>
      </c>
      <c r="G1010" s="412"/>
      <c r="H1010" s="412"/>
      <c r="I1010" s="412"/>
      <c r="J1010" s="412"/>
      <c r="K1010" s="412"/>
      <c r="L1010" s="293"/>
      <c r="M1010" s="293"/>
      <c r="N1010" s="428"/>
      <c r="O1010" s="528"/>
    </row>
    <row r="1011" spans="1:15" s="69" customFormat="1" ht="16.5">
      <c r="A1011" s="1108"/>
      <c r="B1011" s="40"/>
      <c r="C1011" s="742" t="s">
        <v>54</v>
      </c>
      <c r="D1011" s="526" t="s">
        <v>12</v>
      </c>
      <c r="E1011" s="401">
        <v>0.22700000000000001</v>
      </c>
      <c r="F1011" s="411">
        <f>F1010*E1011</f>
        <v>3.4050000000000002</v>
      </c>
      <c r="G1011" s="412"/>
      <c r="H1011" s="412"/>
      <c r="I1011" s="412"/>
      <c r="J1011" s="412"/>
      <c r="K1011" s="412"/>
      <c r="L1011" s="412"/>
      <c r="M1011" s="412"/>
      <c r="N1011" s="428"/>
      <c r="O1011" s="528"/>
    </row>
    <row r="1012" spans="1:15" s="69" customFormat="1" ht="16.5">
      <c r="A1012" s="1108"/>
      <c r="B1012" s="40"/>
      <c r="C1012" s="742" t="s">
        <v>240</v>
      </c>
      <c r="D1012" s="44" t="s">
        <v>9</v>
      </c>
      <c r="E1012" s="401">
        <v>2.76E-2</v>
      </c>
      <c r="F1012" s="411">
        <f>F1010*E1012</f>
        <v>0.41399999999999998</v>
      </c>
      <c r="G1012" s="412"/>
      <c r="H1012" s="412"/>
      <c r="I1012" s="412"/>
      <c r="J1012" s="412"/>
      <c r="K1012" s="412"/>
      <c r="L1012" s="412"/>
      <c r="M1012" s="412"/>
      <c r="N1012" s="428"/>
      <c r="O1012" s="528"/>
    </row>
    <row r="1013" spans="1:15" s="69" customFormat="1" ht="16.5">
      <c r="A1013" s="1108"/>
      <c r="B1013" s="40"/>
      <c r="C1013" s="742" t="s">
        <v>368</v>
      </c>
      <c r="D1013" s="526" t="s">
        <v>18</v>
      </c>
      <c r="E1013" s="401">
        <v>2.1000000000000001E-2</v>
      </c>
      <c r="F1013" s="411">
        <f>F1010*E1013</f>
        <v>0.315</v>
      </c>
      <c r="G1013" s="412"/>
      <c r="H1013" s="412"/>
      <c r="I1013" s="412"/>
      <c r="J1013" s="412"/>
      <c r="K1013" s="412"/>
      <c r="L1013" s="412"/>
      <c r="M1013" s="412"/>
      <c r="N1013" s="428"/>
      <c r="O1013" s="528"/>
    </row>
    <row r="1014" spans="1:15" s="69" customFormat="1" ht="16.5">
      <c r="A1014" s="1108"/>
      <c r="B1014" s="40"/>
      <c r="C1014" s="742" t="s">
        <v>369</v>
      </c>
      <c r="D1014" s="526" t="s">
        <v>7</v>
      </c>
      <c r="E1014" s="401">
        <v>7.0000000000000007E-2</v>
      </c>
      <c r="F1014" s="411">
        <f>F1010*E1014</f>
        <v>1.05</v>
      </c>
      <c r="G1014" s="412"/>
      <c r="H1014" s="412"/>
      <c r="I1014" s="412"/>
      <c r="J1014" s="412"/>
      <c r="K1014" s="412"/>
      <c r="L1014" s="412"/>
      <c r="M1014" s="412"/>
      <c r="N1014" s="428"/>
      <c r="O1014" s="528"/>
    </row>
    <row r="1015" spans="1:15" s="69" customFormat="1" ht="16.5">
      <c r="A1015" s="1109"/>
      <c r="B1015" s="40"/>
      <c r="C1015" s="742" t="s">
        <v>50</v>
      </c>
      <c r="D1015" s="44" t="s">
        <v>9</v>
      </c>
      <c r="E1015" s="401">
        <v>4.4400000000000002E-2</v>
      </c>
      <c r="F1015" s="411">
        <f>F1010*E1015</f>
        <v>0.66600000000000004</v>
      </c>
      <c r="G1015" s="412"/>
      <c r="H1015" s="412"/>
      <c r="I1015" s="412"/>
      <c r="J1015" s="412"/>
      <c r="K1015" s="412"/>
      <c r="L1015" s="412"/>
      <c r="M1015" s="412"/>
      <c r="N1015" s="428"/>
      <c r="O1015" s="528"/>
    </row>
    <row r="1016" spans="1:15" s="69" customFormat="1" ht="31.5">
      <c r="A1016" s="1107" t="s">
        <v>53</v>
      </c>
      <c r="B1016" s="194" t="s">
        <v>370</v>
      </c>
      <c r="C1016" s="796" t="s">
        <v>610</v>
      </c>
      <c r="D1016" s="44" t="s">
        <v>47</v>
      </c>
      <c r="E1016" s="45"/>
      <c r="F1016" s="24">
        <f>F1010</f>
        <v>15</v>
      </c>
      <c r="G1016" s="412"/>
      <c r="H1016" s="412"/>
      <c r="I1016" s="412"/>
      <c r="J1016" s="412"/>
      <c r="K1016" s="412"/>
      <c r="L1016" s="293"/>
      <c r="M1016" s="293"/>
      <c r="N1016" s="428"/>
      <c r="O1016" s="528"/>
    </row>
    <row r="1017" spans="1:15" s="69" customFormat="1" ht="16.5">
      <c r="A1017" s="1108"/>
      <c r="B1017" s="40"/>
      <c r="C1017" s="742" t="s">
        <v>54</v>
      </c>
      <c r="D1017" s="526" t="s">
        <v>12</v>
      </c>
      <c r="E1017" s="401">
        <v>0.28100000000000003</v>
      </c>
      <c r="F1017" s="411">
        <f>F1016*E1017</f>
        <v>4.2150000000000007</v>
      </c>
      <c r="G1017" s="412"/>
      <c r="H1017" s="412"/>
      <c r="I1017" s="412"/>
      <c r="J1017" s="412"/>
      <c r="K1017" s="412"/>
      <c r="L1017" s="412"/>
      <c r="M1017" s="412"/>
      <c r="N1017" s="428"/>
      <c r="O1017" s="528"/>
    </row>
    <row r="1018" spans="1:15" s="69" customFormat="1" ht="16.5">
      <c r="A1018" s="1108"/>
      <c r="B1018" s="40"/>
      <c r="C1018" s="742" t="s">
        <v>240</v>
      </c>
      <c r="D1018" s="44" t="s">
        <v>9</v>
      </c>
      <c r="E1018" s="401">
        <v>8.8599999999999998E-2</v>
      </c>
      <c r="F1018" s="411">
        <f>F1016*E1018</f>
        <v>1.329</v>
      </c>
      <c r="G1018" s="412"/>
      <c r="H1018" s="412"/>
      <c r="I1018" s="412"/>
      <c r="J1018" s="412"/>
      <c r="K1018" s="412"/>
      <c r="L1018" s="412"/>
      <c r="M1018" s="412"/>
      <c r="N1018" s="428"/>
      <c r="O1018" s="528"/>
    </row>
    <row r="1019" spans="1:15" s="69" customFormat="1" ht="20.25" customHeight="1">
      <c r="A1019" s="1108"/>
      <c r="B1019" s="40"/>
      <c r="C1019" s="742" t="s">
        <v>611</v>
      </c>
      <c r="D1019" s="526" t="s">
        <v>18</v>
      </c>
      <c r="E1019" s="401">
        <v>1</v>
      </c>
      <c r="F1019" s="411">
        <f>F1016*E1019</f>
        <v>15</v>
      </c>
      <c r="G1019" s="412"/>
      <c r="H1019" s="412"/>
      <c r="I1019" s="412"/>
      <c r="J1019" s="412"/>
      <c r="K1019" s="412"/>
      <c r="L1019" s="412"/>
      <c r="M1019" s="412"/>
      <c r="N1019" s="428"/>
      <c r="O1019" s="528"/>
    </row>
    <row r="1020" spans="1:15" s="69" customFormat="1" ht="16.5">
      <c r="A1020" s="1108"/>
      <c r="B1020" s="40"/>
      <c r="C1020" s="742" t="s">
        <v>41</v>
      </c>
      <c r="D1020" s="526" t="s">
        <v>39</v>
      </c>
      <c r="E1020" s="401">
        <f>(0.12)/100</f>
        <v>1.1999999999999999E-3</v>
      </c>
      <c r="F1020" s="411">
        <f>F1016*E1020</f>
        <v>1.7999999999999999E-2</v>
      </c>
      <c r="G1020" s="412"/>
      <c r="H1020" s="412"/>
      <c r="I1020" s="412"/>
      <c r="J1020" s="412"/>
      <c r="K1020" s="412"/>
      <c r="L1020" s="412"/>
      <c r="M1020" s="412"/>
      <c r="N1020" s="428"/>
      <c r="O1020" s="528"/>
    </row>
    <row r="1021" spans="1:15" s="69" customFormat="1" ht="16.5">
      <c r="A1021" s="1108"/>
      <c r="B1021" s="40"/>
      <c r="C1021" s="742" t="s">
        <v>612</v>
      </c>
      <c r="D1021" s="526" t="s">
        <v>7</v>
      </c>
      <c r="E1021" s="401">
        <v>0.108</v>
      </c>
      <c r="F1021" s="411">
        <f>F1016*E1021</f>
        <v>1.6199999999999999</v>
      </c>
      <c r="G1021" s="412"/>
      <c r="H1021" s="412"/>
      <c r="I1021" s="412"/>
      <c r="J1021" s="412"/>
      <c r="K1021" s="412"/>
      <c r="L1021" s="412"/>
      <c r="M1021" s="412"/>
      <c r="N1021" s="428"/>
      <c r="O1021" s="528"/>
    </row>
    <row r="1022" spans="1:15" s="69" customFormat="1" ht="16.5">
      <c r="A1022" s="1108"/>
      <c r="B1022" s="40"/>
      <c r="C1022" s="742" t="s">
        <v>369</v>
      </c>
      <c r="D1022" s="526" t="s">
        <v>7</v>
      </c>
      <c r="E1022" s="401">
        <v>5.0000000000000001E-3</v>
      </c>
      <c r="F1022" s="411">
        <f>F1016*E1022</f>
        <v>7.4999999999999997E-2</v>
      </c>
      <c r="G1022" s="412"/>
      <c r="H1022" s="412"/>
      <c r="I1022" s="412"/>
      <c r="J1022" s="412"/>
      <c r="K1022" s="412"/>
      <c r="L1022" s="412"/>
      <c r="M1022" s="412"/>
      <c r="N1022" s="428"/>
      <c r="O1022" s="528"/>
    </row>
    <row r="1023" spans="1:15" s="69" customFormat="1" ht="16.5">
      <c r="A1023" s="1109"/>
      <c r="B1023" s="40"/>
      <c r="C1023" s="742" t="s">
        <v>50</v>
      </c>
      <c r="D1023" s="44" t="s">
        <v>9</v>
      </c>
      <c r="E1023" s="401">
        <v>0.2</v>
      </c>
      <c r="F1023" s="411">
        <f>F1016*E1023</f>
        <v>3</v>
      </c>
      <c r="G1023" s="412"/>
      <c r="H1023" s="412"/>
      <c r="I1023" s="412"/>
      <c r="J1023" s="412"/>
      <c r="K1023" s="412"/>
      <c r="L1023" s="412"/>
      <c r="M1023" s="412"/>
      <c r="N1023" s="428"/>
      <c r="O1023" s="528"/>
    </row>
    <row r="1024" spans="1:15" s="69" customFormat="1" ht="16.5">
      <c r="A1024" s="1160" t="s">
        <v>160</v>
      </c>
      <c r="B1024" s="194" t="s">
        <v>371</v>
      </c>
      <c r="C1024" s="796" t="s">
        <v>372</v>
      </c>
      <c r="D1024" s="44" t="s">
        <v>373</v>
      </c>
      <c r="E1024" s="45"/>
      <c r="F1024" s="24">
        <f>F1010</f>
        <v>15</v>
      </c>
      <c r="G1024" s="412"/>
      <c r="H1024" s="412"/>
      <c r="I1024" s="412"/>
      <c r="J1024" s="412"/>
      <c r="K1024" s="412"/>
      <c r="L1024" s="412"/>
      <c r="M1024" s="412"/>
      <c r="N1024" s="428"/>
      <c r="O1024" s="528"/>
    </row>
    <row r="1025" spans="1:15" s="69" customFormat="1" ht="16.5">
      <c r="A1025" s="1160"/>
      <c r="B1025" s="40"/>
      <c r="C1025" s="740" t="s">
        <v>54</v>
      </c>
      <c r="D1025" s="44" t="s">
        <v>12</v>
      </c>
      <c r="E1025" s="45">
        <v>3.0300000000000001E-2</v>
      </c>
      <c r="F1025" s="411">
        <f>F1024*E1025</f>
        <v>0.45450000000000002</v>
      </c>
      <c r="G1025" s="412"/>
      <c r="H1025" s="412"/>
      <c r="I1025" s="412"/>
      <c r="J1025" s="412"/>
      <c r="K1025" s="412"/>
      <c r="L1025" s="412"/>
      <c r="M1025" s="412"/>
      <c r="N1025" s="428"/>
      <c r="O1025" s="528"/>
    </row>
    <row r="1026" spans="1:15" s="69" customFormat="1" ht="16.5">
      <c r="A1026" s="1160"/>
      <c r="B1026" s="40"/>
      <c r="C1026" s="740" t="s">
        <v>240</v>
      </c>
      <c r="D1026" s="44" t="s">
        <v>9</v>
      </c>
      <c r="E1026" s="45">
        <v>4.1000000000000003E-3</v>
      </c>
      <c r="F1026" s="411">
        <f>F1024*E1026</f>
        <v>6.1500000000000006E-2</v>
      </c>
      <c r="G1026" s="412"/>
      <c r="H1026" s="412"/>
      <c r="I1026" s="412"/>
      <c r="J1026" s="412"/>
      <c r="K1026" s="412"/>
      <c r="L1026" s="412"/>
      <c r="M1026" s="412"/>
      <c r="N1026" s="428"/>
      <c r="O1026" s="528"/>
    </row>
    <row r="1027" spans="1:15" s="69" customFormat="1" ht="16.5">
      <c r="A1027" s="1160"/>
      <c r="B1027" s="40"/>
      <c r="C1027" s="740" t="s">
        <v>355</v>
      </c>
      <c r="D1027" s="44" t="s">
        <v>7</v>
      </c>
      <c r="E1027" s="45">
        <v>0.23100000000000001</v>
      </c>
      <c r="F1027" s="411">
        <f>F1024*E1027</f>
        <v>3.4650000000000003</v>
      </c>
      <c r="G1027" s="412"/>
      <c r="H1027" s="412"/>
      <c r="I1027" s="412"/>
      <c r="J1027" s="412"/>
      <c r="K1027" s="412"/>
      <c r="L1027" s="412"/>
      <c r="M1027" s="412"/>
      <c r="N1027" s="428"/>
      <c r="O1027" s="528"/>
    </row>
    <row r="1028" spans="1:15" s="69" customFormat="1" ht="16.5">
      <c r="A1028" s="1160"/>
      <c r="B1028" s="40"/>
      <c r="C1028" s="740" t="s">
        <v>356</v>
      </c>
      <c r="D1028" s="44" t="s">
        <v>7</v>
      </c>
      <c r="E1028" s="45">
        <v>5.8000000000000003E-2</v>
      </c>
      <c r="F1028" s="411">
        <f>F1024*E1028</f>
        <v>0.87</v>
      </c>
      <c r="G1028" s="412"/>
      <c r="H1028" s="412"/>
      <c r="I1028" s="412"/>
      <c r="J1028" s="412"/>
      <c r="K1028" s="412"/>
      <c r="L1028" s="412"/>
      <c r="M1028" s="412"/>
      <c r="N1028" s="428"/>
      <c r="O1028" s="528"/>
    </row>
    <row r="1029" spans="1:15" s="69" customFormat="1" ht="16.5">
      <c r="A1029" s="1160"/>
      <c r="B1029" s="40"/>
      <c r="C1029" s="740" t="s">
        <v>357</v>
      </c>
      <c r="D1029" s="44" t="s">
        <v>7</v>
      </c>
      <c r="E1029" s="45">
        <v>3.5000000000000003E-2</v>
      </c>
      <c r="F1029" s="411">
        <f>F1024*E1029</f>
        <v>0.52500000000000002</v>
      </c>
      <c r="G1029" s="412"/>
      <c r="H1029" s="412"/>
      <c r="I1029" s="412"/>
      <c r="J1029" s="412"/>
      <c r="K1029" s="412"/>
      <c r="L1029" s="412"/>
      <c r="M1029" s="412"/>
      <c r="N1029" s="428"/>
      <c r="O1029" s="528"/>
    </row>
    <row r="1030" spans="1:15" s="69" customFormat="1" ht="16.5">
      <c r="A1030" s="1160"/>
      <c r="B1030" s="40"/>
      <c r="C1030" s="740" t="s">
        <v>50</v>
      </c>
      <c r="D1030" s="44" t="s">
        <v>9</v>
      </c>
      <c r="E1030" s="45">
        <v>4.0000000000000002E-4</v>
      </c>
      <c r="F1030" s="411">
        <f>F1024*E1030</f>
        <v>6.0000000000000001E-3</v>
      </c>
      <c r="G1030" s="412"/>
      <c r="H1030" s="412"/>
      <c r="I1030" s="412"/>
      <c r="J1030" s="412"/>
      <c r="K1030" s="412"/>
      <c r="L1030" s="412"/>
      <c r="M1030" s="412"/>
      <c r="N1030" s="428"/>
      <c r="O1030" s="528"/>
    </row>
    <row r="1031" spans="1:15" s="69" customFormat="1" ht="16.5">
      <c r="A1031" s="1160" t="s">
        <v>185</v>
      </c>
      <c r="B1031" s="520" t="s">
        <v>374</v>
      </c>
      <c r="C1031" s="796" t="s">
        <v>375</v>
      </c>
      <c r="D1031" s="44" t="s">
        <v>373</v>
      </c>
      <c r="E1031" s="45"/>
      <c r="F1031" s="24">
        <f>F1010</f>
        <v>15</v>
      </c>
      <c r="G1031" s="412"/>
      <c r="H1031" s="412"/>
      <c r="I1031" s="412"/>
      <c r="J1031" s="412"/>
      <c r="K1031" s="412"/>
      <c r="L1031" s="412"/>
      <c r="M1031" s="412"/>
      <c r="N1031" s="428"/>
      <c r="O1031" s="528"/>
    </row>
    <row r="1032" spans="1:15" s="69" customFormat="1" ht="16.5">
      <c r="A1032" s="1160"/>
      <c r="B1032" s="521"/>
      <c r="C1032" s="740" t="s">
        <v>54</v>
      </c>
      <c r="D1032" s="44" t="s">
        <v>12</v>
      </c>
      <c r="E1032" s="45">
        <v>6.9199999999999998E-2</v>
      </c>
      <c r="F1032" s="411">
        <f>F1031*E1032</f>
        <v>1.038</v>
      </c>
      <c r="G1032" s="412"/>
      <c r="H1032" s="412"/>
      <c r="I1032" s="412"/>
      <c r="J1032" s="412"/>
      <c r="K1032" s="412"/>
      <c r="L1032" s="412"/>
      <c r="M1032" s="412"/>
      <c r="N1032" s="428"/>
      <c r="O1032" s="528"/>
    </row>
    <row r="1033" spans="1:15" s="69" customFormat="1" ht="16.5">
      <c r="A1033" s="1160"/>
      <c r="B1033" s="521"/>
      <c r="C1033" s="740" t="s">
        <v>240</v>
      </c>
      <c r="D1033" s="44" t="s">
        <v>9</v>
      </c>
      <c r="E1033" s="45">
        <v>1.6000000000000001E-3</v>
      </c>
      <c r="F1033" s="411">
        <f>F1031*E1033</f>
        <v>2.4E-2</v>
      </c>
      <c r="G1033" s="412"/>
      <c r="H1033" s="412"/>
      <c r="I1033" s="412"/>
      <c r="J1033" s="412"/>
      <c r="K1033" s="412"/>
      <c r="L1033" s="412"/>
      <c r="M1033" s="412"/>
      <c r="N1033" s="428"/>
      <c r="O1033" s="528"/>
    </row>
    <row r="1034" spans="1:15" s="69" customFormat="1" ht="16.5">
      <c r="A1034" s="1160"/>
      <c r="B1034" s="521"/>
      <c r="C1034" s="740" t="s">
        <v>360</v>
      </c>
      <c r="D1034" s="44" t="s">
        <v>7</v>
      </c>
      <c r="E1034" s="45">
        <v>0.4</v>
      </c>
      <c r="F1034" s="411">
        <f>F1031*E1034</f>
        <v>6</v>
      </c>
      <c r="G1034" s="412"/>
      <c r="H1034" s="412"/>
      <c r="I1034" s="412"/>
      <c r="J1034" s="412"/>
      <c r="K1034" s="412"/>
      <c r="L1034" s="412"/>
      <c r="M1034" s="412"/>
      <c r="N1034" s="428"/>
      <c r="O1034" s="528"/>
    </row>
    <row r="1035" spans="1:15" s="69" customFormat="1" ht="16.5">
      <c r="A1035" s="1107" t="s">
        <v>192</v>
      </c>
      <c r="B1035" s="260" t="s">
        <v>376</v>
      </c>
      <c r="C1035" s="796" t="s">
        <v>377</v>
      </c>
      <c r="D1035" s="44" t="s">
        <v>47</v>
      </c>
      <c r="E1035" s="45"/>
      <c r="F1035" s="24">
        <f>F1010</f>
        <v>15</v>
      </c>
      <c r="G1035" s="412"/>
      <c r="H1035" s="412"/>
      <c r="I1035" s="412"/>
      <c r="J1035" s="412"/>
      <c r="K1035" s="412"/>
      <c r="L1035" s="293"/>
      <c r="M1035" s="293"/>
      <c r="N1035" s="428"/>
      <c r="O1035" s="528"/>
    </row>
    <row r="1036" spans="1:15" s="69" customFormat="1" ht="16.5">
      <c r="A1036" s="1108"/>
      <c r="B1036" s="40"/>
      <c r="C1036" s="547" t="s">
        <v>38</v>
      </c>
      <c r="D1036" s="476" t="s">
        <v>12</v>
      </c>
      <c r="E1036" s="401">
        <v>0.497</v>
      </c>
      <c r="F1036" s="411">
        <f>F1035*E1036</f>
        <v>7.4550000000000001</v>
      </c>
      <c r="G1036" s="412"/>
      <c r="H1036" s="412"/>
      <c r="I1036" s="412"/>
      <c r="J1036" s="412"/>
      <c r="K1036" s="412"/>
      <c r="L1036" s="412"/>
      <c r="M1036" s="412"/>
      <c r="N1036" s="428"/>
      <c r="O1036" s="528"/>
    </row>
    <row r="1037" spans="1:15" s="69" customFormat="1" ht="16.5">
      <c r="A1037" s="1108"/>
      <c r="B1037" s="40"/>
      <c r="C1037" s="547" t="s">
        <v>23</v>
      </c>
      <c r="D1037" s="476" t="s">
        <v>9</v>
      </c>
      <c r="E1037" s="401">
        <v>2.8400000000000002E-2</v>
      </c>
      <c r="F1037" s="411">
        <f>F1035*E1037</f>
        <v>0.42600000000000005</v>
      </c>
      <c r="G1037" s="412"/>
      <c r="H1037" s="412"/>
      <c r="I1037" s="412"/>
      <c r="J1037" s="412"/>
      <c r="K1037" s="412"/>
      <c r="L1037" s="412"/>
      <c r="M1037" s="412"/>
      <c r="N1037" s="428"/>
      <c r="O1037" s="528"/>
    </row>
    <row r="1038" spans="1:15" s="69" customFormat="1" ht="16.5">
      <c r="A1038" s="1108"/>
      <c r="B1038" s="40"/>
      <c r="C1038" s="757" t="s">
        <v>378</v>
      </c>
      <c r="D1038" s="204" t="s">
        <v>47</v>
      </c>
      <c r="E1038" s="320">
        <v>1.26</v>
      </c>
      <c r="F1038" s="325">
        <f>F1035*E1038</f>
        <v>18.899999999999999</v>
      </c>
      <c r="G1038" s="412"/>
      <c r="H1038" s="412"/>
      <c r="I1038" s="412"/>
      <c r="J1038" s="412"/>
      <c r="K1038" s="412"/>
      <c r="L1038" s="412"/>
      <c r="M1038" s="412"/>
      <c r="N1038" s="428"/>
      <c r="O1038" s="528"/>
    </row>
    <row r="1039" spans="1:15" s="69" customFormat="1" ht="16.5">
      <c r="A1039" s="1109"/>
      <c r="B1039" s="476"/>
      <c r="C1039" s="547" t="s">
        <v>13</v>
      </c>
      <c r="D1039" s="476" t="s">
        <v>9</v>
      </c>
      <c r="E1039" s="476">
        <v>2.06E-2</v>
      </c>
      <c r="F1039" s="411">
        <f>F1035*E1039</f>
        <v>0.309</v>
      </c>
      <c r="G1039" s="412"/>
      <c r="H1039" s="412"/>
      <c r="I1039" s="412"/>
      <c r="J1039" s="412"/>
      <c r="K1039" s="412"/>
      <c r="L1039" s="412"/>
      <c r="M1039" s="412"/>
      <c r="N1039" s="428"/>
      <c r="O1039" s="528"/>
    </row>
    <row r="1040" spans="1:15" s="69" customFormat="1" ht="16.5">
      <c r="A1040" s="1139" t="s">
        <v>186</v>
      </c>
      <c r="B1040" s="260" t="s">
        <v>379</v>
      </c>
      <c r="C1040" s="716" t="s">
        <v>380</v>
      </c>
      <c r="D1040" s="260" t="s">
        <v>47</v>
      </c>
      <c r="E1040" s="401"/>
      <c r="F1040" s="24">
        <f>2.5*6</f>
        <v>15</v>
      </c>
      <c r="G1040" s="412"/>
      <c r="H1040" s="412"/>
      <c r="I1040" s="412"/>
      <c r="J1040" s="412"/>
      <c r="K1040" s="412"/>
      <c r="L1040" s="412"/>
      <c r="M1040" s="412"/>
      <c r="N1040" s="428"/>
      <c r="O1040" s="528"/>
    </row>
    <row r="1041" spans="1:15" s="69" customFormat="1" ht="16.5">
      <c r="A1041" s="1139"/>
      <c r="B1041" s="424"/>
      <c r="C1041" s="740" t="s">
        <v>54</v>
      </c>
      <c r="D1041" s="424" t="s">
        <v>12</v>
      </c>
      <c r="E1041" s="45">
        <v>0.83</v>
      </c>
      <c r="F1041" s="411">
        <f>F1040*E1041</f>
        <v>12.45</v>
      </c>
      <c r="G1041" s="412"/>
      <c r="H1041" s="412"/>
      <c r="I1041" s="290"/>
      <c r="J1041" s="412"/>
      <c r="K1041" s="412"/>
      <c r="L1041" s="412"/>
      <c r="M1041" s="412"/>
      <c r="N1041" s="428"/>
      <c r="O1041" s="532"/>
    </row>
    <row r="1042" spans="1:15" s="69" customFormat="1" ht="16.5">
      <c r="A1042" s="1139"/>
      <c r="B1042" s="424"/>
      <c r="C1042" s="740" t="s">
        <v>11</v>
      </c>
      <c r="D1042" s="424" t="s">
        <v>9</v>
      </c>
      <c r="E1042" s="45">
        <v>4.1000000000000003E-3</v>
      </c>
      <c r="F1042" s="411">
        <f>F1040*E1042</f>
        <v>6.1500000000000006E-2</v>
      </c>
      <c r="G1042" s="412"/>
      <c r="H1042" s="412"/>
      <c r="I1042" s="412"/>
      <c r="J1042" s="412"/>
      <c r="K1042" s="290"/>
      <c r="L1042" s="412"/>
      <c r="M1042" s="412"/>
      <c r="N1042" s="428"/>
      <c r="O1042" s="528"/>
    </row>
    <row r="1043" spans="1:15" s="69" customFormat="1" ht="16.5">
      <c r="A1043" s="1139"/>
      <c r="B1043" s="424"/>
      <c r="C1043" s="740" t="s">
        <v>381</v>
      </c>
      <c r="D1043" s="424" t="s">
        <v>382</v>
      </c>
      <c r="E1043" s="401">
        <v>1.1000000000000001</v>
      </c>
      <c r="F1043" s="411">
        <f>F1040*E1043</f>
        <v>16.5</v>
      </c>
      <c r="G1043" s="412"/>
      <c r="H1043" s="412"/>
      <c r="I1043" s="412"/>
      <c r="J1043" s="412"/>
      <c r="K1043" s="412"/>
      <c r="L1043" s="412"/>
      <c r="M1043" s="412"/>
      <c r="N1043" s="428"/>
      <c r="O1043" s="528"/>
    </row>
    <row r="1044" spans="1:15" s="69" customFormat="1" ht="16.5">
      <c r="A1044" s="1139"/>
      <c r="B1044" s="424"/>
      <c r="C1044" s="544" t="s">
        <v>383</v>
      </c>
      <c r="D1044" s="424" t="s">
        <v>66</v>
      </c>
      <c r="E1044" s="401">
        <v>3</v>
      </c>
      <c r="F1044" s="411">
        <f>F1040*E1044</f>
        <v>45</v>
      </c>
      <c r="G1044" s="412"/>
      <c r="H1044" s="412"/>
      <c r="I1044" s="412"/>
      <c r="J1044" s="412"/>
      <c r="K1044" s="412"/>
      <c r="L1044" s="412"/>
      <c r="M1044" s="412"/>
      <c r="N1044" s="428"/>
      <c r="O1044" s="528"/>
    </row>
    <row r="1045" spans="1:15" s="69" customFormat="1" ht="16.5">
      <c r="A1045" s="1139"/>
      <c r="B1045" s="424"/>
      <c r="C1045" s="544" t="s">
        <v>50</v>
      </c>
      <c r="D1045" s="424" t="s">
        <v>9</v>
      </c>
      <c r="E1045" s="401">
        <v>7.8E-2</v>
      </c>
      <c r="F1045" s="411">
        <f>F1040*E1045</f>
        <v>1.17</v>
      </c>
      <c r="G1045" s="412"/>
      <c r="H1045" s="412"/>
      <c r="I1045" s="412"/>
      <c r="J1045" s="412"/>
      <c r="K1045" s="412"/>
      <c r="L1045" s="412"/>
      <c r="M1045" s="412"/>
      <c r="N1045" s="428"/>
      <c r="O1045" s="528"/>
    </row>
    <row r="1046" spans="1:15" s="69" customFormat="1" ht="31.5">
      <c r="A1046" s="1155" t="s">
        <v>188</v>
      </c>
      <c r="B1046" s="271" t="s">
        <v>613</v>
      </c>
      <c r="C1046" s="798" t="s">
        <v>617</v>
      </c>
      <c r="D1046" s="234" t="s">
        <v>47</v>
      </c>
      <c r="E1046" s="702">
        <f>(((9.25+1.2)*2.2)/2)*2</f>
        <v>22.990000000000002</v>
      </c>
      <c r="F1046" s="24">
        <f>(                     F1040+2.35*6*0.25                         )</f>
        <v>18.524999999999999</v>
      </c>
      <c r="G1046" s="13"/>
      <c r="H1046" s="13"/>
      <c r="I1046" s="13"/>
      <c r="J1046" s="13"/>
      <c r="K1046" s="13"/>
      <c r="L1046" s="156"/>
      <c r="M1046" s="156"/>
      <c r="N1046" s="428"/>
      <c r="O1046" s="528"/>
    </row>
    <row r="1047" spans="1:15" s="69" customFormat="1" ht="16.5">
      <c r="A1047" s="1157"/>
      <c r="B1047" s="275"/>
      <c r="C1047" s="740" t="s">
        <v>54</v>
      </c>
      <c r="D1047" s="234" t="s">
        <v>12</v>
      </c>
      <c r="E1047" s="45">
        <v>0.72499999999999998</v>
      </c>
      <c r="F1047" s="43">
        <f>F1046*E1047</f>
        <v>13.430624999999999</v>
      </c>
      <c r="G1047" s="13"/>
      <c r="H1047" s="13"/>
      <c r="I1047" s="13"/>
      <c r="J1047" s="13"/>
      <c r="K1047" s="698"/>
      <c r="L1047" s="156"/>
      <c r="M1047" s="156"/>
      <c r="N1047" s="428"/>
      <c r="O1047" s="528"/>
    </row>
    <row r="1048" spans="1:15" s="69" customFormat="1" ht="16.5">
      <c r="A1048" s="1157"/>
      <c r="B1048" s="275"/>
      <c r="C1048" s="740" t="s">
        <v>11</v>
      </c>
      <c r="D1048" s="234" t="s">
        <v>9</v>
      </c>
      <c r="E1048" s="45">
        <v>3.5700000000000003E-2</v>
      </c>
      <c r="F1048" s="43">
        <f>F1046*E1048</f>
        <v>0.66134249999999994</v>
      </c>
      <c r="G1048" s="13"/>
      <c r="H1048" s="13"/>
      <c r="I1048" s="13"/>
      <c r="J1048" s="13"/>
      <c r="K1048" s="13"/>
      <c r="L1048" s="156"/>
      <c r="M1048" s="156"/>
      <c r="N1048" s="428"/>
      <c r="O1048" s="528"/>
    </row>
    <row r="1049" spans="1:15" s="69" customFormat="1" ht="16.5">
      <c r="A1049" s="1157"/>
      <c r="B1049" s="275"/>
      <c r="C1049" s="799" t="s">
        <v>618</v>
      </c>
      <c r="D1049" s="703" t="s">
        <v>47</v>
      </c>
      <c r="E1049" s="704">
        <v>1.05</v>
      </c>
      <c r="F1049" s="705">
        <f>E1049*F1046</f>
        <v>19.451249999999998</v>
      </c>
      <c r="G1049" s="13"/>
      <c r="H1049" s="13"/>
      <c r="I1049" s="13"/>
      <c r="J1049" s="13"/>
      <c r="K1049" s="13"/>
      <c r="L1049" s="13"/>
      <c r="M1049" s="156"/>
      <c r="N1049" s="428"/>
      <c r="O1049" s="528"/>
    </row>
    <row r="1050" spans="1:15" s="69" customFormat="1" ht="16.5">
      <c r="A1050" s="1156"/>
      <c r="B1050" s="275"/>
      <c r="C1050" s="740" t="s">
        <v>50</v>
      </c>
      <c r="D1050" s="234" t="s">
        <v>9</v>
      </c>
      <c r="E1050" s="45">
        <v>3.04E-2</v>
      </c>
      <c r="F1050" s="43">
        <f>F1046*E1050</f>
        <v>0.56315999999999999</v>
      </c>
      <c r="G1050" s="13"/>
      <c r="H1050" s="13"/>
      <c r="I1050" s="13"/>
      <c r="J1050" s="13"/>
      <c r="K1050" s="13"/>
      <c r="L1050" s="156"/>
      <c r="M1050" s="156"/>
      <c r="N1050" s="428"/>
      <c r="O1050" s="528"/>
    </row>
    <row r="1051" spans="1:15" s="69" customFormat="1" ht="31.5">
      <c r="A1051" s="1155" t="s">
        <v>189</v>
      </c>
      <c r="B1051" s="699" t="s">
        <v>614</v>
      </c>
      <c r="C1051" s="796" t="s">
        <v>615</v>
      </c>
      <c r="D1051" s="706" t="s">
        <v>47</v>
      </c>
      <c r="E1051" s="524"/>
      <c r="F1051" s="24">
        <f>F1046</f>
        <v>18.524999999999999</v>
      </c>
      <c r="G1051" s="13"/>
      <c r="H1051" s="13"/>
      <c r="I1051" s="13"/>
      <c r="J1051" s="13"/>
      <c r="K1051" s="13"/>
      <c r="L1051" s="156"/>
      <c r="M1051" s="156"/>
      <c r="N1051" s="428"/>
      <c r="O1051" s="528"/>
    </row>
    <row r="1052" spans="1:15" s="69" customFormat="1" ht="16.5">
      <c r="A1052" s="1157"/>
      <c r="B1052" s="707"/>
      <c r="C1052" s="740" t="s">
        <v>54</v>
      </c>
      <c r="D1052" s="234" t="s">
        <v>12</v>
      </c>
      <c r="E1052" s="45">
        <v>0.72499999999999998</v>
      </c>
      <c r="F1052" s="43">
        <f>F1051*E1052</f>
        <v>13.430624999999999</v>
      </c>
      <c r="G1052" s="13"/>
      <c r="H1052" s="13"/>
      <c r="I1052" s="13"/>
      <c r="J1052" s="13"/>
      <c r="K1052" s="698"/>
      <c r="L1052" s="156"/>
      <c r="M1052" s="156"/>
      <c r="N1052" s="428"/>
      <c r="O1052" s="528"/>
    </row>
    <row r="1053" spans="1:15" s="69" customFormat="1" ht="16.5">
      <c r="A1053" s="1157"/>
      <c r="B1053" s="707"/>
      <c r="C1053" s="740" t="s">
        <v>616</v>
      </c>
      <c r="D1053" s="706" t="s">
        <v>7</v>
      </c>
      <c r="E1053" s="524">
        <v>0.20799999999999999</v>
      </c>
      <c r="F1053" s="43">
        <f>F1051*E1053</f>
        <v>3.8531999999999997</v>
      </c>
      <c r="G1053" s="13"/>
      <c r="H1053" s="13"/>
      <c r="I1053" s="13"/>
      <c r="J1053" s="13"/>
      <c r="K1053" s="13"/>
      <c r="L1053" s="156"/>
      <c r="M1053" s="156"/>
      <c r="N1053" s="428"/>
      <c r="O1053" s="528"/>
    </row>
    <row r="1054" spans="1:15" s="69" customFormat="1" ht="16.5">
      <c r="A1054" s="1156"/>
      <c r="B1054" s="707"/>
      <c r="C1054" s="740" t="s">
        <v>50</v>
      </c>
      <c r="D1054" s="706"/>
      <c r="E1054" s="524">
        <v>1.1999999999999999E-3</v>
      </c>
      <c r="F1054" s="43">
        <f>F1051*E1054</f>
        <v>2.2229999999999996E-2</v>
      </c>
      <c r="G1054" s="13"/>
      <c r="H1054" s="13"/>
      <c r="I1054" s="13"/>
      <c r="J1054" s="13"/>
      <c r="K1054" s="13"/>
      <c r="L1054" s="156"/>
      <c r="M1054" s="156"/>
      <c r="N1054" s="428"/>
      <c r="O1054" s="528"/>
    </row>
    <row r="1055" spans="1:15" s="69" customFormat="1" ht="16.5">
      <c r="A1055" s="511"/>
      <c r="B1055" s="418"/>
      <c r="C1055" s="797" t="s">
        <v>399</v>
      </c>
      <c r="D1055" s="418"/>
      <c r="E1055" s="524"/>
      <c r="F1055" s="43"/>
      <c r="G1055" s="412"/>
      <c r="H1055" s="412"/>
      <c r="I1055" s="412"/>
      <c r="J1055" s="412"/>
      <c r="K1055" s="412"/>
      <c r="L1055" s="412"/>
      <c r="M1055" s="412"/>
      <c r="N1055" s="428"/>
      <c r="O1055" s="528"/>
    </row>
    <row r="1056" spans="1:15" s="72" customFormat="1">
      <c r="A1056" s="1149" t="s">
        <v>188</v>
      </c>
      <c r="B1056" s="270"/>
      <c r="C1056" s="779" t="s">
        <v>327</v>
      </c>
      <c r="D1056" s="270"/>
      <c r="E1056" s="327"/>
      <c r="F1056" s="486"/>
      <c r="G1056" s="293"/>
      <c r="H1056" s="156"/>
      <c r="I1056" s="156"/>
      <c r="J1056" s="156"/>
      <c r="K1056" s="156"/>
      <c r="L1056" s="156"/>
      <c r="M1056" s="491"/>
      <c r="N1056" s="510"/>
    </row>
    <row r="1057" spans="1:14" s="72" customFormat="1">
      <c r="A1057" s="1150"/>
      <c r="B1057" s="1158"/>
      <c r="C1057" s="783" t="s">
        <v>333</v>
      </c>
      <c r="D1057" s="494" t="s">
        <v>43</v>
      </c>
      <c r="E1057" s="329">
        <f>(1*4)*1.1</f>
        <v>4.4000000000000004</v>
      </c>
      <c r="F1057" s="486"/>
      <c r="G1057" s="293"/>
      <c r="H1057" s="156"/>
      <c r="I1057" s="156"/>
      <c r="J1057" s="156"/>
      <c r="K1057" s="156"/>
      <c r="L1057" s="156"/>
      <c r="M1057" s="491"/>
      <c r="N1057" s="510"/>
    </row>
    <row r="1058" spans="1:14" s="72" customFormat="1">
      <c r="A1058" s="1150"/>
      <c r="B1058" s="1159"/>
      <c r="C1058" s="784"/>
      <c r="D1058" s="494" t="s">
        <v>40</v>
      </c>
      <c r="E1058" s="329">
        <f>(0.1+0.1)*2*0.004*7.85*E1057</f>
        <v>5.5264000000000008E-2</v>
      </c>
      <c r="F1058" s="486"/>
      <c r="G1058" s="293"/>
      <c r="H1058" s="156"/>
      <c r="I1058" s="156"/>
      <c r="J1058" s="156"/>
      <c r="K1058" s="156"/>
      <c r="L1058" s="156"/>
      <c r="M1058" s="491"/>
      <c r="N1058" s="510"/>
    </row>
    <row r="1059" spans="1:14" s="72" customFormat="1">
      <c r="A1059" s="1150"/>
      <c r="B1059" s="439"/>
      <c r="C1059" s="783" t="s">
        <v>400</v>
      </c>
      <c r="D1059" s="494" t="s">
        <v>43</v>
      </c>
      <c r="E1059" s="329">
        <f>(  (0.45*0.1+0.4+0.55)*6+(1.2*5+1.6*5+2*5)  )*1.1</f>
        <v>32.966999999999999</v>
      </c>
      <c r="F1059" s="486"/>
      <c r="G1059" s="293"/>
      <c r="H1059" s="156"/>
      <c r="I1059" s="156"/>
      <c r="J1059" s="156"/>
      <c r="K1059" s="156"/>
      <c r="L1059" s="156"/>
      <c r="M1059" s="491"/>
      <c r="N1059" s="510"/>
    </row>
    <row r="1060" spans="1:14" s="72" customFormat="1">
      <c r="A1060" s="1150"/>
      <c r="B1060" s="439"/>
      <c r="C1060" s="784"/>
      <c r="D1060" s="494" t="s">
        <v>40</v>
      </c>
      <c r="E1060" s="329">
        <f>(0.04+0.06)*2*0.003*7.85*E1059</f>
        <v>0.15527457000000003</v>
      </c>
      <c r="F1060" s="486"/>
      <c r="G1060" s="293"/>
      <c r="H1060" s="156"/>
      <c r="I1060" s="156"/>
      <c r="J1060" s="156"/>
      <c r="K1060" s="156"/>
      <c r="L1060" s="156"/>
      <c r="M1060" s="491"/>
      <c r="N1060" s="510"/>
    </row>
    <row r="1061" spans="1:14" s="72" customFormat="1" hidden="1">
      <c r="A1061" s="1150"/>
      <c r="B1061" s="439"/>
      <c r="C1061" s="783" t="s">
        <v>334</v>
      </c>
      <c r="D1061" s="494" t="s">
        <v>47</v>
      </c>
      <c r="E1061" s="329"/>
      <c r="F1061" s="486"/>
      <c r="G1061" s="293"/>
      <c r="H1061" s="156"/>
      <c r="I1061" s="156"/>
      <c r="J1061" s="156"/>
      <c r="K1061" s="156"/>
      <c r="L1061" s="156"/>
      <c r="M1061" s="491"/>
      <c r="N1061" s="510"/>
    </row>
    <row r="1062" spans="1:14" s="72" customFormat="1" hidden="1">
      <c r="A1062" s="1150"/>
      <c r="B1062" s="439"/>
      <c r="C1062" s="800"/>
      <c r="D1062" s="494" t="s">
        <v>40</v>
      </c>
      <c r="E1062" s="329">
        <f>(0.02+0.04)*2*0.003*7.85*E1061</f>
        <v>0</v>
      </c>
      <c r="F1062" s="486"/>
      <c r="G1062" s="293"/>
      <c r="H1062" s="156"/>
      <c r="I1062" s="156"/>
      <c r="J1062" s="156"/>
      <c r="K1062" s="156"/>
      <c r="L1062" s="156"/>
      <c r="M1062" s="491"/>
      <c r="N1062" s="510"/>
    </row>
    <row r="1063" spans="1:14" s="72" customFormat="1">
      <c r="A1063" s="1150"/>
      <c r="B1063" s="1158"/>
      <c r="C1063" s="783" t="s">
        <v>328</v>
      </c>
      <c r="D1063" s="494" t="s">
        <v>47</v>
      </c>
      <c r="E1063" s="329">
        <f>(0.14*0.9*0.9+0.25*0.25*4+0.2*0.2*6)*1.1</f>
        <v>0.66374000000000022</v>
      </c>
      <c r="F1063" s="486"/>
      <c r="G1063" s="293"/>
      <c r="H1063" s="156"/>
      <c r="I1063" s="156"/>
      <c r="J1063" s="156"/>
      <c r="K1063" s="156"/>
      <c r="L1063" s="156"/>
      <c r="M1063" s="491"/>
      <c r="N1063" s="510"/>
    </row>
    <row r="1064" spans="1:14" s="72" customFormat="1">
      <c r="A1064" s="1150"/>
      <c r="B1064" s="1159"/>
      <c r="C1064" s="784"/>
      <c r="D1064" s="494" t="s">
        <v>40</v>
      </c>
      <c r="E1064" s="329">
        <f>0.006*7.85*E1063</f>
        <v>3.1262154000000007E-2</v>
      </c>
      <c r="F1064" s="486"/>
      <c r="G1064" s="293"/>
      <c r="H1064" s="156"/>
      <c r="I1064" s="156"/>
      <c r="J1064" s="156"/>
      <c r="K1064" s="156"/>
      <c r="L1064" s="156"/>
      <c r="M1064" s="491"/>
      <c r="N1064" s="510"/>
    </row>
    <row r="1065" spans="1:14" s="72" customFormat="1">
      <c r="A1065" s="1150"/>
      <c r="B1065" s="270"/>
      <c r="C1065" s="783" t="s">
        <v>335</v>
      </c>
      <c r="D1065" s="494" t="s">
        <v>52</v>
      </c>
      <c r="E1065" s="329">
        <f>(4+6)*4</f>
        <v>40</v>
      </c>
      <c r="F1065" s="486"/>
      <c r="G1065" s="293"/>
      <c r="H1065" s="156"/>
      <c r="I1065" s="156"/>
      <c r="J1065" s="156"/>
      <c r="K1065" s="156"/>
      <c r="L1065" s="156"/>
      <c r="M1065" s="491"/>
      <c r="N1065" s="510"/>
    </row>
    <row r="1066" spans="1:14" s="72" customFormat="1">
      <c r="A1066" s="1150"/>
      <c r="B1066" s="270"/>
      <c r="C1066" s="784"/>
      <c r="D1066" s="494" t="s">
        <v>7</v>
      </c>
      <c r="E1066" s="329">
        <f>0.5*1.578/1000*E1065</f>
        <v>3.1559999999999998E-2</v>
      </c>
      <c r="F1066" s="486"/>
      <c r="G1066" s="293"/>
      <c r="H1066" s="156"/>
      <c r="I1066" s="156"/>
      <c r="J1066" s="156"/>
      <c r="K1066" s="156"/>
      <c r="L1066" s="156"/>
      <c r="M1066" s="491"/>
      <c r="N1066" s="510"/>
    </row>
    <row r="1067" spans="1:14" s="72" customFormat="1" hidden="1">
      <c r="A1067" s="1150"/>
      <c r="B1067" s="270"/>
      <c r="C1067" s="783" t="s">
        <v>329</v>
      </c>
      <c r="D1067" s="494" t="s">
        <v>43</v>
      </c>
      <c r="E1067" s="329"/>
      <c r="F1067" s="486"/>
      <c r="G1067" s="293"/>
      <c r="H1067" s="156"/>
      <c r="I1067" s="156"/>
      <c r="J1067" s="156"/>
      <c r="K1067" s="156"/>
      <c r="L1067" s="156"/>
      <c r="M1067" s="491"/>
      <c r="N1067" s="510"/>
    </row>
    <row r="1068" spans="1:14" s="72" customFormat="1" hidden="1">
      <c r="A1068" s="1150"/>
      <c r="B1068" s="270"/>
      <c r="C1068" s="784"/>
      <c r="D1068" s="494" t="s">
        <v>40</v>
      </c>
      <c r="E1068" s="329">
        <f>3.14*(0.0105/2)*(0.0105/2)*7.85*E1067</f>
        <v>0</v>
      </c>
      <c r="F1068" s="486"/>
      <c r="G1068" s="293"/>
      <c r="H1068" s="156"/>
      <c r="I1068" s="156"/>
      <c r="J1068" s="156"/>
      <c r="K1068" s="156"/>
      <c r="L1068" s="156"/>
      <c r="M1068" s="491"/>
      <c r="N1068" s="510"/>
    </row>
    <row r="1069" spans="1:14" s="72" customFormat="1">
      <c r="A1069" s="1150"/>
      <c r="B1069" s="472" t="s">
        <v>330</v>
      </c>
      <c r="C1069" s="785" t="s">
        <v>162</v>
      </c>
      <c r="D1069" s="258" t="s">
        <v>40</v>
      </c>
      <c r="E1069" s="495"/>
      <c r="F1069" s="322">
        <f>E1058+E1060+E1062+E1064+E1066+E1068</f>
        <v>0.27336072400000005</v>
      </c>
      <c r="G1069" s="293"/>
      <c r="H1069" s="156"/>
      <c r="I1069" s="156"/>
      <c r="J1069" s="156"/>
      <c r="K1069" s="156"/>
      <c r="L1069" s="156"/>
      <c r="M1069" s="491"/>
      <c r="N1069" s="510"/>
    </row>
    <row r="1070" spans="1:14" s="72" customFormat="1">
      <c r="A1070" s="1150"/>
      <c r="B1070" s="270"/>
      <c r="C1070" s="781" t="s">
        <v>38</v>
      </c>
      <c r="D1070" s="270" t="s">
        <v>12</v>
      </c>
      <c r="E1070" s="327">
        <v>62.6</v>
      </c>
      <c r="F1070" s="486">
        <f>F1069*E1070</f>
        <v>17.112381322400005</v>
      </c>
      <c r="G1070" s="293"/>
      <c r="H1070" s="30"/>
      <c r="I1070" s="496"/>
      <c r="J1070" s="30"/>
      <c r="K1070" s="496"/>
      <c r="L1070" s="30"/>
      <c r="M1070" s="491"/>
      <c r="N1070" s="510"/>
    </row>
    <row r="1071" spans="1:14" s="72" customFormat="1">
      <c r="A1071" s="1150"/>
      <c r="B1071" s="270"/>
      <c r="C1071" s="781" t="s">
        <v>23</v>
      </c>
      <c r="D1071" s="270" t="s">
        <v>9</v>
      </c>
      <c r="E1071" s="327">
        <v>1</v>
      </c>
      <c r="F1071" s="486">
        <f>F1069*E1071</f>
        <v>0.27336072400000005</v>
      </c>
      <c r="G1071" s="293"/>
      <c r="H1071" s="30"/>
      <c r="I1071" s="30"/>
      <c r="J1071" s="30"/>
      <c r="K1071" s="30"/>
      <c r="L1071" s="30"/>
      <c r="M1071" s="491"/>
      <c r="N1071" s="510"/>
    </row>
    <row r="1072" spans="1:14" s="72" customFormat="1">
      <c r="A1072" s="1150"/>
      <c r="B1072" s="270"/>
      <c r="C1072" s="786" t="s">
        <v>331</v>
      </c>
      <c r="D1072" s="270"/>
      <c r="E1072" s="327"/>
      <c r="F1072" s="486"/>
      <c r="G1072" s="293"/>
      <c r="H1072" s="30"/>
      <c r="I1072" s="496"/>
      <c r="J1072" s="30"/>
      <c r="K1072" s="496"/>
      <c r="L1072" s="30"/>
      <c r="M1072" s="491"/>
      <c r="N1072" s="510"/>
    </row>
    <row r="1073" spans="1:14" s="72" customFormat="1">
      <c r="A1073" s="1150"/>
      <c r="B1073" s="270"/>
      <c r="C1073" s="787" t="str">
        <f>C1057</f>
        <v>liTonis kvadratuli mili 100*100*4</v>
      </c>
      <c r="D1073" s="270" t="s">
        <v>40</v>
      </c>
      <c r="E1073" s="327"/>
      <c r="F1073" s="486">
        <f>E1058</f>
        <v>5.5264000000000008E-2</v>
      </c>
      <c r="G1073" s="293"/>
      <c r="H1073" s="30"/>
      <c r="I1073" s="496"/>
      <c r="J1073" s="30"/>
      <c r="K1073" s="496"/>
      <c r="L1073" s="30"/>
      <c r="M1073" s="491"/>
      <c r="N1073" s="510"/>
    </row>
    <row r="1074" spans="1:14" s="72" customFormat="1">
      <c r="A1074" s="1150"/>
      <c r="B1074" s="270"/>
      <c r="C1074" s="787" t="str">
        <f>C1059</f>
        <v>liTonis kvadratuli mili 40*60*3</v>
      </c>
      <c r="D1074" s="270" t="s">
        <v>40</v>
      </c>
      <c r="E1074" s="327"/>
      <c r="F1074" s="486">
        <f>E1060</f>
        <v>0.15527457000000003</v>
      </c>
      <c r="G1074" s="293"/>
      <c r="H1074" s="30"/>
      <c r="I1074" s="496"/>
      <c r="J1074" s="30"/>
      <c r="K1074" s="496"/>
      <c r="L1074" s="30"/>
      <c r="M1074" s="491"/>
      <c r="N1074" s="510"/>
    </row>
    <row r="1075" spans="1:14" s="72" customFormat="1" hidden="1">
      <c r="A1075" s="1150"/>
      <c r="B1075" s="270"/>
      <c r="C1075" s="787" t="str">
        <f>C1061</f>
        <v>kv mili 20*40*3</v>
      </c>
      <c r="D1075" s="270" t="s">
        <v>40</v>
      </c>
      <c r="E1075" s="327"/>
      <c r="F1075" s="486">
        <f>E1062</f>
        <v>0</v>
      </c>
      <c r="G1075" s="293"/>
      <c r="H1075" s="30"/>
      <c r="I1075" s="496"/>
      <c r="J1075" s="30"/>
      <c r="K1075" s="496"/>
      <c r="L1075" s="30"/>
      <c r="M1075" s="491"/>
      <c r="N1075" s="510"/>
    </row>
    <row r="1076" spans="1:14" s="72" customFormat="1">
      <c r="A1076" s="1150"/>
      <c r="B1076" s="270"/>
      <c r="C1076" s="787" t="str">
        <f>C1063</f>
        <v>foladis furceli sisqiT 6mm</v>
      </c>
      <c r="D1076" s="270" t="s">
        <v>40</v>
      </c>
      <c r="E1076" s="327"/>
      <c r="F1076" s="486">
        <f>E1064</f>
        <v>3.1262154000000007E-2</v>
      </c>
      <c r="G1076" s="293"/>
      <c r="H1076" s="30"/>
      <c r="I1076" s="496"/>
      <c r="J1076" s="30"/>
      <c r="K1076" s="496"/>
      <c r="L1076" s="30"/>
      <c r="M1076" s="491"/>
      <c r="N1076" s="510"/>
    </row>
    <row r="1077" spans="1:14" s="72" customFormat="1">
      <c r="A1077" s="1150"/>
      <c r="B1077" s="270"/>
      <c r="C1077" s="781" t="str">
        <f>C1065</f>
        <v>liTonis ankeri d-12 L=300mm</v>
      </c>
      <c r="D1077" s="270" t="s">
        <v>52</v>
      </c>
      <c r="E1077" s="476"/>
      <c r="F1077" s="486">
        <f>E1065</f>
        <v>40</v>
      </c>
      <c r="G1077" s="293"/>
      <c r="H1077" s="30"/>
      <c r="I1077" s="496"/>
      <c r="J1077" s="30"/>
      <c r="K1077" s="496"/>
      <c r="L1077" s="30"/>
      <c r="M1077" s="491"/>
      <c r="N1077" s="510"/>
    </row>
    <row r="1078" spans="1:14" s="72" customFormat="1" hidden="1">
      <c r="A1078" s="1150"/>
      <c r="B1078" s="270"/>
      <c r="C1078" s="788" t="str">
        <f>C1067</f>
        <v>foladis bagiri  d-10.5</v>
      </c>
      <c r="D1078" s="270" t="s">
        <v>43</v>
      </c>
      <c r="E1078" s="476"/>
      <c r="F1078" s="486">
        <f>E1067</f>
        <v>0</v>
      </c>
      <c r="G1078" s="293"/>
      <c r="H1078" s="30"/>
      <c r="I1078" s="496"/>
      <c r="J1078" s="30"/>
      <c r="K1078" s="496"/>
      <c r="L1078" s="30"/>
      <c r="M1078" s="491"/>
      <c r="N1078" s="510"/>
    </row>
    <row r="1079" spans="1:14" s="72" customFormat="1" hidden="1">
      <c r="A1079" s="1150"/>
      <c r="B1079" s="270"/>
      <c r="C1079" s="787" t="s">
        <v>45</v>
      </c>
      <c r="D1079" s="270" t="s">
        <v>7</v>
      </c>
      <c r="E1079" s="327" t="s">
        <v>332</v>
      </c>
      <c r="F1079" s="489">
        <v>0</v>
      </c>
      <c r="G1079" s="293"/>
      <c r="H1079" s="30"/>
      <c r="I1079" s="496"/>
      <c r="J1079" s="30"/>
      <c r="K1079" s="496"/>
      <c r="L1079" s="30"/>
      <c r="M1079" s="491"/>
      <c r="N1079" s="510"/>
    </row>
    <row r="1080" spans="1:14" s="72" customFormat="1">
      <c r="A1080" s="1151"/>
      <c r="B1080" s="270"/>
      <c r="C1080" s="781" t="s">
        <v>50</v>
      </c>
      <c r="D1080" s="270" t="s">
        <v>9</v>
      </c>
      <c r="E1080" s="327">
        <v>2.78</v>
      </c>
      <c r="F1080" s="486">
        <f>F1069*E1080</f>
        <v>0.75994281272000008</v>
      </c>
      <c r="G1080" s="293"/>
      <c r="H1080" s="30"/>
      <c r="I1080" s="496"/>
      <c r="J1080" s="30"/>
      <c r="K1080" s="496"/>
      <c r="L1080" s="30"/>
      <c r="M1080" s="491"/>
      <c r="N1080" s="510"/>
    </row>
    <row r="1081" spans="1:14" s="72" customFormat="1" ht="31.5">
      <c r="A1081" s="1143" t="s">
        <v>189</v>
      </c>
      <c r="B1081" s="497" t="s">
        <v>27</v>
      </c>
      <c r="C1081" s="789" t="s">
        <v>166</v>
      </c>
      <c r="D1081" s="497" t="s">
        <v>30</v>
      </c>
      <c r="E1081" s="498"/>
      <c r="F1081" s="499">
        <f>(0.1+0.1)*2*E1057/1.1+(0.04+0.06)*2*E1059/1.1+E1063/1.1</f>
        <v>8.1974</v>
      </c>
      <c r="G1081" s="293"/>
      <c r="H1081" s="293"/>
      <c r="I1081" s="293"/>
      <c r="J1081" s="293"/>
      <c r="K1081" s="293"/>
      <c r="L1081" s="293"/>
      <c r="M1081" s="491"/>
      <c r="N1081" s="510"/>
    </row>
    <row r="1082" spans="1:14" s="72" customFormat="1">
      <c r="A1082" s="1144"/>
      <c r="B1082" s="500"/>
      <c r="C1082" s="790" t="s">
        <v>38</v>
      </c>
      <c r="D1082" s="501" t="s">
        <v>12</v>
      </c>
      <c r="E1082" s="502">
        <f>68*0.01</f>
        <v>0.68</v>
      </c>
      <c r="F1082" s="503">
        <f>F1081*E1082</f>
        <v>5.5742320000000003</v>
      </c>
      <c r="G1082" s="293"/>
      <c r="H1082" s="293"/>
      <c r="I1082" s="293"/>
      <c r="J1082" s="293"/>
      <c r="K1082" s="293"/>
      <c r="L1082" s="293"/>
      <c r="M1082" s="491"/>
      <c r="N1082" s="510"/>
    </row>
    <row r="1083" spans="1:14" s="72" customFormat="1">
      <c r="A1083" s="1144"/>
      <c r="B1083" s="497"/>
      <c r="C1083" s="791" t="s">
        <v>11</v>
      </c>
      <c r="D1083" s="504" t="s">
        <v>9</v>
      </c>
      <c r="E1083" s="505">
        <f>0.03*0.01</f>
        <v>2.9999999999999997E-4</v>
      </c>
      <c r="F1083" s="506">
        <f>F1081*E1083</f>
        <v>2.4592199999999998E-3</v>
      </c>
      <c r="G1083" s="293"/>
      <c r="H1083" s="293"/>
      <c r="I1083" s="293"/>
      <c r="J1083" s="293"/>
      <c r="K1083" s="293"/>
      <c r="L1083" s="293"/>
      <c r="M1083" s="491"/>
      <c r="N1083" s="510"/>
    </row>
    <row r="1084" spans="1:14" s="72" customFormat="1">
      <c r="A1084" s="1144"/>
      <c r="B1084" s="497"/>
      <c r="C1084" s="791" t="s">
        <v>49</v>
      </c>
      <c r="D1084" s="507" t="s">
        <v>76</v>
      </c>
      <c r="E1084" s="498">
        <v>0.35</v>
      </c>
      <c r="F1084" s="508">
        <f>E1084*F1081</f>
        <v>2.8690899999999999</v>
      </c>
      <c r="G1084" s="293"/>
      <c r="H1084" s="293"/>
      <c r="I1084" s="293"/>
      <c r="J1084" s="293"/>
      <c r="K1084" s="293"/>
      <c r="L1084" s="293"/>
      <c r="M1084" s="491"/>
      <c r="N1084" s="510"/>
    </row>
    <row r="1085" spans="1:14" s="72" customFormat="1">
      <c r="A1085" s="1144"/>
      <c r="B1085" s="497"/>
      <c r="C1085" s="791" t="s">
        <v>134</v>
      </c>
      <c r="D1085" s="507" t="s">
        <v>76</v>
      </c>
      <c r="E1085" s="498">
        <v>2.7E-2</v>
      </c>
      <c r="F1085" s="508">
        <f>E1085*F1081</f>
        <v>0.22132979999999999</v>
      </c>
      <c r="G1085" s="293"/>
      <c r="H1085" s="293"/>
      <c r="I1085" s="293"/>
      <c r="J1085" s="293"/>
      <c r="K1085" s="293"/>
      <c r="L1085" s="293"/>
      <c r="M1085" s="491"/>
      <c r="N1085" s="510"/>
    </row>
    <row r="1086" spans="1:14" s="72" customFormat="1">
      <c r="A1086" s="1145"/>
      <c r="B1086" s="497"/>
      <c r="C1086" s="791" t="s">
        <v>13</v>
      </c>
      <c r="D1086" s="504" t="s">
        <v>9</v>
      </c>
      <c r="E1086" s="505">
        <v>1.9E-3</v>
      </c>
      <c r="F1086" s="506">
        <f>F1081*E1086</f>
        <v>1.557506E-2</v>
      </c>
      <c r="G1086" s="293"/>
      <c r="H1086" s="293"/>
      <c r="I1086" s="293"/>
      <c r="J1086" s="293"/>
      <c r="K1086" s="293"/>
      <c r="L1086" s="293"/>
      <c r="M1086" s="491"/>
      <c r="N1086" s="510"/>
    </row>
    <row r="1087" spans="1:14" s="72" customFormat="1" ht="33.75" customHeight="1">
      <c r="A1087" s="511" t="s">
        <v>190</v>
      </c>
      <c r="B1087" s="512"/>
      <c r="C1087" s="801" t="s">
        <v>336</v>
      </c>
      <c r="D1087" s="155" t="s">
        <v>47</v>
      </c>
      <c r="E1087" s="15"/>
      <c r="F1087" s="316">
        <f>1.6*4</f>
        <v>6.4</v>
      </c>
      <c r="G1087" s="13"/>
      <c r="H1087" s="293"/>
      <c r="I1087" s="13"/>
      <c r="J1087" s="293"/>
      <c r="K1087" s="13"/>
      <c r="L1087" s="156"/>
      <c r="M1087" s="491"/>
      <c r="N1087" s="510"/>
    </row>
    <row r="1088" spans="1:14" s="72" customFormat="1" ht="30" customHeight="1">
      <c r="A1088" s="511" t="s">
        <v>428</v>
      </c>
      <c r="B1088" s="512"/>
      <c r="C1088" s="801" t="s">
        <v>338</v>
      </c>
      <c r="D1088" s="155" t="s">
        <v>47</v>
      </c>
      <c r="E1088" s="15"/>
      <c r="F1088" s="316">
        <f>3.14*0.9*0.9</f>
        <v>2.5434000000000001</v>
      </c>
      <c r="G1088" s="13"/>
      <c r="H1088" s="293"/>
      <c r="I1088" s="13"/>
      <c r="J1088" s="293"/>
      <c r="K1088" s="13"/>
      <c r="L1088" s="156"/>
      <c r="M1088" s="491"/>
      <c r="N1088" s="510"/>
    </row>
    <row r="1089" spans="1:15" s="72" customFormat="1" hidden="1">
      <c r="A1089" s="513"/>
      <c r="B1089" s="514"/>
      <c r="C1089" s="618"/>
      <c r="D1089" s="424"/>
      <c r="E1089" s="401"/>
      <c r="F1089" s="411"/>
      <c r="G1089" s="412"/>
      <c r="H1089" s="13"/>
      <c r="I1089" s="13"/>
      <c r="J1089" s="13"/>
      <c r="K1089" s="13"/>
      <c r="L1089" s="13"/>
      <c r="M1089" s="412"/>
      <c r="N1089" s="510"/>
      <c r="O1089" s="393"/>
    </row>
    <row r="1090" spans="1:15" s="69" customFormat="1" ht="31.5" hidden="1">
      <c r="A1090" s="654"/>
      <c r="B1090" s="655"/>
      <c r="C1090" s="48" t="s">
        <v>590</v>
      </c>
      <c r="D1090" s="100" t="s">
        <v>52</v>
      </c>
      <c r="E1090" s="656"/>
      <c r="F1090" s="656">
        <v>0</v>
      </c>
      <c r="G1090" s="13"/>
      <c r="H1090" s="13"/>
      <c r="I1090" s="13"/>
      <c r="J1090" s="13"/>
      <c r="K1090" s="13"/>
      <c r="L1090" s="13"/>
      <c r="M1090" s="13"/>
    </row>
    <row r="1091" spans="1:15" s="69" customFormat="1" ht="31.5" hidden="1">
      <c r="A1091" s="1140" t="s">
        <v>84</v>
      </c>
      <c r="B1091" s="263" t="s">
        <v>33</v>
      </c>
      <c r="C1091" s="761" t="s">
        <v>591</v>
      </c>
      <c r="D1091" s="275" t="s">
        <v>39</v>
      </c>
      <c r="E1091" s="202"/>
      <c r="F1091" s="23">
        <f>0.7*(0.5+0.1)*2.4*F1090</f>
        <v>0</v>
      </c>
      <c r="G1091" s="13"/>
      <c r="H1091" s="30"/>
      <c r="I1091" s="13"/>
      <c r="J1091" s="30"/>
      <c r="K1091" s="13"/>
      <c r="L1091" s="30"/>
      <c r="M1091" s="30"/>
    </row>
    <row r="1092" spans="1:15" s="69" customFormat="1" ht="16.5" hidden="1">
      <c r="A1092" s="1142"/>
      <c r="B1092" s="203"/>
      <c r="C1092" s="65" t="s">
        <v>38</v>
      </c>
      <c r="D1092" s="275" t="s">
        <v>12</v>
      </c>
      <c r="E1092" s="202">
        <v>3.88</v>
      </c>
      <c r="F1092" s="202">
        <f>F1091*E1092</f>
        <v>0</v>
      </c>
      <c r="G1092" s="13"/>
      <c r="H1092" s="30"/>
      <c r="I1092" s="13"/>
      <c r="J1092" s="30"/>
      <c r="K1092" s="13"/>
      <c r="L1092" s="30"/>
      <c r="M1092" s="30"/>
    </row>
    <row r="1093" spans="1:15" s="69" customFormat="1" ht="31.5" hidden="1">
      <c r="A1093" s="1140" t="s">
        <v>69</v>
      </c>
      <c r="B1093" s="263" t="s">
        <v>37</v>
      </c>
      <c r="C1093" s="761" t="s">
        <v>592</v>
      </c>
      <c r="D1093" s="275" t="s">
        <v>39</v>
      </c>
      <c r="E1093" s="202"/>
      <c r="F1093" s="23">
        <f>0.7*2.4*0.1*F1090</f>
        <v>0</v>
      </c>
      <c r="G1093" s="13"/>
      <c r="H1093" s="30"/>
      <c r="I1093" s="13"/>
      <c r="J1093" s="30"/>
      <c r="K1093" s="13"/>
      <c r="L1093" s="30"/>
      <c r="M1093" s="30"/>
    </row>
    <row r="1094" spans="1:15" s="69" customFormat="1" ht="16.5" hidden="1">
      <c r="A1094" s="1141"/>
      <c r="B1094" s="600"/>
      <c r="C1094" s="618" t="s">
        <v>38</v>
      </c>
      <c r="D1094" s="600" t="s">
        <v>12</v>
      </c>
      <c r="E1094" s="596">
        <v>3.52</v>
      </c>
      <c r="F1094" s="596">
        <f>F1093*E1094</f>
        <v>0</v>
      </c>
      <c r="G1094" s="597"/>
      <c r="H1094" s="597"/>
      <c r="I1094" s="597"/>
      <c r="J1094" s="597"/>
      <c r="K1094" s="597"/>
      <c r="L1094" s="597"/>
      <c r="M1094" s="597"/>
    </row>
    <row r="1095" spans="1:15" s="69" customFormat="1" ht="16.5" hidden="1">
      <c r="A1095" s="1141"/>
      <c r="B1095" s="600"/>
      <c r="C1095" s="618" t="s">
        <v>11</v>
      </c>
      <c r="D1095" s="600" t="s">
        <v>9</v>
      </c>
      <c r="E1095" s="596">
        <v>1.06</v>
      </c>
      <c r="F1095" s="596">
        <f>F1093*E1095</f>
        <v>0</v>
      </c>
      <c r="G1095" s="597"/>
      <c r="H1095" s="597"/>
      <c r="I1095" s="597"/>
      <c r="J1095" s="597"/>
      <c r="K1095" s="597"/>
      <c r="L1095" s="597"/>
      <c r="M1095" s="597"/>
    </row>
    <row r="1096" spans="1:15" s="69" customFormat="1" ht="16.5" hidden="1">
      <c r="A1096" s="1141"/>
      <c r="B1096" s="600"/>
      <c r="C1096" s="618" t="s">
        <v>32</v>
      </c>
      <c r="D1096" s="600" t="s">
        <v>39</v>
      </c>
      <c r="E1096" s="596">
        <f>0.18+0.09+0.97</f>
        <v>1.24</v>
      </c>
      <c r="F1096" s="596">
        <f>F1093*E1096</f>
        <v>0</v>
      </c>
      <c r="G1096" s="597"/>
      <c r="H1096" s="597"/>
      <c r="I1096" s="597"/>
      <c r="J1096" s="597"/>
      <c r="K1096" s="597"/>
      <c r="L1096" s="597"/>
      <c r="M1096" s="597"/>
    </row>
    <row r="1097" spans="1:15" s="69" customFormat="1" ht="16.5" hidden="1">
      <c r="A1097" s="1142"/>
      <c r="B1097" s="600"/>
      <c r="C1097" s="618" t="s">
        <v>13</v>
      </c>
      <c r="D1097" s="600" t="s">
        <v>9</v>
      </c>
      <c r="E1097" s="596">
        <v>0.02</v>
      </c>
      <c r="F1097" s="596">
        <f>F1093*E1097</f>
        <v>0</v>
      </c>
      <c r="G1097" s="597"/>
      <c r="H1097" s="597"/>
      <c r="I1097" s="597"/>
      <c r="J1097" s="597"/>
      <c r="K1097" s="597"/>
      <c r="L1097" s="597"/>
      <c r="M1097" s="597"/>
    </row>
    <row r="1098" spans="1:15" s="69" customFormat="1" ht="31.5" hidden="1">
      <c r="A1098" s="1104" t="s">
        <v>85</v>
      </c>
      <c r="B1098" s="260" t="s">
        <v>593</v>
      </c>
      <c r="C1098" s="716" t="s">
        <v>594</v>
      </c>
      <c r="D1098" s="260" t="s">
        <v>39</v>
      </c>
      <c r="E1098" s="596"/>
      <c r="F1098" s="23">
        <f>0.5*0.5*2.2*F1090</f>
        <v>0</v>
      </c>
      <c r="G1098" s="13"/>
      <c r="H1098" s="30"/>
      <c r="I1098" s="13"/>
      <c r="J1098" s="30"/>
      <c r="K1098" s="13"/>
      <c r="L1098" s="30"/>
      <c r="M1098" s="30"/>
    </row>
    <row r="1099" spans="1:15" s="69" customFormat="1" ht="16.5" hidden="1">
      <c r="A1099" s="1105"/>
      <c r="B1099" s="600"/>
      <c r="C1099" s="544" t="s">
        <v>38</v>
      </c>
      <c r="D1099" s="600" t="s">
        <v>12</v>
      </c>
      <c r="E1099" s="596">
        <v>11.1</v>
      </c>
      <c r="F1099" s="596">
        <f>F1098*E1099</f>
        <v>0</v>
      </c>
      <c r="G1099" s="269"/>
      <c r="H1099" s="30"/>
      <c r="I1099" s="269"/>
      <c r="J1099" s="30"/>
      <c r="K1099" s="269"/>
      <c r="L1099" s="30"/>
      <c r="M1099" s="30"/>
    </row>
    <row r="1100" spans="1:15" s="69" customFormat="1" ht="16.5" hidden="1">
      <c r="A1100" s="1105"/>
      <c r="B1100" s="600"/>
      <c r="C1100" s="544" t="s">
        <v>23</v>
      </c>
      <c r="D1100" s="600" t="s">
        <v>9</v>
      </c>
      <c r="E1100" s="596">
        <v>0.96</v>
      </c>
      <c r="F1100" s="596">
        <f>F1098*E1100</f>
        <v>0</v>
      </c>
      <c r="G1100" s="269"/>
      <c r="H1100" s="30"/>
      <c r="I1100" s="269"/>
      <c r="J1100" s="30"/>
      <c r="K1100" s="269"/>
      <c r="L1100" s="30"/>
      <c r="M1100" s="30"/>
    </row>
    <row r="1101" spans="1:15" s="69" customFormat="1" ht="16.5" hidden="1">
      <c r="A1101" s="1105"/>
      <c r="B1101" s="600"/>
      <c r="C1101" s="544" t="s">
        <v>235</v>
      </c>
      <c r="D1101" s="600" t="s">
        <v>272</v>
      </c>
      <c r="E1101" s="596">
        <v>1.0149999999999999</v>
      </c>
      <c r="F1101" s="596">
        <f>F1098*E1101</f>
        <v>0</v>
      </c>
      <c r="G1101" s="269"/>
      <c r="H1101" s="30"/>
      <c r="I1101" s="269"/>
      <c r="J1101" s="30"/>
      <c r="K1101" s="269"/>
      <c r="L1101" s="30"/>
      <c r="M1101" s="30"/>
    </row>
    <row r="1102" spans="1:15" s="69" customFormat="1" ht="16.5" hidden="1">
      <c r="A1102" s="1105"/>
      <c r="B1102" s="600"/>
      <c r="C1102" s="544" t="s">
        <v>316</v>
      </c>
      <c r="D1102" s="600" t="s">
        <v>47</v>
      </c>
      <c r="E1102" s="596">
        <v>2.0499999999999998</v>
      </c>
      <c r="F1102" s="596">
        <f>F1098*E1102</f>
        <v>0</v>
      </c>
      <c r="G1102" s="269"/>
      <c r="H1102" s="30"/>
      <c r="I1102" s="269"/>
      <c r="J1102" s="30"/>
      <c r="K1102" s="269"/>
      <c r="L1102" s="30"/>
      <c r="M1102" s="30"/>
    </row>
    <row r="1103" spans="1:15" s="69" customFormat="1" ht="16.5" hidden="1">
      <c r="A1103" s="1105"/>
      <c r="B1103" s="600"/>
      <c r="C1103" s="544" t="s">
        <v>41</v>
      </c>
      <c r="D1103" s="600" t="s">
        <v>39</v>
      </c>
      <c r="E1103" s="596">
        <f>(0.3+2.78)/100</f>
        <v>3.0799999999999998E-2</v>
      </c>
      <c r="F1103" s="596">
        <f>F1098*E1103</f>
        <v>0</v>
      </c>
      <c r="G1103" s="269"/>
      <c r="H1103" s="30"/>
      <c r="I1103" s="269"/>
      <c r="J1103" s="30"/>
      <c r="K1103" s="269"/>
      <c r="L1103" s="30"/>
      <c r="M1103" s="30"/>
    </row>
    <row r="1104" spans="1:15" s="69" customFormat="1" ht="16.5" hidden="1">
      <c r="A1104" s="1105"/>
      <c r="B1104" s="600"/>
      <c r="C1104" s="544" t="s">
        <v>45</v>
      </c>
      <c r="D1104" s="600" t="s">
        <v>7</v>
      </c>
      <c r="E1104" s="596">
        <v>1.7</v>
      </c>
      <c r="F1104" s="596">
        <f>F1098*E1104</f>
        <v>0</v>
      </c>
      <c r="G1104" s="269"/>
      <c r="H1104" s="30"/>
      <c r="I1104" s="269"/>
      <c r="J1104" s="30"/>
      <c r="K1104" s="269"/>
      <c r="L1104" s="30"/>
      <c r="M1104" s="30"/>
    </row>
    <row r="1105" spans="1:15" s="69" customFormat="1" ht="16.5" hidden="1">
      <c r="A1105" s="1105"/>
      <c r="B1105" s="600"/>
      <c r="C1105" s="544" t="s">
        <v>13</v>
      </c>
      <c r="D1105" s="600" t="s">
        <v>9</v>
      </c>
      <c r="E1105" s="596">
        <v>7.0000000000000007E-2</v>
      </c>
      <c r="F1105" s="596">
        <f>F1098*E1105</f>
        <v>0</v>
      </c>
      <c r="G1105" s="269"/>
      <c r="H1105" s="30"/>
      <c r="I1105" s="269"/>
      <c r="J1105" s="30"/>
      <c r="K1105" s="269"/>
      <c r="L1105" s="30"/>
      <c r="M1105" s="30"/>
    </row>
    <row r="1106" spans="1:15" s="69" customFormat="1" ht="16.5" hidden="1">
      <c r="A1106" s="1105"/>
      <c r="B1106" s="600"/>
      <c r="C1106" s="793" t="s">
        <v>595</v>
      </c>
      <c r="D1106" s="600" t="s">
        <v>40</v>
      </c>
      <c r="E1106" s="24"/>
      <c r="F1106" s="57">
        <f>(0.018+0.013)*F1090</f>
        <v>0</v>
      </c>
      <c r="G1106" s="293"/>
      <c r="H1106" s="30"/>
      <c r="I1106" s="269"/>
      <c r="J1106" s="30"/>
      <c r="K1106" s="269"/>
      <c r="L1106" s="30"/>
      <c r="M1106" s="30"/>
    </row>
    <row r="1107" spans="1:15" s="69" customFormat="1" ht="16.5" hidden="1">
      <c r="A1107" s="1105"/>
      <c r="B1107" s="275"/>
      <c r="C1107" s="65" t="s">
        <v>596</v>
      </c>
      <c r="D1107" s="275" t="s">
        <v>40</v>
      </c>
      <c r="E1107" s="595"/>
      <c r="F1107" s="657">
        <f>0.01*F1090</f>
        <v>0</v>
      </c>
      <c r="G1107" s="13"/>
      <c r="H1107" s="13"/>
      <c r="I1107" s="13"/>
      <c r="J1107" s="13"/>
      <c r="K1107" s="13"/>
      <c r="L1107" s="13"/>
      <c r="M1107" s="13"/>
    </row>
    <row r="1108" spans="1:15" s="69" customFormat="1" ht="31.5" hidden="1">
      <c r="A1108" s="1106"/>
      <c r="B1108" s="275"/>
      <c r="C1108" s="65" t="s">
        <v>597</v>
      </c>
      <c r="D1108" s="275" t="s">
        <v>52</v>
      </c>
      <c r="E1108" s="595"/>
      <c r="F1108" s="657">
        <f>8*F1090</f>
        <v>0</v>
      </c>
      <c r="G1108" s="13"/>
      <c r="H1108" s="13"/>
      <c r="I1108" s="13"/>
      <c r="J1108" s="13"/>
      <c r="K1108" s="13"/>
      <c r="L1108" s="13"/>
      <c r="M1108" s="13"/>
    </row>
    <row r="1109" spans="1:15" s="69" customFormat="1" ht="16.5" hidden="1">
      <c r="A1109" s="1121" t="s">
        <v>79</v>
      </c>
      <c r="B1109" s="271" t="s">
        <v>598</v>
      </c>
      <c r="C1109" s="761" t="s">
        <v>599</v>
      </c>
      <c r="D1109" s="275" t="s">
        <v>47</v>
      </c>
      <c r="E1109" s="658"/>
      <c r="F1109" s="659">
        <f>(0.5+2.2)*2*0.5*F1090</f>
        <v>0</v>
      </c>
      <c r="G1109" s="660"/>
      <c r="H1109" s="661"/>
      <c r="I1109" s="660"/>
      <c r="J1109" s="661"/>
      <c r="K1109" s="660"/>
      <c r="L1109" s="660"/>
      <c r="M1109" s="660"/>
    </row>
    <row r="1110" spans="1:15" s="69" customFormat="1" ht="16.5" hidden="1">
      <c r="A1110" s="1123"/>
      <c r="B1110" s="40"/>
      <c r="C1110" s="65" t="s">
        <v>321</v>
      </c>
      <c r="D1110" s="275" t="s">
        <v>21</v>
      </c>
      <c r="E1110" s="595">
        <f>(19.2+5.97)/100</f>
        <v>0.25169999999999998</v>
      </c>
      <c r="F1110" s="595">
        <f>F1109*E1110</f>
        <v>0</v>
      </c>
      <c r="G1110" s="156"/>
      <c r="H1110" s="156"/>
      <c r="I1110" s="156"/>
      <c r="J1110" s="156"/>
      <c r="K1110" s="156"/>
      <c r="L1110" s="156"/>
      <c r="M1110" s="156"/>
    </row>
    <row r="1111" spans="1:15" s="69" customFormat="1" ht="16.5" hidden="1">
      <c r="A1111" s="1123"/>
      <c r="B1111" s="40"/>
      <c r="C1111" s="547" t="s">
        <v>23</v>
      </c>
      <c r="D1111" s="40" t="s">
        <v>9</v>
      </c>
      <c r="E1111" s="602">
        <f>(0.59+0.24)/100</f>
        <v>8.3000000000000001E-3</v>
      </c>
      <c r="F1111" s="602">
        <f>F1109*E1111</f>
        <v>0</v>
      </c>
      <c r="G1111" s="293"/>
      <c r="H1111" s="492"/>
      <c r="I1111" s="293"/>
      <c r="J1111" s="293"/>
      <c r="K1111" s="293"/>
      <c r="L1111" s="293"/>
      <c r="M1111" s="156"/>
    </row>
    <row r="1112" spans="1:15" s="69" customFormat="1" ht="16.5" hidden="1">
      <c r="A1112" s="1123"/>
      <c r="B1112" s="40"/>
      <c r="C1112" s="547" t="s">
        <v>322</v>
      </c>
      <c r="D1112" s="40" t="s">
        <v>7</v>
      </c>
      <c r="E1112" s="602">
        <f>(0.29+0.14)*1000/100</f>
        <v>4.3</v>
      </c>
      <c r="F1112" s="602">
        <f>E1112*F1109</f>
        <v>0</v>
      </c>
      <c r="G1112" s="667"/>
      <c r="H1112" s="293"/>
      <c r="I1112" s="293"/>
      <c r="J1112" s="293"/>
      <c r="K1112" s="293"/>
      <c r="L1112" s="293"/>
      <c r="M1112" s="293"/>
    </row>
    <row r="1113" spans="1:15" s="69" customFormat="1" ht="16.5" hidden="1">
      <c r="A1113" s="1123"/>
      <c r="B1113" s="40"/>
      <c r="C1113" s="547" t="s">
        <v>323</v>
      </c>
      <c r="D1113" s="40" t="s">
        <v>7</v>
      </c>
      <c r="E1113" s="602">
        <v>0.76</v>
      </c>
      <c r="F1113" s="602">
        <f>E1113*F1109</f>
        <v>0</v>
      </c>
      <c r="G1113" s="667"/>
      <c r="H1113" s="293"/>
      <c r="I1113" s="293"/>
      <c r="J1113" s="293"/>
      <c r="K1113" s="293"/>
      <c r="L1113" s="293"/>
      <c r="M1113" s="293"/>
    </row>
    <row r="1114" spans="1:15" s="69" customFormat="1" ht="16.5" hidden="1">
      <c r="A1114" s="1122"/>
      <c r="B1114" s="40"/>
      <c r="C1114" s="547" t="s">
        <v>324</v>
      </c>
      <c r="D1114" s="40" t="s">
        <v>325</v>
      </c>
      <c r="E1114" s="602">
        <v>1.9E-3</v>
      </c>
      <c r="F1114" s="602">
        <f>E1114*F1109</f>
        <v>0</v>
      </c>
      <c r="G1114" s="293"/>
      <c r="H1114" s="293"/>
      <c r="I1114" s="293"/>
      <c r="J1114" s="293"/>
      <c r="K1114" s="293"/>
      <c r="L1114" s="293"/>
      <c r="M1114" s="293"/>
    </row>
    <row r="1115" spans="1:15" s="69" customFormat="1" ht="16.5" hidden="1">
      <c r="A1115" s="1121" t="s">
        <v>80</v>
      </c>
      <c r="B1115" s="271" t="s">
        <v>63</v>
      </c>
      <c r="C1115" s="878" t="s">
        <v>164</v>
      </c>
      <c r="D1115" s="275" t="s">
        <v>39</v>
      </c>
      <c r="E1115" s="662"/>
      <c r="F1115" s="282">
        <f>((2.4+0.7)*2*0.1*0.5)*F1090</f>
        <v>0</v>
      </c>
      <c r="G1115" s="661"/>
      <c r="H1115" s="661"/>
      <c r="I1115" s="661"/>
      <c r="J1115" s="661"/>
      <c r="K1115" s="661"/>
      <c r="L1115" s="661"/>
      <c r="M1115" s="660"/>
    </row>
    <row r="1116" spans="1:15" s="69" customFormat="1" ht="16.5" hidden="1">
      <c r="A1116" s="1122"/>
      <c r="B1116" s="271"/>
      <c r="C1116" s="65" t="s">
        <v>38</v>
      </c>
      <c r="D1116" s="275" t="s">
        <v>12</v>
      </c>
      <c r="E1116" s="663">
        <v>1.21</v>
      </c>
      <c r="F1116" s="664">
        <f>F1115*E1116</f>
        <v>0</v>
      </c>
      <c r="G1116" s="661"/>
      <c r="H1116" s="661"/>
      <c r="I1116" s="661"/>
      <c r="J1116" s="661"/>
      <c r="K1116" s="661"/>
      <c r="L1116" s="661"/>
      <c r="M1116" s="660"/>
    </row>
    <row r="1117" spans="1:15" s="69" customFormat="1" ht="31.5" hidden="1">
      <c r="A1117" s="1104" t="s">
        <v>81</v>
      </c>
      <c r="B1117" s="665" t="s">
        <v>82</v>
      </c>
      <c r="C1117" s="752" t="s">
        <v>122</v>
      </c>
      <c r="D1117" s="191" t="s">
        <v>125</v>
      </c>
      <c r="E1117" s="666"/>
      <c r="F1117" s="193">
        <f>(F1091-F1115)*1.95</f>
        <v>0</v>
      </c>
      <c r="G1117" s="597"/>
      <c r="H1117" s="13"/>
      <c r="I1117" s="597"/>
      <c r="J1117" s="13"/>
      <c r="K1117" s="597"/>
      <c r="L1117" s="13"/>
      <c r="M1117" s="13"/>
    </row>
    <row r="1118" spans="1:15" s="69" customFormat="1" ht="16.5" hidden="1">
      <c r="A1118" s="1105"/>
      <c r="B1118" s="600"/>
      <c r="C1118" s="621" t="s">
        <v>54</v>
      </c>
      <c r="D1118" s="44" t="s">
        <v>12</v>
      </c>
      <c r="E1118" s="615">
        <v>0.53</v>
      </c>
      <c r="F1118" s="252">
        <f>F1117*E1118</f>
        <v>0</v>
      </c>
      <c r="G1118" s="597"/>
      <c r="H1118" s="13"/>
      <c r="I1118" s="597"/>
      <c r="J1118" s="13"/>
      <c r="K1118" s="597"/>
      <c r="L1118" s="13"/>
      <c r="M1118" s="13"/>
    </row>
    <row r="1119" spans="1:15" s="69" customFormat="1" ht="31.5" hidden="1">
      <c r="A1119" s="1106"/>
      <c r="B1119" s="600" t="s">
        <v>600</v>
      </c>
      <c r="C1119" s="878" t="s">
        <v>233</v>
      </c>
      <c r="D1119" s="260" t="s">
        <v>40</v>
      </c>
      <c r="E1119" s="24"/>
      <c r="F1119" s="24">
        <f>F1117</f>
        <v>0</v>
      </c>
      <c r="G1119" s="597"/>
      <c r="H1119" s="13"/>
      <c r="I1119" s="597"/>
      <c r="J1119" s="13"/>
      <c r="K1119" s="22"/>
      <c r="L1119" s="13"/>
      <c r="M1119" s="13"/>
    </row>
    <row r="1120" spans="1:15" s="72" customFormat="1" hidden="1">
      <c r="A1120" s="653"/>
      <c r="B1120" s="397"/>
      <c r="C1120" s="618"/>
      <c r="D1120" s="600"/>
      <c r="E1120" s="401"/>
      <c r="F1120" s="596"/>
      <c r="G1120" s="597"/>
      <c r="H1120" s="13"/>
      <c r="I1120" s="13"/>
      <c r="J1120" s="13"/>
      <c r="K1120" s="13"/>
      <c r="L1120" s="13"/>
      <c r="M1120" s="597"/>
      <c r="N1120" s="510"/>
      <c r="O1120" s="393"/>
    </row>
    <row r="1121" spans="1:14" s="69" customFormat="1" ht="16.5">
      <c r="A1121" s="436"/>
      <c r="B1121" s="553"/>
      <c r="C1121" s="48" t="s">
        <v>419</v>
      </c>
      <c r="D1121" s="77" t="s">
        <v>47</v>
      </c>
      <c r="E1121" s="396"/>
      <c r="F1121" s="48">
        <v>145</v>
      </c>
      <c r="G1121" s="412"/>
      <c r="H1121" s="412"/>
      <c r="I1121" s="412"/>
      <c r="J1121" s="412"/>
      <c r="K1121" s="412"/>
      <c r="L1121" s="412"/>
      <c r="M1121" s="412"/>
      <c r="N1121" s="174"/>
    </row>
    <row r="1122" spans="1:14" s="69" customFormat="1" ht="31.5">
      <c r="A1122" s="419" t="s">
        <v>84</v>
      </c>
      <c r="B1122" s="260"/>
      <c r="C1122" s="879" t="s">
        <v>420</v>
      </c>
      <c r="D1122" s="515"/>
      <c r="E1122" s="411"/>
      <c r="F1122" s="411"/>
      <c r="G1122" s="412"/>
      <c r="H1122" s="412"/>
      <c r="I1122" s="412"/>
      <c r="J1122" s="412"/>
      <c r="K1122" s="412"/>
      <c r="L1122" s="412"/>
      <c r="M1122" s="412"/>
      <c r="N1122" s="174"/>
    </row>
    <row r="1123" spans="1:14" s="69" customFormat="1" ht="31.5">
      <c r="A1123" s="417" t="s">
        <v>51</v>
      </c>
      <c r="B1123" s="587" t="s">
        <v>421</v>
      </c>
      <c r="C1123" s="802" t="s">
        <v>634</v>
      </c>
      <c r="D1123" s="587" t="s">
        <v>40</v>
      </c>
      <c r="E1123" s="588"/>
      <c r="F1123" s="589">
        <f>F1124*1.95</f>
        <v>78</v>
      </c>
      <c r="G1123" s="20"/>
      <c r="H1123" s="412"/>
      <c r="I1123" s="412"/>
      <c r="J1123" s="412"/>
      <c r="K1123" s="21"/>
      <c r="L1123" s="412"/>
      <c r="M1123" s="412"/>
      <c r="N1123" s="174"/>
    </row>
    <row r="1124" spans="1:14" s="69" customFormat="1" ht="16.5">
      <c r="A1124" s="1115" t="s">
        <v>239</v>
      </c>
      <c r="B1124" s="587" t="s">
        <v>63</v>
      </c>
      <c r="C1124" s="803" t="s">
        <v>422</v>
      </c>
      <c r="D1124" s="587" t="s">
        <v>39</v>
      </c>
      <c r="E1124" s="588"/>
      <c r="F1124" s="24">
        <f>400*0.1</f>
        <v>40</v>
      </c>
      <c r="G1124" s="20"/>
      <c r="H1124" s="412"/>
      <c r="I1124" s="412"/>
      <c r="J1124" s="412"/>
      <c r="K1124" s="21"/>
      <c r="L1124" s="412"/>
      <c r="M1124" s="412"/>
      <c r="N1124" s="174"/>
    </row>
    <row r="1125" spans="1:14" s="69" customFormat="1" ht="16.5">
      <c r="A1125" s="1116"/>
      <c r="B1125" s="587"/>
      <c r="C1125" s="804" t="s">
        <v>35</v>
      </c>
      <c r="D1125" s="590" t="s">
        <v>36</v>
      </c>
      <c r="E1125" s="588">
        <v>1.21</v>
      </c>
      <c r="F1125" s="588">
        <f>F1124*E1125</f>
        <v>48.4</v>
      </c>
      <c r="G1125" s="20"/>
      <c r="H1125" s="412"/>
      <c r="I1125" s="20"/>
      <c r="J1125" s="412"/>
      <c r="K1125" s="21"/>
      <c r="L1125" s="412"/>
      <c r="M1125" s="412"/>
      <c r="N1125" s="174"/>
    </row>
    <row r="1126" spans="1:14" s="69" customFormat="1" ht="16.5">
      <c r="A1126" s="1152" t="s">
        <v>69</v>
      </c>
      <c r="B1126" s="93" t="s">
        <v>423</v>
      </c>
      <c r="C1126" s="756" t="s">
        <v>424</v>
      </c>
      <c r="D1126" s="93" t="s">
        <v>30</v>
      </c>
      <c r="E1126" s="46"/>
      <c r="F1126" s="46">
        <f>F1121</f>
        <v>145</v>
      </c>
      <c r="G1126" s="412"/>
      <c r="H1126" s="412"/>
      <c r="I1126" s="412"/>
      <c r="J1126" s="412"/>
      <c r="K1126" s="412"/>
      <c r="L1126" s="412"/>
      <c r="M1126" s="412"/>
      <c r="N1126" s="174"/>
    </row>
    <row r="1127" spans="1:14" s="69" customFormat="1" ht="16.5">
      <c r="A1127" s="1153"/>
      <c r="B1127" s="93"/>
      <c r="C1127" s="747" t="s">
        <v>38</v>
      </c>
      <c r="D1127" s="424" t="s">
        <v>12</v>
      </c>
      <c r="E1127" s="89">
        <f>38.3*0.01</f>
        <v>0.38300000000000001</v>
      </c>
      <c r="F1127" s="89">
        <f>F1126*E1127</f>
        <v>55.535000000000004</v>
      </c>
      <c r="G1127" s="412"/>
      <c r="H1127" s="412"/>
      <c r="I1127" s="412"/>
      <c r="J1127" s="412"/>
      <c r="K1127" s="412"/>
      <c r="L1127" s="412"/>
      <c r="M1127" s="412"/>
      <c r="N1127" s="174"/>
    </row>
    <row r="1128" spans="1:14" s="69" customFormat="1" ht="15.75" customHeight="1">
      <c r="A1128" s="1154"/>
      <c r="B1128" s="93" t="s">
        <v>24</v>
      </c>
      <c r="C1128" s="747" t="s">
        <v>587</v>
      </c>
      <c r="D1128" s="405" t="s">
        <v>76</v>
      </c>
      <c r="E1128" s="89">
        <f>2*0.01</f>
        <v>0.02</v>
      </c>
      <c r="F1128" s="89">
        <f>E1128*F1126</f>
        <v>2.9</v>
      </c>
      <c r="G1128" s="412"/>
      <c r="H1128" s="412"/>
      <c r="I1128" s="412"/>
      <c r="J1128" s="412"/>
      <c r="K1128" s="412"/>
      <c r="L1128" s="412"/>
      <c r="M1128" s="412"/>
      <c r="N1128" s="174"/>
    </row>
    <row r="1129" spans="1:14" s="69" customFormat="1" ht="16.5" hidden="1">
      <c r="A1129" s="586"/>
      <c r="B1129" s="93"/>
      <c r="C1129" s="747"/>
      <c r="D1129" s="405"/>
      <c r="E1129" s="89"/>
      <c r="F1129" s="89"/>
      <c r="G1129" s="412"/>
      <c r="H1129" s="412"/>
      <c r="I1129" s="412"/>
      <c r="J1129" s="412"/>
      <c r="K1129" s="412"/>
      <c r="L1129" s="412"/>
      <c r="M1129" s="412"/>
      <c r="N1129" s="174"/>
    </row>
    <row r="1130" spans="1:14" s="69" customFormat="1" ht="16.5">
      <c r="A1130" s="415" t="s">
        <v>85</v>
      </c>
      <c r="B1130" s="260"/>
      <c r="C1130" s="797" t="s">
        <v>425</v>
      </c>
      <c r="D1130" s="260"/>
      <c r="E1130" s="24"/>
      <c r="F1130" s="24"/>
      <c r="G1130" s="414"/>
      <c r="H1130" s="412"/>
      <c r="I1130" s="412"/>
      <c r="J1130" s="412"/>
      <c r="K1130" s="412"/>
      <c r="L1130" s="412"/>
      <c r="M1130" s="412"/>
      <c r="N1130" s="174"/>
    </row>
    <row r="1131" spans="1:14" s="69" customFormat="1" ht="161.25" customHeight="1">
      <c r="A1131" s="1104"/>
      <c r="B1131" s="79" t="s">
        <v>84</v>
      </c>
      <c r="C1131" s="805" t="s">
        <v>918</v>
      </c>
      <c r="D1131" s="591" t="s">
        <v>52</v>
      </c>
      <c r="E1131" s="592">
        <v>2</v>
      </c>
      <c r="F1131" s="57"/>
      <c r="G1131" s="338"/>
      <c r="H1131" s="338"/>
      <c r="I1131" s="338"/>
      <c r="J1131" s="338"/>
      <c r="K1131" s="338"/>
      <c r="L1131" s="338"/>
      <c r="M1131" s="338"/>
      <c r="N1131" s="174"/>
    </row>
    <row r="1132" spans="1:14" s="69" customFormat="1" ht="126" hidden="1">
      <c r="A1132" s="1105"/>
      <c r="B1132" s="79" t="s">
        <v>69</v>
      </c>
      <c r="C1132" s="805" t="s">
        <v>736</v>
      </c>
      <c r="D1132" s="591" t="s">
        <v>52</v>
      </c>
      <c r="E1132" s="592"/>
      <c r="F1132" s="57"/>
      <c r="G1132" s="338"/>
      <c r="H1132" s="338"/>
      <c r="I1132" s="338"/>
      <c r="J1132" s="338"/>
      <c r="K1132" s="338"/>
      <c r="L1132" s="338"/>
      <c r="M1132" s="338"/>
      <c r="N1132" s="174"/>
    </row>
    <row r="1133" spans="1:14" s="69" customFormat="1" ht="47.25" hidden="1">
      <c r="A1133" s="1105"/>
      <c r="B1133" s="79" t="s">
        <v>85</v>
      </c>
      <c r="C1133" s="805" t="s">
        <v>442</v>
      </c>
      <c r="D1133" s="591" t="s">
        <v>52</v>
      </c>
      <c r="E1133" s="592"/>
      <c r="F1133" s="57"/>
      <c r="G1133" s="338"/>
      <c r="H1133" s="338"/>
      <c r="I1133" s="338"/>
      <c r="J1133" s="338"/>
      <c r="K1133" s="338"/>
      <c r="L1133" s="338"/>
      <c r="M1133" s="338"/>
      <c r="N1133" s="174"/>
    </row>
    <row r="1134" spans="1:14" s="69" customFormat="1" ht="16.5" hidden="1">
      <c r="A1134" s="1105"/>
      <c r="B1134" s="79" t="s">
        <v>79</v>
      </c>
      <c r="C1134" s="805" t="s">
        <v>443</v>
      </c>
      <c r="D1134" s="591" t="s">
        <v>52</v>
      </c>
      <c r="E1134" s="592"/>
      <c r="F1134" s="57"/>
      <c r="G1134" s="338"/>
      <c r="H1134" s="338"/>
      <c r="I1134" s="338"/>
      <c r="J1134" s="338"/>
      <c r="K1134" s="338"/>
      <c r="L1134" s="338"/>
      <c r="M1134" s="338"/>
      <c r="N1134" s="174"/>
    </row>
    <row r="1135" spans="1:14" s="69" customFormat="1" ht="16.5" hidden="1">
      <c r="A1135" s="1105"/>
      <c r="B1135" s="79" t="s">
        <v>80</v>
      </c>
      <c r="C1135" s="805" t="s">
        <v>444</v>
      </c>
      <c r="D1135" s="591" t="s">
        <v>52</v>
      </c>
      <c r="E1135" s="592"/>
      <c r="F1135" s="57"/>
      <c r="G1135" s="338"/>
      <c r="H1135" s="338"/>
      <c r="I1135" s="338"/>
      <c r="J1135" s="338"/>
      <c r="K1135" s="338"/>
      <c r="L1135" s="338"/>
      <c r="M1135" s="338"/>
      <c r="N1135" s="174"/>
    </row>
    <row r="1136" spans="1:14" s="69" customFormat="1" ht="16.5" hidden="1">
      <c r="A1136" s="1105"/>
      <c r="B1136" s="79" t="s">
        <v>81</v>
      </c>
      <c r="C1136" s="805" t="s">
        <v>445</v>
      </c>
      <c r="D1136" s="591" t="s">
        <v>52</v>
      </c>
      <c r="E1136" s="592"/>
      <c r="F1136" s="57"/>
      <c r="G1136" s="338"/>
      <c r="H1136" s="338"/>
      <c r="I1136" s="338"/>
      <c r="J1136" s="338"/>
      <c r="K1136" s="338"/>
      <c r="L1136" s="338"/>
      <c r="M1136" s="338"/>
      <c r="N1136" s="174"/>
    </row>
    <row r="1137" spans="1:14" s="69" customFormat="1" ht="16.5" hidden="1">
      <c r="A1137" s="1105"/>
      <c r="B1137" s="79" t="s">
        <v>77</v>
      </c>
      <c r="C1137" s="805" t="s">
        <v>446</v>
      </c>
      <c r="D1137" s="591" t="s">
        <v>52</v>
      </c>
      <c r="E1137" s="592"/>
      <c r="F1137" s="57"/>
      <c r="G1137" s="338"/>
      <c r="H1137" s="338"/>
      <c r="I1137" s="338"/>
      <c r="J1137" s="338"/>
      <c r="K1137" s="338"/>
      <c r="L1137" s="338"/>
      <c r="M1137" s="338"/>
      <c r="N1137" s="174"/>
    </row>
    <row r="1138" spans="1:14" s="69" customFormat="1" ht="16.5" hidden="1">
      <c r="A1138" s="1105"/>
      <c r="B1138" s="79" t="s">
        <v>42</v>
      </c>
      <c r="C1138" s="805" t="s">
        <v>447</v>
      </c>
      <c r="D1138" s="591" t="s">
        <v>52</v>
      </c>
      <c r="E1138" s="592"/>
      <c r="F1138" s="57"/>
      <c r="G1138" s="338"/>
      <c r="H1138" s="338"/>
      <c r="I1138" s="338"/>
      <c r="J1138" s="338"/>
      <c r="K1138" s="338"/>
      <c r="L1138" s="338"/>
      <c r="M1138" s="338"/>
      <c r="N1138" s="174"/>
    </row>
    <row r="1139" spans="1:14" s="69" customFormat="1" ht="126" hidden="1">
      <c r="A1139" s="1105"/>
      <c r="B1139" s="79" t="s">
        <v>46</v>
      </c>
      <c r="C1139" s="805" t="s">
        <v>737</v>
      </c>
      <c r="D1139" s="591" t="s">
        <v>52</v>
      </c>
      <c r="E1139" s="592"/>
      <c r="F1139" s="57"/>
      <c r="G1139" s="338"/>
      <c r="H1139" s="338"/>
      <c r="I1139" s="338"/>
      <c r="J1139" s="338"/>
      <c r="K1139" s="338"/>
      <c r="L1139" s="338"/>
      <c r="M1139" s="338"/>
      <c r="N1139" s="174"/>
    </row>
    <row r="1140" spans="1:14" s="69" customFormat="1" ht="16.5" hidden="1">
      <c r="A1140" s="1105"/>
      <c r="B1140" s="79" t="s">
        <v>48</v>
      </c>
      <c r="C1140" s="805" t="s">
        <v>448</v>
      </c>
      <c r="D1140" s="591" t="s">
        <v>52</v>
      </c>
      <c r="E1140" s="592"/>
      <c r="F1140" s="57"/>
      <c r="G1140" s="338"/>
      <c r="H1140" s="338"/>
      <c r="I1140" s="338"/>
      <c r="J1140" s="338"/>
      <c r="K1140" s="338"/>
      <c r="L1140" s="338"/>
      <c r="M1140" s="338"/>
      <c r="N1140" s="174"/>
    </row>
    <row r="1141" spans="1:14" s="69" customFormat="1" ht="16.5" hidden="1">
      <c r="A1141" s="1105"/>
      <c r="B1141" s="79" t="s">
        <v>159</v>
      </c>
      <c r="C1141" s="806" t="s">
        <v>449</v>
      </c>
      <c r="D1141" s="591" t="s">
        <v>52</v>
      </c>
      <c r="E1141" s="592"/>
      <c r="F1141" s="57"/>
      <c r="G1141" s="338"/>
      <c r="H1141" s="338"/>
      <c r="I1141" s="338"/>
      <c r="J1141" s="338"/>
      <c r="K1141" s="338"/>
      <c r="L1141" s="338"/>
      <c r="M1141" s="338"/>
      <c r="N1141" s="174"/>
    </row>
    <row r="1142" spans="1:14" s="69" customFormat="1" ht="31.5" hidden="1">
      <c r="A1142" s="1105"/>
      <c r="B1142" s="79" t="s">
        <v>53</v>
      </c>
      <c r="C1142" s="806" t="s">
        <v>450</v>
      </c>
      <c r="D1142" s="591" t="s">
        <v>52</v>
      </c>
      <c r="E1142" s="592"/>
      <c r="F1142" s="411"/>
      <c r="G1142" s="338"/>
      <c r="H1142" s="338"/>
      <c r="I1142" s="338"/>
      <c r="J1142" s="338"/>
      <c r="K1142" s="338"/>
      <c r="L1142" s="338"/>
      <c r="M1142" s="338"/>
      <c r="N1142" s="174"/>
    </row>
    <row r="1143" spans="1:14" s="69" customFormat="1" ht="31.5" hidden="1">
      <c r="A1143" s="1105"/>
      <c r="B1143" s="79" t="s">
        <v>160</v>
      </c>
      <c r="C1143" s="805" t="s">
        <v>451</v>
      </c>
      <c r="D1143" s="591" t="s">
        <v>52</v>
      </c>
      <c r="E1143" s="592"/>
      <c r="F1143" s="411"/>
      <c r="G1143" s="338"/>
      <c r="H1143" s="338"/>
      <c r="I1143" s="338"/>
      <c r="J1143" s="338"/>
      <c r="K1143" s="338"/>
      <c r="L1143" s="338"/>
      <c r="M1143" s="338"/>
      <c r="N1143" s="174"/>
    </row>
    <row r="1144" spans="1:14" s="69" customFormat="1" ht="31.5" hidden="1">
      <c r="A1144" s="1105"/>
      <c r="B1144" s="79" t="s">
        <v>185</v>
      </c>
      <c r="C1144" s="805" t="s">
        <v>452</v>
      </c>
      <c r="D1144" s="591" t="s">
        <v>52</v>
      </c>
      <c r="E1144" s="592"/>
      <c r="F1144" s="411"/>
      <c r="G1144" s="338"/>
      <c r="H1144" s="338"/>
      <c r="I1144" s="338"/>
      <c r="J1144" s="338"/>
      <c r="K1144" s="338"/>
      <c r="L1144" s="338"/>
      <c r="M1144" s="338"/>
      <c r="N1144" s="174"/>
    </row>
    <row r="1145" spans="1:14" s="69" customFormat="1" ht="16.5" hidden="1">
      <c r="A1145" s="1105"/>
      <c r="B1145" s="79" t="s">
        <v>192</v>
      </c>
      <c r="C1145" s="805" t="s">
        <v>401</v>
      </c>
      <c r="D1145" s="591" t="s">
        <v>52</v>
      </c>
      <c r="E1145" s="592"/>
      <c r="F1145" s="411"/>
      <c r="G1145" s="338"/>
      <c r="H1145" s="338"/>
      <c r="I1145" s="338"/>
      <c r="J1145" s="338"/>
      <c r="K1145" s="338"/>
      <c r="L1145" s="338"/>
      <c r="M1145" s="338"/>
      <c r="N1145" s="174"/>
    </row>
    <row r="1146" spans="1:14" s="69" customFormat="1" ht="63.75" customHeight="1">
      <c r="A1146" s="1105"/>
      <c r="B1146" s="79" t="s">
        <v>186</v>
      </c>
      <c r="C1146" s="805" t="s">
        <v>919</v>
      </c>
      <c r="D1146" s="591" t="s">
        <v>52</v>
      </c>
      <c r="E1146" s="592">
        <v>8</v>
      </c>
      <c r="F1146" s="411"/>
      <c r="G1146" s="338"/>
      <c r="H1146" s="338"/>
      <c r="I1146" s="338"/>
      <c r="J1146" s="338"/>
      <c r="K1146" s="338"/>
      <c r="L1146" s="338"/>
      <c r="M1146" s="338"/>
      <c r="N1146" s="174"/>
    </row>
    <row r="1147" spans="1:14" s="69" customFormat="1" ht="16.5" hidden="1">
      <c r="A1147" s="1105"/>
      <c r="B1147" s="79" t="s">
        <v>188</v>
      </c>
      <c r="C1147" s="805" t="s">
        <v>426</v>
      </c>
      <c r="D1147" s="591" t="s">
        <v>52</v>
      </c>
      <c r="E1147" s="592"/>
      <c r="F1147" s="411"/>
      <c r="G1147" s="338"/>
      <c r="H1147" s="338"/>
      <c r="I1147" s="338"/>
      <c r="J1147" s="338"/>
      <c r="K1147" s="338"/>
      <c r="L1147" s="338"/>
      <c r="M1147" s="338"/>
      <c r="N1147" s="174"/>
    </row>
    <row r="1148" spans="1:14" s="69" customFormat="1" ht="47.25" hidden="1">
      <c r="A1148" s="1105"/>
      <c r="B1148" s="79" t="s">
        <v>189</v>
      </c>
      <c r="C1148" s="805" t="s">
        <v>427</v>
      </c>
      <c r="D1148" s="591" t="s">
        <v>52</v>
      </c>
      <c r="E1148" s="592"/>
      <c r="F1148" s="411"/>
      <c r="G1148" s="338"/>
      <c r="H1148" s="338"/>
      <c r="I1148" s="338"/>
      <c r="J1148" s="338"/>
      <c r="K1148" s="338"/>
      <c r="L1148" s="338"/>
      <c r="M1148" s="338"/>
      <c r="N1148" s="174"/>
    </row>
    <row r="1149" spans="1:14" s="69" customFormat="1" ht="16.5" hidden="1">
      <c r="A1149" s="1105"/>
      <c r="B1149" s="79" t="s">
        <v>190</v>
      </c>
      <c r="C1149" s="805" t="s">
        <v>403</v>
      </c>
      <c r="D1149" s="591" t="s">
        <v>52</v>
      </c>
      <c r="E1149" s="592"/>
      <c r="F1149" s="411"/>
      <c r="G1149" s="338"/>
      <c r="H1149" s="338"/>
      <c r="I1149" s="338"/>
      <c r="J1149" s="338"/>
      <c r="K1149" s="338"/>
      <c r="L1149" s="338"/>
      <c r="M1149" s="338"/>
      <c r="N1149" s="174"/>
    </row>
    <row r="1150" spans="1:14" s="69" customFormat="1" ht="16.5" hidden="1">
      <c r="A1150" s="1105"/>
      <c r="B1150" s="79" t="s">
        <v>428</v>
      </c>
      <c r="C1150" s="805" t="s">
        <v>453</v>
      </c>
      <c r="D1150" s="591" t="s">
        <v>52</v>
      </c>
      <c r="E1150" s="592"/>
      <c r="F1150" s="411"/>
      <c r="G1150" s="338"/>
      <c r="H1150" s="338"/>
      <c r="I1150" s="338"/>
      <c r="J1150" s="338"/>
      <c r="K1150" s="338"/>
      <c r="L1150" s="338"/>
      <c r="M1150" s="338"/>
      <c r="N1150" s="174"/>
    </row>
    <row r="1151" spans="1:14" s="69" customFormat="1" ht="16.5" hidden="1">
      <c r="A1151" s="1105"/>
      <c r="B1151" s="79" t="s">
        <v>429</v>
      </c>
      <c r="C1151" s="805" t="s">
        <v>454</v>
      </c>
      <c r="D1151" s="591" t="s">
        <v>52</v>
      </c>
      <c r="E1151" s="592"/>
      <c r="F1151" s="411"/>
      <c r="G1151" s="338"/>
      <c r="H1151" s="338"/>
      <c r="I1151" s="338"/>
      <c r="J1151" s="338"/>
      <c r="K1151" s="338"/>
      <c r="L1151" s="338"/>
      <c r="M1151" s="338"/>
      <c r="N1151" s="174"/>
    </row>
    <row r="1152" spans="1:14" s="69" customFormat="1" ht="16.5" hidden="1">
      <c r="A1152" s="1105"/>
      <c r="B1152" s="79" t="s">
        <v>191</v>
      </c>
      <c r="C1152" s="805" t="s">
        <v>455</v>
      </c>
      <c r="D1152" s="591" t="s">
        <v>52</v>
      </c>
      <c r="E1152" s="592"/>
      <c r="F1152" s="411"/>
      <c r="G1152" s="338"/>
      <c r="H1152" s="338"/>
      <c r="I1152" s="338"/>
      <c r="J1152" s="338"/>
      <c r="K1152" s="338"/>
      <c r="L1152" s="338"/>
      <c r="M1152" s="338"/>
      <c r="N1152" s="174"/>
    </row>
    <row r="1153" spans="1:14" s="69" customFormat="1" ht="16.5" hidden="1">
      <c r="A1153" s="1105"/>
      <c r="B1153" s="79" t="s">
        <v>430</v>
      </c>
      <c r="C1153" s="805" t="s">
        <v>404</v>
      </c>
      <c r="D1153" s="591" t="s">
        <v>52</v>
      </c>
      <c r="E1153" s="592"/>
      <c r="F1153" s="411"/>
      <c r="G1153" s="338"/>
      <c r="H1153" s="338"/>
      <c r="I1153" s="338"/>
      <c r="J1153" s="338"/>
      <c r="K1153" s="338"/>
      <c r="L1153" s="338"/>
      <c r="M1153" s="338"/>
      <c r="N1153" s="174"/>
    </row>
    <row r="1154" spans="1:14" s="69" customFormat="1" ht="16.5" hidden="1">
      <c r="A1154" s="1105"/>
      <c r="B1154" s="79" t="s">
        <v>431</v>
      </c>
      <c r="C1154" s="805" t="s">
        <v>405</v>
      </c>
      <c r="D1154" s="591" t="s">
        <v>52</v>
      </c>
      <c r="E1154" s="592"/>
      <c r="F1154" s="411"/>
      <c r="G1154" s="338"/>
      <c r="H1154" s="338"/>
      <c r="I1154" s="338"/>
      <c r="J1154" s="338"/>
      <c r="K1154" s="338"/>
      <c r="L1154" s="338"/>
      <c r="M1154" s="338"/>
      <c r="N1154" s="174"/>
    </row>
    <row r="1155" spans="1:14" s="69" customFormat="1" ht="31.5" hidden="1">
      <c r="A1155" s="1105"/>
      <c r="B1155" s="79" t="s">
        <v>432</v>
      </c>
      <c r="C1155" s="805" t="s">
        <v>433</v>
      </c>
      <c r="D1155" s="591" t="s">
        <v>52</v>
      </c>
      <c r="E1155" s="592"/>
      <c r="F1155" s="411"/>
      <c r="G1155" s="338"/>
      <c r="H1155" s="338"/>
      <c r="I1155" s="338"/>
      <c r="J1155" s="338"/>
      <c r="K1155" s="338"/>
      <c r="L1155" s="338"/>
      <c r="M1155" s="338"/>
      <c r="N1155" s="174"/>
    </row>
    <row r="1156" spans="1:14" s="69" customFormat="1" ht="16.5" hidden="1">
      <c r="A1156" s="1105"/>
      <c r="B1156" s="79" t="s">
        <v>201</v>
      </c>
      <c r="C1156" s="805" t="s">
        <v>406</v>
      </c>
      <c r="D1156" s="591" t="s">
        <v>52</v>
      </c>
      <c r="E1156" s="592"/>
      <c r="F1156" s="411"/>
      <c r="G1156" s="338"/>
      <c r="H1156" s="338"/>
      <c r="I1156" s="338"/>
      <c r="J1156" s="338"/>
      <c r="K1156" s="338"/>
      <c r="L1156" s="338"/>
      <c r="M1156" s="338"/>
      <c r="N1156" s="174"/>
    </row>
    <row r="1157" spans="1:14" s="69" customFormat="1" ht="16.5" hidden="1">
      <c r="A1157" s="1105"/>
      <c r="B1157" s="79" t="s">
        <v>163</v>
      </c>
      <c r="C1157" s="805" t="s">
        <v>407</v>
      </c>
      <c r="D1157" s="591" t="s">
        <v>52</v>
      </c>
      <c r="E1157" s="592"/>
      <c r="F1157" s="411"/>
      <c r="G1157" s="338"/>
      <c r="H1157" s="338"/>
      <c r="I1157" s="338"/>
      <c r="J1157" s="338"/>
      <c r="K1157" s="338"/>
      <c r="L1157" s="338"/>
      <c r="M1157" s="338"/>
      <c r="N1157" s="174"/>
    </row>
    <row r="1158" spans="1:14" s="69" customFormat="1" ht="16.5" hidden="1">
      <c r="A1158" s="1105"/>
      <c r="B1158" s="79" t="s">
        <v>434</v>
      </c>
      <c r="C1158" s="805" t="s">
        <v>408</v>
      </c>
      <c r="D1158" s="591" t="s">
        <v>52</v>
      </c>
      <c r="E1158" s="592"/>
      <c r="F1158" s="411"/>
      <c r="G1158" s="338"/>
      <c r="H1158" s="338"/>
      <c r="I1158" s="338"/>
      <c r="J1158" s="338"/>
      <c r="K1158" s="338"/>
      <c r="L1158" s="338"/>
      <c r="M1158" s="338"/>
      <c r="N1158" s="174"/>
    </row>
    <row r="1159" spans="1:14" s="69" customFormat="1" ht="16.5" hidden="1">
      <c r="A1159" s="1105"/>
      <c r="B1159" s="79" t="s">
        <v>435</v>
      </c>
      <c r="C1159" s="805" t="s">
        <v>436</v>
      </c>
      <c r="D1159" s="591" t="s">
        <v>52</v>
      </c>
      <c r="E1159" s="592"/>
      <c r="F1159" s="411"/>
      <c r="G1159" s="338"/>
      <c r="H1159" s="338"/>
      <c r="I1159" s="338"/>
      <c r="J1159" s="338"/>
      <c r="K1159" s="338"/>
      <c r="L1159" s="338"/>
      <c r="M1159" s="338"/>
      <c r="N1159" s="174"/>
    </row>
    <row r="1160" spans="1:14" s="69" customFormat="1" ht="122.25" customHeight="1">
      <c r="A1160" s="1105"/>
      <c r="B1160" s="79" t="s">
        <v>437</v>
      </c>
      <c r="C1160" s="805" t="s">
        <v>914</v>
      </c>
      <c r="D1160" s="591" t="s">
        <v>52</v>
      </c>
      <c r="E1160" s="592">
        <v>3</v>
      </c>
      <c r="F1160" s="411"/>
      <c r="G1160" s="338"/>
      <c r="H1160" s="338"/>
      <c r="I1160" s="338"/>
      <c r="J1160" s="338"/>
      <c r="K1160" s="338"/>
      <c r="L1160" s="338"/>
      <c r="M1160" s="338"/>
      <c r="N1160" s="174"/>
    </row>
    <row r="1161" spans="1:14" s="69" customFormat="1" ht="16.5" hidden="1">
      <c r="A1161" s="416"/>
      <c r="B1161" s="79" t="s">
        <v>337</v>
      </c>
      <c r="C1161" s="805" t="s">
        <v>409</v>
      </c>
      <c r="D1161" s="591" t="s">
        <v>52</v>
      </c>
      <c r="E1161" s="592"/>
      <c r="F1161" s="411"/>
      <c r="G1161" s="338"/>
      <c r="H1161" s="338"/>
      <c r="I1161" s="338"/>
      <c r="J1161" s="338"/>
      <c r="K1161" s="338"/>
      <c r="L1161" s="338"/>
      <c r="M1161" s="338"/>
      <c r="N1161" s="174"/>
    </row>
    <row r="1162" spans="1:14" s="69" customFormat="1" ht="16.5" hidden="1">
      <c r="A1162" s="416"/>
      <c r="B1162" s="79" t="s">
        <v>438</v>
      </c>
      <c r="C1162" s="805" t="s">
        <v>410</v>
      </c>
      <c r="D1162" s="591" t="s">
        <v>52</v>
      </c>
      <c r="E1162" s="592"/>
      <c r="F1162" s="411"/>
      <c r="G1162" s="338"/>
      <c r="H1162" s="338"/>
      <c r="I1162" s="338"/>
      <c r="J1162" s="338"/>
      <c r="K1162" s="338"/>
      <c r="L1162" s="338"/>
      <c r="M1162" s="338"/>
      <c r="N1162" s="174"/>
    </row>
    <row r="1163" spans="1:14" s="69" customFormat="1" ht="16.5" hidden="1">
      <c r="A1163" s="416"/>
      <c r="B1163" s="79" t="s">
        <v>439</v>
      </c>
      <c r="C1163" s="805" t="s">
        <v>411</v>
      </c>
      <c r="D1163" s="591" t="s">
        <v>52</v>
      </c>
      <c r="E1163" s="592"/>
      <c r="F1163" s="411"/>
      <c r="G1163" s="338"/>
      <c r="H1163" s="338"/>
      <c r="I1163" s="338"/>
      <c r="J1163" s="338"/>
      <c r="K1163" s="338"/>
      <c r="L1163" s="338"/>
      <c r="M1163" s="338"/>
      <c r="N1163" s="174"/>
    </row>
    <row r="1164" spans="1:14" s="69" customFormat="1" ht="16.5" hidden="1">
      <c r="A1164" s="416"/>
      <c r="B1164" s="79" t="s">
        <v>440</v>
      </c>
      <c r="C1164" s="805" t="s">
        <v>441</v>
      </c>
      <c r="D1164" s="591" t="s">
        <v>52</v>
      </c>
      <c r="E1164" s="592"/>
      <c r="F1164" s="411"/>
      <c r="G1164" s="338"/>
      <c r="H1164" s="338"/>
      <c r="I1164" s="338"/>
      <c r="J1164" s="338"/>
      <c r="K1164" s="338"/>
      <c r="L1164" s="338"/>
      <c r="M1164" s="338"/>
      <c r="N1164" s="174"/>
    </row>
    <row r="1165" spans="1:14" s="69" customFormat="1" ht="47.25" hidden="1">
      <c r="A1165" s="416"/>
      <c r="B1165" s="724" t="s">
        <v>470</v>
      </c>
      <c r="C1165" s="805" t="s">
        <v>734</v>
      </c>
      <c r="D1165" s="591" t="s">
        <v>52</v>
      </c>
      <c r="E1165" s="592"/>
      <c r="F1165" s="411"/>
      <c r="G1165" s="338"/>
      <c r="H1165" s="338"/>
      <c r="I1165" s="338"/>
      <c r="J1165" s="338"/>
      <c r="K1165" s="338"/>
      <c r="L1165" s="338"/>
      <c r="M1165" s="338"/>
      <c r="N1165" s="174"/>
    </row>
    <row r="1166" spans="1:14" s="69" customFormat="1" ht="30.75" hidden="1">
      <c r="A1166" s="416"/>
      <c r="B1166" s="79" t="s">
        <v>471</v>
      </c>
      <c r="C1166" s="805" t="s">
        <v>474</v>
      </c>
      <c r="D1166" s="591" t="s">
        <v>52</v>
      </c>
      <c r="E1166" s="592"/>
      <c r="F1166" s="411"/>
      <c r="G1166" s="338"/>
      <c r="H1166" s="338"/>
      <c r="I1166" s="338"/>
      <c r="J1166" s="338"/>
      <c r="K1166" s="338"/>
      <c r="L1166" s="338"/>
      <c r="M1166" s="338"/>
      <c r="N1166" s="174"/>
    </row>
    <row r="1167" spans="1:14" s="69" customFormat="1" ht="47.25" hidden="1">
      <c r="A1167" s="416"/>
      <c r="B1167" s="79" t="s">
        <v>472</v>
      </c>
      <c r="C1167" s="805" t="s">
        <v>735</v>
      </c>
      <c r="D1167" s="591" t="s">
        <v>52</v>
      </c>
      <c r="E1167" s="592"/>
      <c r="F1167" s="411"/>
      <c r="G1167" s="338"/>
      <c r="H1167" s="338"/>
      <c r="I1167" s="338"/>
      <c r="J1167" s="338"/>
      <c r="K1167" s="338"/>
      <c r="L1167" s="338"/>
      <c r="M1167" s="338"/>
      <c r="N1167" s="174"/>
    </row>
    <row r="1168" spans="1:14" s="69" customFormat="1" ht="63">
      <c r="A1168" s="708"/>
      <c r="B1168" s="79" t="s">
        <v>473</v>
      </c>
      <c r="C1168" s="805" t="s">
        <v>643</v>
      </c>
      <c r="D1168" s="591" t="s">
        <v>52</v>
      </c>
      <c r="E1168" s="592">
        <v>21</v>
      </c>
      <c r="F1168" s="711"/>
      <c r="G1168" s="338"/>
      <c r="H1168" s="338"/>
      <c r="I1168" s="338"/>
      <c r="J1168" s="338"/>
      <c r="K1168" s="338"/>
      <c r="L1168" s="338"/>
      <c r="M1168" s="338"/>
      <c r="N1168" s="174"/>
    </row>
    <row r="1169" spans="1:14" s="69" customFormat="1" ht="94.5" hidden="1">
      <c r="A1169" s="708"/>
      <c r="B1169" s="79" t="s">
        <v>635</v>
      </c>
      <c r="C1169" s="805" t="s">
        <v>644</v>
      </c>
      <c r="D1169" s="591" t="s">
        <v>52</v>
      </c>
      <c r="E1169" s="592"/>
      <c r="F1169" s="711"/>
      <c r="G1169" s="338"/>
      <c r="H1169" s="338"/>
      <c r="I1169" s="338"/>
      <c r="J1169" s="338"/>
      <c r="K1169" s="338"/>
      <c r="L1169" s="338"/>
      <c r="M1169" s="338"/>
      <c r="N1169" s="174"/>
    </row>
    <row r="1170" spans="1:14" s="69" customFormat="1" ht="63" hidden="1">
      <c r="A1170" s="708"/>
      <c r="B1170" s="79" t="s">
        <v>636</v>
      </c>
      <c r="C1170" s="805" t="s">
        <v>645</v>
      </c>
      <c r="D1170" s="591" t="s">
        <v>52</v>
      </c>
      <c r="E1170" s="592"/>
      <c r="F1170" s="711"/>
      <c r="G1170" s="338"/>
      <c r="H1170" s="338"/>
      <c r="I1170" s="338"/>
      <c r="J1170" s="338"/>
      <c r="K1170" s="338"/>
      <c r="L1170" s="338"/>
      <c r="M1170" s="338"/>
      <c r="N1170" s="174"/>
    </row>
    <row r="1171" spans="1:14" s="69" customFormat="1" ht="110.25" hidden="1">
      <c r="A1171" s="708"/>
      <c r="B1171" s="79" t="s">
        <v>637</v>
      </c>
      <c r="C1171" s="805" t="s">
        <v>917</v>
      </c>
      <c r="D1171" s="591" t="s">
        <v>52</v>
      </c>
      <c r="E1171" s="592"/>
      <c r="F1171" s="711"/>
      <c r="G1171" s="338"/>
      <c r="H1171" s="338"/>
      <c r="I1171" s="338"/>
      <c r="J1171" s="338"/>
      <c r="K1171" s="338"/>
      <c r="L1171" s="338"/>
      <c r="M1171" s="338"/>
      <c r="N1171" s="174"/>
    </row>
    <row r="1172" spans="1:14" s="69" customFormat="1" ht="47.25" hidden="1">
      <c r="A1172" s="708"/>
      <c r="B1172" s="79" t="s">
        <v>638</v>
      </c>
      <c r="C1172" s="805" t="s">
        <v>738</v>
      </c>
      <c r="D1172" s="591" t="s">
        <v>52</v>
      </c>
      <c r="E1172" s="592"/>
      <c r="F1172" s="711"/>
      <c r="G1172" s="338"/>
      <c r="H1172" s="338"/>
      <c r="I1172" s="338"/>
      <c r="J1172" s="338"/>
      <c r="K1172" s="338"/>
      <c r="L1172" s="338"/>
      <c r="M1172" s="338"/>
      <c r="N1172" s="174"/>
    </row>
    <row r="1173" spans="1:14" s="69" customFormat="1" ht="158.25" customHeight="1">
      <c r="A1173" s="708"/>
      <c r="B1173" s="79" t="s">
        <v>639</v>
      </c>
      <c r="C1173" s="805" t="s">
        <v>916</v>
      </c>
      <c r="D1173" s="591" t="s">
        <v>52</v>
      </c>
      <c r="E1173" s="592">
        <v>3</v>
      </c>
      <c r="F1173" s="711"/>
      <c r="G1173" s="338"/>
      <c r="H1173" s="338"/>
      <c r="I1173" s="338"/>
      <c r="J1173" s="338"/>
      <c r="K1173" s="338"/>
      <c r="L1173" s="338"/>
      <c r="M1173" s="338"/>
      <c r="N1173" s="174"/>
    </row>
    <row r="1174" spans="1:14" s="69" customFormat="1" ht="47.25">
      <c r="A1174" s="416"/>
      <c r="B1174" s="79" t="s">
        <v>640</v>
      </c>
      <c r="C1174" s="805" t="s">
        <v>920</v>
      </c>
      <c r="D1174" s="591" t="s">
        <v>52</v>
      </c>
      <c r="E1174" s="592">
        <v>40</v>
      </c>
      <c r="F1174" s="411"/>
      <c r="G1174" s="338"/>
      <c r="H1174" s="338"/>
      <c r="I1174" s="338"/>
      <c r="J1174" s="338"/>
      <c r="K1174" s="338"/>
      <c r="L1174" s="338"/>
      <c r="M1174" s="338"/>
      <c r="N1174" s="174"/>
    </row>
    <row r="1175" spans="1:14" s="69" customFormat="1" ht="173.25">
      <c r="A1175" s="1039"/>
      <c r="B1175" s="79" t="s">
        <v>921</v>
      </c>
      <c r="C1175" s="805" t="s">
        <v>932</v>
      </c>
      <c r="D1175" s="591" t="s">
        <v>52</v>
      </c>
      <c r="E1175" s="592">
        <v>6</v>
      </c>
      <c r="F1175" s="1040"/>
      <c r="G1175" s="338"/>
      <c r="H1175" s="338"/>
      <c r="I1175" s="338"/>
      <c r="J1175" s="338"/>
      <c r="K1175" s="338"/>
      <c r="L1175" s="338"/>
      <c r="M1175" s="338"/>
      <c r="N1175" s="174"/>
    </row>
    <row r="1176" spans="1:14" s="69" customFormat="1" ht="16.5">
      <c r="A1176" s="1039"/>
      <c r="B1176" s="79" t="s">
        <v>922</v>
      </c>
      <c r="C1176" s="805" t="s">
        <v>967</v>
      </c>
      <c r="D1176" s="591" t="s">
        <v>52</v>
      </c>
      <c r="E1176" s="592">
        <v>24</v>
      </c>
      <c r="F1176" s="1040"/>
      <c r="G1176" s="338"/>
      <c r="H1176" s="338"/>
      <c r="I1176" s="338"/>
      <c r="J1176" s="338"/>
      <c r="K1176" s="338"/>
      <c r="L1176" s="338"/>
      <c r="M1176" s="338"/>
      <c r="N1176" s="174"/>
    </row>
    <row r="1177" spans="1:14" s="69" customFormat="1" ht="16.5" hidden="1">
      <c r="A1177" s="1039"/>
      <c r="B1177" s="79" t="s">
        <v>923</v>
      </c>
      <c r="C1177" s="805"/>
      <c r="D1177" s="591" t="s">
        <v>52</v>
      </c>
      <c r="E1177" s="592"/>
      <c r="F1177" s="1040"/>
      <c r="G1177" s="338"/>
      <c r="H1177" s="338"/>
      <c r="I1177" s="338"/>
      <c r="J1177" s="338"/>
      <c r="K1177" s="338"/>
      <c r="L1177" s="338"/>
      <c r="M1177" s="338"/>
      <c r="N1177" s="174"/>
    </row>
    <row r="1178" spans="1:14" s="69" customFormat="1" ht="16.5" hidden="1">
      <c r="A1178" s="1039"/>
      <c r="B1178" s="79" t="s">
        <v>924</v>
      </c>
      <c r="C1178" s="805"/>
      <c r="D1178" s="591" t="s">
        <v>52</v>
      </c>
      <c r="E1178" s="592"/>
      <c r="F1178" s="1040"/>
      <c r="G1178" s="338"/>
      <c r="H1178" s="338"/>
      <c r="I1178" s="338"/>
      <c r="J1178" s="338"/>
      <c r="K1178" s="338"/>
      <c r="L1178" s="338"/>
      <c r="M1178" s="338"/>
      <c r="N1178" s="174"/>
    </row>
    <row r="1179" spans="1:14" s="69" customFormat="1" ht="16.5" hidden="1">
      <c r="A1179" s="1039"/>
      <c r="B1179" s="79" t="s">
        <v>925</v>
      </c>
      <c r="C1179" s="805"/>
      <c r="D1179" s="591" t="s">
        <v>52</v>
      </c>
      <c r="E1179" s="592"/>
      <c r="F1179" s="1040"/>
      <c r="G1179" s="338"/>
      <c r="H1179" s="338"/>
      <c r="I1179" s="338"/>
      <c r="J1179" s="338"/>
      <c r="K1179" s="338"/>
      <c r="L1179" s="338"/>
      <c r="M1179" s="338"/>
      <c r="N1179" s="174"/>
    </row>
    <row r="1180" spans="1:14" s="69" customFormat="1" ht="16.5" hidden="1">
      <c r="A1180" s="1039"/>
      <c r="B1180" s="79" t="s">
        <v>926</v>
      </c>
      <c r="C1180" s="805"/>
      <c r="D1180" s="591" t="s">
        <v>52</v>
      </c>
      <c r="E1180" s="592"/>
      <c r="F1180" s="1040"/>
      <c r="G1180" s="338"/>
      <c r="H1180" s="338"/>
      <c r="I1180" s="338"/>
      <c r="J1180" s="338"/>
      <c r="K1180" s="338"/>
      <c r="L1180" s="338"/>
      <c r="M1180" s="338"/>
      <c r="N1180" s="174"/>
    </row>
    <row r="1181" spans="1:14" s="69" customFormat="1" ht="16.5" hidden="1">
      <c r="A1181" s="1039"/>
      <c r="B1181" s="79" t="s">
        <v>927</v>
      </c>
      <c r="C1181" s="805"/>
      <c r="D1181" s="591" t="s">
        <v>52</v>
      </c>
      <c r="E1181" s="592"/>
      <c r="F1181" s="1040"/>
      <c r="G1181" s="338"/>
      <c r="H1181" s="338"/>
      <c r="I1181" s="338"/>
      <c r="J1181" s="338"/>
      <c r="K1181" s="338"/>
      <c r="L1181" s="338"/>
      <c r="M1181" s="338"/>
      <c r="N1181" s="174"/>
    </row>
    <row r="1182" spans="1:14" s="69" customFormat="1" ht="16.5" hidden="1">
      <c r="A1182" s="1039"/>
      <c r="B1182" s="79" t="s">
        <v>928</v>
      </c>
      <c r="C1182" s="805"/>
      <c r="D1182" s="591" t="s">
        <v>52</v>
      </c>
      <c r="E1182" s="592"/>
      <c r="F1182" s="1040"/>
      <c r="G1182" s="338"/>
      <c r="H1182" s="338"/>
      <c r="I1182" s="338"/>
      <c r="J1182" s="338"/>
      <c r="K1182" s="338"/>
      <c r="L1182" s="338"/>
      <c r="M1182" s="338"/>
      <c r="N1182" s="174"/>
    </row>
    <row r="1183" spans="1:14" s="69" customFormat="1" ht="16.5" hidden="1">
      <c r="A1183" s="1039"/>
      <c r="B1183" s="79" t="s">
        <v>929</v>
      </c>
      <c r="C1183" s="805"/>
      <c r="D1183" s="591" t="s">
        <v>52</v>
      </c>
      <c r="E1183" s="592"/>
      <c r="F1183" s="1040"/>
      <c r="G1183" s="338"/>
      <c r="H1183" s="338"/>
      <c r="I1183" s="338"/>
      <c r="J1183" s="338"/>
      <c r="K1183" s="338"/>
      <c r="L1183" s="338"/>
      <c r="M1183" s="338"/>
      <c r="N1183" s="174"/>
    </row>
    <row r="1184" spans="1:14" s="69" customFormat="1" ht="16.5" hidden="1">
      <c r="A1184" s="1039"/>
      <c r="B1184" s="79" t="s">
        <v>930</v>
      </c>
      <c r="C1184" s="805"/>
      <c r="D1184" s="591" t="s">
        <v>52</v>
      </c>
      <c r="E1184" s="592"/>
      <c r="F1184" s="1040"/>
      <c r="G1184" s="338"/>
      <c r="H1184" s="338"/>
      <c r="I1184" s="338"/>
      <c r="J1184" s="338"/>
      <c r="K1184" s="338"/>
      <c r="L1184" s="338"/>
      <c r="M1184" s="338"/>
      <c r="N1184" s="174"/>
    </row>
    <row r="1185" spans="1:14" s="69" customFormat="1" ht="16.5" hidden="1">
      <c r="A1185" s="1039"/>
      <c r="B1185" s="79" t="s">
        <v>931</v>
      </c>
      <c r="C1185" s="805"/>
      <c r="D1185" s="591" t="s">
        <v>52</v>
      </c>
      <c r="E1185" s="592"/>
      <c r="F1185" s="1040"/>
      <c r="G1185" s="338"/>
      <c r="H1185" s="338"/>
      <c r="I1185" s="338"/>
      <c r="J1185" s="338"/>
      <c r="K1185" s="338"/>
      <c r="L1185" s="338"/>
      <c r="M1185" s="338"/>
      <c r="N1185" s="174"/>
    </row>
    <row r="1186" spans="1:14" s="69" customFormat="1" ht="31.5">
      <c r="A1186" s="1104" t="s">
        <v>475</v>
      </c>
      <c r="B1186" s="260" t="s">
        <v>412</v>
      </c>
      <c r="C1186" s="716" t="s">
        <v>413</v>
      </c>
      <c r="D1186" s="260" t="s">
        <v>52</v>
      </c>
      <c r="E1186" s="411"/>
      <c r="F1186" s="24">
        <f>SUM(E1131:E1185)</f>
        <v>107</v>
      </c>
      <c r="G1186" s="412"/>
      <c r="H1186" s="412"/>
      <c r="I1186" s="412"/>
      <c r="J1186" s="412"/>
      <c r="K1186" s="412"/>
      <c r="L1186" s="412"/>
      <c r="M1186" s="412"/>
      <c r="N1186" s="174"/>
    </row>
    <row r="1187" spans="1:14" s="69" customFormat="1" ht="16.5">
      <c r="A1187" s="1106"/>
      <c r="B1187" s="260"/>
      <c r="C1187" s="544" t="s">
        <v>38</v>
      </c>
      <c r="D1187" s="424" t="s">
        <v>12</v>
      </c>
      <c r="E1187" s="411">
        <v>3.18</v>
      </c>
      <c r="F1187" s="411">
        <f>F1186*E1187</f>
        <v>340.26</v>
      </c>
      <c r="G1187" s="412"/>
      <c r="H1187" s="412"/>
      <c r="I1187" s="412"/>
      <c r="J1187" s="412"/>
      <c r="K1187" s="412"/>
      <c r="L1187" s="412"/>
      <c r="M1187" s="412"/>
      <c r="N1187" s="174"/>
    </row>
    <row r="1188" spans="1:14" s="69" customFormat="1" ht="16.5">
      <c r="A1188" s="1104" t="s">
        <v>476</v>
      </c>
      <c r="B1188" s="260" t="s">
        <v>414</v>
      </c>
      <c r="C1188" s="716" t="s">
        <v>415</v>
      </c>
      <c r="D1188" s="260" t="s">
        <v>52</v>
      </c>
      <c r="E1188" s="411"/>
      <c r="F1188" s="24">
        <f>F1186</f>
        <v>107</v>
      </c>
      <c r="G1188" s="412"/>
      <c r="H1188" s="412"/>
      <c r="I1188" s="412"/>
      <c r="J1188" s="412"/>
      <c r="K1188" s="412"/>
      <c r="L1188" s="412"/>
      <c r="M1188" s="412"/>
      <c r="N1188" s="174"/>
    </row>
    <row r="1189" spans="1:14" s="69" customFormat="1" ht="16.5">
      <c r="A1189" s="1105"/>
      <c r="B1189" s="260"/>
      <c r="C1189" s="544" t="s">
        <v>38</v>
      </c>
      <c r="D1189" s="424" t="s">
        <v>12</v>
      </c>
      <c r="E1189" s="411">
        <v>1.6</v>
      </c>
      <c r="F1189" s="411">
        <f>F1188*E1189</f>
        <v>171.20000000000002</v>
      </c>
      <c r="G1189" s="412"/>
      <c r="H1189" s="412"/>
      <c r="I1189" s="412"/>
      <c r="J1189" s="412"/>
      <c r="K1189" s="412"/>
      <c r="L1189" s="412"/>
      <c r="M1189" s="412"/>
      <c r="N1189" s="174"/>
    </row>
    <row r="1190" spans="1:14" s="69" customFormat="1" ht="16.5">
      <c r="A1190" s="1105"/>
      <c r="B1190" s="260" t="s">
        <v>281</v>
      </c>
      <c r="C1190" s="544" t="s">
        <v>416</v>
      </c>
      <c r="D1190" s="424" t="s">
        <v>44</v>
      </c>
      <c r="E1190" s="411">
        <v>7.0999999999999994E-2</v>
      </c>
      <c r="F1190" s="411">
        <f>F1188*E1190</f>
        <v>7.5969999999999995</v>
      </c>
      <c r="G1190" s="412"/>
      <c r="H1190" s="412"/>
      <c r="I1190" s="412"/>
      <c r="J1190" s="412"/>
      <c r="K1190" s="412"/>
      <c r="L1190" s="412"/>
      <c r="M1190" s="412"/>
      <c r="N1190" s="174"/>
    </row>
    <row r="1191" spans="1:14" s="69" customFormat="1" ht="16.5">
      <c r="A1191" s="1105"/>
      <c r="B1191" s="260" t="s">
        <v>165</v>
      </c>
      <c r="C1191" s="544" t="s">
        <v>417</v>
      </c>
      <c r="D1191" s="424" t="s">
        <v>44</v>
      </c>
      <c r="E1191" s="411">
        <v>0.13400000000000001</v>
      </c>
      <c r="F1191" s="411">
        <f>F1188*E1191</f>
        <v>14.338000000000001</v>
      </c>
      <c r="G1191" s="412"/>
      <c r="H1191" s="412"/>
      <c r="I1191" s="412"/>
      <c r="J1191" s="412"/>
      <c r="K1191" s="412"/>
      <c r="L1191" s="412"/>
      <c r="M1191" s="412"/>
      <c r="N1191" s="174"/>
    </row>
    <row r="1192" spans="1:14" s="69" customFormat="1" ht="16.5">
      <c r="A1192" s="1105"/>
      <c r="B1192" s="260"/>
      <c r="C1192" s="716" t="s">
        <v>418</v>
      </c>
      <c r="D1192" s="424"/>
      <c r="E1192" s="411">
        <v>1</v>
      </c>
      <c r="F1192" s="24">
        <f>F1188*E1192</f>
        <v>107</v>
      </c>
      <c r="G1192" s="412"/>
      <c r="H1192" s="412"/>
      <c r="I1192" s="412"/>
      <c r="J1192" s="412"/>
      <c r="K1192" s="412"/>
      <c r="L1192" s="412"/>
      <c r="M1192" s="412"/>
      <c r="N1192" s="174"/>
    </row>
    <row r="1193" spans="1:14" s="69" customFormat="1" ht="162.75" customHeight="1">
      <c r="A1193" s="1105"/>
      <c r="B1193" s="593" t="s">
        <v>84</v>
      </c>
      <c r="C1193" s="716" t="s">
        <v>918</v>
      </c>
      <c r="D1193" s="260" t="s">
        <v>52</v>
      </c>
      <c r="E1193" s="411"/>
      <c r="F1193" s="411">
        <f t="shared" ref="F1193:F1236" si="0">E1131</f>
        <v>2</v>
      </c>
      <c r="G1193" s="412"/>
      <c r="H1193" s="412"/>
      <c r="I1193" s="412"/>
      <c r="J1193" s="412"/>
      <c r="K1193" s="412"/>
      <c r="L1193" s="412"/>
      <c r="M1193" s="412"/>
      <c r="N1193" s="174"/>
    </row>
    <row r="1194" spans="1:14" s="69" customFormat="1" ht="126" hidden="1">
      <c r="A1194" s="1105"/>
      <c r="B1194" s="593" t="s">
        <v>69</v>
      </c>
      <c r="C1194" s="716" t="s">
        <v>736</v>
      </c>
      <c r="D1194" s="260" t="s">
        <v>52</v>
      </c>
      <c r="E1194" s="411"/>
      <c r="F1194" s="411">
        <f t="shared" si="0"/>
        <v>0</v>
      </c>
      <c r="G1194" s="412"/>
      <c r="H1194" s="412"/>
      <c r="I1194" s="412"/>
      <c r="J1194" s="412"/>
      <c r="K1194" s="412"/>
      <c r="L1194" s="412"/>
      <c r="M1194" s="412"/>
      <c r="N1194" s="174"/>
    </row>
    <row r="1195" spans="1:14" s="69" customFormat="1" ht="47.25" hidden="1">
      <c r="A1195" s="1105"/>
      <c r="B1195" s="593" t="s">
        <v>85</v>
      </c>
      <c r="C1195" s="716" t="s">
        <v>442</v>
      </c>
      <c r="D1195" s="260" t="s">
        <v>52</v>
      </c>
      <c r="E1195" s="411"/>
      <c r="F1195" s="411">
        <f t="shared" si="0"/>
        <v>0</v>
      </c>
      <c r="G1195" s="412"/>
      <c r="H1195" s="412"/>
      <c r="I1195" s="412"/>
      <c r="J1195" s="412"/>
      <c r="K1195" s="412"/>
      <c r="L1195" s="412"/>
      <c r="M1195" s="412"/>
      <c r="N1195" s="174"/>
    </row>
    <row r="1196" spans="1:14" s="69" customFormat="1" ht="16.5" hidden="1">
      <c r="A1196" s="1105"/>
      <c r="B1196" s="593" t="s">
        <v>79</v>
      </c>
      <c r="C1196" s="716" t="s">
        <v>443</v>
      </c>
      <c r="D1196" s="260" t="s">
        <v>52</v>
      </c>
      <c r="E1196" s="411"/>
      <c r="F1196" s="411">
        <f t="shared" si="0"/>
        <v>0</v>
      </c>
      <c r="G1196" s="412"/>
      <c r="H1196" s="412"/>
      <c r="I1196" s="412"/>
      <c r="J1196" s="412"/>
      <c r="K1196" s="412"/>
      <c r="L1196" s="412"/>
      <c r="M1196" s="412"/>
      <c r="N1196" s="174"/>
    </row>
    <row r="1197" spans="1:14" s="69" customFormat="1" ht="16.5" hidden="1">
      <c r="A1197" s="1105"/>
      <c r="B1197" s="593" t="s">
        <v>80</v>
      </c>
      <c r="C1197" s="716" t="s">
        <v>444</v>
      </c>
      <c r="D1197" s="260" t="s">
        <v>52</v>
      </c>
      <c r="E1197" s="411"/>
      <c r="F1197" s="411">
        <f t="shared" si="0"/>
        <v>0</v>
      </c>
      <c r="G1197" s="412"/>
      <c r="H1197" s="412"/>
      <c r="I1197" s="412"/>
      <c r="J1197" s="412"/>
      <c r="K1197" s="412"/>
      <c r="L1197" s="412"/>
      <c r="M1197" s="412"/>
      <c r="N1197" s="174"/>
    </row>
    <row r="1198" spans="1:14" s="69" customFormat="1" ht="16.5" hidden="1">
      <c r="A1198" s="1105"/>
      <c r="B1198" s="593" t="s">
        <v>81</v>
      </c>
      <c r="C1198" s="716" t="s">
        <v>445</v>
      </c>
      <c r="D1198" s="260" t="s">
        <v>52</v>
      </c>
      <c r="E1198" s="411"/>
      <c r="F1198" s="411">
        <f t="shared" si="0"/>
        <v>0</v>
      </c>
      <c r="G1198" s="412"/>
      <c r="H1198" s="412"/>
      <c r="I1198" s="412"/>
      <c r="J1198" s="412"/>
      <c r="K1198" s="412"/>
      <c r="L1198" s="412"/>
      <c r="M1198" s="412"/>
      <c r="N1198" s="174"/>
    </row>
    <row r="1199" spans="1:14" s="69" customFormat="1" ht="16.5" hidden="1">
      <c r="A1199" s="1105"/>
      <c r="B1199" s="593" t="s">
        <v>77</v>
      </c>
      <c r="C1199" s="716" t="s">
        <v>446</v>
      </c>
      <c r="D1199" s="260" t="s">
        <v>52</v>
      </c>
      <c r="E1199" s="411"/>
      <c r="F1199" s="411">
        <f t="shared" si="0"/>
        <v>0</v>
      </c>
      <c r="G1199" s="412"/>
      <c r="H1199" s="412"/>
      <c r="I1199" s="412"/>
      <c r="J1199" s="412"/>
      <c r="K1199" s="412"/>
      <c r="L1199" s="412"/>
      <c r="M1199" s="412"/>
      <c r="N1199" s="174"/>
    </row>
    <row r="1200" spans="1:14" s="69" customFormat="1" ht="16.5" hidden="1">
      <c r="A1200" s="1105"/>
      <c r="B1200" s="593" t="s">
        <v>42</v>
      </c>
      <c r="C1200" s="716" t="s">
        <v>447</v>
      </c>
      <c r="D1200" s="260" t="s">
        <v>52</v>
      </c>
      <c r="E1200" s="411"/>
      <c r="F1200" s="411">
        <f t="shared" si="0"/>
        <v>0</v>
      </c>
      <c r="G1200" s="412"/>
      <c r="H1200" s="412"/>
      <c r="I1200" s="412"/>
      <c r="J1200" s="412"/>
      <c r="K1200" s="412"/>
      <c r="L1200" s="412"/>
      <c r="M1200" s="412"/>
      <c r="N1200" s="174"/>
    </row>
    <row r="1201" spans="1:14" s="69" customFormat="1" ht="126" hidden="1">
      <c r="A1201" s="1105"/>
      <c r="B1201" s="593" t="s">
        <v>46</v>
      </c>
      <c r="C1201" s="716" t="s">
        <v>737</v>
      </c>
      <c r="D1201" s="260" t="s">
        <v>52</v>
      </c>
      <c r="E1201" s="411"/>
      <c r="F1201" s="411">
        <f t="shared" si="0"/>
        <v>0</v>
      </c>
      <c r="G1201" s="412"/>
      <c r="H1201" s="412"/>
      <c r="I1201" s="412"/>
      <c r="J1201" s="412"/>
      <c r="K1201" s="412"/>
      <c r="L1201" s="412"/>
      <c r="M1201" s="412"/>
      <c r="N1201" s="174"/>
    </row>
    <row r="1202" spans="1:14" s="69" customFormat="1" ht="16.5" hidden="1">
      <c r="A1202" s="1105"/>
      <c r="B1202" s="593" t="s">
        <v>48</v>
      </c>
      <c r="C1202" s="716" t="s">
        <v>448</v>
      </c>
      <c r="D1202" s="260" t="s">
        <v>52</v>
      </c>
      <c r="E1202" s="594"/>
      <c r="F1202" s="411">
        <f t="shared" si="0"/>
        <v>0</v>
      </c>
      <c r="G1202" s="412"/>
      <c r="H1202" s="412"/>
      <c r="I1202" s="412"/>
      <c r="J1202" s="412"/>
      <c r="K1202" s="412"/>
      <c r="L1202" s="412"/>
      <c r="M1202" s="412"/>
      <c r="N1202" s="174"/>
    </row>
    <row r="1203" spans="1:14" s="69" customFormat="1" ht="16.5" hidden="1">
      <c r="A1203" s="1105"/>
      <c r="B1203" s="593" t="s">
        <v>159</v>
      </c>
      <c r="C1203" s="801" t="s">
        <v>449</v>
      </c>
      <c r="D1203" s="260" t="s">
        <v>52</v>
      </c>
      <c r="E1203" s="594"/>
      <c r="F1203" s="411">
        <f t="shared" si="0"/>
        <v>0</v>
      </c>
      <c r="G1203" s="412"/>
      <c r="H1203" s="412"/>
      <c r="I1203" s="412"/>
      <c r="J1203" s="412"/>
      <c r="K1203" s="412"/>
      <c r="L1203" s="412"/>
      <c r="M1203" s="412"/>
      <c r="N1203" s="174"/>
    </row>
    <row r="1204" spans="1:14" s="69" customFormat="1" ht="31.5" hidden="1">
      <c r="A1204" s="1105"/>
      <c r="B1204" s="593" t="s">
        <v>53</v>
      </c>
      <c r="C1204" s="801" t="s">
        <v>450</v>
      </c>
      <c r="D1204" s="260" t="s">
        <v>52</v>
      </c>
      <c r="E1204" s="594"/>
      <c r="F1204" s="411">
        <f t="shared" si="0"/>
        <v>0</v>
      </c>
      <c r="G1204" s="412"/>
      <c r="H1204" s="412"/>
      <c r="I1204" s="412"/>
      <c r="J1204" s="412"/>
      <c r="K1204" s="412"/>
      <c r="L1204" s="412"/>
      <c r="M1204" s="412"/>
      <c r="N1204" s="174"/>
    </row>
    <row r="1205" spans="1:14" s="69" customFormat="1" ht="31.5" hidden="1">
      <c r="A1205" s="1105"/>
      <c r="B1205" s="593" t="s">
        <v>160</v>
      </c>
      <c r="C1205" s="716" t="s">
        <v>451</v>
      </c>
      <c r="D1205" s="260" t="s">
        <v>52</v>
      </c>
      <c r="E1205" s="411"/>
      <c r="F1205" s="411">
        <f t="shared" si="0"/>
        <v>0</v>
      </c>
      <c r="G1205" s="412"/>
      <c r="H1205" s="412"/>
      <c r="I1205" s="412"/>
      <c r="J1205" s="412"/>
      <c r="K1205" s="412"/>
      <c r="L1205" s="412"/>
      <c r="M1205" s="412"/>
      <c r="N1205" s="174"/>
    </row>
    <row r="1206" spans="1:14" s="69" customFormat="1" ht="31.5" hidden="1">
      <c r="A1206" s="1105"/>
      <c r="B1206" s="593" t="s">
        <v>185</v>
      </c>
      <c r="C1206" s="716" t="s">
        <v>452</v>
      </c>
      <c r="D1206" s="260" t="s">
        <v>52</v>
      </c>
      <c r="E1206" s="411"/>
      <c r="F1206" s="411">
        <f t="shared" si="0"/>
        <v>0</v>
      </c>
      <c r="G1206" s="412"/>
      <c r="H1206" s="412"/>
      <c r="I1206" s="412"/>
      <c r="J1206" s="412"/>
      <c r="K1206" s="412"/>
      <c r="L1206" s="412"/>
      <c r="M1206" s="412"/>
      <c r="N1206" s="174"/>
    </row>
    <row r="1207" spans="1:14" s="69" customFormat="1" ht="16.5" hidden="1">
      <c r="A1207" s="1105"/>
      <c r="B1207" s="593" t="s">
        <v>192</v>
      </c>
      <c r="C1207" s="716" t="s">
        <v>401</v>
      </c>
      <c r="D1207" s="260" t="s">
        <v>52</v>
      </c>
      <c r="E1207" s="411"/>
      <c r="F1207" s="411">
        <f t="shared" si="0"/>
        <v>0</v>
      </c>
      <c r="G1207" s="412"/>
      <c r="H1207" s="412"/>
      <c r="I1207" s="412"/>
      <c r="J1207" s="412"/>
      <c r="K1207" s="412"/>
      <c r="L1207" s="412"/>
      <c r="M1207" s="412"/>
      <c r="N1207" s="174"/>
    </row>
    <row r="1208" spans="1:14" s="69" customFormat="1" ht="60.75" customHeight="1">
      <c r="A1208" s="1105"/>
      <c r="B1208" s="593" t="s">
        <v>186</v>
      </c>
      <c r="C1208" s="716" t="s">
        <v>919</v>
      </c>
      <c r="D1208" s="260" t="s">
        <v>52</v>
      </c>
      <c r="E1208" s="411"/>
      <c r="F1208" s="411">
        <f t="shared" si="0"/>
        <v>8</v>
      </c>
      <c r="G1208" s="412"/>
      <c r="H1208" s="412"/>
      <c r="I1208" s="412"/>
      <c r="J1208" s="412"/>
      <c r="K1208" s="412"/>
      <c r="L1208" s="412"/>
      <c r="M1208" s="412"/>
      <c r="N1208" s="174"/>
    </row>
    <row r="1209" spans="1:14" s="69" customFormat="1" ht="16.5" hidden="1">
      <c r="A1209" s="1105"/>
      <c r="B1209" s="593" t="s">
        <v>188</v>
      </c>
      <c r="C1209" s="716" t="s">
        <v>426</v>
      </c>
      <c r="D1209" s="260" t="s">
        <v>52</v>
      </c>
      <c r="E1209" s="411"/>
      <c r="F1209" s="411">
        <f t="shared" si="0"/>
        <v>0</v>
      </c>
      <c r="G1209" s="412"/>
      <c r="H1209" s="412"/>
      <c r="I1209" s="412"/>
      <c r="J1209" s="412"/>
      <c r="K1209" s="412"/>
      <c r="L1209" s="412"/>
      <c r="M1209" s="412"/>
      <c r="N1209" s="174"/>
    </row>
    <row r="1210" spans="1:14" s="69" customFormat="1" ht="47.25" hidden="1">
      <c r="A1210" s="1105"/>
      <c r="B1210" s="593" t="s">
        <v>189</v>
      </c>
      <c r="C1210" s="716" t="s">
        <v>427</v>
      </c>
      <c r="D1210" s="260" t="s">
        <v>52</v>
      </c>
      <c r="E1210" s="411"/>
      <c r="F1210" s="411">
        <f t="shared" si="0"/>
        <v>0</v>
      </c>
      <c r="G1210" s="412"/>
      <c r="H1210" s="412"/>
      <c r="I1210" s="412"/>
      <c r="J1210" s="412"/>
      <c r="K1210" s="412"/>
      <c r="L1210" s="412"/>
      <c r="M1210" s="412"/>
      <c r="N1210" s="174"/>
    </row>
    <row r="1211" spans="1:14" s="69" customFormat="1" ht="16.5" hidden="1">
      <c r="A1211" s="1105"/>
      <c r="B1211" s="593" t="s">
        <v>190</v>
      </c>
      <c r="C1211" s="716" t="s">
        <v>403</v>
      </c>
      <c r="D1211" s="260" t="s">
        <v>52</v>
      </c>
      <c r="E1211" s="411"/>
      <c r="F1211" s="411">
        <f t="shared" si="0"/>
        <v>0</v>
      </c>
      <c r="G1211" s="412"/>
      <c r="H1211" s="412"/>
      <c r="I1211" s="412"/>
      <c r="J1211" s="412"/>
      <c r="K1211" s="412"/>
      <c r="L1211" s="412"/>
      <c r="M1211" s="412"/>
      <c r="N1211" s="174"/>
    </row>
    <row r="1212" spans="1:14" s="69" customFormat="1" ht="16.5" hidden="1">
      <c r="A1212" s="1105"/>
      <c r="B1212" s="593" t="s">
        <v>428</v>
      </c>
      <c r="C1212" s="716" t="s">
        <v>453</v>
      </c>
      <c r="D1212" s="260" t="s">
        <v>52</v>
      </c>
      <c r="E1212" s="411"/>
      <c r="F1212" s="411">
        <f t="shared" si="0"/>
        <v>0</v>
      </c>
      <c r="G1212" s="412"/>
      <c r="H1212" s="412"/>
      <c r="I1212" s="412"/>
      <c r="J1212" s="412"/>
      <c r="K1212" s="412"/>
      <c r="L1212" s="412"/>
      <c r="M1212" s="412"/>
      <c r="N1212" s="174"/>
    </row>
    <row r="1213" spans="1:14" s="69" customFormat="1" ht="16.5" hidden="1">
      <c r="A1213" s="1105"/>
      <c r="B1213" s="593" t="s">
        <v>429</v>
      </c>
      <c r="C1213" s="716" t="s">
        <v>454</v>
      </c>
      <c r="D1213" s="260" t="s">
        <v>52</v>
      </c>
      <c r="E1213" s="411"/>
      <c r="F1213" s="411">
        <f t="shared" si="0"/>
        <v>0</v>
      </c>
      <c r="G1213" s="412"/>
      <c r="H1213" s="412"/>
      <c r="I1213" s="412"/>
      <c r="J1213" s="412"/>
      <c r="K1213" s="412"/>
      <c r="L1213" s="412"/>
      <c r="M1213" s="412"/>
      <c r="N1213" s="174"/>
    </row>
    <row r="1214" spans="1:14" s="69" customFormat="1" ht="16.5" hidden="1">
      <c r="A1214" s="1105"/>
      <c r="B1214" s="593" t="s">
        <v>191</v>
      </c>
      <c r="C1214" s="716" t="s">
        <v>455</v>
      </c>
      <c r="D1214" s="260" t="s">
        <v>52</v>
      </c>
      <c r="E1214" s="411"/>
      <c r="F1214" s="411">
        <f t="shared" si="0"/>
        <v>0</v>
      </c>
      <c r="G1214" s="412"/>
      <c r="H1214" s="412"/>
      <c r="I1214" s="412"/>
      <c r="J1214" s="412"/>
      <c r="K1214" s="412"/>
      <c r="L1214" s="412"/>
      <c r="M1214" s="412"/>
      <c r="N1214" s="174"/>
    </row>
    <row r="1215" spans="1:14" s="69" customFormat="1" ht="16.5" hidden="1">
      <c r="A1215" s="1105"/>
      <c r="B1215" s="593" t="s">
        <v>430</v>
      </c>
      <c r="C1215" s="716" t="s">
        <v>404</v>
      </c>
      <c r="D1215" s="260" t="s">
        <v>52</v>
      </c>
      <c r="E1215" s="411"/>
      <c r="F1215" s="411">
        <f t="shared" si="0"/>
        <v>0</v>
      </c>
      <c r="G1215" s="412"/>
      <c r="H1215" s="412"/>
      <c r="I1215" s="412"/>
      <c r="J1215" s="412"/>
      <c r="K1215" s="412"/>
      <c r="L1215" s="412"/>
      <c r="M1215" s="412"/>
      <c r="N1215" s="174"/>
    </row>
    <row r="1216" spans="1:14" s="69" customFormat="1" ht="16.5" hidden="1">
      <c r="A1216" s="1105"/>
      <c r="B1216" s="593" t="s">
        <v>431</v>
      </c>
      <c r="C1216" s="716" t="s">
        <v>405</v>
      </c>
      <c r="D1216" s="260" t="s">
        <v>52</v>
      </c>
      <c r="E1216" s="411"/>
      <c r="F1216" s="411">
        <f t="shared" si="0"/>
        <v>0</v>
      </c>
      <c r="G1216" s="412"/>
      <c r="H1216" s="412"/>
      <c r="I1216" s="412"/>
      <c r="J1216" s="412"/>
      <c r="K1216" s="412"/>
      <c r="L1216" s="412"/>
      <c r="M1216" s="412"/>
      <c r="N1216" s="174"/>
    </row>
    <row r="1217" spans="1:14" s="69" customFormat="1" ht="31.5" hidden="1">
      <c r="A1217" s="1105"/>
      <c r="B1217" s="593" t="s">
        <v>432</v>
      </c>
      <c r="C1217" s="716" t="s">
        <v>433</v>
      </c>
      <c r="D1217" s="260" t="s">
        <v>52</v>
      </c>
      <c r="E1217" s="411"/>
      <c r="F1217" s="411">
        <f t="shared" si="0"/>
        <v>0</v>
      </c>
      <c r="G1217" s="412"/>
      <c r="H1217" s="412"/>
      <c r="I1217" s="412"/>
      <c r="J1217" s="412"/>
      <c r="K1217" s="412"/>
      <c r="L1217" s="412"/>
      <c r="M1217" s="412"/>
      <c r="N1217" s="174"/>
    </row>
    <row r="1218" spans="1:14" s="69" customFormat="1" ht="16.5" hidden="1">
      <c r="A1218" s="1105"/>
      <c r="B1218" s="593" t="s">
        <v>201</v>
      </c>
      <c r="C1218" s="716" t="s">
        <v>406</v>
      </c>
      <c r="D1218" s="260" t="s">
        <v>52</v>
      </c>
      <c r="E1218" s="411"/>
      <c r="F1218" s="411">
        <f t="shared" si="0"/>
        <v>0</v>
      </c>
      <c r="G1218" s="412"/>
      <c r="H1218" s="412"/>
      <c r="I1218" s="412"/>
      <c r="J1218" s="412"/>
      <c r="K1218" s="412"/>
      <c r="L1218" s="412"/>
      <c r="M1218" s="412"/>
      <c r="N1218" s="174"/>
    </row>
    <row r="1219" spans="1:14" s="69" customFormat="1" ht="16.5" hidden="1">
      <c r="A1219" s="1105"/>
      <c r="B1219" s="593" t="s">
        <v>163</v>
      </c>
      <c r="C1219" s="716" t="s">
        <v>407</v>
      </c>
      <c r="D1219" s="260" t="s">
        <v>52</v>
      </c>
      <c r="E1219" s="411"/>
      <c r="F1219" s="411">
        <f t="shared" si="0"/>
        <v>0</v>
      </c>
      <c r="G1219" s="412"/>
      <c r="H1219" s="412"/>
      <c r="I1219" s="412"/>
      <c r="J1219" s="412"/>
      <c r="K1219" s="412"/>
      <c r="L1219" s="412"/>
      <c r="M1219" s="412"/>
      <c r="N1219" s="174"/>
    </row>
    <row r="1220" spans="1:14" s="69" customFormat="1" ht="16.5" hidden="1">
      <c r="A1220" s="1105"/>
      <c r="B1220" s="593" t="s">
        <v>434</v>
      </c>
      <c r="C1220" s="716" t="s">
        <v>408</v>
      </c>
      <c r="D1220" s="260" t="s">
        <v>52</v>
      </c>
      <c r="E1220" s="411"/>
      <c r="F1220" s="411">
        <f t="shared" si="0"/>
        <v>0</v>
      </c>
      <c r="G1220" s="412"/>
      <c r="H1220" s="412"/>
      <c r="I1220" s="412"/>
      <c r="J1220" s="412"/>
      <c r="K1220" s="412"/>
      <c r="L1220" s="412"/>
      <c r="M1220" s="412"/>
      <c r="N1220" s="174"/>
    </row>
    <row r="1221" spans="1:14" s="69" customFormat="1" ht="16.5" hidden="1">
      <c r="A1221" s="1105"/>
      <c r="B1221" s="593" t="s">
        <v>435</v>
      </c>
      <c r="C1221" s="716" t="s">
        <v>436</v>
      </c>
      <c r="D1221" s="260" t="s">
        <v>52</v>
      </c>
      <c r="E1221" s="411"/>
      <c r="F1221" s="411">
        <f t="shared" si="0"/>
        <v>0</v>
      </c>
      <c r="G1221" s="412"/>
      <c r="H1221" s="412"/>
      <c r="I1221" s="412"/>
      <c r="J1221" s="412"/>
      <c r="K1221" s="412"/>
      <c r="L1221" s="412"/>
      <c r="M1221" s="412"/>
      <c r="N1221" s="174"/>
    </row>
    <row r="1222" spans="1:14" s="69" customFormat="1" ht="126" customHeight="1">
      <c r="A1222" s="1105"/>
      <c r="B1222" s="593" t="s">
        <v>437</v>
      </c>
      <c r="C1222" s="716" t="s">
        <v>914</v>
      </c>
      <c r="D1222" s="260" t="s">
        <v>52</v>
      </c>
      <c r="E1222" s="411"/>
      <c r="F1222" s="411">
        <f t="shared" si="0"/>
        <v>3</v>
      </c>
      <c r="G1222" s="412"/>
      <c r="H1222" s="412"/>
      <c r="I1222" s="412"/>
      <c r="J1222" s="412"/>
      <c r="K1222" s="412"/>
      <c r="L1222" s="412"/>
      <c r="M1222" s="412"/>
      <c r="N1222" s="174"/>
    </row>
    <row r="1223" spans="1:14" s="69" customFormat="1" ht="16.5" hidden="1">
      <c r="A1223" s="1105"/>
      <c r="B1223" s="593" t="s">
        <v>337</v>
      </c>
      <c r="C1223" s="716" t="s">
        <v>409</v>
      </c>
      <c r="D1223" s="260" t="s">
        <v>52</v>
      </c>
      <c r="E1223" s="411"/>
      <c r="F1223" s="411">
        <f t="shared" si="0"/>
        <v>0</v>
      </c>
      <c r="G1223" s="412"/>
      <c r="H1223" s="412"/>
      <c r="I1223" s="412"/>
      <c r="J1223" s="412"/>
      <c r="K1223" s="412"/>
      <c r="L1223" s="412"/>
      <c r="M1223" s="412"/>
      <c r="N1223" s="174"/>
    </row>
    <row r="1224" spans="1:14" s="69" customFormat="1" ht="16.5" hidden="1">
      <c r="A1224" s="1105"/>
      <c r="B1224" s="593" t="s">
        <v>438</v>
      </c>
      <c r="C1224" s="716" t="s">
        <v>410</v>
      </c>
      <c r="D1224" s="260" t="s">
        <v>52</v>
      </c>
      <c r="E1224" s="411"/>
      <c r="F1224" s="411">
        <f t="shared" si="0"/>
        <v>0</v>
      </c>
      <c r="G1224" s="412"/>
      <c r="H1224" s="412"/>
      <c r="I1224" s="412"/>
      <c r="J1224" s="412"/>
      <c r="K1224" s="412"/>
      <c r="L1224" s="412"/>
      <c r="M1224" s="412"/>
      <c r="N1224" s="174"/>
    </row>
    <row r="1225" spans="1:14" s="69" customFormat="1" ht="16.5" hidden="1">
      <c r="A1225" s="1105"/>
      <c r="B1225" s="593" t="s">
        <v>439</v>
      </c>
      <c r="C1225" s="716" t="s">
        <v>411</v>
      </c>
      <c r="D1225" s="260" t="s">
        <v>52</v>
      </c>
      <c r="E1225" s="411"/>
      <c r="F1225" s="411">
        <f t="shared" si="0"/>
        <v>0</v>
      </c>
      <c r="G1225" s="412"/>
      <c r="H1225" s="412"/>
      <c r="I1225" s="412"/>
      <c r="J1225" s="412"/>
      <c r="K1225" s="412"/>
      <c r="L1225" s="412"/>
      <c r="M1225" s="412"/>
      <c r="N1225" s="174"/>
    </row>
    <row r="1226" spans="1:14" s="69" customFormat="1" ht="16.5" hidden="1">
      <c r="A1226" s="1105"/>
      <c r="B1226" s="593" t="s">
        <v>440</v>
      </c>
      <c r="C1226" s="716" t="s">
        <v>441</v>
      </c>
      <c r="D1226" s="260" t="s">
        <v>52</v>
      </c>
      <c r="E1226" s="411"/>
      <c r="F1226" s="411">
        <f t="shared" si="0"/>
        <v>0</v>
      </c>
      <c r="G1226" s="412"/>
      <c r="H1226" s="412"/>
      <c r="I1226" s="412"/>
      <c r="J1226" s="412"/>
      <c r="K1226" s="412"/>
      <c r="L1226" s="412"/>
      <c r="M1226" s="412"/>
      <c r="N1226" s="174"/>
    </row>
    <row r="1227" spans="1:14" s="69" customFormat="1" ht="47.25" hidden="1">
      <c r="A1227" s="1105"/>
      <c r="B1227" s="593" t="s">
        <v>470</v>
      </c>
      <c r="C1227" s="716" t="s">
        <v>734</v>
      </c>
      <c r="D1227" s="260" t="s">
        <v>52</v>
      </c>
      <c r="E1227" s="411"/>
      <c r="F1227" s="411">
        <f t="shared" si="0"/>
        <v>0</v>
      </c>
      <c r="G1227" s="412"/>
      <c r="H1227" s="412"/>
      <c r="I1227" s="412"/>
      <c r="J1227" s="412"/>
      <c r="K1227" s="412"/>
      <c r="L1227" s="412"/>
      <c r="M1227" s="412"/>
      <c r="N1227" s="174"/>
    </row>
    <row r="1228" spans="1:14" s="69" customFormat="1" ht="30.75" hidden="1">
      <c r="A1228" s="1105"/>
      <c r="B1228" s="593" t="s">
        <v>471</v>
      </c>
      <c r="C1228" s="716" t="s">
        <v>474</v>
      </c>
      <c r="D1228" s="260" t="s">
        <v>52</v>
      </c>
      <c r="E1228" s="411"/>
      <c r="F1228" s="411">
        <f t="shared" si="0"/>
        <v>0</v>
      </c>
      <c r="G1228" s="412"/>
      <c r="H1228" s="412"/>
      <c r="I1228" s="412"/>
      <c r="J1228" s="412"/>
      <c r="K1228" s="412"/>
      <c r="L1228" s="412"/>
      <c r="M1228" s="412"/>
      <c r="N1228" s="174"/>
    </row>
    <row r="1229" spans="1:14" s="69" customFormat="1" ht="47.25" hidden="1">
      <c r="A1229" s="1105"/>
      <c r="B1229" s="593" t="s">
        <v>472</v>
      </c>
      <c r="C1229" s="716" t="s">
        <v>735</v>
      </c>
      <c r="D1229" s="260" t="s">
        <v>52</v>
      </c>
      <c r="E1229" s="411"/>
      <c r="F1229" s="411">
        <f t="shared" si="0"/>
        <v>0</v>
      </c>
      <c r="G1229" s="412"/>
      <c r="H1229" s="412"/>
      <c r="I1229" s="412"/>
      <c r="J1229" s="412"/>
      <c r="K1229" s="412"/>
      <c r="L1229" s="412"/>
      <c r="M1229" s="412"/>
      <c r="N1229" s="174"/>
    </row>
    <row r="1230" spans="1:14" s="69" customFormat="1" ht="58.5" customHeight="1">
      <c r="A1230" s="1105"/>
      <c r="B1230" s="593" t="s">
        <v>473</v>
      </c>
      <c r="C1230" s="716" t="s">
        <v>643</v>
      </c>
      <c r="D1230" s="260" t="s">
        <v>52</v>
      </c>
      <c r="E1230" s="411"/>
      <c r="F1230" s="711">
        <f t="shared" si="0"/>
        <v>21</v>
      </c>
      <c r="G1230" s="867"/>
      <c r="H1230" s="412"/>
      <c r="I1230" s="412"/>
      <c r="J1230" s="412"/>
      <c r="K1230" s="412"/>
      <c r="L1230" s="412"/>
      <c r="M1230" s="412"/>
      <c r="N1230" s="174"/>
    </row>
    <row r="1231" spans="1:14" s="69" customFormat="1" ht="94.5" hidden="1">
      <c r="A1231" s="1105"/>
      <c r="B1231" s="593" t="s">
        <v>635</v>
      </c>
      <c r="C1231" s="716" t="s">
        <v>644</v>
      </c>
      <c r="D1231" s="260" t="s">
        <v>52</v>
      </c>
      <c r="E1231" s="711"/>
      <c r="F1231" s="711">
        <f t="shared" si="0"/>
        <v>0</v>
      </c>
      <c r="G1231" s="867"/>
      <c r="H1231" s="712"/>
      <c r="I1231" s="712"/>
      <c r="J1231" s="712"/>
      <c r="K1231" s="712"/>
      <c r="L1231" s="712"/>
      <c r="M1231" s="712"/>
      <c r="N1231" s="174"/>
    </row>
    <row r="1232" spans="1:14" s="69" customFormat="1" ht="63" hidden="1">
      <c r="A1232" s="1105"/>
      <c r="B1232" s="593" t="s">
        <v>636</v>
      </c>
      <c r="C1232" s="716" t="s">
        <v>645</v>
      </c>
      <c r="D1232" s="260" t="s">
        <v>52</v>
      </c>
      <c r="E1232" s="711"/>
      <c r="F1232" s="711">
        <f t="shared" si="0"/>
        <v>0</v>
      </c>
      <c r="G1232" s="867"/>
      <c r="H1232" s="712"/>
      <c r="I1232" s="712"/>
      <c r="J1232" s="712"/>
      <c r="K1232" s="712"/>
      <c r="L1232" s="712"/>
      <c r="M1232" s="712"/>
      <c r="N1232" s="174"/>
    </row>
    <row r="1233" spans="1:14" s="69" customFormat="1" ht="110.25" hidden="1">
      <c r="A1233" s="1105"/>
      <c r="B1233" s="593" t="s">
        <v>637</v>
      </c>
      <c r="C1233" s="716" t="s">
        <v>739</v>
      </c>
      <c r="D1233" s="260" t="s">
        <v>52</v>
      </c>
      <c r="E1233" s="711"/>
      <c r="F1233" s="711">
        <f t="shared" si="0"/>
        <v>0</v>
      </c>
      <c r="G1233" s="712"/>
      <c r="H1233" s="712"/>
      <c r="I1233" s="712"/>
      <c r="J1233" s="712"/>
      <c r="K1233" s="712"/>
      <c r="L1233" s="712"/>
      <c r="M1233" s="712"/>
      <c r="N1233" s="174"/>
    </row>
    <row r="1234" spans="1:14" s="69" customFormat="1" ht="47.25" hidden="1">
      <c r="A1234" s="1105"/>
      <c r="B1234" s="593" t="s">
        <v>638</v>
      </c>
      <c r="C1234" s="716" t="s">
        <v>738</v>
      </c>
      <c r="D1234" s="260" t="s">
        <v>52</v>
      </c>
      <c r="E1234" s="711"/>
      <c r="F1234" s="711">
        <f t="shared" si="0"/>
        <v>0</v>
      </c>
      <c r="G1234" s="712"/>
      <c r="H1234" s="712"/>
      <c r="I1234" s="712"/>
      <c r="J1234" s="712"/>
      <c r="K1234" s="712"/>
      <c r="L1234" s="712"/>
      <c r="M1234" s="712"/>
      <c r="N1234" s="174"/>
    </row>
    <row r="1235" spans="1:14" s="69" customFormat="1" ht="149.25" customHeight="1">
      <c r="A1235" s="1105"/>
      <c r="B1235" s="593" t="s">
        <v>639</v>
      </c>
      <c r="C1235" s="716" t="s">
        <v>915</v>
      </c>
      <c r="D1235" s="260" t="s">
        <v>52</v>
      </c>
      <c r="E1235" s="711"/>
      <c r="F1235" s="711">
        <f t="shared" si="0"/>
        <v>3</v>
      </c>
      <c r="G1235" s="712"/>
      <c r="H1235" s="712"/>
      <c r="I1235" s="712"/>
      <c r="J1235" s="712"/>
      <c r="K1235" s="712"/>
      <c r="L1235" s="712"/>
      <c r="M1235" s="712"/>
      <c r="N1235" s="174"/>
    </row>
    <row r="1236" spans="1:14" s="69" customFormat="1" ht="44.25" customHeight="1">
      <c r="A1236" s="1105"/>
      <c r="B1236" s="593" t="s">
        <v>640</v>
      </c>
      <c r="C1236" s="716" t="s">
        <v>920</v>
      </c>
      <c r="D1236" s="260" t="s">
        <v>52</v>
      </c>
      <c r="E1236" s="711"/>
      <c r="F1236" s="711">
        <f t="shared" si="0"/>
        <v>40</v>
      </c>
      <c r="G1236" s="712"/>
      <c r="H1236" s="712"/>
      <c r="I1236" s="712"/>
      <c r="J1236" s="712"/>
      <c r="K1236" s="712"/>
      <c r="L1236" s="712"/>
      <c r="M1236" s="712"/>
      <c r="N1236" s="174"/>
    </row>
    <row r="1237" spans="1:14" s="69" customFormat="1" ht="159.75" customHeight="1">
      <c r="A1237" s="1105"/>
      <c r="B1237" s="593" t="s">
        <v>921</v>
      </c>
      <c r="C1237" s="716" t="s">
        <v>932</v>
      </c>
      <c r="D1237" s="260" t="s">
        <v>52</v>
      </c>
      <c r="E1237" s="1040"/>
      <c r="F1237" s="1040">
        <f t="shared" ref="F1237:F1247" si="1">E1175</f>
        <v>6</v>
      </c>
      <c r="G1237" s="1041"/>
      <c r="H1237" s="1065"/>
      <c r="I1237" s="1065"/>
      <c r="J1237" s="1065"/>
      <c r="K1237" s="1065"/>
      <c r="L1237" s="1065"/>
      <c r="M1237" s="1065"/>
      <c r="N1237" s="174"/>
    </row>
    <row r="1238" spans="1:14" s="69" customFormat="1" ht="16.5">
      <c r="A1238" s="1105"/>
      <c r="B1238" s="593" t="s">
        <v>922</v>
      </c>
      <c r="C1238" s="716" t="s">
        <v>966</v>
      </c>
      <c r="D1238" s="260" t="s">
        <v>52</v>
      </c>
      <c r="E1238" s="1040"/>
      <c r="F1238" s="1040">
        <f t="shared" si="1"/>
        <v>24</v>
      </c>
      <c r="G1238" s="1041"/>
      <c r="H1238" s="1065"/>
      <c r="I1238" s="1065"/>
      <c r="J1238" s="1065"/>
      <c r="K1238" s="1065"/>
      <c r="L1238" s="1065"/>
      <c r="M1238" s="1065"/>
      <c r="N1238" s="174"/>
    </row>
    <row r="1239" spans="1:14" s="69" customFormat="1" ht="16.5" hidden="1">
      <c r="A1239" s="1105"/>
      <c r="B1239" s="593" t="s">
        <v>923</v>
      </c>
      <c r="C1239" s="716"/>
      <c r="D1239" s="260" t="s">
        <v>52</v>
      </c>
      <c r="E1239" s="1040"/>
      <c r="F1239" s="1040">
        <f t="shared" si="1"/>
        <v>0</v>
      </c>
      <c r="G1239" s="1041"/>
      <c r="H1239" s="1065"/>
      <c r="I1239" s="1065"/>
      <c r="J1239" s="1065"/>
      <c r="K1239" s="1065"/>
      <c r="L1239" s="1065"/>
      <c r="M1239" s="1065"/>
      <c r="N1239" s="174"/>
    </row>
    <row r="1240" spans="1:14" s="69" customFormat="1" ht="16.5" hidden="1">
      <c r="A1240" s="1105"/>
      <c r="B1240" s="593" t="s">
        <v>924</v>
      </c>
      <c r="C1240" s="716"/>
      <c r="D1240" s="260" t="s">
        <v>52</v>
      </c>
      <c r="E1240" s="1040"/>
      <c r="F1240" s="1040">
        <f t="shared" si="1"/>
        <v>0</v>
      </c>
      <c r="G1240" s="1041"/>
      <c r="H1240" s="1065"/>
      <c r="I1240" s="1065"/>
      <c r="J1240" s="1065"/>
      <c r="K1240" s="1065"/>
      <c r="L1240" s="1065"/>
      <c r="M1240" s="1065"/>
      <c r="N1240" s="174"/>
    </row>
    <row r="1241" spans="1:14" s="69" customFormat="1" ht="16.5" hidden="1">
      <c r="A1241" s="1105"/>
      <c r="B1241" s="593" t="s">
        <v>925</v>
      </c>
      <c r="C1241" s="716"/>
      <c r="D1241" s="260" t="s">
        <v>52</v>
      </c>
      <c r="E1241" s="1040"/>
      <c r="F1241" s="1040">
        <f t="shared" si="1"/>
        <v>0</v>
      </c>
      <c r="G1241" s="1041"/>
      <c r="H1241" s="1065"/>
      <c r="I1241" s="1065"/>
      <c r="J1241" s="1065"/>
      <c r="K1241" s="1065"/>
      <c r="L1241" s="1065"/>
      <c r="M1241" s="1065"/>
      <c r="N1241" s="174"/>
    </row>
    <row r="1242" spans="1:14" s="69" customFormat="1" ht="16.5" hidden="1">
      <c r="A1242" s="1105"/>
      <c r="B1242" s="593" t="s">
        <v>926</v>
      </c>
      <c r="C1242" s="716"/>
      <c r="D1242" s="260" t="s">
        <v>52</v>
      </c>
      <c r="E1242" s="1040"/>
      <c r="F1242" s="1040">
        <f t="shared" si="1"/>
        <v>0</v>
      </c>
      <c r="G1242" s="1041"/>
      <c r="H1242" s="1065"/>
      <c r="I1242" s="1065"/>
      <c r="J1242" s="1065"/>
      <c r="K1242" s="1065"/>
      <c r="L1242" s="1065"/>
      <c r="M1242" s="1065"/>
      <c r="N1242" s="174"/>
    </row>
    <row r="1243" spans="1:14" s="69" customFormat="1" ht="16.5" hidden="1">
      <c r="A1243" s="1105"/>
      <c r="B1243" s="593" t="s">
        <v>927</v>
      </c>
      <c r="C1243" s="716"/>
      <c r="D1243" s="260" t="s">
        <v>52</v>
      </c>
      <c r="E1243" s="1040"/>
      <c r="F1243" s="1040">
        <f t="shared" si="1"/>
        <v>0</v>
      </c>
      <c r="G1243" s="1041"/>
      <c r="H1243" s="1065"/>
      <c r="I1243" s="1065"/>
      <c r="J1243" s="1065"/>
      <c r="K1243" s="1065"/>
      <c r="L1243" s="1065"/>
      <c r="M1243" s="1065"/>
      <c r="N1243" s="174"/>
    </row>
    <row r="1244" spans="1:14" s="69" customFormat="1" ht="16.5" hidden="1">
      <c r="A1244" s="1105"/>
      <c r="B1244" s="593" t="s">
        <v>928</v>
      </c>
      <c r="C1244" s="716"/>
      <c r="D1244" s="260" t="s">
        <v>52</v>
      </c>
      <c r="E1244" s="1040"/>
      <c r="F1244" s="1040">
        <f t="shared" si="1"/>
        <v>0</v>
      </c>
      <c r="G1244" s="1041"/>
      <c r="H1244" s="1065"/>
      <c r="I1244" s="1065"/>
      <c r="J1244" s="1065"/>
      <c r="K1244" s="1065"/>
      <c r="L1244" s="1065"/>
      <c r="M1244" s="1065"/>
      <c r="N1244" s="174"/>
    </row>
    <row r="1245" spans="1:14" s="69" customFormat="1" ht="16.5" hidden="1">
      <c r="A1245" s="1105"/>
      <c r="B1245" s="593" t="s">
        <v>929</v>
      </c>
      <c r="C1245" s="716"/>
      <c r="D1245" s="260" t="s">
        <v>52</v>
      </c>
      <c r="E1245" s="1040"/>
      <c r="F1245" s="1040">
        <f t="shared" si="1"/>
        <v>0</v>
      </c>
      <c r="G1245" s="1041"/>
      <c r="H1245" s="1065"/>
      <c r="I1245" s="1065"/>
      <c r="J1245" s="1065"/>
      <c r="K1245" s="1065"/>
      <c r="L1245" s="1065"/>
      <c r="M1245" s="1065"/>
      <c r="N1245" s="174"/>
    </row>
    <row r="1246" spans="1:14" s="69" customFormat="1" ht="16.5" hidden="1">
      <c r="A1246" s="1105"/>
      <c r="B1246" s="593" t="s">
        <v>930</v>
      </c>
      <c r="C1246" s="716"/>
      <c r="D1246" s="260" t="s">
        <v>52</v>
      </c>
      <c r="E1246" s="1040"/>
      <c r="F1246" s="1040">
        <f t="shared" si="1"/>
        <v>0</v>
      </c>
      <c r="G1246" s="1041"/>
      <c r="H1246" s="1065"/>
      <c r="I1246" s="1065"/>
      <c r="J1246" s="1065"/>
      <c r="K1246" s="1065"/>
      <c r="L1246" s="1065"/>
      <c r="M1246" s="1065"/>
      <c r="N1246" s="174"/>
    </row>
    <row r="1247" spans="1:14" s="69" customFormat="1" ht="16.5" hidden="1">
      <c r="A1247" s="1105"/>
      <c r="B1247" s="593" t="s">
        <v>931</v>
      </c>
      <c r="C1247" s="716"/>
      <c r="D1247" s="260" t="s">
        <v>52</v>
      </c>
      <c r="E1247" s="1040"/>
      <c r="F1247" s="1040">
        <f t="shared" si="1"/>
        <v>0</v>
      </c>
      <c r="G1247" s="1041"/>
      <c r="H1247" s="1065"/>
      <c r="I1247" s="1065"/>
      <c r="J1247" s="1065"/>
      <c r="K1247" s="1065"/>
      <c r="L1247" s="1065"/>
      <c r="M1247" s="1065"/>
      <c r="N1247" s="174"/>
    </row>
    <row r="1248" spans="1:14" s="69" customFormat="1" ht="16.5">
      <c r="A1248" s="1105"/>
      <c r="B1248" s="260"/>
      <c r="C1248" s="544" t="s">
        <v>284</v>
      </c>
      <c r="D1248" s="424" t="s">
        <v>39</v>
      </c>
      <c r="E1248" s="411">
        <v>0.26</v>
      </c>
      <c r="F1248" s="411">
        <f>F1188*E1248</f>
        <v>27.82</v>
      </c>
      <c r="G1248" s="412"/>
      <c r="H1248" s="412"/>
      <c r="I1248" s="412"/>
      <c r="J1248" s="412"/>
      <c r="K1248" s="412"/>
      <c r="L1248" s="412"/>
      <c r="M1248" s="412"/>
      <c r="N1248" s="174"/>
    </row>
    <row r="1249" spans="1:14" s="69" customFormat="1" ht="16.5">
      <c r="A1249" s="1106"/>
      <c r="B1249" s="260"/>
      <c r="C1249" s="544" t="s">
        <v>50</v>
      </c>
      <c r="D1249" s="424" t="s">
        <v>9</v>
      </c>
      <c r="E1249" s="411">
        <v>0.17899999999999999</v>
      </c>
      <c r="F1249" s="411">
        <f>F1188*E1249</f>
        <v>19.152999999999999</v>
      </c>
      <c r="G1249" s="412"/>
      <c r="H1249" s="412"/>
      <c r="I1249" s="412"/>
      <c r="J1249" s="412"/>
      <c r="K1249" s="412"/>
      <c r="L1249" s="412"/>
      <c r="M1249" s="412"/>
      <c r="N1249" s="174"/>
    </row>
    <row r="1250" spans="1:14" s="69" customFormat="1" ht="16.5" hidden="1">
      <c r="A1250" s="1104" t="s">
        <v>77</v>
      </c>
      <c r="B1250" s="79"/>
      <c r="C1250" s="797" t="s">
        <v>456</v>
      </c>
      <c r="D1250" s="424"/>
      <c r="E1250" s="411"/>
      <c r="F1250" s="411"/>
      <c r="G1250" s="412"/>
      <c r="H1250" s="412"/>
      <c r="I1250" s="412"/>
      <c r="J1250" s="412"/>
      <c r="K1250" s="412"/>
      <c r="L1250" s="412"/>
      <c r="M1250" s="412"/>
      <c r="N1250" s="174"/>
    </row>
    <row r="1251" spans="1:14" s="69" customFormat="1" ht="16.5" hidden="1">
      <c r="A1251" s="1105"/>
      <c r="B1251" s="79"/>
      <c r="C1251" s="805" t="s">
        <v>457</v>
      </c>
      <c r="D1251" s="591" t="s">
        <v>52</v>
      </c>
      <c r="E1251" s="592"/>
      <c r="F1251" s="411"/>
      <c r="G1251" s="338"/>
      <c r="H1251" s="338"/>
      <c r="I1251" s="338"/>
      <c r="J1251" s="338"/>
      <c r="K1251" s="338"/>
      <c r="L1251" s="338"/>
      <c r="M1251" s="338"/>
      <c r="N1251" s="174"/>
    </row>
    <row r="1252" spans="1:14" s="69" customFormat="1" ht="16.5" hidden="1">
      <c r="A1252" s="1105"/>
      <c r="B1252" s="79"/>
      <c r="C1252" s="805" t="s">
        <v>458</v>
      </c>
      <c r="D1252" s="591" t="s">
        <v>52</v>
      </c>
      <c r="E1252" s="592"/>
      <c r="F1252" s="411"/>
      <c r="G1252" s="338"/>
      <c r="H1252" s="338"/>
      <c r="I1252" s="338"/>
      <c r="J1252" s="338"/>
      <c r="K1252" s="338"/>
      <c r="L1252" s="338"/>
      <c r="M1252" s="338"/>
      <c r="N1252" s="174"/>
    </row>
    <row r="1253" spans="1:14" s="69" customFormat="1" ht="16.5" hidden="1">
      <c r="A1253" s="1105"/>
      <c r="B1253" s="79"/>
      <c r="C1253" s="805" t="s">
        <v>402</v>
      </c>
      <c r="D1253" s="591" t="s">
        <v>52</v>
      </c>
      <c r="E1253" s="592"/>
      <c r="F1253" s="411"/>
      <c r="G1253" s="338"/>
      <c r="H1253" s="338"/>
      <c r="I1253" s="338"/>
      <c r="J1253" s="338"/>
      <c r="K1253" s="338"/>
      <c r="L1253" s="338"/>
      <c r="M1253" s="338"/>
      <c r="N1253" s="174"/>
    </row>
    <row r="1254" spans="1:14" s="69" customFormat="1" ht="16.5" hidden="1">
      <c r="A1254" s="1105"/>
      <c r="B1254" s="79"/>
      <c r="C1254" s="805" t="s">
        <v>459</v>
      </c>
      <c r="D1254" s="591" t="s">
        <v>52</v>
      </c>
      <c r="E1254" s="592"/>
      <c r="F1254" s="411"/>
      <c r="G1254" s="338"/>
      <c r="H1254" s="338"/>
      <c r="I1254" s="338"/>
      <c r="J1254" s="338"/>
      <c r="K1254" s="338"/>
      <c r="L1254" s="338"/>
      <c r="M1254" s="338"/>
      <c r="N1254" s="174"/>
    </row>
    <row r="1255" spans="1:14" s="69" customFormat="1" ht="16.5" hidden="1">
      <c r="A1255" s="1105"/>
      <c r="B1255" s="79"/>
      <c r="C1255" s="805" t="s">
        <v>460</v>
      </c>
      <c r="D1255" s="591" t="s">
        <v>52</v>
      </c>
      <c r="E1255" s="592"/>
      <c r="F1255" s="411"/>
      <c r="G1255" s="338"/>
      <c r="H1255" s="338"/>
      <c r="I1255" s="338"/>
      <c r="J1255" s="338"/>
      <c r="K1255" s="338"/>
      <c r="L1255" s="338"/>
      <c r="M1255" s="338"/>
      <c r="N1255" s="174"/>
    </row>
    <row r="1256" spans="1:14" s="69" customFormat="1" ht="16.5" hidden="1">
      <c r="A1256" s="1105"/>
      <c r="B1256" s="79"/>
      <c r="C1256" s="805" t="s">
        <v>461</v>
      </c>
      <c r="D1256" s="591" t="s">
        <v>52</v>
      </c>
      <c r="E1256" s="592"/>
      <c r="F1256" s="411"/>
      <c r="G1256" s="338"/>
      <c r="H1256" s="338"/>
      <c r="I1256" s="338"/>
      <c r="J1256" s="338"/>
      <c r="K1256" s="338"/>
      <c r="L1256" s="338"/>
      <c r="M1256" s="338"/>
      <c r="N1256" s="174"/>
    </row>
    <row r="1257" spans="1:14" s="69" customFormat="1" ht="16.5" hidden="1">
      <c r="A1257" s="1105"/>
      <c r="B1257" s="79"/>
      <c r="C1257" s="805" t="s">
        <v>462</v>
      </c>
      <c r="D1257" s="591" t="s">
        <v>52</v>
      </c>
      <c r="E1257" s="592"/>
      <c r="F1257" s="411"/>
      <c r="G1257" s="338"/>
      <c r="H1257" s="338"/>
      <c r="I1257" s="338"/>
      <c r="J1257" s="338"/>
      <c r="K1257" s="338"/>
      <c r="L1257" s="338"/>
      <c r="M1257" s="338"/>
      <c r="N1257" s="174"/>
    </row>
    <row r="1258" spans="1:14" s="69" customFormat="1" ht="16.5" hidden="1">
      <c r="A1258" s="1105"/>
      <c r="B1258" s="79"/>
      <c r="C1258" s="805" t="s">
        <v>463</v>
      </c>
      <c r="D1258" s="591" t="s">
        <v>52</v>
      </c>
      <c r="E1258" s="592"/>
      <c r="F1258" s="411"/>
      <c r="G1258" s="338"/>
      <c r="H1258" s="338"/>
      <c r="I1258" s="338"/>
      <c r="J1258" s="338"/>
      <c r="K1258" s="338"/>
      <c r="L1258" s="338"/>
      <c r="M1258" s="338"/>
      <c r="N1258" s="174"/>
    </row>
    <row r="1259" spans="1:14" s="69" customFormat="1" ht="30.75" hidden="1">
      <c r="A1259" s="1105"/>
      <c r="B1259" s="79"/>
      <c r="C1259" s="805" t="s">
        <v>464</v>
      </c>
      <c r="D1259" s="591" t="s">
        <v>52</v>
      </c>
      <c r="E1259" s="592"/>
      <c r="F1259" s="411"/>
      <c r="G1259" s="338"/>
      <c r="H1259" s="338"/>
      <c r="I1259" s="338"/>
      <c r="J1259" s="338"/>
      <c r="K1259" s="338"/>
      <c r="L1259" s="338"/>
      <c r="M1259" s="338"/>
      <c r="N1259" s="174"/>
    </row>
    <row r="1260" spans="1:14" s="69" customFormat="1" ht="16.5" hidden="1">
      <c r="A1260" s="1105"/>
      <c r="B1260" s="79"/>
      <c r="C1260" s="805"/>
      <c r="D1260" s="591" t="s">
        <v>52</v>
      </c>
      <c r="E1260" s="592"/>
      <c r="F1260" s="1040"/>
      <c r="G1260" s="338"/>
      <c r="H1260" s="338"/>
      <c r="I1260" s="338"/>
      <c r="J1260" s="338"/>
      <c r="K1260" s="338"/>
      <c r="L1260" s="338"/>
      <c r="M1260" s="338"/>
      <c r="N1260" s="174"/>
    </row>
    <row r="1261" spans="1:14" s="69" customFormat="1" ht="16.5" hidden="1">
      <c r="A1261" s="1105"/>
      <c r="B1261" s="79"/>
      <c r="C1261" s="805"/>
      <c r="D1261" s="591" t="s">
        <v>52</v>
      </c>
      <c r="E1261" s="592"/>
      <c r="F1261" s="1040"/>
      <c r="G1261" s="338"/>
      <c r="H1261" s="338"/>
      <c r="I1261" s="338"/>
      <c r="J1261" s="338"/>
      <c r="K1261" s="338"/>
      <c r="L1261" s="338"/>
      <c r="M1261" s="338"/>
      <c r="N1261" s="174"/>
    </row>
    <row r="1262" spans="1:14" s="69" customFormat="1" ht="16.5" hidden="1">
      <c r="A1262" s="1105"/>
      <c r="B1262" s="79"/>
      <c r="C1262" s="805"/>
      <c r="D1262" s="591" t="s">
        <v>52</v>
      </c>
      <c r="E1262" s="592"/>
      <c r="F1262" s="1040"/>
      <c r="G1262" s="338"/>
      <c r="H1262" s="338"/>
      <c r="I1262" s="338"/>
      <c r="J1262" s="338"/>
      <c r="K1262" s="338"/>
      <c r="L1262" s="338"/>
      <c r="M1262" s="338"/>
      <c r="N1262" s="174"/>
    </row>
    <row r="1263" spans="1:14" s="69" customFormat="1" ht="16.5" hidden="1">
      <c r="A1263" s="1105"/>
      <c r="B1263" s="79"/>
      <c r="C1263" s="805"/>
      <c r="D1263" s="591" t="s">
        <v>52</v>
      </c>
      <c r="E1263" s="592"/>
      <c r="F1263" s="1040"/>
      <c r="G1263" s="338"/>
      <c r="H1263" s="338"/>
      <c r="I1263" s="338"/>
      <c r="J1263" s="338"/>
      <c r="K1263" s="338"/>
      <c r="L1263" s="338"/>
      <c r="M1263" s="338"/>
      <c r="N1263" s="174"/>
    </row>
    <row r="1264" spans="1:14" s="69" customFormat="1" ht="16.5" hidden="1">
      <c r="A1264" s="1106"/>
      <c r="B1264" s="260"/>
      <c r="C1264" s="544"/>
      <c r="D1264" s="424"/>
      <c r="E1264" s="411"/>
      <c r="F1264" s="411"/>
      <c r="G1264" s="412"/>
      <c r="H1264" s="412"/>
      <c r="I1264" s="412"/>
      <c r="J1264" s="412"/>
      <c r="K1264" s="412"/>
      <c r="L1264" s="412"/>
      <c r="M1264" s="412"/>
      <c r="N1264" s="174"/>
    </row>
    <row r="1265" spans="1:15" s="69" customFormat="1" ht="16.5" hidden="1">
      <c r="A1265" s="513"/>
      <c r="B1265" s="260" t="s">
        <v>465</v>
      </c>
      <c r="C1265" s="716" t="s">
        <v>456</v>
      </c>
      <c r="D1265" s="260" t="s">
        <v>52</v>
      </c>
      <c r="E1265" s="411"/>
      <c r="F1265" s="24">
        <f>SUM(E1251:E1264)</f>
        <v>0</v>
      </c>
      <c r="G1265" s="412"/>
      <c r="H1265" s="412"/>
      <c r="I1265" s="412"/>
      <c r="J1265" s="412"/>
      <c r="K1265" s="412"/>
      <c r="L1265" s="412"/>
      <c r="M1265" s="412"/>
      <c r="N1265" s="174"/>
    </row>
    <row r="1266" spans="1:15" s="69" customFormat="1" ht="16.5" hidden="1">
      <c r="A1266" s="513"/>
      <c r="B1266" s="260"/>
      <c r="C1266" s="544" t="s">
        <v>38</v>
      </c>
      <c r="D1266" s="424" t="s">
        <v>12</v>
      </c>
      <c r="E1266" s="411">
        <v>1</v>
      </c>
      <c r="F1266" s="411">
        <f>F1265*E1266</f>
        <v>0</v>
      </c>
      <c r="G1266" s="412"/>
      <c r="H1266" s="412"/>
      <c r="I1266" s="412"/>
      <c r="J1266" s="412"/>
      <c r="K1266" s="412"/>
      <c r="L1266" s="412"/>
      <c r="M1266" s="412"/>
      <c r="N1266" s="174"/>
    </row>
    <row r="1267" spans="1:15" s="69" customFormat="1" ht="16.5" hidden="1">
      <c r="A1267" s="513"/>
      <c r="B1267" s="260"/>
      <c r="C1267" s="716" t="s">
        <v>466</v>
      </c>
      <c r="D1267" s="260" t="s">
        <v>52</v>
      </c>
      <c r="E1267" s="411"/>
      <c r="F1267" s="411">
        <f>E1251</f>
        <v>0</v>
      </c>
      <c r="G1267" s="412"/>
      <c r="H1267" s="412"/>
      <c r="I1267" s="412"/>
      <c r="J1267" s="412"/>
      <c r="K1267" s="412"/>
      <c r="L1267" s="412"/>
      <c r="M1267" s="412"/>
      <c r="N1267" s="174"/>
    </row>
    <row r="1268" spans="1:15" s="69" customFormat="1" ht="16.5" hidden="1">
      <c r="A1268" s="513"/>
      <c r="B1268" s="260"/>
      <c r="C1268" s="716" t="s">
        <v>467</v>
      </c>
      <c r="D1268" s="260" t="s">
        <v>52</v>
      </c>
      <c r="E1268" s="411"/>
      <c r="F1268" s="411">
        <f t="shared" ref="F1268:F1274" si="2">E1252</f>
        <v>0</v>
      </c>
      <c r="G1268" s="412"/>
      <c r="H1268" s="412"/>
      <c r="I1268" s="412"/>
      <c r="J1268" s="412"/>
      <c r="K1268" s="412"/>
      <c r="L1268" s="412"/>
      <c r="M1268" s="412"/>
      <c r="N1268" s="174"/>
    </row>
    <row r="1269" spans="1:15" s="69" customFormat="1" ht="16.5" hidden="1">
      <c r="A1269" s="513"/>
      <c r="B1269" s="260"/>
      <c r="C1269" s="716" t="s">
        <v>402</v>
      </c>
      <c r="D1269" s="260" t="s">
        <v>52</v>
      </c>
      <c r="E1269" s="411"/>
      <c r="F1269" s="411">
        <f t="shared" si="2"/>
        <v>0</v>
      </c>
      <c r="G1269" s="412"/>
      <c r="H1269" s="412"/>
      <c r="I1269" s="412"/>
      <c r="J1269" s="412"/>
      <c r="K1269" s="412"/>
      <c r="L1269" s="412"/>
      <c r="M1269" s="412"/>
      <c r="N1269" s="174"/>
    </row>
    <row r="1270" spans="1:15" s="69" customFormat="1" ht="16.5" hidden="1">
      <c r="A1270" s="513"/>
      <c r="B1270" s="260"/>
      <c r="C1270" s="716" t="s">
        <v>459</v>
      </c>
      <c r="D1270" s="260" t="s">
        <v>52</v>
      </c>
      <c r="E1270" s="411"/>
      <c r="F1270" s="411">
        <f t="shared" si="2"/>
        <v>0</v>
      </c>
      <c r="G1270" s="412"/>
      <c r="H1270" s="412"/>
      <c r="I1270" s="412"/>
      <c r="J1270" s="412"/>
      <c r="K1270" s="412"/>
      <c r="L1270" s="412"/>
      <c r="M1270" s="412"/>
      <c r="N1270" s="174"/>
    </row>
    <row r="1271" spans="1:15" s="69" customFormat="1" ht="16.5" hidden="1">
      <c r="A1271" s="513"/>
      <c r="B1271" s="260"/>
      <c r="C1271" s="716" t="s">
        <v>460</v>
      </c>
      <c r="D1271" s="260" t="s">
        <v>52</v>
      </c>
      <c r="E1271" s="411"/>
      <c r="F1271" s="411">
        <f t="shared" si="2"/>
        <v>0</v>
      </c>
      <c r="G1271" s="412"/>
      <c r="H1271" s="412"/>
      <c r="I1271" s="412"/>
      <c r="J1271" s="412"/>
      <c r="K1271" s="412"/>
      <c r="L1271" s="412"/>
      <c r="M1271" s="412"/>
      <c r="N1271" s="174"/>
    </row>
    <row r="1272" spans="1:15" s="69" customFormat="1" ht="16.5" hidden="1">
      <c r="A1272" s="513"/>
      <c r="B1272" s="260"/>
      <c r="C1272" s="716" t="s">
        <v>468</v>
      </c>
      <c r="D1272" s="260" t="s">
        <v>52</v>
      </c>
      <c r="E1272" s="411"/>
      <c r="F1272" s="411">
        <f t="shared" si="2"/>
        <v>0</v>
      </c>
      <c r="G1272" s="412"/>
      <c r="H1272" s="412"/>
      <c r="I1272" s="412"/>
      <c r="J1272" s="412"/>
      <c r="K1272" s="412"/>
      <c r="L1272" s="412"/>
      <c r="M1272" s="412"/>
      <c r="N1272" s="174"/>
    </row>
    <row r="1273" spans="1:15" s="69" customFormat="1" ht="16.5" hidden="1">
      <c r="A1273" s="513"/>
      <c r="B1273" s="260"/>
      <c r="C1273" s="716" t="s">
        <v>469</v>
      </c>
      <c r="D1273" s="260" t="s">
        <v>52</v>
      </c>
      <c r="E1273" s="411"/>
      <c r="F1273" s="411">
        <f t="shared" si="2"/>
        <v>0</v>
      </c>
      <c r="G1273" s="412"/>
      <c r="H1273" s="412"/>
      <c r="I1273" s="412"/>
      <c r="J1273" s="412"/>
      <c r="K1273" s="412"/>
      <c r="L1273" s="412"/>
      <c r="M1273" s="412"/>
      <c r="N1273" s="174"/>
    </row>
    <row r="1274" spans="1:15" s="69" customFormat="1" ht="16.5" hidden="1">
      <c r="A1274" s="513"/>
      <c r="B1274" s="260"/>
      <c r="C1274" s="716" t="s">
        <v>463</v>
      </c>
      <c r="D1274" s="260" t="s">
        <v>52</v>
      </c>
      <c r="E1274" s="411"/>
      <c r="F1274" s="411">
        <f t="shared" si="2"/>
        <v>0</v>
      </c>
      <c r="G1274" s="412"/>
      <c r="H1274" s="412"/>
      <c r="I1274" s="412"/>
      <c r="J1274" s="412"/>
      <c r="K1274" s="412"/>
      <c r="L1274" s="412"/>
      <c r="M1274" s="412"/>
      <c r="N1274" s="174"/>
    </row>
    <row r="1275" spans="1:15" s="72" customFormat="1" hidden="1">
      <c r="A1275" s="513"/>
      <c r="B1275" s="514"/>
      <c r="C1275" s="618"/>
      <c r="D1275" s="424"/>
      <c r="E1275" s="401"/>
      <c r="F1275" s="411"/>
      <c r="G1275" s="412"/>
      <c r="H1275" s="13"/>
      <c r="I1275" s="13"/>
      <c r="J1275" s="13"/>
      <c r="K1275" s="13"/>
      <c r="L1275" s="13"/>
      <c r="M1275" s="412"/>
      <c r="N1275" s="510"/>
      <c r="O1275" s="393"/>
    </row>
    <row r="1276" spans="1:15" s="74" customFormat="1" ht="16.5" hidden="1">
      <c r="A1276" s="410"/>
      <c r="B1276" s="260"/>
      <c r="C1276" s="739"/>
      <c r="D1276" s="260"/>
      <c r="E1276" s="243"/>
      <c r="F1276" s="76"/>
      <c r="G1276" s="22"/>
      <c r="H1276" s="412"/>
      <c r="I1276" s="22"/>
      <c r="J1276" s="412"/>
      <c r="K1276" s="21"/>
      <c r="L1276" s="412"/>
      <c r="M1276" s="412"/>
      <c r="N1276" s="274"/>
      <c r="O1276" s="529"/>
    </row>
    <row r="1277" spans="1:15" s="74" customFormat="1" ht="49.5" customHeight="1">
      <c r="A1277" s="1139" t="s">
        <v>163</v>
      </c>
      <c r="B1277" s="158" t="s">
        <v>91</v>
      </c>
      <c r="C1277" s="716" t="s">
        <v>123</v>
      </c>
      <c r="D1277" s="260" t="s">
        <v>18</v>
      </c>
      <c r="E1277" s="401"/>
      <c r="F1277" s="24">
        <v>5</v>
      </c>
      <c r="G1277" s="412"/>
      <c r="H1277" s="412"/>
      <c r="I1277" s="412"/>
      <c r="J1277" s="412"/>
      <c r="K1277" s="412"/>
      <c r="L1277" s="412"/>
      <c r="M1277" s="412"/>
      <c r="N1277" s="274"/>
      <c r="O1277" s="529"/>
    </row>
    <row r="1278" spans="1:15" s="74" customFormat="1" ht="16.5">
      <c r="A1278" s="1139"/>
      <c r="B1278" s="260"/>
      <c r="C1278" s="743" t="s">
        <v>54</v>
      </c>
      <c r="D1278" s="42" t="s">
        <v>12</v>
      </c>
      <c r="E1278" s="243">
        <v>0.6</v>
      </c>
      <c r="F1278" s="43">
        <f>F1277*E1278</f>
        <v>3</v>
      </c>
      <c r="G1278" s="22"/>
      <c r="H1278" s="412"/>
      <c r="I1278" s="22"/>
      <c r="J1278" s="412"/>
      <c r="K1278" s="412"/>
      <c r="L1278" s="412"/>
      <c r="M1278" s="412"/>
      <c r="N1278" s="274"/>
      <c r="O1278" s="529"/>
    </row>
    <row r="1279" spans="1:15" s="74" customFormat="1" ht="27" customHeight="1">
      <c r="A1279" s="1139"/>
      <c r="B1279" s="75" t="s">
        <v>82</v>
      </c>
      <c r="C1279" s="744" t="s">
        <v>55</v>
      </c>
      <c r="D1279" s="260" t="s">
        <v>40</v>
      </c>
      <c r="E1279" s="243"/>
      <c r="F1279" s="76">
        <f>F1277*1.65</f>
        <v>8.25</v>
      </c>
      <c r="G1279" s="22"/>
      <c r="H1279" s="412"/>
      <c r="I1279" s="22"/>
      <c r="J1279" s="412"/>
      <c r="K1279" s="22"/>
      <c r="L1279" s="412"/>
      <c r="M1279" s="412"/>
      <c r="N1279" s="274"/>
      <c r="O1279" s="529"/>
    </row>
    <row r="1280" spans="1:15" s="74" customFormat="1" ht="16.5">
      <c r="A1280" s="1139"/>
      <c r="B1280" s="236"/>
      <c r="C1280" s="745" t="s">
        <v>56</v>
      </c>
      <c r="D1280" s="42" t="s">
        <v>12</v>
      </c>
      <c r="E1280" s="243">
        <v>0.53</v>
      </c>
      <c r="F1280" s="43">
        <f>F1279*E1280</f>
        <v>4.3725000000000005</v>
      </c>
      <c r="G1280" s="22"/>
      <c r="H1280" s="412"/>
      <c r="I1280" s="22"/>
      <c r="J1280" s="412"/>
      <c r="K1280" s="22"/>
      <c r="L1280" s="412"/>
      <c r="M1280" s="412"/>
      <c r="N1280" s="274"/>
      <c r="O1280" s="529"/>
    </row>
    <row r="1281" spans="1:15" s="74" customFormat="1" ht="15.75" customHeight="1">
      <c r="A1281" s="1139"/>
      <c r="B1281" s="260" t="s">
        <v>92</v>
      </c>
      <c r="C1281" s="739" t="s">
        <v>784</v>
      </c>
      <c r="D1281" s="260" t="s">
        <v>40</v>
      </c>
      <c r="E1281" s="243"/>
      <c r="F1281" s="76">
        <f>F1279</f>
        <v>8.25</v>
      </c>
      <c r="G1281" s="22"/>
      <c r="H1281" s="412"/>
      <c r="I1281" s="22"/>
      <c r="J1281" s="412"/>
      <c r="K1281" s="21"/>
      <c r="L1281" s="412"/>
      <c r="M1281" s="412"/>
      <c r="N1281" s="274"/>
      <c r="O1281" s="529"/>
    </row>
    <row r="1282" spans="1:15" s="74" customFormat="1" ht="16.5" hidden="1">
      <c r="A1282" s="410"/>
      <c r="B1282" s="260"/>
      <c r="C1282" s="739"/>
      <c r="D1282" s="260"/>
      <c r="E1282" s="243"/>
      <c r="F1282" s="76"/>
      <c r="G1282" s="22"/>
      <c r="H1282" s="412"/>
      <c r="I1282" s="22"/>
      <c r="J1282" s="412"/>
      <c r="K1282" s="21"/>
      <c r="L1282" s="412"/>
      <c r="M1282" s="412"/>
      <c r="N1282" s="274"/>
      <c r="O1282" s="529"/>
    </row>
    <row r="1283" spans="1:15" s="74" customFormat="1" ht="16.5" hidden="1">
      <c r="A1283" s="410"/>
      <c r="B1283" s="260"/>
      <c r="C1283" s="716"/>
      <c r="D1283" s="260"/>
      <c r="E1283" s="401"/>
      <c r="F1283" s="411"/>
      <c r="G1283" s="412"/>
      <c r="H1283" s="412"/>
      <c r="I1283" s="412"/>
      <c r="J1283" s="412"/>
      <c r="K1283" s="412"/>
      <c r="L1283" s="412"/>
      <c r="M1283" s="412"/>
      <c r="N1283" s="175"/>
      <c r="O1283" s="529"/>
    </row>
    <row r="1284" spans="1:15" s="69" customFormat="1" ht="16.5">
      <c r="A1284" s="548"/>
      <c r="B1284" s="366"/>
      <c r="C1284" s="368" t="s">
        <v>223</v>
      </c>
      <c r="D1284" s="366"/>
      <c r="E1284" s="367"/>
      <c r="F1284" s="368"/>
      <c r="G1284" s="369"/>
      <c r="H1284" s="369"/>
      <c r="I1284" s="369"/>
      <c r="J1284" s="369"/>
      <c r="K1284" s="369"/>
      <c r="L1284" s="369"/>
      <c r="M1284" s="369"/>
      <c r="N1284" s="264">
        <f>H1284+J1284+L1284</f>
        <v>0</v>
      </c>
      <c r="O1284" s="533"/>
    </row>
    <row r="1285" spans="1:15" s="69" customFormat="1" ht="16.5">
      <c r="A1285" s="549"/>
      <c r="B1285" s="207"/>
      <c r="C1285" s="807" t="s">
        <v>127</v>
      </c>
      <c r="D1285" s="207"/>
      <c r="E1285" s="209"/>
      <c r="F1285" s="210">
        <v>0.05</v>
      </c>
      <c r="G1285" s="211"/>
      <c r="H1285" s="211"/>
      <c r="I1285" s="211"/>
      <c r="J1285" s="211"/>
      <c r="K1285" s="211"/>
      <c r="L1285" s="211"/>
      <c r="M1285" s="568"/>
      <c r="N1285" s="174"/>
      <c r="O1285" s="533"/>
    </row>
    <row r="1286" spans="1:15" s="69" customFormat="1" ht="16.5">
      <c r="A1286" s="549"/>
      <c r="B1286" s="207"/>
      <c r="C1286" s="808" t="s">
        <v>25</v>
      </c>
      <c r="D1286" s="207"/>
      <c r="E1286" s="209"/>
      <c r="F1286" s="569"/>
      <c r="G1286" s="211"/>
      <c r="H1286" s="211"/>
      <c r="I1286" s="211"/>
      <c r="J1286" s="211"/>
      <c r="K1286" s="211"/>
      <c r="L1286" s="211"/>
      <c r="M1286" s="568"/>
      <c r="N1286" s="174"/>
      <c r="O1286" s="528"/>
    </row>
    <row r="1287" spans="1:15" s="69" customFormat="1" ht="16.5">
      <c r="A1287" s="550"/>
      <c r="B1287" s="213"/>
      <c r="C1287" s="809" t="s">
        <v>128</v>
      </c>
      <c r="D1287" s="215"/>
      <c r="E1287" s="570"/>
      <c r="F1287" s="216" t="s">
        <v>970</v>
      </c>
      <c r="G1287" s="571"/>
      <c r="H1287" s="571"/>
      <c r="I1287" s="571"/>
      <c r="J1287" s="571"/>
      <c r="K1287" s="571"/>
      <c r="L1287" s="571"/>
      <c r="M1287" s="571"/>
      <c r="N1287" s="174"/>
      <c r="O1287" s="528"/>
    </row>
    <row r="1288" spans="1:15" s="108" customFormat="1" ht="16.5">
      <c r="A1288" s="551"/>
      <c r="B1288" s="218"/>
      <c r="C1288" s="808" t="s">
        <v>25</v>
      </c>
      <c r="D1288" s="219"/>
      <c r="E1288" s="220"/>
      <c r="F1288" s="572"/>
      <c r="G1288" s="206"/>
      <c r="H1288" s="206"/>
      <c r="I1288" s="206"/>
      <c r="J1288" s="206"/>
      <c r="K1288" s="206"/>
      <c r="L1288" s="206"/>
      <c r="M1288" s="206"/>
      <c r="N1288" s="176"/>
      <c r="O1288" s="534"/>
    </row>
    <row r="1289" spans="1:15" s="69" customFormat="1" ht="16.5">
      <c r="A1289" s="551"/>
      <c r="B1289" s="218"/>
      <c r="C1289" s="810" t="s">
        <v>74</v>
      </c>
      <c r="D1289" s="219"/>
      <c r="E1289" s="220"/>
      <c r="F1289" s="573" t="s">
        <v>970</v>
      </c>
      <c r="G1289" s="206"/>
      <c r="H1289" s="206"/>
      <c r="I1289" s="206"/>
      <c r="J1289" s="206"/>
      <c r="K1289" s="206"/>
      <c r="L1289" s="206"/>
      <c r="M1289" s="206"/>
      <c r="N1289" s="174"/>
      <c r="O1289" s="528"/>
    </row>
    <row r="1290" spans="1:15" s="108" customFormat="1" ht="16.5">
      <c r="A1290" s="551"/>
      <c r="B1290" s="218"/>
      <c r="C1290" s="808" t="s">
        <v>25</v>
      </c>
      <c r="D1290" s="219"/>
      <c r="E1290" s="220"/>
      <c r="F1290" s="572"/>
      <c r="G1290" s="206"/>
      <c r="H1290" s="206"/>
      <c r="I1290" s="206"/>
      <c r="J1290" s="206"/>
      <c r="K1290" s="206"/>
      <c r="L1290" s="206"/>
      <c r="M1290" s="222"/>
      <c r="N1290" s="176"/>
      <c r="O1290" s="534"/>
    </row>
    <row r="1291" spans="1:15" s="69" customFormat="1" ht="16.5">
      <c r="A1291" s="551"/>
      <c r="B1291" s="218"/>
      <c r="C1291" s="810" t="s">
        <v>4</v>
      </c>
      <c r="D1291" s="219"/>
      <c r="E1291" s="220"/>
      <c r="F1291" s="226">
        <v>0.03</v>
      </c>
      <c r="G1291" s="206"/>
      <c r="H1291" s="206"/>
      <c r="I1291" s="206"/>
      <c r="J1291" s="206"/>
      <c r="K1291" s="206"/>
      <c r="L1291" s="206"/>
      <c r="M1291" s="206"/>
      <c r="N1291" s="174"/>
      <c r="O1291" s="528"/>
    </row>
    <row r="1292" spans="1:15" s="69" customFormat="1" ht="16.5">
      <c r="A1292" s="551"/>
      <c r="B1292" s="218"/>
      <c r="C1292" s="811" t="s">
        <v>25</v>
      </c>
      <c r="D1292" s="219"/>
      <c r="E1292" s="220"/>
      <c r="F1292" s="224"/>
      <c r="G1292" s="206"/>
      <c r="H1292" s="206"/>
      <c r="I1292" s="206"/>
      <c r="J1292" s="206"/>
      <c r="K1292" s="206"/>
      <c r="L1292" s="206"/>
      <c r="M1292" s="206"/>
      <c r="N1292" s="174"/>
      <c r="O1292" s="528"/>
    </row>
    <row r="1293" spans="1:15" s="69" customFormat="1" ht="16.5" hidden="1">
      <c r="A1293" s="551"/>
      <c r="B1293" s="218"/>
      <c r="C1293" s="202" t="s">
        <v>129</v>
      </c>
      <c r="D1293" s="219"/>
      <c r="E1293" s="220"/>
      <c r="F1293" s="226">
        <v>0</v>
      </c>
      <c r="G1293" s="206"/>
      <c r="H1293" s="206"/>
      <c r="I1293" s="206"/>
      <c r="J1293" s="206"/>
      <c r="K1293" s="206"/>
      <c r="L1293" s="206"/>
      <c r="M1293" s="206"/>
      <c r="N1293" s="174"/>
      <c r="O1293" s="528"/>
    </row>
    <row r="1294" spans="1:15" s="69" customFormat="1" ht="16.5" hidden="1">
      <c r="A1294" s="551"/>
      <c r="B1294" s="218"/>
      <c r="C1294" s="811" t="s">
        <v>25</v>
      </c>
      <c r="D1294" s="219"/>
      <c r="E1294" s="220"/>
      <c r="F1294" s="224"/>
      <c r="G1294" s="206"/>
      <c r="H1294" s="206"/>
      <c r="I1294" s="206"/>
      <c r="J1294" s="206"/>
      <c r="K1294" s="206"/>
      <c r="L1294" s="206"/>
      <c r="M1294" s="206"/>
      <c r="N1294" s="174"/>
      <c r="O1294" s="528"/>
    </row>
    <row r="1295" spans="1:15" s="69" customFormat="1" ht="16.5">
      <c r="A1295" s="551"/>
      <c r="B1295" s="218"/>
      <c r="C1295" s="812" t="s">
        <v>130</v>
      </c>
      <c r="D1295" s="219"/>
      <c r="E1295" s="220"/>
      <c r="F1295" s="223" t="s">
        <v>58</v>
      </c>
      <c r="G1295" s="206"/>
      <c r="H1295" s="206"/>
      <c r="I1295" s="206"/>
      <c r="J1295" s="206"/>
      <c r="K1295" s="206"/>
      <c r="L1295" s="206"/>
      <c r="M1295" s="206"/>
      <c r="N1295" s="174"/>
      <c r="O1295" s="528"/>
    </row>
    <row r="1296" spans="1:15" s="69" customFormat="1" ht="16.5">
      <c r="A1296" s="548"/>
      <c r="B1296" s="366"/>
      <c r="C1296" s="368" t="s">
        <v>213</v>
      </c>
      <c r="D1296" s="366"/>
      <c r="E1296" s="367"/>
      <c r="F1296" s="368"/>
      <c r="G1296" s="369"/>
      <c r="H1296" s="369"/>
      <c r="I1296" s="369"/>
      <c r="J1296" s="369"/>
      <c r="K1296" s="369"/>
      <c r="L1296" s="369"/>
      <c r="M1296" s="66"/>
      <c r="N1296" s="174"/>
      <c r="O1296" s="528"/>
    </row>
    <row r="1297" spans="1:15" s="69" customFormat="1" ht="16.5">
      <c r="A1297" s="237"/>
      <c r="B1297" s="70"/>
      <c r="C1297" s="109"/>
      <c r="D1297" s="70"/>
      <c r="E1297" s="574"/>
      <c r="F1297" s="109"/>
      <c r="G1297" s="80"/>
      <c r="H1297" s="87"/>
      <c r="I1297" s="87"/>
      <c r="J1297" s="80"/>
      <c r="K1297" s="80"/>
      <c r="L1297" s="80"/>
      <c r="M1297" s="80"/>
      <c r="N1297" s="174"/>
      <c r="O1297" s="528"/>
    </row>
    <row r="1298" spans="1:15" s="69" customFormat="1" ht="16.5">
      <c r="A1298" s="237"/>
      <c r="B1298" s="70"/>
      <c r="C1298" s="145" t="s">
        <v>176</v>
      </c>
      <c r="D1298" s="110"/>
      <c r="E1298" s="575"/>
      <c r="F1298" s="109"/>
      <c r="G1298" s="80"/>
      <c r="H1298" s="80"/>
      <c r="I1298" s="80"/>
      <c r="J1298" s="80"/>
      <c r="K1298" s="80"/>
      <c r="L1298" s="80"/>
      <c r="M1298" s="80"/>
      <c r="N1298" s="174"/>
      <c r="O1298" s="528"/>
    </row>
    <row r="1303" spans="1:15">
      <c r="C1303" s="813"/>
      <c r="D1303" s="558"/>
      <c r="E1303" s="579"/>
    </row>
    <row r="1304" spans="1:15">
      <c r="C1304" s="814"/>
      <c r="D1304" s="159"/>
      <c r="E1304" s="181"/>
    </row>
    <row r="1305" spans="1:15">
      <c r="C1305" s="815"/>
      <c r="D1305" s="159"/>
      <c r="E1305" s="181"/>
    </row>
    <row r="1306" spans="1:15">
      <c r="C1306" s="815"/>
      <c r="D1306" s="159"/>
      <c r="E1306" s="181"/>
    </row>
  </sheetData>
  <mergeCells count="229">
    <mergeCell ref="A943:A946"/>
    <mergeCell ref="A896:A900"/>
    <mergeCell ref="A851:A856"/>
    <mergeCell ref="A830:A836"/>
    <mergeCell ref="A837:A842"/>
    <mergeCell ref="A843:A850"/>
    <mergeCell ref="A889:A890"/>
    <mergeCell ref="A891:A895"/>
    <mergeCell ref="A901:A909"/>
    <mergeCell ref="A932:A938"/>
    <mergeCell ref="A939:A942"/>
    <mergeCell ref="A910:A930"/>
    <mergeCell ref="C531:C532"/>
    <mergeCell ref="A512:A513"/>
    <mergeCell ref="A514:A515"/>
    <mergeCell ref="A517:A521"/>
    <mergeCell ref="A537:A542"/>
    <mergeCell ref="A522:A526"/>
    <mergeCell ref="A39:A41"/>
    <mergeCell ref="A445:A446"/>
    <mergeCell ref="A447:A449"/>
    <mergeCell ref="A450:A454"/>
    <mergeCell ref="A455:A461"/>
    <mergeCell ref="A426:A427"/>
    <mergeCell ref="A59:A62"/>
    <mergeCell ref="A74:A76"/>
    <mergeCell ref="A77:A79"/>
    <mergeCell ref="A80:A82"/>
    <mergeCell ref="A83:A87"/>
    <mergeCell ref="A89:A90"/>
    <mergeCell ref="A91:A95"/>
    <mergeCell ref="A96:A97"/>
    <mergeCell ref="A98:A102"/>
    <mergeCell ref="A103:A107"/>
    <mergeCell ref="A113:A121"/>
    <mergeCell ref="A531:A536"/>
    <mergeCell ref="A30:A32"/>
    <mergeCell ref="A33:A35"/>
    <mergeCell ref="A43:A45"/>
    <mergeCell ref="C498:C499"/>
    <mergeCell ref="A504:A509"/>
    <mergeCell ref="A655:A662"/>
    <mergeCell ref="B621:B622"/>
    <mergeCell ref="A629:A640"/>
    <mergeCell ref="A641:A643"/>
    <mergeCell ref="A644:A651"/>
    <mergeCell ref="A652:A654"/>
    <mergeCell ref="A596:A597"/>
    <mergeCell ref="A599:A603"/>
    <mergeCell ref="A604:A612"/>
    <mergeCell ref="A613:A618"/>
    <mergeCell ref="A621:A628"/>
    <mergeCell ref="A575:A576"/>
    <mergeCell ref="C559:C560"/>
    <mergeCell ref="A566:A572"/>
    <mergeCell ref="A555:A558"/>
    <mergeCell ref="A474:A481"/>
    <mergeCell ref="A46:A48"/>
    <mergeCell ref="A545:A546"/>
    <mergeCell ref="A547:A548"/>
    <mergeCell ref="A36:A38"/>
    <mergeCell ref="B704:B705"/>
    <mergeCell ref="A1277:A1281"/>
    <mergeCell ref="A1:M1"/>
    <mergeCell ref="A3:M3"/>
    <mergeCell ref="A5:M5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484:A485"/>
    <mergeCell ref="A594:A595"/>
    <mergeCell ref="A13:A15"/>
    <mergeCell ref="A16:A18"/>
    <mergeCell ref="A19:A21"/>
    <mergeCell ref="A22:A23"/>
    <mergeCell ref="A27:A29"/>
    <mergeCell ref="A64:A68"/>
    <mergeCell ref="A24:A26"/>
    <mergeCell ref="B1057:B1058"/>
    <mergeCell ref="B1063:B1064"/>
    <mergeCell ref="A1081:A1086"/>
    <mergeCell ref="A974:A992"/>
    <mergeCell ref="A994:A1000"/>
    <mergeCell ref="A1001:A1004"/>
    <mergeCell ref="A1005:A1008"/>
    <mergeCell ref="A1010:A1015"/>
    <mergeCell ref="A1016:A1023"/>
    <mergeCell ref="A1024:A1030"/>
    <mergeCell ref="A1031:A1034"/>
    <mergeCell ref="A1035:A1039"/>
    <mergeCell ref="A1186:A1187"/>
    <mergeCell ref="A1188:A1249"/>
    <mergeCell ref="A1250:A1264"/>
    <mergeCell ref="A952:A953"/>
    <mergeCell ref="A1040:A1045"/>
    <mergeCell ref="A1056:A1080"/>
    <mergeCell ref="A670:A671"/>
    <mergeCell ref="A672:A673"/>
    <mergeCell ref="A675:A679"/>
    <mergeCell ref="A680:A684"/>
    <mergeCell ref="A1124:A1125"/>
    <mergeCell ref="A880:A885"/>
    <mergeCell ref="A1126:A1128"/>
    <mergeCell ref="A1131:A1160"/>
    <mergeCell ref="A685:A693"/>
    <mergeCell ref="A694:A699"/>
    <mergeCell ref="A700:A701"/>
    <mergeCell ref="A702:A731"/>
    <mergeCell ref="A1046:A1050"/>
    <mergeCell ref="A1051:A1054"/>
    <mergeCell ref="A1117:A1119"/>
    <mergeCell ref="A1115:A1116"/>
    <mergeCell ref="A1091:A1092"/>
    <mergeCell ref="A786:A787"/>
    <mergeCell ref="A753:A761"/>
    <mergeCell ref="A1093:A1097"/>
    <mergeCell ref="A1098:A1108"/>
    <mergeCell ref="A1109:A1114"/>
    <mergeCell ref="A732:A737"/>
    <mergeCell ref="A950:A951"/>
    <mergeCell ref="A955:A959"/>
    <mergeCell ref="A960:A964"/>
    <mergeCell ref="A965:A973"/>
    <mergeCell ref="A859:A860"/>
    <mergeCell ref="A861:A863"/>
    <mergeCell ref="A864:A868"/>
    <mergeCell ref="A869:A879"/>
    <mergeCell ref="A741:A742"/>
    <mergeCell ref="A743:A747"/>
    <mergeCell ref="A748:A752"/>
    <mergeCell ref="A788:A792"/>
    <mergeCell ref="A793:A797"/>
    <mergeCell ref="A798:A806"/>
    <mergeCell ref="A807:A812"/>
    <mergeCell ref="A813:A814"/>
    <mergeCell ref="A815:A817"/>
    <mergeCell ref="A818:A823"/>
    <mergeCell ref="A824:A827"/>
    <mergeCell ref="A180:A184"/>
    <mergeCell ref="A185:A189"/>
    <mergeCell ref="A762:A767"/>
    <mergeCell ref="A768:A769"/>
    <mergeCell ref="A770:A772"/>
    <mergeCell ref="A773:A778"/>
    <mergeCell ref="A779:A782"/>
    <mergeCell ref="A663:A667"/>
    <mergeCell ref="A428:A430"/>
    <mergeCell ref="A431:A435"/>
    <mergeCell ref="A436:A442"/>
    <mergeCell ref="A494:A497"/>
    <mergeCell ref="A498:A503"/>
    <mergeCell ref="A464:A465"/>
    <mergeCell ref="A466:A468"/>
    <mergeCell ref="A469:A473"/>
    <mergeCell ref="A577:A579"/>
    <mergeCell ref="A580:A584"/>
    <mergeCell ref="A486:A487"/>
    <mergeCell ref="A489:A493"/>
    <mergeCell ref="A585:A591"/>
    <mergeCell ref="A559:A565"/>
    <mergeCell ref="A550:A554"/>
    <mergeCell ref="A527:A530"/>
    <mergeCell ref="A232:A233"/>
    <mergeCell ref="A146:A149"/>
    <mergeCell ref="A150:A151"/>
    <mergeCell ref="A122:A132"/>
    <mergeCell ref="A133:A137"/>
    <mergeCell ref="A108:A112"/>
    <mergeCell ref="A140:A141"/>
    <mergeCell ref="A138:A139"/>
    <mergeCell ref="A142:A145"/>
    <mergeCell ref="A190:A194"/>
    <mergeCell ref="A195:A203"/>
    <mergeCell ref="A204:A214"/>
    <mergeCell ref="A215:A219"/>
    <mergeCell ref="A220:A221"/>
    <mergeCell ref="A222:A223"/>
    <mergeCell ref="A224:A227"/>
    <mergeCell ref="A228:A231"/>
    <mergeCell ref="A156:A158"/>
    <mergeCell ref="A159:A161"/>
    <mergeCell ref="A162:A164"/>
    <mergeCell ref="A165:A169"/>
    <mergeCell ref="A171:A172"/>
    <mergeCell ref="A173:A177"/>
    <mergeCell ref="A178:A179"/>
    <mergeCell ref="A238:A240"/>
    <mergeCell ref="A241:A243"/>
    <mergeCell ref="A244:A246"/>
    <mergeCell ref="A247:A251"/>
    <mergeCell ref="A253:A254"/>
    <mergeCell ref="A302:A303"/>
    <mergeCell ref="A255:A259"/>
    <mergeCell ref="A260:A261"/>
    <mergeCell ref="A262:A266"/>
    <mergeCell ref="A267:A271"/>
    <mergeCell ref="A272:A276"/>
    <mergeCell ref="A277:A285"/>
    <mergeCell ref="A286:A296"/>
    <mergeCell ref="A297:A301"/>
    <mergeCell ref="A304:A305"/>
    <mergeCell ref="A306:A309"/>
    <mergeCell ref="A310:A313"/>
    <mergeCell ref="A314:A315"/>
    <mergeCell ref="A319:A320"/>
    <mergeCell ref="A321:A325"/>
    <mergeCell ref="A331:A339"/>
    <mergeCell ref="A383:A388"/>
    <mergeCell ref="A390:A397"/>
    <mergeCell ref="A349:A353"/>
    <mergeCell ref="A340:A348"/>
    <mergeCell ref="A354:A355"/>
    <mergeCell ref="A366:A368"/>
    <mergeCell ref="A411:A416"/>
    <mergeCell ref="A417:A423"/>
    <mergeCell ref="A326:A330"/>
    <mergeCell ref="A356:A357"/>
    <mergeCell ref="A358:A361"/>
    <mergeCell ref="A362:A365"/>
    <mergeCell ref="A369:A376"/>
    <mergeCell ref="A377:A382"/>
    <mergeCell ref="A405:A410"/>
    <mergeCell ref="A398:A403"/>
  </mergeCells>
  <conditionalFormatting sqref="C617 C901:D901 C931:D942">
    <cfRule type="cellIs" dxfId="29" priority="21" stopIfTrue="1" operator="equal">
      <formula>8223.307275</formula>
    </cfRule>
  </conditionalFormatting>
  <conditionalFormatting sqref="C493:D493">
    <cfRule type="cellIs" dxfId="28" priority="25" stopIfTrue="1" operator="equal">
      <formula>8223.307275</formula>
    </cfRule>
  </conditionalFormatting>
  <conditionalFormatting sqref="C584:D584">
    <cfRule type="cellIs" dxfId="27" priority="24" stopIfTrue="1" operator="equal">
      <formula>8223.307275</formula>
    </cfRule>
  </conditionalFormatting>
  <conditionalFormatting sqref="D614 C618 D616:D618">
    <cfRule type="cellIs" dxfId="26" priority="23" stopIfTrue="1" operator="equal">
      <formula>8223.307275</formula>
    </cfRule>
  </conditionalFormatting>
  <conditionalFormatting sqref="C613">
    <cfRule type="cellIs" dxfId="25" priority="22" stopIfTrue="1" operator="equal">
      <formula>8223.307275</formula>
    </cfRule>
  </conditionalFormatting>
  <conditionalFormatting sqref="G695:M695 M696 C679:D679">
    <cfRule type="cellIs" dxfId="24" priority="20" stopIfTrue="1" operator="equal">
      <formula>8223.307275</formula>
    </cfRule>
  </conditionalFormatting>
  <conditionalFormatting sqref="D1055">
    <cfRule type="cellIs" dxfId="23" priority="19" stopIfTrue="1" operator="equal">
      <formula>8223.307275</formula>
    </cfRule>
  </conditionalFormatting>
  <conditionalFormatting sqref="C976:D981 F1004 F1009 C984:D1005 D982:D983">
    <cfRule type="cellIs" dxfId="22" priority="18" stopIfTrue="1" operator="equal">
      <formula>8223.307275</formula>
    </cfRule>
  </conditionalFormatting>
  <conditionalFormatting sqref="C959:D959">
    <cfRule type="cellIs" dxfId="21" priority="17" stopIfTrue="1" operator="equal">
      <formula>8223.307275</formula>
    </cfRule>
  </conditionalFormatting>
  <conditionalFormatting sqref="C982:C983">
    <cfRule type="cellIs" dxfId="20" priority="16" stopIfTrue="1" operator="equal">
      <formula>8223.307275</formula>
    </cfRule>
  </conditionalFormatting>
  <conditionalFormatting sqref="G1110:M1110 M1111">
    <cfRule type="cellIs" dxfId="19" priority="15" stopIfTrue="1" operator="equal">
      <formula>8223.307275</formula>
    </cfRule>
  </conditionalFormatting>
  <conditionalFormatting sqref="C435:D435">
    <cfRule type="cellIs" dxfId="18" priority="14" stopIfTrue="1" operator="equal">
      <formula>8223.307275</formula>
    </cfRule>
  </conditionalFormatting>
  <conditionalFormatting sqref="C473:D473">
    <cfRule type="cellIs" dxfId="17" priority="13" stopIfTrue="1" operator="equal">
      <formula>8223.307275</formula>
    </cfRule>
  </conditionalFormatting>
  <conditionalFormatting sqref="C554:D554">
    <cfRule type="cellIs" dxfId="16" priority="12" stopIfTrue="1" operator="equal">
      <formula>8223.307275</formula>
    </cfRule>
  </conditionalFormatting>
  <conditionalFormatting sqref="C454:D454">
    <cfRule type="cellIs" dxfId="15" priority="10" stopIfTrue="1" operator="equal">
      <formula>8223.307275</formula>
    </cfRule>
  </conditionalFormatting>
  <conditionalFormatting sqref="C521:D521">
    <cfRule type="cellIs" dxfId="14" priority="9" stopIfTrue="1" operator="equal">
      <formula>8223.307275</formula>
    </cfRule>
  </conditionalFormatting>
  <conditionalFormatting sqref="C526:D526">
    <cfRule type="cellIs" dxfId="13" priority="8" stopIfTrue="1" operator="equal">
      <formula>8223.307275</formula>
    </cfRule>
  </conditionalFormatting>
  <conditionalFormatting sqref="C779:D780">
    <cfRule type="cellIs" dxfId="12" priority="7" stopIfTrue="1" operator="equal">
      <formula>8223.307275</formula>
    </cfRule>
  </conditionalFormatting>
  <conditionalFormatting sqref="G763:M763 M764">
    <cfRule type="cellIs" dxfId="11" priority="6" stopIfTrue="1" operator="equal">
      <formula>8223.307275</formula>
    </cfRule>
  </conditionalFormatting>
  <conditionalFormatting sqref="C824:D825">
    <cfRule type="cellIs" dxfId="10" priority="5" stopIfTrue="1" operator="equal">
      <formula>8223.307275</formula>
    </cfRule>
  </conditionalFormatting>
  <conditionalFormatting sqref="G808:M808 M809">
    <cfRule type="cellIs" dxfId="9" priority="4" stopIfTrue="1" operator="equal">
      <formula>8223.307275</formula>
    </cfRule>
  </conditionalFormatting>
  <conditionalFormatting sqref="C887:D889 C891:D891 C893:D895 C903:D909">
    <cfRule type="cellIs" dxfId="8" priority="3" stopIfTrue="1" operator="equal">
      <formula>8223.307275</formula>
    </cfRule>
  </conditionalFormatting>
  <conditionalFormatting sqref="C910:D930">
    <cfRule type="cellIs" dxfId="7" priority="2" stopIfTrue="1" operator="equal">
      <formula>8223.307275</formula>
    </cfRule>
  </conditionalFormatting>
  <conditionalFormatting sqref="C943:D946">
    <cfRule type="cellIs" dxfId="6" priority="1" stopIfTrue="1" operator="equal">
      <formula>8223.307275</formula>
    </cfRule>
  </conditionalFormatting>
  <pageMargins left="0.62992125984252001" right="0.118110236220472" top="0.56999999999999995" bottom="0.43307086614173201" header="0.37" footer="0.27559055118110198"/>
  <pageSetup paperSize="9" scale="70" orientation="landscape" horizontalDpi="1200" verticalDpi="1200" r:id="rId1"/>
  <headerFooter>
    <oddHeader>&amp;R&amp;P--&amp;N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46"/>
  <sheetViews>
    <sheetView topLeftCell="A154" zoomScale="80" zoomScaleNormal="80" workbookViewId="0">
      <selection activeCell="F236" sqref="F236"/>
    </sheetView>
  </sheetViews>
  <sheetFormatPr defaultRowHeight="15"/>
  <cols>
    <col min="1" max="1" width="6.140625" customWidth="1"/>
    <col min="2" max="2" width="10.140625" customWidth="1"/>
    <col min="3" max="3" width="51.28515625" customWidth="1"/>
    <col min="4" max="4" width="9.140625" customWidth="1"/>
    <col min="5" max="5" width="10.28515625" style="182" customWidth="1"/>
    <col min="6" max="6" width="12.42578125" style="182" customWidth="1"/>
    <col min="7" max="7" width="9.5703125" style="184" customWidth="1"/>
    <col min="8" max="8" width="11.28515625" style="184" customWidth="1"/>
    <col min="9" max="9" width="8.28515625" style="184" customWidth="1"/>
    <col min="10" max="10" width="11" style="184" customWidth="1"/>
    <col min="11" max="11" width="8.28515625" style="184" customWidth="1"/>
    <col min="12" max="12" width="10.28515625" style="184" customWidth="1"/>
    <col min="13" max="13" width="13.5703125" style="184" customWidth="1"/>
    <col min="14" max="14" width="24.7109375" customWidth="1"/>
    <col min="15" max="15" width="32.28515625" customWidth="1"/>
  </cols>
  <sheetData>
    <row r="1" spans="1:14" s="72" customFormat="1" ht="45.75" customHeight="1">
      <c r="A1" s="1161" t="str">
        <f>krebsiti!A3</f>
        <v>q.Tbilisi municipalitetis sofel diRomSi, wminda giorgis ubanSi, daviT
aRmaSeneblis II Sesaxvevisa da irodion surgulaZis quCebis kveTasTan arsebul
miwis nakveTze (s/k: 01.72.14.064.360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245" t="s">
        <v>250</v>
      </c>
    </row>
    <row r="2" spans="1:14" s="72" customFormat="1" ht="15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4" s="72" customFormat="1" ht="15.75" customHeight="1">
      <c r="A3" s="1161" t="s">
        <v>216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</row>
    <row r="4" spans="1:14" s="72" customFormat="1" ht="15.75">
      <c r="A4" s="289"/>
      <c r="B4" s="96"/>
      <c r="C4" s="96"/>
      <c r="D4" s="96"/>
      <c r="E4" s="145"/>
      <c r="F4" s="145"/>
      <c r="G4" s="288"/>
      <c r="H4" s="288"/>
      <c r="I4" s="288"/>
      <c r="J4" s="288"/>
      <c r="K4" s="288"/>
      <c r="L4" s="288"/>
      <c r="M4" s="288"/>
    </row>
    <row r="5" spans="1:14" s="72" customFormat="1" ht="15.75" customHeight="1">
      <c r="A5" s="1161" t="s">
        <v>222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</row>
    <row r="6" spans="1:14" s="72" customFormat="1" ht="15.75">
      <c r="A6" s="237"/>
      <c r="B6" s="97"/>
      <c r="C6" s="96"/>
      <c r="D6" s="97"/>
      <c r="E6" s="409"/>
      <c r="F6" s="409"/>
      <c r="G6" s="71"/>
      <c r="H6" s="71"/>
      <c r="I6" s="71"/>
      <c r="J6" s="71"/>
      <c r="K6" s="71"/>
      <c r="L6" s="71"/>
      <c r="M6" s="71"/>
    </row>
    <row r="7" spans="1:14" s="72" customFormat="1" ht="38.25" customHeight="1">
      <c r="A7" s="1139" t="s">
        <v>0</v>
      </c>
      <c r="B7" s="1162" t="s">
        <v>152</v>
      </c>
      <c r="C7" s="1193" t="s">
        <v>153</v>
      </c>
      <c r="D7" s="1162" t="s">
        <v>154</v>
      </c>
      <c r="E7" s="1165" t="s">
        <v>155</v>
      </c>
      <c r="F7" s="1165"/>
      <c r="G7" s="1166" t="s">
        <v>156</v>
      </c>
      <c r="H7" s="1166"/>
      <c r="I7" s="1166" t="s">
        <v>157</v>
      </c>
      <c r="J7" s="1166"/>
      <c r="K7" s="1167" t="s">
        <v>29</v>
      </c>
      <c r="L7" s="1168"/>
      <c r="M7" s="1166" t="s">
        <v>158</v>
      </c>
      <c r="N7" s="173"/>
    </row>
    <row r="8" spans="1:14" s="72" customFormat="1" ht="31.5">
      <c r="A8" s="1139"/>
      <c r="B8" s="1162"/>
      <c r="C8" s="1194"/>
      <c r="D8" s="1162"/>
      <c r="E8" s="265" t="s">
        <v>19</v>
      </c>
      <c r="F8" s="265" t="s">
        <v>8</v>
      </c>
      <c r="G8" s="265" t="s">
        <v>19</v>
      </c>
      <c r="H8" s="265" t="s">
        <v>8</v>
      </c>
      <c r="I8" s="265" t="s">
        <v>19</v>
      </c>
      <c r="J8" s="265" t="s">
        <v>8</v>
      </c>
      <c r="K8" s="265" t="s">
        <v>19</v>
      </c>
      <c r="L8" s="265" t="s">
        <v>8</v>
      </c>
      <c r="M8" s="1166"/>
      <c r="N8" s="173"/>
    </row>
    <row r="9" spans="1:14" s="69" customFormat="1" ht="16.5">
      <c r="A9" s="266" t="s">
        <v>84</v>
      </c>
      <c r="B9" s="266" t="s">
        <v>69</v>
      </c>
      <c r="C9" s="266" t="s">
        <v>85</v>
      </c>
      <c r="D9" s="266" t="s">
        <v>79</v>
      </c>
      <c r="E9" s="266" t="s">
        <v>80</v>
      </c>
      <c r="F9" s="266" t="s">
        <v>81</v>
      </c>
      <c r="G9" s="266" t="s">
        <v>77</v>
      </c>
      <c r="H9" s="266" t="s">
        <v>42</v>
      </c>
      <c r="I9" s="266" t="s">
        <v>46</v>
      </c>
      <c r="J9" s="266" t="s">
        <v>48</v>
      </c>
      <c r="K9" s="266" t="s">
        <v>159</v>
      </c>
      <c r="L9" s="266" t="s">
        <v>53</v>
      </c>
      <c r="M9" s="266" t="s">
        <v>160</v>
      </c>
      <c r="N9" s="174"/>
    </row>
    <row r="10" spans="1:14" s="69" customFormat="1" ht="31.5">
      <c r="A10" s="113" t="s">
        <v>217</v>
      </c>
      <c r="B10" s="113"/>
      <c r="C10" s="296" t="s">
        <v>586</v>
      </c>
      <c r="D10" s="113"/>
      <c r="E10" s="113"/>
      <c r="F10" s="113"/>
      <c r="G10" s="183"/>
      <c r="H10" s="183"/>
      <c r="I10" s="183"/>
      <c r="J10" s="183"/>
      <c r="K10" s="183"/>
      <c r="L10" s="183"/>
      <c r="M10" s="183"/>
    </row>
    <row r="11" spans="1:14" s="69" customFormat="1" ht="16.5">
      <c r="A11" s="371"/>
      <c r="B11" s="371"/>
      <c r="C11" s="372" t="s">
        <v>209</v>
      </c>
      <c r="D11" s="373"/>
      <c r="E11" s="374"/>
      <c r="F11" s="374"/>
      <c r="G11" s="20"/>
      <c r="H11" s="352"/>
      <c r="I11" s="20"/>
      <c r="J11" s="352"/>
      <c r="K11" s="21"/>
      <c r="L11" s="352"/>
      <c r="M11" s="352"/>
    </row>
    <row r="12" spans="1:14" s="69" customFormat="1" ht="16.5">
      <c r="A12" s="356" t="s">
        <v>14</v>
      </c>
      <c r="B12" s="354"/>
      <c r="C12" s="355" t="s">
        <v>211</v>
      </c>
      <c r="D12" s="356"/>
      <c r="E12" s="357"/>
      <c r="F12" s="357"/>
      <c r="G12" s="20"/>
      <c r="H12" s="165"/>
      <c r="I12" s="20"/>
      <c r="J12" s="165"/>
      <c r="K12" s="21"/>
      <c r="L12" s="165"/>
      <c r="M12" s="165"/>
    </row>
    <row r="13" spans="1:14" s="69" customFormat="1" ht="16.5">
      <c r="A13" s="1199"/>
      <c r="B13" s="1199"/>
      <c r="C13" s="398" t="s">
        <v>126</v>
      </c>
      <c r="D13" s="258" t="s">
        <v>75</v>
      </c>
      <c r="E13" s="399"/>
      <c r="F13" s="322">
        <f>F14</f>
        <v>10</v>
      </c>
      <c r="G13" s="1195"/>
      <c r="H13" s="1195"/>
      <c r="I13" s="1195"/>
      <c r="J13" s="1195"/>
      <c r="K13" s="1195"/>
      <c r="L13" s="1195"/>
      <c r="M13" s="1195"/>
    </row>
    <row r="14" spans="1:14" s="69" customFormat="1" ht="31.5">
      <c r="A14" s="1200"/>
      <c r="B14" s="1200"/>
      <c r="C14" s="56" t="s">
        <v>641</v>
      </c>
      <c r="D14" s="260" t="s">
        <v>75</v>
      </c>
      <c r="E14" s="103"/>
      <c r="F14" s="24">
        <v>10</v>
      </c>
      <c r="G14" s="1196"/>
      <c r="H14" s="1196"/>
      <c r="I14" s="1196"/>
      <c r="J14" s="1196"/>
      <c r="K14" s="1196"/>
      <c r="L14" s="1196"/>
      <c r="M14" s="1196"/>
    </row>
    <row r="15" spans="1:14" s="69" customFormat="1" ht="16.5">
      <c r="A15" s="1140" t="s">
        <v>84</v>
      </c>
      <c r="B15" s="263" t="s">
        <v>232</v>
      </c>
      <c r="C15" s="340" t="s">
        <v>204</v>
      </c>
      <c r="D15" s="141" t="s">
        <v>39</v>
      </c>
      <c r="E15" s="341"/>
      <c r="F15" s="23">
        <f>(150)*0.25*0.7</f>
        <v>26.25</v>
      </c>
      <c r="G15" s="360"/>
      <c r="H15" s="13"/>
      <c r="I15" s="360"/>
      <c r="J15" s="13"/>
      <c r="K15" s="360"/>
      <c r="L15" s="13"/>
      <c r="M15" s="13"/>
    </row>
    <row r="16" spans="1:14" s="69" customFormat="1" ht="16.5">
      <c r="A16" s="1141"/>
      <c r="B16" s="263"/>
      <c r="C16" s="342" t="s">
        <v>38</v>
      </c>
      <c r="D16" s="334" t="s">
        <v>12</v>
      </c>
      <c r="E16" s="333">
        <f>34/1000</f>
        <v>3.4000000000000002E-2</v>
      </c>
      <c r="F16" s="202">
        <f>F15*E16</f>
        <v>0.89250000000000007</v>
      </c>
      <c r="G16" s="360"/>
      <c r="H16" s="13"/>
      <c r="I16" s="360"/>
      <c r="J16" s="13"/>
      <c r="K16" s="22"/>
      <c r="L16" s="13"/>
      <c r="M16" s="13"/>
    </row>
    <row r="17" spans="1:13" s="69" customFormat="1" ht="16.5">
      <c r="A17" s="1141"/>
      <c r="B17" s="263" t="s">
        <v>197</v>
      </c>
      <c r="C17" s="342" t="s">
        <v>224</v>
      </c>
      <c r="D17" s="334" t="s">
        <v>44</v>
      </c>
      <c r="E17" s="333">
        <f>80.3/1000</f>
        <v>8.0299999999999996E-2</v>
      </c>
      <c r="F17" s="202">
        <f>F15*E17</f>
        <v>2.1078749999999999</v>
      </c>
      <c r="G17" s="360"/>
      <c r="H17" s="13"/>
      <c r="I17" s="360"/>
      <c r="J17" s="13"/>
      <c r="K17" s="360"/>
      <c r="L17" s="317"/>
      <c r="M17" s="317"/>
    </row>
    <row r="18" spans="1:13" s="69" customFormat="1" ht="16.5">
      <c r="A18" s="1141"/>
      <c r="B18" s="263"/>
      <c r="C18" s="342" t="s">
        <v>11</v>
      </c>
      <c r="D18" s="334" t="s">
        <v>9</v>
      </c>
      <c r="E18" s="333">
        <f>5.6/1000</f>
        <v>5.5999999999999999E-3</v>
      </c>
      <c r="F18" s="202">
        <f>F15*E18</f>
        <v>0.14699999999999999</v>
      </c>
      <c r="G18" s="360"/>
      <c r="H18" s="13"/>
      <c r="I18" s="360"/>
      <c r="J18" s="13"/>
      <c r="K18" s="360"/>
      <c r="L18" s="317"/>
      <c r="M18" s="317"/>
    </row>
    <row r="19" spans="1:13" s="69" customFormat="1" ht="16.5">
      <c r="A19" s="1207" t="s">
        <v>69</v>
      </c>
      <c r="B19" s="117" t="s">
        <v>60</v>
      </c>
      <c r="C19" s="118" t="s">
        <v>95</v>
      </c>
      <c r="D19" s="117" t="s">
        <v>96</v>
      </c>
      <c r="E19" s="119"/>
      <c r="F19" s="179">
        <f>(150)*0.25*0.25</f>
        <v>9.375</v>
      </c>
      <c r="G19" s="20"/>
      <c r="H19" s="165"/>
      <c r="I19" s="20"/>
      <c r="J19" s="165"/>
      <c r="K19" s="21"/>
      <c r="L19" s="165"/>
      <c r="M19" s="165"/>
    </row>
    <row r="20" spans="1:13" s="69" customFormat="1" ht="16.5">
      <c r="A20" s="1208"/>
      <c r="B20" s="120"/>
      <c r="C20" s="121" t="s">
        <v>67</v>
      </c>
      <c r="D20" s="120" t="s">
        <v>68</v>
      </c>
      <c r="E20" s="119">
        <v>1.8</v>
      </c>
      <c r="F20" s="119">
        <f>F19*E20</f>
        <v>16.875</v>
      </c>
      <c r="G20" s="20"/>
      <c r="H20" s="165"/>
      <c r="I20" s="20"/>
      <c r="J20" s="165"/>
      <c r="K20" s="21"/>
      <c r="L20" s="165"/>
      <c r="M20" s="165"/>
    </row>
    <row r="21" spans="1:13" s="69" customFormat="1" ht="16.5">
      <c r="A21" s="1209"/>
      <c r="B21" s="120"/>
      <c r="C21" s="121" t="s">
        <v>133</v>
      </c>
      <c r="D21" s="120" t="s">
        <v>96</v>
      </c>
      <c r="E21" s="119">
        <v>1.1000000000000001</v>
      </c>
      <c r="F21" s="119">
        <f>F19*E21</f>
        <v>10.3125</v>
      </c>
      <c r="G21" s="20"/>
      <c r="H21" s="165"/>
      <c r="I21" s="20"/>
      <c r="J21" s="165"/>
      <c r="K21" s="21"/>
      <c r="L21" s="165"/>
      <c r="M21" s="165"/>
    </row>
    <row r="22" spans="1:13" s="69" customFormat="1" ht="31.5">
      <c r="A22" s="1202" t="s">
        <v>85</v>
      </c>
      <c r="B22" s="114" t="s">
        <v>61</v>
      </c>
      <c r="C22" s="314" t="s">
        <v>181</v>
      </c>
      <c r="D22" s="114" t="s">
        <v>97</v>
      </c>
      <c r="E22" s="185"/>
      <c r="F22" s="178">
        <f>SUM(F25:F26)</f>
        <v>150</v>
      </c>
      <c r="G22" s="20"/>
      <c r="H22" s="165"/>
      <c r="I22" s="20"/>
      <c r="J22" s="165"/>
      <c r="K22" s="21"/>
      <c r="L22" s="165"/>
      <c r="M22" s="165"/>
    </row>
    <row r="23" spans="1:13" s="69" customFormat="1" ht="16.5">
      <c r="A23" s="1203"/>
      <c r="B23" s="116"/>
      <c r="C23" s="102" t="s">
        <v>67</v>
      </c>
      <c r="D23" s="116" t="s">
        <v>68</v>
      </c>
      <c r="E23" s="185">
        <v>0.105</v>
      </c>
      <c r="F23" s="115">
        <f>F22*E23</f>
        <v>15.75</v>
      </c>
      <c r="G23" s="20"/>
      <c r="H23" s="165"/>
      <c r="I23" s="20"/>
      <c r="J23" s="165"/>
      <c r="K23" s="21"/>
      <c r="L23" s="165"/>
      <c r="M23" s="165"/>
    </row>
    <row r="24" spans="1:13" s="69" customFormat="1" ht="16.5">
      <c r="A24" s="1203"/>
      <c r="B24" s="116"/>
      <c r="C24" s="102" t="s">
        <v>98</v>
      </c>
      <c r="D24" s="116" t="s">
        <v>26</v>
      </c>
      <c r="E24" s="185">
        <v>5.3800000000000001E-2</v>
      </c>
      <c r="F24" s="115">
        <f>F22*E24</f>
        <v>8.07</v>
      </c>
      <c r="G24" s="20"/>
      <c r="H24" s="165"/>
      <c r="I24" s="20"/>
      <c r="J24" s="165"/>
      <c r="K24" s="21"/>
      <c r="L24" s="165"/>
      <c r="M24" s="165"/>
    </row>
    <row r="25" spans="1:13" s="69" customFormat="1" ht="31.5" hidden="1">
      <c r="A25" s="1203"/>
      <c r="B25" s="116"/>
      <c r="C25" s="313" t="s">
        <v>182</v>
      </c>
      <c r="D25" s="116" t="s">
        <v>97</v>
      </c>
      <c r="E25" s="185"/>
      <c r="F25" s="115">
        <v>0</v>
      </c>
      <c r="G25" s="20"/>
      <c r="H25" s="165"/>
      <c r="I25" s="20"/>
      <c r="J25" s="165"/>
      <c r="K25" s="21"/>
      <c r="L25" s="165"/>
      <c r="M25" s="165"/>
    </row>
    <row r="26" spans="1:13" s="69" customFormat="1" ht="31.5">
      <c r="A26" s="1203"/>
      <c r="B26" s="116"/>
      <c r="C26" s="313" t="s">
        <v>547</v>
      </c>
      <c r="D26" s="116" t="s">
        <v>97</v>
      </c>
      <c r="E26" s="185"/>
      <c r="F26" s="115">
        <v>150</v>
      </c>
      <c r="G26" s="20"/>
      <c r="H26" s="467"/>
      <c r="I26" s="20"/>
      <c r="J26" s="467"/>
      <c r="K26" s="21"/>
      <c r="L26" s="467"/>
      <c r="M26" s="467"/>
    </row>
    <row r="27" spans="1:13" s="69" customFormat="1" ht="16.5">
      <c r="A27" s="1204"/>
      <c r="B27" s="116"/>
      <c r="C27" s="102" t="s">
        <v>89</v>
      </c>
      <c r="D27" s="116" t="s">
        <v>26</v>
      </c>
      <c r="E27" s="185">
        <v>1.1999999999999999E-3</v>
      </c>
      <c r="F27" s="115">
        <f>F22*E27</f>
        <v>0.18</v>
      </c>
      <c r="G27" s="20"/>
      <c r="H27" s="165"/>
      <c r="I27" s="20"/>
      <c r="J27" s="165"/>
      <c r="K27" s="21"/>
      <c r="L27" s="165"/>
      <c r="M27" s="165"/>
    </row>
    <row r="28" spans="1:13" s="69" customFormat="1" ht="16.5">
      <c r="A28" s="1210" t="s">
        <v>79</v>
      </c>
      <c r="B28" s="93" t="s">
        <v>99</v>
      </c>
      <c r="C28" s="92" t="s">
        <v>100</v>
      </c>
      <c r="D28" s="93" t="s">
        <v>97</v>
      </c>
      <c r="E28" s="46"/>
      <c r="F28" s="46">
        <v>150</v>
      </c>
      <c r="G28" s="20"/>
      <c r="H28" s="165"/>
      <c r="I28" s="20"/>
      <c r="J28" s="165"/>
      <c r="K28" s="21"/>
      <c r="L28" s="165"/>
      <c r="M28" s="165"/>
    </row>
    <row r="29" spans="1:13" s="69" customFormat="1" ht="16.5">
      <c r="A29" s="1211"/>
      <c r="B29" s="90"/>
      <c r="C29" s="91" t="s">
        <v>67</v>
      </c>
      <c r="D29" s="116" t="s">
        <v>68</v>
      </c>
      <c r="E29" s="89">
        <f>11/1000</f>
        <v>1.0999999999999999E-2</v>
      </c>
      <c r="F29" s="89">
        <f>F28*E29</f>
        <v>1.65</v>
      </c>
      <c r="G29" s="20"/>
      <c r="H29" s="165"/>
      <c r="I29" s="20"/>
      <c r="J29" s="165"/>
      <c r="K29" s="21"/>
      <c r="L29" s="165"/>
      <c r="M29" s="165"/>
    </row>
    <row r="30" spans="1:13" s="69" customFormat="1" ht="16.5">
      <c r="A30" s="1212"/>
      <c r="B30" s="122"/>
      <c r="C30" s="123" t="s">
        <v>101</v>
      </c>
      <c r="D30" s="124" t="s">
        <v>97</v>
      </c>
      <c r="E30" s="125"/>
      <c r="F30" s="125">
        <f>F28</f>
        <v>150</v>
      </c>
      <c r="G30" s="20"/>
      <c r="H30" s="165"/>
      <c r="I30" s="20"/>
      <c r="J30" s="165"/>
      <c r="K30" s="21"/>
      <c r="L30" s="165"/>
      <c r="M30" s="165"/>
    </row>
    <row r="31" spans="1:13" s="69" customFormat="1" ht="31.5">
      <c r="A31" s="1197" t="s">
        <v>80</v>
      </c>
      <c r="B31" s="126" t="s">
        <v>63</v>
      </c>
      <c r="C31" s="127" t="s">
        <v>102</v>
      </c>
      <c r="D31" s="126" t="s">
        <v>96</v>
      </c>
      <c r="E31" s="54"/>
      <c r="F31" s="180">
        <f>(150)*0.25*(0.7-0.25)</f>
        <v>16.875</v>
      </c>
      <c r="G31" s="20"/>
      <c r="H31" s="165"/>
      <c r="I31" s="20"/>
      <c r="J31" s="165"/>
      <c r="K31" s="21"/>
      <c r="L31" s="165"/>
      <c r="M31" s="165"/>
    </row>
    <row r="32" spans="1:13" s="69" customFormat="1" ht="16.5">
      <c r="A32" s="1198"/>
      <c r="B32" s="52"/>
      <c r="C32" s="128" t="s">
        <v>67</v>
      </c>
      <c r="D32" s="52" t="s">
        <v>68</v>
      </c>
      <c r="E32" s="54">
        <v>1.21</v>
      </c>
      <c r="F32" s="54">
        <f>F31*E32</f>
        <v>20.418749999999999</v>
      </c>
      <c r="G32" s="20"/>
      <c r="H32" s="165"/>
      <c r="I32" s="20"/>
      <c r="J32" s="165"/>
      <c r="K32" s="21"/>
      <c r="L32" s="165"/>
      <c r="M32" s="165"/>
    </row>
    <row r="33" spans="1:15" s="69" customFormat="1" ht="16.5">
      <c r="A33" s="261"/>
      <c r="B33" s="52"/>
      <c r="C33" s="128"/>
      <c r="D33" s="52"/>
      <c r="E33" s="54"/>
      <c r="F33" s="54"/>
      <c r="G33" s="20"/>
      <c r="H33" s="467"/>
      <c r="I33" s="20"/>
      <c r="J33" s="467"/>
      <c r="K33" s="21"/>
      <c r="L33" s="467"/>
      <c r="M33" s="467"/>
    </row>
    <row r="34" spans="1:15" s="69" customFormat="1" ht="16.5">
      <c r="A34" s="52" t="s">
        <v>77</v>
      </c>
      <c r="B34" s="52"/>
      <c r="C34" s="262" t="s">
        <v>207</v>
      </c>
      <c r="D34" s="52"/>
      <c r="E34" s="54"/>
      <c r="F34" s="54"/>
      <c r="G34" s="20"/>
      <c r="H34" s="249"/>
      <c r="I34" s="20"/>
      <c r="J34" s="249"/>
      <c r="K34" s="21"/>
      <c r="L34" s="249"/>
      <c r="M34" s="249"/>
    </row>
    <row r="35" spans="1:15" s="69" customFormat="1" ht="16.5">
      <c r="A35" s="1104" t="s">
        <v>142</v>
      </c>
      <c r="B35" s="250" t="s">
        <v>33</v>
      </c>
      <c r="C35" s="257" t="s">
        <v>149</v>
      </c>
      <c r="D35" s="244" t="s">
        <v>39</v>
      </c>
      <c r="E35" s="23"/>
      <c r="F35" s="23">
        <f>0.5*0.5*1.1*(F14)</f>
        <v>2.75</v>
      </c>
      <c r="G35" s="13"/>
      <c r="H35" s="13"/>
      <c r="I35" s="13"/>
      <c r="J35" s="13"/>
      <c r="K35" s="13"/>
      <c r="L35" s="13"/>
      <c r="M35" s="13"/>
      <c r="O35" s="339"/>
    </row>
    <row r="36" spans="1:15" s="69" customFormat="1" ht="16.5">
      <c r="A36" s="1106"/>
      <c r="B36" s="197"/>
      <c r="C36" s="31" t="s">
        <v>35</v>
      </c>
      <c r="D36" s="104" t="s">
        <v>12</v>
      </c>
      <c r="E36" s="32">
        <v>3.88</v>
      </c>
      <c r="F36" s="33">
        <f>F35*E36</f>
        <v>10.67</v>
      </c>
      <c r="G36" s="30"/>
      <c r="H36" s="30"/>
      <c r="I36" s="30"/>
      <c r="J36" s="30"/>
      <c r="K36" s="30"/>
      <c r="L36" s="30"/>
      <c r="M36" s="30"/>
    </row>
    <row r="37" spans="1:15" s="69" customFormat="1" ht="31.5">
      <c r="A37" s="1104" t="s">
        <v>143</v>
      </c>
      <c r="B37" s="239" t="s">
        <v>82</v>
      </c>
      <c r="C37" s="195" t="s">
        <v>122</v>
      </c>
      <c r="D37" s="191" t="s">
        <v>125</v>
      </c>
      <c r="E37" s="192"/>
      <c r="F37" s="193">
        <f>F35*1.95</f>
        <v>5.3624999999999998</v>
      </c>
      <c r="G37" s="249"/>
      <c r="H37" s="249"/>
      <c r="I37" s="249"/>
      <c r="J37" s="249"/>
      <c r="K37" s="249"/>
      <c r="L37" s="249"/>
      <c r="M37" s="249"/>
    </row>
    <row r="38" spans="1:15" s="69" customFormat="1" ht="16.5">
      <c r="A38" s="1106"/>
      <c r="B38" s="253"/>
      <c r="C38" s="196" t="s">
        <v>54</v>
      </c>
      <c r="D38" s="44" t="s">
        <v>12</v>
      </c>
      <c r="E38" s="45">
        <v>0.53</v>
      </c>
      <c r="F38" s="252">
        <f>F37*E38</f>
        <v>2.8421250000000002</v>
      </c>
      <c r="G38" s="249"/>
      <c r="H38" s="249"/>
      <c r="I38" s="249"/>
      <c r="J38" s="249"/>
      <c r="K38" s="249"/>
      <c r="L38" s="249"/>
      <c r="M38" s="249"/>
    </row>
    <row r="39" spans="1:15" s="69" customFormat="1" ht="31.5">
      <c r="A39" s="248" t="s">
        <v>144</v>
      </c>
      <c r="B39" s="254" t="s">
        <v>177</v>
      </c>
      <c r="C39" s="238" t="s">
        <v>187</v>
      </c>
      <c r="D39" s="254" t="s">
        <v>40</v>
      </c>
      <c r="E39" s="240"/>
      <c r="F39" s="193">
        <f>F37</f>
        <v>5.3624999999999998</v>
      </c>
      <c r="G39" s="249"/>
      <c r="H39" s="249"/>
      <c r="I39" s="249"/>
      <c r="J39" s="249"/>
      <c r="K39" s="22"/>
      <c r="L39" s="249"/>
      <c r="M39" s="249"/>
    </row>
    <row r="40" spans="1:15" s="69" customFormat="1" ht="31.5">
      <c r="A40" s="1104" t="s">
        <v>145</v>
      </c>
      <c r="B40" s="254" t="s">
        <v>37</v>
      </c>
      <c r="C40" s="247" t="s">
        <v>139</v>
      </c>
      <c r="D40" s="254" t="s">
        <v>39</v>
      </c>
      <c r="E40" s="255"/>
      <c r="F40" s="35">
        <f>0.5*0.5*0.1*(F14)</f>
        <v>0.25</v>
      </c>
      <c r="G40" s="249"/>
      <c r="H40" s="249"/>
      <c r="I40" s="249"/>
      <c r="J40" s="249"/>
      <c r="K40" s="249"/>
      <c r="L40" s="249"/>
      <c r="M40" s="249"/>
    </row>
    <row r="41" spans="1:15" s="69" customFormat="1" ht="16.5">
      <c r="A41" s="1105"/>
      <c r="B41" s="253"/>
      <c r="C41" s="27" t="s">
        <v>20</v>
      </c>
      <c r="D41" s="253" t="s">
        <v>21</v>
      </c>
      <c r="E41" s="255">
        <v>3.52</v>
      </c>
      <c r="F41" s="33">
        <f>E41*F40</f>
        <v>0.88</v>
      </c>
      <c r="G41" s="249"/>
      <c r="H41" s="249"/>
      <c r="I41" s="249"/>
      <c r="J41" s="249"/>
      <c r="K41" s="249"/>
      <c r="L41" s="249"/>
      <c r="M41" s="249"/>
    </row>
    <row r="42" spans="1:15" s="69" customFormat="1" ht="16.5">
      <c r="A42" s="1105"/>
      <c r="B42" s="253"/>
      <c r="C42" s="27" t="s">
        <v>23</v>
      </c>
      <c r="D42" s="253" t="s">
        <v>9</v>
      </c>
      <c r="E42" s="255">
        <v>1.06</v>
      </c>
      <c r="F42" s="33">
        <f>F40*E42</f>
        <v>0.26500000000000001</v>
      </c>
      <c r="G42" s="249"/>
      <c r="H42" s="249"/>
      <c r="I42" s="249"/>
      <c r="J42" s="249"/>
      <c r="K42" s="249"/>
      <c r="L42" s="249"/>
      <c r="M42" s="249"/>
    </row>
    <row r="43" spans="1:15" s="69" customFormat="1" ht="16.5">
      <c r="A43" s="1105"/>
      <c r="B43" s="253"/>
      <c r="C43" s="27" t="s">
        <v>140</v>
      </c>
      <c r="D43" s="253" t="s">
        <v>31</v>
      </c>
      <c r="E43" s="255">
        <f>0.18+0.09+0.97</f>
        <v>1.24</v>
      </c>
      <c r="F43" s="33">
        <f>E43*F40</f>
        <v>0.31</v>
      </c>
      <c r="G43" s="249"/>
      <c r="H43" s="249"/>
      <c r="I43" s="249"/>
      <c r="J43" s="249"/>
      <c r="K43" s="249"/>
      <c r="L43" s="249"/>
      <c r="M43" s="249"/>
    </row>
    <row r="44" spans="1:15" s="69" customFormat="1" ht="16.5">
      <c r="A44" s="1106"/>
      <c r="B44" s="253"/>
      <c r="C44" s="105" t="s">
        <v>50</v>
      </c>
      <c r="D44" s="197" t="s">
        <v>9</v>
      </c>
      <c r="E44" s="255">
        <v>0.02</v>
      </c>
      <c r="F44" s="33">
        <f>F40*E44</f>
        <v>5.0000000000000001E-3</v>
      </c>
      <c r="G44" s="30"/>
      <c r="H44" s="249"/>
      <c r="I44" s="20"/>
      <c r="J44" s="249"/>
      <c r="K44" s="21"/>
      <c r="L44" s="249"/>
      <c r="M44" s="249"/>
    </row>
    <row r="45" spans="1:15" s="69" customFormat="1" ht="16.5">
      <c r="A45" s="1206" t="s">
        <v>146</v>
      </c>
      <c r="B45" s="114" t="s">
        <v>64</v>
      </c>
      <c r="C45" s="101" t="s">
        <v>208</v>
      </c>
      <c r="D45" s="114" t="s">
        <v>96</v>
      </c>
      <c r="E45" s="115"/>
      <c r="F45" s="178">
        <f>(0.4*0.4*1)*(F14)</f>
        <v>1.6000000000000003</v>
      </c>
      <c r="G45" s="20"/>
      <c r="H45" s="165"/>
      <c r="I45" s="20"/>
      <c r="J45" s="165"/>
      <c r="K45" s="21"/>
      <c r="L45" s="165"/>
      <c r="M45" s="165"/>
    </row>
    <row r="46" spans="1:15" s="69" customFormat="1" ht="16.5">
      <c r="A46" s="1206"/>
      <c r="B46" s="116"/>
      <c r="C46" s="102" t="s">
        <v>67</v>
      </c>
      <c r="D46" s="116" t="s">
        <v>68</v>
      </c>
      <c r="E46" s="115">
        <v>1.37</v>
      </c>
      <c r="F46" s="115">
        <f>F45*E46</f>
        <v>2.1920000000000006</v>
      </c>
      <c r="G46" s="20"/>
      <c r="H46" s="165"/>
      <c r="I46" s="20"/>
      <c r="J46" s="165"/>
      <c r="K46" s="21"/>
      <c r="L46" s="165"/>
      <c r="M46" s="165"/>
    </row>
    <row r="47" spans="1:15" s="69" customFormat="1" ht="16.5">
      <c r="A47" s="1206"/>
      <c r="B47" s="116"/>
      <c r="C47" s="102" t="s">
        <v>98</v>
      </c>
      <c r="D47" s="116" t="s">
        <v>26</v>
      </c>
      <c r="E47" s="115">
        <v>0.28299999999999997</v>
      </c>
      <c r="F47" s="115">
        <f>F45*E47</f>
        <v>0.45280000000000004</v>
      </c>
      <c r="G47" s="20"/>
      <c r="H47" s="165"/>
      <c r="I47" s="20"/>
      <c r="J47" s="165"/>
      <c r="K47" s="21"/>
      <c r="L47" s="165"/>
      <c r="M47" s="165"/>
    </row>
    <row r="48" spans="1:15" s="69" customFormat="1" ht="16.5">
      <c r="A48" s="1206"/>
      <c r="B48" s="116"/>
      <c r="C48" s="102" t="s">
        <v>175</v>
      </c>
      <c r="D48" s="116" t="s">
        <v>96</v>
      </c>
      <c r="E48" s="115">
        <v>1.02</v>
      </c>
      <c r="F48" s="115">
        <f>F45*E48</f>
        <v>1.6320000000000003</v>
      </c>
      <c r="G48" s="20"/>
      <c r="H48" s="165"/>
      <c r="I48" s="20"/>
      <c r="J48" s="165"/>
      <c r="K48" s="21"/>
      <c r="L48" s="165"/>
      <c r="M48" s="165"/>
    </row>
    <row r="49" spans="1:13" s="69" customFormat="1" ht="16.5">
      <c r="A49" s="1206"/>
      <c r="B49" s="19"/>
      <c r="C49" s="27" t="s">
        <v>103</v>
      </c>
      <c r="D49" s="19" t="s">
        <v>104</v>
      </c>
      <c r="E49" s="115">
        <v>1.03</v>
      </c>
      <c r="F49" s="115">
        <f>0.4*4*2*1.03*0.395/1000*F14</f>
        <v>1.3019200000000002E-2</v>
      </c>
      <c r="G49" s="20"/>
      <c r="H49" s="165"/>
      <c r="I49" s="20"/>
      <c r="J49" s="165"/>
      <c r="K49" s="21"/>
      <c r="L49" s="165"/>
      <c r="M49" s="165"/>
    </row>
    <row r="50" spans="1:13" s="69" customFormat="1" ht="16.5">
      <c r="A50" s="1206"/>
      <c r="B50" s="129"/>
      <c r="C50" s="128" t="s">
        <v>105</v>
      </c>
      <c r="D50" s="130" t="s">
        <v>26</v>
      </c>
      <c r="E50" s="54">
        <v>0.62</v>
      </c>
      <c r="F50" s="54">
        <f>F45*E50</f>
        <v>0.99200000000000021</v>
      </c>
      <c r="G50" s="20"/>
      <c r="H50" s="165"/>
      <c r="I50" s="165"/>
      <c r="J50" s="165"/>
      <c r="K50" s="21"/>
      <c r="L50" s="165"/>
      <c r="M50" s="165"/>
    </row>
    <row r="51" spans="1:13" s="69" customFormat="1" ht="27" hidden="1">
      <c r="A51" s="1202" t="s">
        <v>202</v>
      </c>
      <c r="B51" s="271" t="s">
        <v>199</v>
      </c>
      <c r="C51" s="315" t="s">
        <v>577</v>
      </c>
      <c r="D51" s="130"/>
      <c r="E51" s="54"/>
      <c r="F51" s="54"/>
      <c r="G51" s="20"/>
      <c r="H51" s="344"/>
      <c r="I51" s="344"/>
      <c r="J51" s="344"/>
      <c r="K51" s="21"/>
      <c r="L51" s="344"/>
      <c r="M51" s="344"/>
    </row>
    <row r="52" spans="1:13" s="69" customFormat="1" ht="16.5" hidden="1">
      <c r="A52" s="1203"/>
      <c r="B52" s="203"/>
      <c r="C52" s="331" t="s">
        <v>249</v>
      </c>
      <c r="D52" s="330" t="s">
        <v>43</v>
      </c>
      <c r="E52" s="336">
        <f>((0)*(18))   *1.1</f>
        <v>0</v>
      </c>
      <c r="F52" s="54"/>
      <c r="G52" s="20"/>
      <c r="H52" s="344"/>
      <c r="I52" s="344"/>
      <c r="J52" s="344"/>
      <c r="K52" s="21"/>
      <c r="L52" s="344"/>
      <c r="M52" s="344"/>
    </row>
    <row r="53" spans="1:13" s="69" customFormat="1" ht="16.5" hidden="1">
      <c r="A53" s="1203"/>
      <c r="B53" s="203"/>
      <c r="C53" s="332"/>
      <c r="D53" s="330" t="s">
        <v>40</v>
      </c>
      <c r="E53" s="336">
        <f>E52*(0.15+0.15)*2*0.003*7.85</f>
        <v>0</v>
      </c>
      <c r="F53" s="54"/>
      <c r="G53" s="20"/>
      <c r="H53" s="344"/>
      <c r="I53" s="344"/>
      <c r="J53" s="344"/>
      <c r="K53" s="21"/>
      <c r="L53" s="344"/>
      <c r="M53" s="344"/>
    </row>
    <row r="54" spans="1:13" s="69" customFormat="1" ht="16.5" hidden="1">
      <c r="A54" s="1203"/>
      <c r="B54" s="345"/>
      <c r="C54" s="323" t="s">
        <v>200</v>
      </c>
      <c r="D54" s="258" t="s">
        <v>40</v>
      </c>
      <c r="E54" s="329"/>
      <c r="F54" s="337">
        <f>E53</f>
        <v>0</v>
      </c>
      <c r="G54" s="338"/>
      <c r="H54" s="338"/>
      <c r="I54" s="338"/>
      <c r="J54" s="338"/>
      <c r="K54" s="338"/>
      <c r="L54" s="338"/>
      <c r="M54" s="338"/>
    </row>
    <row r="55" spans="1:13" s="69" customFormat="1" ht="16.5" hidden="1">
      <c r="A55" s="1203"/>
      <c r="B55" s="345"/>
      <c r="C55" s="25" t="s">
        <v>38</v>
      </c>
      <c r="D55" s="275" t="s">
        <v>12</v>
      </c>
      <c r="E55" s="4">
        <v>34.9</v>
      </c>
      <c r="F55" s="202">
        <f>F54*E55</f>
        <v>0</v>
      </c>
      <c r="G55" s="319"/>
      <c r="H55" s="319"/>
      <c r="I55" s="319"/>
      <c r="J55" s="319"/>
      <c r="K55" s="319"/>
      <c r="L55" s="319"/>
      <c r="M55" s="319"/>
    </row>
    <row r="56" spans="1:13" s="69" customFormat="1" ht="16.5" hidden="1">
      <c r="A56" s="1203"/>
      <c r="B56" s="345"/>
      <c r="C56" s="25" t="s">
        <v>11</v>
      </c>
      <c r="D56" s="275" t="s">
        <v>9</v>
      </c>
      <c r="E56" s="4">
        <v>4.07</v>
      </c>
      <c r="F56" s="202">
        <f>F54*E56</f>
        <v>0</v>
      </c>
      <c r="G56" s="13"/>
      <c r="H56" s="13"/>
      <c r="I56" s="13"/>
      <c r="J56" s="13"/>
      <c r="K56" s="13"/>
      <c r="L56" s="13"/>
      <c r="M56" s="13"/>
    </row>
    <row r="57" spans="1:13" s="69" customFormat="1" ht="16.5" hidden="1">
      <c r="A57" s="1203"/>
      <c r="B57" s="345"/>
      <c r="C57" s="318" t="s">
        <v>193</v>
      </c>
      <c r="D57" s="270" t="s">
        <v>40</v>
      </c>
      <c r="E57" s="327"/>
      <c r="F57" s="343"/>
      <c r="G57" s="13"/>
      <c r="H57" s="13"/>
      <c r="I57" s="13"/>
      <c r="J57" s="13"/>
      <c r="K57" s="13"/>
      <c r="L57" s="13"/>
      <c r="M57" s="13"/>
    </row>
    <row r="58" spans="1:13" s="69" customFormat="1" ht="16.5" hidden="1">
      <c r="A58" s="1203"/>
      <c r="B58" s="345"/>
      <c r="C58" s="328" t="s">
        <v>198</v>
      </c>
      <c r="D58" s="203" t="s">
        <v>40</v>
      </c>
      <c r="E58" s="327"/>
      <c r="F58" s="343">
        <f>E53</f>
        <v>0</v>
      </c>
      <c r="G58" s="13"/>
      <c r="H58" s="13"/>
      <c r="I58" s="13"/>
      <c r="J58" s="13"/>
      <c r="K58" s="13"/>
      <c r="L58" s="13"/>
      <c r="M58" s="13"/>
    </row>
    <row r="59" spans="1:13" s="69" customFormat="1" ht="31.5" hidden="1">
      <c r="A59" s="1203"/>
      <c r="B59" s="345"/>
      <c r="C59" s="39" t="s">
        <v>194</v>
      </c>
      <c r="D59" s="204" t="s">
        <v>7</v>
      </c>
      <c r="E59" s="320">
        <v>3.3</v>
      </c>
      <c r="F59" s="325">
        <f>F54*E59</f>
        <v>0</v>
      </c>
      <c r="G59" s="13"/>
      <c r="H59" s="13"/>
      <c r="I59" s="13"/>
      <c r="J59" s="13"/>
      <c r="K59" s="13"/>
      <c r="L59" s="13"/>
      <c r="M59" s="13"/>
    </row>
    <row r="60" spans="1:13" s="69" customFormat="1" ht="16.5" hidden="1">
      <c r="A60" s="1203"/>
      <c r="B60" s="345"/>
      <c r="C60" s="39" t="s">
        <v>45</v>
      </c>
      <c r="D60" s="204" t="s">
        <v>7</v>
      </c>
      <c r="E60" s="320">
        <v>15.2</v>
      </c>
      <c r="F60" s="325">
        <f>F54*E60</f>
        <v>0</v>
      </c>
      <c r="G60" s="13"/>
      <c r="H60" s="13"/>
      <c r="I60" s="13"/>
      <c r="J60" s="13"/>
      <c r="K60" s="13"/>
      <c r="L60" s="13"/>
      <c r="M60" s="13"/>
    </row>
    <row r="61" spans="1:13" s="69" customFormat="1" ht="16.5" hidden="1">
      <c r="A61" s="1204"/>
      <c r="B61" s="345"/>
      <c r="C61" s="39" t="s">
        <v>13</v>
      </c>
      <c r="D61" s="204" t="s">
        <v>9</v>
      </c>
      <c r="E61" s="320">
        <v>2.78</v>
      </c>
      <c r="F61" s="325">
        <f>F54*E61</f>
        <v>0</v>
      </c>
      <c r="G61" s="13"/>
      <c r="H61" s="13"/>
      <c r="I61" s="13"/>
      <c r="J61" s="13"/>
      <c r="K61" s="13"/>
      <c r="L61" s="13"/>
      <c r="M61" s="13"/>
    </row>
    <row r="62" spans="1:13" s="69" customFormat="1" ht="31.5" hidden="1">
      <c r="A62" s="1186" t="s">
        <v>203</v>
      </c>
      <c r="B62" s="260" t="s">
        <v>27</v>
      </c>
      <c r="C62" s="315" t="s">
        <v>195</v>
      </c>
      <c r="D62" s="204" t="s">
        <v>47</v>
      </c>
      <c r="E62" s="321"/>
      <c r="F62" s="316">
        <f>(0.15+0.15)*2*E52/1.1</f>
        <v>0</v>
      </c>
      <c r="G62" s="290"/>
      <c r="H62" s="13"/>
      <c r="I62" s="13"/>
      <c r="J62" s="13"/>
      <c r="K62" s="13"/>
      <c r="L62" s="13"/>
      <c r="M62" s="13"/>
    </row>
    <row r="63" spans="1:13" s="69" customFormat="1" ht="16.5" hidden="1">
      <c r="A63" s="1186"/>
      <c r="B63" s="40"/>
      <c r="C63" s="205" t="s">
        <v>38</v>
      </c>
      <c r="D63" s="40" t="s">
        <v>12</v>
      </c>
      <c r="E63" s="305">
        <v>0.68</v>
      </c>
      <c r="F63" s="33">
        <f>F62*E63</f>
        <v>0</v>
      </c>
      <c r="G63" s="293"/>
      <c r="H63" s="30"/>
      <c r="I63" s="293"/>
      <c r="J63" s="30"/>
      <c r="K63" s="293"/>
      <c r="L63" s="30"/>
      <c r="M63" s="30"/>
    </row>
    <row r="64" spans="1:13" s="69" customFormat="1" ht="16.5" hidden="1">
      <c r="A64" s="1186"/>
      <c r="B64" s="40"/>
      <c r="C64" s="205" t="s">
        <v>23</v>
      </c>
      <c r="D64" s="40" t="s">
        <v>12</v>
      </c>
      <c r="E64" s="305">
        <v>2.9999999999999997E-4</v>
      </c>
      <c r="F64" s="33">
        <f>F62*E64</f>
        <v>0</v>
      </c>
      <c r="G64" s="293"/>
      <c r="H64" s="30"/>
      <c r="I64" s="293"/>
      <c r="J64" s="30"/>
      <c r="K64" s="293"/>
      <c r="L64" s="30"/>
      <c r="M64" s="30"/>
    </row>
    <row r="65" spans="1:14" s="69" customFormat="1" ht="16.5" hidden="1">
      <c r="A65" s="1186"/>
      <c r="B65" s="40"/>
      <c r="C65" s="302" t="s">
        <v>49</v>
      </c>
      <c r="D65" s="306" t="s">
        <v>76</v>
      </c>
      <c r="E65" s="307">
        <v>0.35</v>
      </c>
      <c r="F65" s="307">
        <f>E65*F62</f>
        <v>0</v>
      </c>
      <c r="G65" s="293"/>
      <c r="H65" s="293"/>
      <c r="I65" s="293"/>
      <c r="J65" s="293"/>
      <c r="K65" s="293"/>
      <c r="L65" s="293"/>
      <c r="M65" s="293"/>
    </row>
    <row r="66" spans="1:14" s="69" customFormat="1" ht="16.5" hidden="1">
      <c r="A66" s="1186"/>
      <c r="B66" s="40"/>
      <c r="C66" s="302" t="s">
        <v>134</v>
      </c>
      <c r="D66" s="306" t="s">
        <v>76</v>
      </c>
      <c r="E66" s="307">
        <v>2.7E-2</v>
      </c>
      <c r="F66" s="307">
        <f>E66*F62</f>
        <v>0</v>
      </c>
      <c r="G66" s="293"/>
      <c r="H66" s="293"/>
      <c r="I66" s="293"/>
      <c r="J66" s="293"/>
      <c r="K66" s="293"/>
      <c r="L66" s="293"/>
      <c r="M66" s="293"/>
    </row>
    <row r="67" spans="1:14" s="69" customFormat="1" ht="16.5" hidden="1">
      <c r="A67" s="1186"/>
      <c r="B67" s="40"/>
      <c r="C67" s="205" t="s">
        <v>13</v>
      </c>
      <c r="D67" s="40" t="s">
        <v>9</v>
      </c>
      <c r="E67" s="305">
        <v>1.9E-3</v>
      </c>
      <c r="F67" s="33">
        <f>F62*E67</f>
        <v>0</v>
      </c>
      <c r="G67" s="293"/>
      <c r="H67" s="30"/>
      <c r="I67" s="293"/>
      <c r="J67" s="30"/>
      <c r="K67" s="293"/>
      <c r="L67" s="30"/>
      <c r="M67" s="30"/>
    </row>
    <row r="68" spans="1:14" s="69" customFormat="1" ht="16.5">
      <c r="A68" s="652"/>
      <c r="B68" s="40"/>
      <c r="C68" s="205"/>
      <c r="D68" s="40"/>
      <c r="E68" s="305"/>
      <c r="F68" s="33"/>
      <c r="G68" s="293"/>
      <c r="H68" s="30"/>
      <c r="I68" s="293"/>
      <c r="J68" s="30"/>
      <c r="K68" s="293"/>
      <c r="L68" s="30"/>
      <c r="M68" s="30"/>
    </row>
    <row r="69" spans="1:14" s="69" customFormat="1" ht="16.5">
      <c r="A69" s="652"/>
      <c r="B69" s="40"/>
      <c r="C69" s="205"/>
      <c r="D69" s="40"/>
      <c r="E69" s="305"/>
      <c r="F69" s="33"/>
      <c r="G69" s="293"/>
      <c r="H69" s="30"/>
      <c r="I69" s="293"/>
      <c r="J69" s="30"/>
      <c r="K69" s="293"/>
      <c r="L69" s="30"/>
      <c r="M69" s="30"/>
    </row>
    <row r="70" spans="1:14" s="69" customFormat="1" ht="16.5">
      <c r="A70" s="77"/>
      <c r="B70" s="77"/>
      <c r="C70" s="100" t="s">
        <v>93</v>
      </c>
      <c r="D70" s="131"/>
      <c r="E70" s="47"/>
      <c r="F70" s="48"/>
      <c r="G70" s="49"/>
      <c r="H70" s="78"/>
      <c r="I70" s="78"/>
      <c r="J70" s="78"/>
      <c r="K70" s="78"/>
      <c r="L70" s="78"/>
      <c r="M70" s="78"/>
      <c r="N70" s="301">
        <f>H70+J70+L70</f>
        <v>0</v>
      </c>
    </row>
    <row r="71" spans="1:14" s="69" customFormat="1" ht="47.25">
      <c r="A71" s="19"/>
      <c r="B71" s="28"/>
      <c r="C71" s="106" t="s">
        <v>94</v>
      </c>
      <c r="D71" s="79"/>
      <c r="E71" s="50"/>
      <c r="F71" s="210">
        <v>0.05</v>
      </c>
      <c r="G71" s="107"/>
      <c r="H71" s="107"/>
      <c r="I71" s="107"/>
      <c r="J71" s="107"/>
      <c r="K71" s="107"/>
      <c r="L71" s="107"/>
      <c r="M71" s="201"/>
    </row>
    <row r="72" spans="1:14" s="69" customFormat="1" ht="16.5">
      <c r="A72" s="19"/>
      <c r="B72" s="28"/>
      <c r="C72" s="212" t="s">
        <v>25</v>
      </c>
      <c r="D72" s="79"/>
      <c r="E72" s="50"/>
      <c r="F72" s="50"/>
      <c r="G72" s="107"/>
      <c r="H72" s="107"/>
      <c r="I72" s="107"/>
      <c r="J72" s="107"/>
      <c r="K72" s="107"/>
      <c r="L72" s="107"/>
      <c r="M72" s="201"/>
    </row>
    <row r="73" spans="1:14" s="69" customFormat="1" ht="16.5">
      <c r="A73" s="14"/>
      <c r="B73" s="79"/>
      <c r="C73" s="106" t="s">
        <v>106</v>
      </c>
      <c r="D73" s="79"/>
      <c r="E73" s="50"/>
      <c r="F73" s="216" t="s">
        <v>57</v>
      </c>
      <c r="G73" s="107"/>
      <c r="H73" s="107"/>
      <c r="I73" s="107"/>
      <c r="J73" s="107"/>
      <c r="K73" s="107"/>
      <c r="L73" s="107"/>
      <c r="M73" s="201"/>
    </row>
    <row r="74" spans="1:14" s="69" customFormat="1" ht="16.5">
      <c r="A74" s="132"/>
      <c r="B74" s="133"/>
      <c r="C74" s="134" t="s">
        <v>107</v>
      </c>
      <c r="D74" s="133"/>
      <c r="E74" s="135"/>
      <c r="F74" s="135"/>
      <c r="G74" s="136"/>
      <c r="H74" s="136"/>
      <c r="I74" s="136"/>
      <c r="J74" s="136"/>
      <c r="K74" s="136"/>
      <c r="L74" s="136"/>
      <c r="M74" s="136"/>
    </row>
    <row r="75" spans="1:14" s="69" customFormat="1" ht="16.5">
      <c r="A75" s="356" t="s">
        <v>83</v>
      </c>
      <c r="B75" s="354"/>
      <c r="C75" s="355" t="s">
        <v>212</v>
      </c>
      <c r="D75" s="356"/>
      <c r="E75" s="357"/>
      <c r="F75" s="357"/>
      <c r="G75" s="137"/>
      <c r="H75" s="170"/>
      <c r="I75" s="137"/>
      <c r="J75" s="170"/>
      <c r="K75" s="138"/>
      <c r="L75" s="170"/>
      <c r="M75" s="170"/>
    </row>
    <row r="76" spans="1:14" s="69" customFormat="1" ht="31.5">
      <c r="A76" s="1104" t="s">
        <v>51</v>
      </c>
      <c r="B76" s="51" t="s">
        <v>65</v>
      </c>
      <c r="C76" s="56" t="s">
        <v>108</v>
      </c>
      <c r="D76" s="19" t="s">
        <v>66</v>
      </c>
      <c r="E76" s="167"/>
      <c r="F76" s="24">
        <f>SUM(F79:F79)</f>
        <v>10</v>
      </c>
      <c r="G76" s="165"/>
      <c r="H76" s="165"/>
      <c r="I76" s="165"/>
      <c r="J76" s="165"/>
      <c r="K76" s="165"/>
      <c r="L76" s="165"/>
      <c r="M76" s="165"/>
    </row>
    <row r="77" spans="1:14" s="69" customFormat="1" ht="16.5">
      <c r="A77" s="1105"/>
      <c r="B77" s="52"/>
      <c r="C77" s="53" t="s">
        <v>67</v>
      </c>
      <c r="D77" s="52" t="s">
        <v>68</v>
      </c>
      <c r="E77" s="54">
        <v>1</v>
      </c>
      <c r="F77" s="54">
        <f>F76*E77</f>
        <v>10</v>
      </c>
      <c r="G77" s="20"/>
      <c r="H77" s="165"/>
      <c r="I77" s="20"/>
      <c r="J77" s="165"/>
      <c r="K77" s="21"/>
      <c r="L77" s="165"/>
      <c r="M77" s="200"/>
    </row>
    <row r="78" spans="1:14" s="69" customFormat="1" ht="16.5">
      <c r="A78" s="1105"/>
      <c r="B78" s="52"/>
      <c r="C78" s="53" t="s">
        <v>11</v>
      </c>
      <c r="D78" s="52" t="s">
        <v>9</v>
      </c>
      <c r="E78" s="54">
        <v>1.1599999999999999</v>
      </c>
      <c r="F78" s="54">
        <f>F76*E78</f>
        <v>11.6</v>
      </c>
      <c r="G78" s="20"/>
      <c r="H78" s="165"/>
      <c r="I78" s="20"/>
      <c r="J78" s="165"/>
      <c r="K78" s="21"/>
      <c r="L78" s="165"/>
      <c r="M78" s="200"/>
    </row>
    <row r="79" spans="1:14" s="69" customFormat="1" ht="31.5">
      <c r="A79" s="1105"/>
      <c r="B79" s="253"/>
      <c r="C79" s="56" t="s">
        <v>548</v>
      </c>
      <c r="D79" s="260" t="s">
        <v>75</v>
      </c>
      <c r="E79" s="251"/>
      <c r="F79" s="24">
        <f>F14</f>
        <v>10</v>
      </c>
      <c r="G79" s="249"/>
      <c r="H79" s="249"/>
      <c r="I79" s="20"/>
      <c r="J79" s="249"/>
      <c r="K79" s="249"/>
      <c r="L79" s="249"/>
      <c r="M79" s="249"/>
    </row>
    <row r="80" spans="1:14" s="69" customFormat="1" ht="16.5">
      <c r="A80" s="1106"/>
      <c r="B80" s="19"/>
      <c r="C80" s="27" t="s">
        <v>50</v>
      </c>
      <c r="D80" s="19" t="s">
        <v>9</v>
      </c>
      <c r="E80" s="167">
        <v>0.05</v>
      </c>
      <c r="F80" s="167">
        <f>F76*E80</f>
        <v>0.5</v>
      </c>
      <c r="G80" s="165"/>
      <c r="H80" s="165"/>
      <c r="I80" s="20"/>
      <c r="J80" s="165"/>
      <c r="K80" s="165"/>
      <c r="L80" s="165"/>
      <c r="M80" s="200"/>
    </row>
    <row r="81" spans="1:13" s="69" customFormat="1" ht="16.5" hidden="1">
      <c r="A81" s="1104" t="s">
        <v>78</v>
      </c>
      <c r="B81" s="856" t="s">
        <v>24</v>
      </c>
      <c r="C81" s="56" t="s">
        <v>727</v>
      </c>
      <c r="D81" s="260" t="s">
        <v>43</v>
      </c>
      <c r="E81" s="24"/>
      <c r="F81" s="24">
        <f>F83</f>
        <v>0</v>
      </c>
      <c r="G81" s="854"/>
      <c r="H81" s="854"/>
      <c r="I81" s="20"/>
      <c r="J81" s="854"/>
      <c r="K81" s="854"/>
      <c r="L81" s="854"/>
      <c r="M81" s="854"/>
    </row>
    <row r="82" spans="1:13" s="69" customFormat="1" ht="16.5" hidden="1">
      <c r="A82" s="1105"/>
      <c r="B82" s="260"/>
      <c r="C82" s="53" t="s">
        <v>67</v>
      </c>
      <c r="D82" s="52" t="s">
        <v>68</v>
      </c>
      <c r="E82" s="54">
        <v>1</v>
      </c>
      <c r="F82" s="54">
        <f>F83*E82</f>
        <v>0</v>
      </c>
      <c r="G82" s="20"/>
      <c r="H82" s="854"/>
      <c r="I82" s="20"/>
      <c r="J82" s="854"/>
      <c r="K82" s="21"/>
      <c r="L82" s="854"/>
      <c r="M82" s="854"/>
    </row>
    <row r="83" spans="1:13" s="69" customFormat="1" ht="31.5" hidden="1">
      <c r="A83" s="1105"/>
      <c r="B83" s="856"/>
      <c r="C83" s="56" t="s">
        <v>728</v>
      </c>
      <c r="D83" s="856" t="s">
        <v>43</v>
      </c>
      <c r="E83" s="853"/>
      <c r="F83" s="853">
        <v>0</v>
      </c>
      <c r="G83" s="854"/>
      <c r="H83" s="854"/>
      <c r="I83" s="20"/>
      <c r="J83" s="854"/>
      <c r="K83" s="854"/>
      <c r="L83" s="854"/>
      <c r="M83" s="854"/>
    </row>
    <row r="84" spans="1:13" s="69" customFormat="1" ht="31.5" hidden="1">
      <c r="A84" s="1105"/>
      <c r="B84" s="856"/>
      <c r="C84" s="56" t="s">
        <v>729</v>
      </c>
      <c r="D84" s="856" t="s">
        <v>52</v>
      </c>
      <c r="E84" s="853"/>
      <c r="F84" s="853">
        <v>0</v>
      </c>
      <c r="G84" s="854"/>
      <c r="H84" s="854"/>
      <c r="I84" s="20"/>
      <c r="J84" s="854"/>
      <c r="K84" s="854"/>
      <c r="L84" s="854"/>
      <c r="M84" s="854"/>
    </row>
    <row r="85" spans="1:13" s="69" customFormat="1" ht="16.5">
      <c r="A85" s="1199" t="s">
        <v>78</v>
      </c>
      <c r="B85" s="157" t="s">
        <v>86</v>
      </c>
      <c r="C85" s="291" t="s">
        <v>109</v>
      </c>
      <c r="D85" s="166" t="s">
        <v>87</v>
      </c>
      <c r="E85" s="168"/>
      <c r="F85" s="24">
        <f>SUM(F87:F91)</f>
        <v>185</v>
      </c>
      <c r="G85" s="17"/>
      <c r="H85" s="13"/>
      <c r="I85" s="17"/>
      <c r="J85" s="165"/>
      <c r="K85" s="165"/>
      <c r="L85" s="165"/>
      <c r="M85" s="165"/>
    </row>
    <row r="86" spans="1:13" s="69" customFormat="1" ht="16.5">
      <c r="A86" s="1200"/>
      <c r="B86" s="166"/>
      <c r="C86" s="27" t="s">
        <v>56</v>
      </c>
      <c r="D86" s="304" t="s">
        <v>12</v>
      </c>
      <c r="E86" s="168">
        <v>0.13900000000000001</v>
      </c>
      <c r="F86" s="167">
        <f>F85*E86</f>
        <v>25.715000000000003</v>
      </c>
      <c r="G86" s="165"/>
      <c r="H86" s="13"/>
      <c r="I86" s="165"/>
      <c r="J86" s="165"/>
      <c r="K86" s="165"/>
      <c r="L86" s="165"/>
      <c r="M86" s="200"/>
    </row>
    <row r="87" spans="1:13" s="69" customFormat="1" ht="16.5">
      <c r="A87" s="1200"/>
      <c r="B87" s="470"/>
      <c r="C87" s="27" t="s">
        <v>642</v>
      </c>
      <c r="D87" s="52" t="s">
        <v>43</v>
      </c>
      <c r="E87" s="401"/>
      <c r="F87" s="466">
        <v>40</v>
      </c>
      <c r="G87" s="467"/>
      <c r="H87" s="467"/>
      <c r="I87" s="467"/>
      <c r="J87" s="467"/>
      <c r="K87" s="467"/>
      <c r="L87" s="467"/>
      <c r="M87" s="467"/>
    </row>
    <row r="88" spans="1:13" s="69" customFormat="1" ht="16.5">
      <c r="A88" s="1200"/>
      <c r="B88" s="280"/>
      <c r="C88" s="27" t="s">
        <v>549</v>
      </c>
      <c r="D88" s="52" t="s">
        <v>43</v>
      </c>
      <c r="E88" s="267"/>
      <c r="F88" s="279">
        <v>110</v>
      </c>
      <c r="G88" s="278"/>
      <c r="H88" s="278"/>
      <c r="I88" s="278"/>
      <c r="J88" s="278"/>
      <c r="K88" s="278"/>
      <c r="L88" s="278"/>
      <c r="M88" s="278"/>
    </row>
    <row r="89" spans="1:13" s="69" customFormat="1" ht="16.5" hidden="1">
      <c r="A89" s="1200"/>
      <c r="B89" s="470"/>
      <c r="C89" s="27" t="s">
        <v>550</v>
      </c>
      <c r="D89" s="52" t="s">
        <v>43</v>
      </c>
      <c r="E89" s="401"/>
      <c r="F89" s="466">
        <v>0</v>
      </c>
      <c r="G89" s="467"/>
      <c r="H89" s="467"/>
      <c r="I89" s="467"/>
      <c r="J89" s="467"/>
      <c r="K89" s="467"/>
      <c r="L89" s="467"/>
      <c r="M89" s="467"/>
    </row>
    <row r="90" spans="1:13" s="69" customFormat="1" ht="16.5">
      <c r="A90" s="1200"/>
      <c r="B90" s="166"/>
      <c r="C90" s="27" t="s">
        <v>551</v>
      </c>
      <c r="D90" s="52" t="s">
        <v>43</v>
      </c>
      <c r="E90" s="168"/>
      <c r="F90" s="167">
        <v>35</v>
      </c>
      <c r="G90" s="165"/>
      <c r="H90" s="165"/>
      <c r="I90" s="20"/>
      <c r="J90" s="165"/>
      <c r="K90" s="165"/>
      <c r="L90" s="165"/>
      <c r="M90" s="200"/>
    </row>
    <row r="91" spans="1:13" s="69" customFormat="1" ht="16.5" hidden="1">
      <c r="A91" s="1200"/>
      <c r="B91" s="166"/>
      <c r="C91" s="27" t="s">
        <v>552</v>
      </c>
      <c r="D91" s="52" t="s">
        <v>43</v>
      </c>
      <c r="E91" s="168"/>
      <c r="F91" s="167"/>
      <c r="G91" s="165"/>
      <c r="H91" s="189"/>
      <c r="I91" s="20"/>
      <c r="J91" s="165"/>
      <c r="K91" s="165"/>
      <c r="L91" s="165"/>
      <c r="M91" s="200"/>
    </row>
    <row r="92" spans="1:13" s="69" customFormat="1" ht="16.5">
      <c r="A92" s="1201"/>
      <c r="B92" s="166"/>
      <c r="C92" s="27" t="s">
        <v>88</v>
      </c>
      <c r="D92" s="166" t="s">
        <v>9</v>
      </c>
      <c r="E92" s="168">
        <v>9.7000000000000003E-3</v>
      </c>
      <c r="F92" s="54">
        <f>F85*E92</f>
        <v>1.7945</v>
      </c>
      <c r="G92" s="165"/>
      <c r="H92" s="13"/>
      <c r="I92" s="20"/>
      <c r="J92" s="165"/>
      <c r="K92" s="165"/>
      <c r="L92" s="165"/>
      <c r="M92" s="200"/>
    </row>
    <row r="93" spans="1:13" s="69" customFormat="1" ht="16.5">
      <c r="A93" s="19"/>
      <c r="B93" s="19"/>
      <c r="C93" s="27"/>
      <c r="D93" s="19"/>
      <c r="E93" s="167"/>
      <c r="F93" s="167"/>
      <c r="G93" s="165"/>
      <c r="H93" s="165"/>
      <c r="I93" s="20"/>
      <c r="J93" s="165"/>
      <c r="K93" s="165"/>
      <c r="L93" s="165"/>
      <c r="M93" s="200"/>
    </row>
    <row r="94" spans="1:13" s="69" customFormat="1" ht="16.5">
      <c r="A94" s="1104" t="s">
        <v>69</v>
      </c>
      <c r="B94" s="157" t="s">
        <v>110</v>
      </c>
      <c r="C94" s="73" t="s">
        <v>147</v>
      </c>
      <c r="D94" s="260" t="s">
        <v>75</v>
      </c>
      <c r="E94" s="168"/>
      <c r="F94" s="180">
        <f>F96</f>
        <v>1</v>
      </c>
      <c r="G94" s="171"/>
      <c r="H94" s="84"/>
      <c r="I94" s="20"/>
      <c r="J94" s="165"/>
      <c r="K94" s="165"/>
      <c r="L94" s="165"/>
      <c r="M94" s="200"/>
    </row>
    <row r="95" spans="1:13" s="69" customFormat="1" ht="16.5">
      <c r="A95" s="1105"/>
      <c r="B95" s="19"/>
      <c r="C95" s="85" t="s">
        <v>56</v>
      </c>
      <c r="D95" s="19" t="s">
        <v>12</v>
      </c>
      <c r="E95" s="168">
        <v>7.05</v>
      </c>
      <c r="F95" s="168">
        <f>F94*E95</f>
        <v>7.05</v>
      </c>
      <c r="G95" s="171"/>
      <c r="H95" s="84"/>
      <c r="I95" s="171"/>
      <c r="J95" s="84"/>
      <c r="K95" s="171"/>
      <c r="L95" s="84"/>
      <c r="M95" s="200"/>
    </row>
    <row r="96" spans="1:13" s="69" customFormat="1" ht="47.25" customHeight="1">
      <c r="A96" s="1105"/>
      <c r="B96" s="103"/>
      <c r="C96" s="85" t="s">
        <v>553</v>
      </c>
      <c r="D96" s="19" t="s">
        <v>75</v>
      </c>
      <c r="E96" s="168"/>
      <c r="F96" s="54">
        <v>1</v>
      </c>
      <c r="G96" s="171"/>
      <c r="H96" s="165"/>
      <c r="I96" s="20"/>
      <c r="J96" s="165"/>
      <c r="K96" s="165"/>
      <c r="L96" s="165"/>
      <c r="M96" s="200"/>
    </row>
    <row r="97" spans="1:15" s="69" customFormat="1" ht="16.5">
      <c r="A97" s="1105"/>
      <c r="B97" s="103"/>
      <c r="C97" s="85" t="s">
        <v>554</v>
      </c>
      <c r="D97" s="304" t="s">
        <v>52</v>
      </c>
      <c r="E97" s="267"/>
      <c r="F97" s="54">
        <v>10</v>
      </c>
      <c r="G97" s="268"/>
      <c r="H97" s="303"/>
      <c r="I97" s="20"/>
      <c r="J97" s="303"/>
      <c r="K97" s="303"/>
      <c r="L97" s="303"/>
      <c r="M97" s="303"/>
    </row>
    <row r="98" spans="1:15" s="69" customFormat="1" ht="16.5">
      <c r="A98" s="1105"/>
      <c r="B98" s="103"/>
      <c r="C98" s="85" t="s">
        <v>556</v>
      </c>
      <c r="D98" s="470" t="s">
        <v>52</v>
      </c>
      <c r="E98" s="401"/>
      <c r="F98" s="54">
        <v>1</v>
      </c>
      <c r="G98" s="268"/>
      <c r="H98" s="467"/>
      <c r="I98" s="20"/>
      <c r="J98" s="467"/>
      <c r="K98" s="467"/>
      <c r="L98" s="467"/>
      <c r="M98" s="467"/>
    </row>
    <row r="99" spans="1:15" s="69" customFormat="1" ht="16.5">
      <c r="A99" s="1105"/>
      <c r="B99" s="272"/>
      <c r="C99" s="85" t="s">
        <v>555</v>
      </c>
      <c r="D99" s="272" t="s">
        <v>52</v>
      </c>
      <c r="E99" s="267"/>
      <c r="F99" s="54">
        <v>2</v>
      </c>
      <c r="G99" s="268"/>
      <c r="H99" s="276"/>
      <c r="I99" s="20"/>
      <c r="J99" s="276"/>
      <c r="K99" s="276"/>
      <c r="L99" s="276"/>
      <c r="M99" s="276"/>
    </row>
    <row r="100" spans="1:15" s="69" customFormat="1" ht="16.5" hidden="1">
      <c r="A100" s="1105"/>
      <c r="B100" s="277"/>
      <c r="C100" s="85" t="s">
        <v>184</v>
      </c>
      <c r="D100" s="277" t="s">
        <v>52</v>
      </c>
      <c r="E100" s="267"/>
      <c r="F100" s="54"/>
      <c r="G100" s="268"/>
      <c r="H100" s="276"/>
      <c r="I100" s="20"/>
      <c r="J100" s="276"/>
      <c r="K100" s="276"/>
      <c r="L100" s="276"/>
      <c r="M100" s="276"/>
      <c r="O100" s="300"/>
    </row>
    <row r="101" spans="1:15" s="69" customFormat="1" ht="16.5">
      <c r="A101" s="1105"/>
      <c r="B101" s="253"/>
      <c r="C101" s="85" t="s">
        <v>183</v>
      </c>
      <c r="D101" s="253" t="s">
        <v>52</v>
      </c>
      <c r="E101" s="255"/>
      <c r="F101" s="54">
        <v>10</v>
      </c>
      <c r="G101" s="256"/>
      <c r="H101" s="249"/>
      <c r="I101" s="20"/>
      <c r="J101" s="249"/>
      <c r="K101" s="249"/>
      <c r="L101" s="249"/>
      <c r="M101" s="249"/>
    </row>
    <row r="102" spans="1:15" s="69" customFormat="1" ht="16.5" hidden="1">
      <c r="A102" s="1105"/>
      <c r="B102" s="19"/>
      <c r="C102" s="85" t="s">
        <v>172</v>
      </c>
      <c r="D102" s="19" t="s">
        <v>52</v>
      </c>
      <c r="E102" s="168"/>
      <c r="F102" s="54"/>
      <c r="G102" s="171"/>
      <c r="H102" s="165"/>
      <c r="I102" s="20"/>
      <c r="J102" s="165"/>
      <c r="K102" s="165"/>
      <c r="L102" s="165"/>
      <c r="M102" s="200"/>
    </row>
    <row r="103" spans="1:15" s="69" customFormat="1" ht="16.5" hidden="1">
      <c r="A103" s="1105"/>
      <c r="B103" s="19"/>
      <c r="C103" s="85" t="s">
        <v>169</v>
      </c>
      <c r="D103" s="19" t="s">
        <v>52</v>
      </c>
      <c r="E103" s="168"/>
      <c r="F103" s="54"/>
      <c r="G103" s="171"/>
      <c r="H103" s="165"/>
      <c r="I103" s="20"/>
      <c r="J103" s="165"/>
      <c r="K103" s="165"/>
      <c r="L103" s="165"/>
      <c r="M103" s="200"/>
    </row>
    <row r="104" spans="1:15" s="69" customFormat="1" ht="16.5" hidden="1">
      <c r="A104" s="1105"/>
      <c r="B104" s="19"/>
      <c r="C104" s="85" t="s">
        <v>167</v>
      </c>
      <c r="D104" s="19" t="s">
        <v>52</v>
      </c>
      <c r="E104" s="168"/>
      <c r="F104" s="54"/>
      <c r="G104" s="171"/>
      <c r="H104" s="165"/>
      <c r="I104" s="20"/>
      <c r="J104" s="165"/>
      <c r="K104" s="165"/>
      <c r="L104" s="165"/>
      <c r="M104" s="200"/>
    </row>
    <row r="105" spans="1:15" s="69" customFormat="1" ht="16.5" hidden="1">
      <c r="A105" s="1105"/>
      <c r="B105" s="19"/>
      <c r="C105" s="85" t="s">
        <v>170</v>
      </c>
      <c r="D105" s="19" t="s">
        <v>52</v>
      </c>
      <c r="E105" s="168"/>
      <c r="F105" s="54"/>
      <c r="G105" s="171"/>
      <c r="H105" s="165"/>
      <c r="I105" s="20"/>
      <c r="J105" s="165"/>
      <c r="K105" s="165"/>
      <c r="L105" s="165"/>
      <c r="M105" s="200"/>
    </row>
    <row r="106" spans="1:15" s="69" customFormat="1" ht="16.5">
      <c r="A106" s="1106"/>
      <c r="B106" s="242"/>
      <c r="C106" s="85" t="s">
        <v>148</v>
      </c>
      <c r="D106" s="103" t="s">
        <v>75</v>
      </c>
      <c r="E106" s="103"/>
      <c r="F106" s="103">
        <v>1</v>
      </c>
      <c r="G106" s="298"/>
      <c r="H106" s="249"/>
      <c r="I106" s="20"/>
      <c r="J106" s="249"/>
      <c r="K106" s="249"/>
      <c r="L106" s="249"/>
      <c r="M106" s="249"/>
      <c r="O106" s="300"/>
    </row>
    <row r="107" spans="1:15" s="69" customFormat="1" ht="16.5">
      <c r="A107" s="19"/>
      <c r="B107" s="19"/>
      <c r="C107" s="100" t="s">
        <v>70</v>
      </c>
      <c r="D107" s="19"/>
      <c r="E107" s="57"/>
      <c r="F107" s="57"/>
      <c r="G107" s="58"/>
      <c r="H107" s="58"/>
      <c r="I107" s="59"/>
      <c r="J107" s="58"/>
      <c r="K107" s="58"/>
      <c r="L107" s="58"/>
      <c r="M107" s="200"/>
    </row>
    <row r="108" spans="1:15" s="69" customFormat="1" ht="16.5">
      <c r="A108" s="198" t="s">
        <v>84</v>
      </c>
      <c r="B108" s="62"/>
      <c r="C108" s="308" t="s">
        <v>557</v>
      </c>
      <c r="D108" s="63" t="s">
        <v>52</v>
      </c>
      <c r="E108" s="188"/>
      <c r="F108" s="35">
        <v>1</v>
      </c>
      <c r="G108" s="30"/>
      <c r="H108" s="38"/>
      <c r="I108" s="38"/>
      <c r="J108" s="38"/>
      <c r="K108" s="38"/>
      <c r="L108" s="38"/>
      <c r="M108" s="400"/>
    </row>
    <row r="109" spans="1:15" s="69" customFormat="1" ht="40.5" hidden="1">
      <c r="A109" s="1187" t="s">
        <v>69</v>
      </c>
      <c r="B109" s="29" t="s">
        <v>71</v>
      </c>
      <c r="C109" s="34" t="s">
        <v>573</v>
      </c>
      <c r="D109" s="60" t="s">
        <v>52</v>
      </c>
      <c r="E109" s="186"/>
      <c r="F109" s="35">
        <f>F112</f>
        <v>0</v>
      </c>
      <c r="G109" s="30"/>
      <c r="H109" s="38"/>
      <c r="I109" s="38"/>
      <c r="J109" s="38"/>
      <c r="K109" s="38"/>
      <c r="L109" s="38"/>
      <c r="M109" s="200"/>
    </row>
    <row r="110" spans="1:15" s="69" customFormat="1" ht="16.5" hidden="1">
      <c r="A110" s="1189"/>
      <c r="B110" s="169"/>
      <c r="C110" s="31" t="s">
        <v>38</v>
      </c>
      <c r="D110" s="60" t="s">
        <v>12</v>
      </c>
      <c r="E110" s="187">
        <v>0.9</v>
      </c>
      <c r="F110" s="33">
        <f>E110*F109</f>
        <v>0</v>
      </c>
      <c r="G110" s="30"/>
      <c r="H110" s="38"/>
      <c r="I110" s="38"/>
      <c r="J110" s="38"/>
      <c r="K110" s="38"/>
      <c r="L110" s="38"/>
      <c r="M110" s="200"/>
    </row>
    <row r="111" spans="1:15" s="69" customFormat="1" ht="16.5" hidden="1">
      <c r="A111" s="1189"/>
      <c r="B111" s="169"/>
      <c r="C111" s="36" t="s">
        <v>11</v>
      </c>
      <c r="D111" s="60" t="s">
        <v>9</v>
      </c>
      <c r="E111" s="187">
        <v>7.0000000000000007E-2</v>
      </c>
      <c r="F111" s="61">
        <f>E111*F109</f>
        <v>0</v>
      </c>
      <c r="G111" s="30"/>
      <c r="H111" s="38"/>
      <c r="I111" s="38"/>
      <c r="J111" s="38"/>
      <c r="K111" s="38"/>
      <c r="L111" s="38"/>
      <c r="M111" s="200"/>
    </row>
    <row r="112" spans="1:15" s="69" customFormat="1" ht="31.5" hidden="1">
      <c r="A112" s="1189"/>
      <c r="B112" s="62"/>
      <c r="C112" s="36" t="s">
        <v>173</v>
      </c>
      <c r="D112" s="63" t="s">
        <v>52</v>
      </c>
      <c r="E112" s="188"/>
      <c r="F112" s="33">
        <v>0</v>
      </c>
      <c r="G112" s="30"/>
      <c r="H112" s="38"/>
      <c r="I112" s="38"/>
      <c r="J112" s="38"/>
      <c r="K112" s="38"/>
      <c r="L112" s="38"/>
      <c r="M112" s="200"/>
    </row>
    <row r="113" spans="1:13" s="69" customFormat="1" ht="16.5" hidden="1">
      <c r="A113" s="1188"/>
      <c r="B113" s="169"/>
      <c r="C113" s="31" t="s">
        <v>13</v>
      </c>
      <c r="D113" s="60" t="s">
        <v>9</v>
      </c>
      <c r="E113" s="187">
        <v>1.4</v>
      </c>
      <c r="F113" s="33">
        <f>E113*F109</f>
        <v>0</v>
      </c>
      <c r="G113" s="30"/>
      <c r="H113" s="38"/>
      <c r="I113" s="30"/>
      <c r="J113" s="38"/>
      <c r="K113" s="30"/>
      <c r="L113" s="38"/>
      <c r="M113" s="200"/>
    </row>
    <row r="114" spans="1:13" s="69" customFormat="1" ht="40.5" hidden="1">
      <c r="A114" s="1187" t="s">
        <v>85</v>
      </c>
      <c r="B114" s="29" t="s">
        <v>571</v>
      </c>
      <c r="C114" s="34" t="s">
        <v>573</v>
      </c>
      <c r="D114" s="60" t="s">
        <v>52</v>
      </c>
      <c r="E114" s="186"/>
      <c r="F114" s="35">
        <f>F117</f>
        <v>0</v>
      </c>
      <c r="G114" s="30"/>
      <c r="H114" s="38"/>
      <c r="I114" s="38"/>
      <c r="J114" s="38"/>
      <c r="K114" s="38"/>
      <c r="L114" s="38"/>
      <c r="M114" s="467"/>
    </row>
    <row r="115" spans="1:13" s="69" customFormat="1" ht="16.5" hidden="1">
      <c r="A115" s="1189"/>
      <c r="B115" s="468"/>
      <c r="C115" s="31" t="s">
        <v>38</v>
      </c>
      <c r="D115" s="60" t="s">
        <v>12</v>
      </c>
      <c r="E115" s="187">
        <v>0.9</v>
      </c>
      <c r="F115" s="33">
        <f>E115*F114</f>
        <v>0</v>
      </c>
      <c r="G115" s="30"/>
      <c r="H115" s="38"/>
      <c r="I115" s="38"/>
      <c r="J115" s="38"/>
      <c r="K115" s="38"/>
      <c r="L115" s="38"/>
      <c r="M115" s="467"/>
    </row>
    <row r="116" spans="1:13" s="69" customFormat="1" ht="16.5" hidden="1">
      <c r="A116" s="1189"/>
      <c r="B116" s="468"/>
      <c r="C116" s="36" t="s">
        <v>11</v>
      </c>
      <c r="D116" s="60" t="s">
        <v>9</v>
      </c>
      <c r="E116" s="187">
        <v>0.08</v>
      </c>
      <c r="F116" s="61">
        <f>E116*F114</f>
        <v>0</v>
      </c>
      <c r="G116" s="30"/>
      <c r="H116" s="38"/>
      <c r="I116" s="38"/>
      <c r="J116" s="38"/>
      <c r="K116" s="38"/>
      <c r="L116" s="38"/>
      <c r="M116" s="467"/>
    </row>
    <row r="117" spans="1:13" s="69" customFormat="1" ht="31.5" hidden="1">
      <c r="A117" s="1189"/>
      <c r="B117" s="62"/>
      <c r="C117" s="36" t="s">
        <v>570</v>
      </c>
      <c r="D117" s="63" t="s">
        <v>52</v>
      </c>
      <c r="E117" s="188"/>
      <c r="F117" s="33">
        <v>0</v>
      </c>
      <c r="G117" s="30"/>
      <c r="H117" s="38"/>
      <c r="I117" s="38"/>
      <c r="J117" s="38"/>
      <c r="K117" s="38"/>
      <c r="L117" s="38"/>
      <c r="M117" s="467"/>
    </row>
    <row r="118" spans="1:13" s="69" customFormat="1" ht="16.5" hidden="1">
      <c r="A118" s="1188"/>
      <c r="B118" s="468"/>
      <c r="C118" s="31" t="s">
        <v>13</v>
      </c>
      <c r="D118" s="60" t="s">
        <v>9</v>
      </c>
      <c r="E118" s="187">
        <v>2.12</v>
      </c>
      <c r="F118" s="33">
        <f>E118*F114</f>
        <v>0</v>
      </c>
      <c r="G118" s="30"/>
      <c r="H118" s="38"/>
      <c r="I118" s="30"/>
      <c r="J118" s="38"/>
      <c r="K118" s="30"/>
      <c r="L118" s="38"/>
      <c r="M118" s="467"/>
    </row>
    <row r="119" spans="1:13" s="69" customFormat="1" ht="40.5" hidden="1">
      <c r="A119" s="1191" t="s">
        <v>79</v>
      </c>
      <c r="B119" s="29" t="s">
        <v>572</v>
      </c>
      <c r="C119" s="34" t="s">
        <v>574</v>
      </c>
      <c r="D119" s="468" t="s">
        <v>52</v>
      </c>
      <c r="E119" s="32"/>
      <c r="F119" s="35">
        <f>SUM(F122:F122)</f>
        <v>0</v>
      </c>
      <c r="G119" s="30"/>
      <c r="H119" s="38"/>
      <c r="I119" s="30"/>
      <c r="J119" s="38"/>
      <c r="K119" s="30"/>
      <c r="L119" s="38"/>
      <c r="M119" s="467"/>
    </row>
    <row r="120" spans="1:13" s="69" customFormat="1" ht="16.5" hidden="1">
      <c r="A120" s="1192"/>
      <c r="B120" s="468"/>
      <c r="C120" s="31" t="s">
        <v>38</v>
      </c>
      <c r="D120" s="468" t="s">
        <v>12</v>
      </c>
      <c r="E120" s="32">
        <v>0.6</v>
      </c>
      <c r="F120" s="33">
        <f>E120*F119</f>
        <v>0</v>
      </c>
      <c r="G120" s="30"/>
      <c r="H120" s="38"/>
      <c r="I120" s="38"/>
      <c r="J120" s="38"/>
      <c r="K120" s="38"/>
      <c r="L120" s="38"/>
      <c r="M120" s="467"/>
    </row>
    <row r="121" spans="1:13" s="69" customFormat="1" ht="16.5" hidden="1">
      <c r="A121" s="1192"/>
      <c r="B121" s="468"/>
      <c r="C121" s="36" t="s">
        <v>11</v>
      </c>
      <c r="D121" s="468" t="s">
        <v>9</v>
      </c>
      <c r="E121" s="32">
        <v>0.04</v>
      </c>
      <c r="F121" s="33">
        <f>E121*F119</f>
        <v>0</v>
      </c>
      <c r="G121" s="30"/>
      <c r="H121" s="38"/>
      <c r="I121" s="38"/>
      <c r="J121" s="38"/>
      <c r="K121" s="38"/>
      <c r="L121" s="38"/>
      <c r="M121" s="467"/>
    </row>
    <row r="122" spans="1:13" s="69" customFormat="1" ht="31.5" hidden="1">
      <c r="A122" s="1192"/>
      <c r="B122" s="468"/>
      <c r="C122" s="36" t="s">
        <v>575</v>
      </c>
      <c r="D122" s="63" t="s">
        <v>52</v>
      </c>
      <c r="E122" s="188"/>
      <c r="F122" s="33"/>
      <c r="G122" s="30"/>
      <c r="H122" s="38"/>
      <c r="I122" s="38"/>
      <c r="J122" s="38"/>
      <c r="K122" s="38"/>
      <c r="L122" s="38"/>
      <c r="M122" s="467"/>
    </row>
    <row r="123" spans="1:13" s="69" customFormat="1" ht="16.5" hidden="1">
      <c r="A123" s="1192"/>
      <c r="B123" s="62"/>
      <c r="C123" s="36" t="s">
        <v>561</v>
      </c>
      <c r="D123" s="63" t="s">
        <v>52</v>
      </c>
      <c r="E123" s="188"/>
      <c r="F123" s="33"/>
      <c r="G123" s="30"/>
      <c r="H123" s="38"/>
      <c r="I123" s="38"/>
      <c r="J123" s="38"/>
      <c r="K123" s="38"/>
      <c r="L123" s="38"/>
      <c r="M123" s="467"/>
    </row>
    <row r="124" spans="1:13" s="69" customFormat="1" ht="16.5" hidden="1">
      <c r="A124" s="1192"/>
      <c r="B124" s="62"/>
      <c r="C124" s="36" t="s">
        <v>562</v>
      </c>
      <c r="D124" s="63" t="s">
        <v>52</v>
      </c>
      <c r="E124" s="188"/>
      <c r="F124" s="33"/>
      <c r="G124" s="30"/>
      <c r="H124" s="38"/>
      <c r="I124" s="38"/>
      <c r="J124" s="38"/>
      <c r="K124" s="38"/>
      <c r="L124" s="38"/>
      <c r="M124" s="467"/>
    </row>
    <row r="125" spans="1:13" s="69" customFormat="1" ht="16.5" hidden="1">
      <c r="A125" s="1205"/>
      <c r="B125" s="468"/>
      <c r="C125" s="31" t="s">
        <v>13</v>
      </c>
      <c r="D125" s="468" t="s">
        <v>9</v>
      </c>
      <c r="E125" s="32">
        <v>0.65</v>
      </c>
      <c r="F125" s="33">
        <f>E125*F119</f>
        <v>0</v>
      </c>
      <c r="G125" s="30"/>
      <c r="H125" s="38"/>
      <c r="I125" s="30"/>
      <c r="J125" s="38"/>
      <c r="K125" s="30"/>
      <c r="L125" s="38"/>
      <c r="M125" s="467"/>
    </row>
    <row r="126" spans="1:13" s="69" customFormat="1" ht="40.5">
      <c r="A126" s="1191" t="s">
        <v>80</v>
      </c>
      <c r="B126" s="29" t="s">
        <v>558</v>
      </c>
      <c r="C126" s="34" t="s">
        <v>574</v>
      </c>
      <c r="D126" s="468" t="s">
        <v>52</v>
      </c>
      <c r="E126" s="32"/>
      <c r="F126" s="35">
        <f>SUM(F129:F131)</f>
        <v>13</v>
      </c>
      <c r="G126" s="30"/>
      <c r="H126" s="38"/>
      <c r="I126" s="30"/>
      <c r="J126" s="38"/>
      <c r="K126" s="30"/>
      <c r="L126" s="38"/>
      <c r="M126" s="467"/>
    </row>
    <row r="127" spans="1:13" s="69" customFormat="1" ht="16.5">
      <c r="A127" s="1192"/>
      <c r="B127" s="468"/>
      <c r="C127" s="31" t="s">
        <v>38</v>
      </c>
      <c r="D127" s="468" t="s">
        <v>12</v>
      </c>
      <c r="E127" s="32">
        <v>0.6</v>
      </c>
      <c r="F127" s="33">
        <f>E127*F126</f>
        <v>7.8</v>
      </c>
      <c r="G127" s="30"/>
      <c r="H127" s="38"/>
      <c r="I127" s="38"/>
      <c r="J127" s="38"/>
      <c r="K127" s="38"/>
      <c r="L127" s="38"/>
      <c r="M127" s="467"/>
    </row>
    <row r="128" spans="1:13" s="69" customFormat="1" ht="16.5">
      <c r="A128" s="1192"/>
      <c r="B128" s="468"/>
      <c r="C128" s="36" t="s">
        <v>11</v>
      </c>
      <c r="D128" s="468" t="s">
        <v>9</v>
      </c>
      <c r="E128" s="32">
        <v>0.05</v>
      </c>
      <c r="F128" s="33">
        <f>E128*F126</f>
        <v>0.65</v>
      </c>
      <c r="G128" s="30"/>
      <c r="H128" s="38"/>
      <c r="I128" s="38"/>
      <c r="J128" s="38"/>
      <c r="K128" s="38"/>
      <c r="L128" s="38"/>
      <c r="M128" s="467"/>
    </row>
    <row r="129" spans="1:13" s="69" customFormat="1" ht="31.5" hidden="1">
      <c r="A129" s="1192"/>
      <c r="B129" s="468"/>
      <c r="C129" s="36" t="s">
        <v>559</v>
      </c>
      <c r="D129" s="63" t="s">
        <v>52</v>
      </c>
      <c r="E129" s="188"/>
      <c r="F129" s="33"/>
      <c r="G129" s="30"/>
      <c r="H129" s="38"/>
      <c r="I129" s="38"/>
      <c r="J129" s="38"/>
      <c r="K129" s="38"/>
      <c r="L129" s="38"/>
      <c r="M129" s="467"/>
    </row>
    <row r="130" spans="1:13" s="69" customFormat="1" ht="31.5">
      <c r="A130" s="1192"/>
      <c r="B130" s="468"/>
      <c r="C130" s="36" t="s">
        <v>588</v>
      </c>
      <c r="D130" s="63" t="s">
        <v>52</v>
      </c>
      <c r="E130" s="188"/>
      <c r="F130" s="33">
        <v>13</v>
      </c>
      <c r="G130" s="30"/>
      <c r="H130" s="38"/>
      <c r="I130" s="38"/>
      <c r="J130" s="38"/>
      <c r="K130" s="38"/>
      <c r="L130" s="38"/>
      <c r="M130" s="467"/>
    </row>
    <row r="131" spans="1:13" s="69" customFormat="1" ht="31.5" hidden="1">
      <c r="A131" s="1192"/>
      <c r="B131" s="468"/>
      <c r="C131" s="36" t="s">
        <v>560</v>
      </c>
      <c r="D131" s="63" t="s">
        <v>52</v>
      </c>
      <c r="E131" s="188"/>
      <c r="F131" s="33"/>
      <c r="G131" s="30"/>
      <c r="H131" s="38"/>
      <c r="I131" s="38"/>
      <c r="J131" s="38"/>
      <c r="K131" s="38"/>
      <c r="L131" s="38"/>
      <c r="M131" s="467"/>
    </row>
    <row r="132" spans="1:13" s="69" customFormat="1" ht="16.5" hidden="1">
      <c r="A132" s="1192"/>
      <c r="B132" s="62"/>
      <c r="C132" s="36" t="s">
        <v>561</v>
      </c>
      <c r="D132" s="63" t="s">
        <v>52</v>
      </c>
      <c r="E132" s="188"/>
      <c r="F132" s="33"/>
      <c r="G132" s="30"/>
      <c r="H132" s="38"/>
      <c r="I132" s="38"/>
      <c r="J132" s="38"/>
      <c r="K132" s="38"/>
      <c r="L132" s="38"/>
      <c r="M132" s="467"/>
    </row>
    <row r="133" spans="1:13" s="69" customFormat="1" ht="16.5" hidden="1">
      <c r="A133" s="1192"/>
      <c r="B133" s="62"/>
      <c r="C133" s="36" t="s">
        <v>562</v>
      </c>
      <c r="D133" s="63" t="s">
        <v>52</v>
      </c>
      <c r="E133" s="188"/>
      <c r="F133" s="33"/>
      <c r="G133" s="30"/>
      <c r="H133" s="38"/>
      <c r="I133" s="38"/>
      <c r="J133" s="38"/>
      <c r="K133" s="38"/>
      <c r="L133" s="38"/>
      <c r="M133" s="467"/>
    </row>
    <row r="134" spans="1:13" s="69" customFormat="1" ht="16.5">
      <c r="A134" s="1205"/>
      <c r="B134" s="468"/>
      <c r="C134" s="31" t="s">
        <v>13</v>
      </c>
      <c r="D134" s="468" t="s">
        <v>9</v>
      </c>
      <c r="E134" s="32">
        <v>1.08</v>
      </c>
      <c r="F134" s="33">
        <f>E134*F126</f>
        <v>14.040000000000001</v>
      </c>
      <c r="G134" s="30"/>
      <c r="H134" s="38"/>
      <c r="I134" s="30"/>
      <c r="J134" s="38"/>
      <c r="K134" s="30"/>
      <c r="L134" s="38"/>
      <c r="M134" s="467"/>
    </row>
    <row r="135" spans="1:13" s="69" customFormat="1" ht="40.5" hidden="1">
      <c r="A135" s="1187" t="s">
        <v>81</v>
      </c>
      <c r="B135" s="29" t="s">
        <v>563</v>
      </c>
      <c r="C135" s="34" t="s">
        <v>124</v>
      </c>
      <c r="D135" s="63" t="s">
        <v>43</v>
      </c>
      <c r="E135" s="186"/>
      <c r="F135" s="35">
        <f>F138</f>
        <v>0</v>
      </c>
      <c r="G135" s="30"/>
      <c r="H135" s="38"/>
      <c r="I135" s="38"/>
      <c r="J135" s="38"/>
      <c r="K135" s="38"/>
      <c r="L135" s="38"/>
      <c r="M135" s="467"/>
    </row>
    <row r="136" spans="1:13" s="69" customFormat="1" ht="16.5" hidden="1">
      <c r="A136" s="1189"/>
      <c r="B136" s="468"/>
      <c r="C136" s="31" t="s">
        <v>38</v>
      </c>
      <c r="D136" s="60" t="s">
        <v>12</v>
      </c>
      <c r="E136" s="187">
        <v>0.14000000000000001</v>
      </c>
      <c r="F136" s="33">
        <f>E136*F135</f>
        <v>0</v>
      </c>
      <c r="G136" s="30"/>
      <c r="H136" s="38"/>
      <c r="I136" s="38"/>
      <c r="J136" s="38"/>
      <c r="K136" s="38"/>
      <c r="L136" s="38"/>
      <c r="M136" s="467"/>
    </row>
    <row r="137" spans="1:13" s="69" customFormat="1" ht="16.5" hidden="1">
      <c r="A137" s="1189"/>
      <c r="B137" s="468"/>
      <c r="C137" s="36" t="s">
        <v>11</v>
      </c>
      <c r="D137" s="60" t="s">
        <v>9</v>
      </c>
      <c r="E137" s="187">
        <v>8.9999999999999993E-3</v>
      </c>
      <c r="F137" s="61">
        <f>E137*F135</f>
        <v>0</v>
      </c>
      <c r="G137" s="30"/>
      <c r="H137" s="38"/>
      <c r="I137" s="38"/>
      <c r="J137" s="38"/>
      <c r="K137" s="38"/>
      <c r="L137" s="38"/>
      <c r="M137" s="467"/>
    </row>
    <row r="138" spans="1:13" s="69" customFormat="1" ht="16.5" hidden="1">
      <c r="A138" s="1189"/>
      <c r="B138" s="62"/>
      <c r="C138" s="36" t="s">
        <v>564</v>
      </c>
      <c r="D138" s="63" t="s">
        <v>43</v>
      </c>
      <c r="E138" s="188"/>
      <c r="F138" s="33">
        <v>0</v>
      </c>
      <c r="G138" s="30"/>
      <c r="H138" s="38"/>
      <c r="I138" s="38"/>
      <c r="J138" s="38"/>
      <c r="K138" s="38"/>
      <c r="L138" s="38"/>
      <c r="M138" s="467"/>
    </row>
    <row r="139" spans="1:13" s="69" customFormat="1" ht="16.5" hidden="1">
      <c r="A139" s="1188"/>
      <c r="B139" s="468"/>
      <c r="C139" s="31" t="s">
        <v>13</v>
      </c>
      <c r="D139" s="60" t="s">
        <v>9</v>
      </c>
      <c r="E139" s="187">
        <v>0.13</v>
      </c>
      <c r="F139" s="33">
        <f>E139*F135</f>
        <v>0</v>
      </c>
      <c r="G139" s="30"/>
      <c r="H139" s="38"/>
      <c r="I139" s="30"/>
      <c r="J139" s="38"/>
      <c r="K139" s="30"/>
      <c r="L139" s="38"/>
      <c r="M139" s="467"/>
    </row>
    <row r="140" spans="1:13" s="69" customFormat="1" ht="40.5">
      <c r="A140" s="1213" t="s">
        <v>77</v>
      </c>
      <c r="B140" s="29" t="s">
        <v>72</v>
      </c>
      <c r="C140" s="34" t="s">
        <v>565</v>
      </c>
      <c r="D140" s="63" t="s">
        <v>43</v>
      </c>
      <c r="E140" s="186"/>
      <c r="F140" s="35">
        <f>F143</f>
        <v>18</v>
      </c>
      <c r="G140" s="30"/>
      <c r="H140" s="38"/>
      <c r="I140" s="38"/>
      <c r="J140" s="38"/>
      <c r="K140" s="38"/>
      <c r="L140" s="38"/>
      <c r="M140" s="200"/>
    </row>
    <row r="141" spans="1:13" s="69" customFormat="1" ht="16.5">
      <c r="A141" s="1213"/>
      <c r="B141" s="169"/>
      <c r="C141" s="31" t="s">
        <v>38</v>
      </c>
      <c r="D141" s="60" t="s">
        <v>12</v>
      </c>
      <c r="E141" s="187">
        <v>0.12</v>
      </c>
      <c r="F141" s="33">
        <f>E141*F140</f>
        <v>2.16</v>
      </c>
      <c r="G141" s="30"/>
      <c r="H141" s="38"/>
      <c r="I141" s="38"/>
      <c r="J141" s="38"/>
      <c r="K141" s="38"/>
      <c r="L141" s="38"/>
      <c r="M141" s="200"/>
    </row>
    <row r="142" spans="1:13" s="69" customFormat="1" ht="16.5">
      <c r="A142" s="1213"/>
      <c r="B142" s="169"/>
      <c r="C142" s="36" t="s">
        <v>11</v>
      </c>
      <c r="D142" s="60" t="s">
        <v>9</v>
      </c>
      <c r="E142" s="187">
        <v>8.9999999999999993E-3</v>
      </c>
      <c r="F142" s="61">
        <f>E142*F140</f>
        <v>0.16199999999999998</v>
      </c>
      <c r="G142" s="30"/>
      <c r="H142" s="38"/>
      <c r="I142" s="38"/>
      <c r="J142" s="38"/>
      <c r="K142" s="38"/>
      <c r="L142" s="38"/>
      <c r="M142" s="200"/>
    </row>
    <row r="143" spans="1:13" s="69" customFormat="1" ht="16.5">
      <c r="A143" s="1213"/>
      <c r="B143" s="62"/>
      <c r="C143" s="36" t="s">
        <v>73</v>
      </c>
      <c r="D143" s="63" t="s">
        <v>43</v>
      </c>
      <c r="E143" s="188"/>
      <c r="F143" s="33">
        <v>18</v>
      </c>
      <c r="G143" s="30"/>
      <c r="H143" s="38"/>
      <c r="I143" s="38"/>
      <c r="J143" s="38"/>
      <c r="K143" s="38"/>
      <c r="L143" s="38"/>
      <c r="M143" s="200"/>
    </row>
    <row r="144" spans="1:13" s="69" customFormat="1" ht="16.5">
      <c r="A144" s="1213"/>
      <c r="B144" s="169"/>
      <c r="C144" s="31" t="s">
        <v>13</v>
      </c>
      <c r="D144" s="60" t="s">
        <v>9</v>
      </c>
      <c r="E144" s="187">
        <v>0.193</v>
      </c>
      <c r="F144" s="33">
        <f>E144*F140</f>
        <v>3.4740000000000002</v>
      </c>
      <c r="G144" s="30"/>
      <c r="H144" s="38"/>
      <c r="I144" s="30"/>
      <c r="J144" s="38"/>
      <c r="K144" s="30"/>
      <c r="L144" s="38"/>
      <c r="M144" s="200"/>
    </row>
    <row r="145" spans="1:13" s="69" customFormat="1" ht="40.5" hidden="1">
      <c r="A145" s="1213" t="s">
        <v>42</v>
      </c>
      <c r="B145" s="29" t="s">
        <v>566</v>
      </c>
      <c r="C145" s="34" t="s">
        <v>565</v>
      </c>
      <c r="D145" s="63" t="s">
        <v>43</v>
      </c>
      <c r="E145" s="186"/>
      <c r="F145" s="35">
        <f>F148</f>
        <v>0</v>
      </c>
      <c r="G145" s="30"/>
      <c r="H145" s="38"/>
      <c r="I145" s="38"/>
      <c r="J145" s="38"/>
      <c r="K145" s="38"/>
      <c r="L145" s="38"/>
      <c r="M145" s="467"/>
    </row>
    <row r="146" spans="1:13" s="69" customFormat="1" ht="16.5" hidden="1">
      <c r="A146" s="1213"/>
      <c r="B146" s="468"/>
      <c r="C146" s="31" t="s">
        <v>38</v>
      </c>
      <c r="D146" s="60" t="s">
        <v>12</v>
      </c>
      <c r="E146" s="187">
        <v>0.39</v>
      </c>
      <c r="F146" s="33">
        <f>E146*F145</f>
        <v>0</v>
      </c>
      <c r="G146" s="30"/>
      <c r="H146" s="38"/>
      <c r="I146" s="38"/>
      <c r="J146" s="38"/>
      <c r="K146" s="38"/>
      <c r="L146" s="38"/>
      <c r="M146" s="467"/>
    </row>
    <row r="147" spans="1:13" s="69" customFormat="1" ht="16.5" hidden="1">
      <c r="A147" s="1213"/>
      <c r="B147" s="468"/>
      <c r="C147" s="36" t="s">
        <v>11</v>
      </c>
      <c r="D147" s="60" t="s">
        <v>9</v>
      </c>
      <c r="E147" s="187">
        <v>2.1999999999999999E-2</v>
      </c>
      <c r="F147" s="61">
        <f>E147*F145</f>
        <v>0</v>
      </c>
      <c r="G147" s="30"/>
      <c r="H147" s="38"/>
      <c r="I147" s="38"/>
      <c r="J147" s="38"/>
      <c r="K147" s="38"/>
      <c r="L147" s="38"/>
      <c r="M147" s="467"/>
    </row>
    <row r="148" spans="1:13" s="69" customFormat="1" ht="16.5" hidden="1">
      <c r="A148" s="1213"/>
      <c r="B148" s="62"/>
      <c r="C148" s="36" t="s">
        <v>576</v>
      </c>
      <c r="D148" s="63" t="s">
        <v>43</v>
      </c>
      <c r="E148" s="188"/>
      <c r="F148" s="33">
        <v>0</v>
      </c>
      <c r="G148" s="30"/>
      <c r="H148" s="38"/>
      <c r="I148" s="38"/>
      <c r="J148" s="38"/>
      <c r="K148" s="38"/>
      <c r="L148" s="38"/>
      <c r="M148" s="467"/>
    </row>
    <row r="149" spans="1:13" s="69" customFormat="1" ht="16.5" hidden="1">
      <c r="A149" s="1213"/>
      <c r="B149" s="468"/>
      <c r="C149" s="31" t="s">
        <v>13</v>
      </c>
      <c r="D149" s="60" t="s">
        <v>9</v>
      </c>
      <c r="E149" s="187">
        <v>0.159</v>
      </c>
      <c r="F149" s="33">
        <f>E149*F145</f>
        <v>0</v>
      </c>
      <c r="G149" s="30"/>
      <c r="H149" s="38"/>
      <c r="I149" s="30"/>
      <c r="J149" s="38"/>
      <c r="K149" s="30"/>
      <c r="L149" s="38"/>
      <c r="M149" s="467"/>
    </row>
    <row r="150" spans="1:13" s="69" customFormat="1" ht="40.5">
      <c r="A150" s="1187" t="s">
        <v>46</v>
      </c>
      <c r="B150" s="29" t="s">
        <v>567</v>
      </c>
      <c r="C150" s="34" t="s">
        <v>124</v>
      </c>
      <c r="D150" s="63" t="s">
        <v>43</v>
      </c>
      <c r="E150" s="186"/>
      <c r="F150" s="35">
        <f>F153</f>
        <v>10</v>
      </c>
      <c r="G150" s="30"/>
      <c r="H150" s="38"/>
      <c r="I150" s="38"/>
      <c r="J150" s="38"/>
      <c r="K150" s="38"/>
      <c r="L150" s="38"/>
      <c r="M150" s="467"/>
    </row>
    <row r="151" spans="1:13" s="69" customFormat="1" ht="16.5">
      <c r="A151" s="1189"/>
      <c r="B151" s="468"/>
      <c r="C151" s="31" t="s">
        <v>38</v>
      </c>
      <c r="D151" s="60" t="s">
        <v>12</v>
      </c>
      <c r="E151" s="187">
        <v>0.41</v>
      </c>
      <c r="F151" s="33">
        <f>E151*F150</f>
        <v>4.0999999999999996</v>
      </c>
      <c r="G151" s="30"/>
      <c r="H151" s="38"/>
      <c r="I151" s="38"/>
      <c r="J151" s="38"/>
      <c r="K151" s="38"/>
      <c r="L151" s="38"/>
      <c r="M151" s="467"/>
    </row>
    <row r="152" spans="1:13" s="69" customFormat="1" ht="16.5">
      <c r="A152" s="1189"/>
      <c r="B152" s="468"/>
      <c r="C152" s="36" t="s">
        <v>11</v>
      </c>
      <c r="D152" s="60" t="s">
        <v>9</v>
      </c>
      <c r="E152" s="187">
        <v>2.1000000000000001E-2</v>
      </c>
      <c r="F152" s="61">
        <f>E152*F150</f>
        <v>0.21000000000000002</v>
      </c>
      <c r="G152" s="30"/>
      <c r="H152" s="38"/>
      <c r="I152" s="38"/>
      <c r="J152" s="38"/>
      <c r="K152" s="38"/>
      <c r="L152" s="38"/>
      <c r="M152" s="467"/>
    </row>
    <row r="153" spans="1:13" s="69" customFormat="1" ht="16.5">
      <c r="A153" s="1189"/>
      <c r="B153" s="62"/>
      <c r="C153" s="36" t="s">
        <v>569</v>
      </c>
      <c r="D153" s="63" t="s">
        <v>43</v>
      </c>
      <c r="E153" s="188"/>
      <c r="F153" s="33">
        <v>10</v>
      </c>
      <c r="G153" s="30"/>
      <c r="H153" s="38"/>
      <c r="I153" s="38"/>
      <c r="J153" s="38"/>
      <c r="K153" s="38"/>
      <c r="L153" s="38"/>
      <c r="M153" s="467"/>
    </row>
    <row r="154" spans="1:13" s="69" customFormat="1" ht="16.5">
      <c r="A154" s="1188"/>
      <c r="B154" s="468"/>
      <c r="C154" s="31" t="s">
        <v>13</v>
      </c>
      <c r="D154" s="60" t="s">
        <v>9</v>
      </c>
      <c r="E154" s="187">
        <v>0.09</v>
      </c>
      <c r="F154" s="33">
        <f>E154*F150</f>
        <v>0.89999999999999991</v>
      </c>
      <c r="G154" s="30"/>
      <c r="H154" s="38"/>
      <c r="I154" s="30"/>
      <c r="J154" s="38"/>
      <c r="K154" s="30"/>
      <c r="L154" s="38"/>
      <c r="M154" s="467"/>
    </row>
    <row r="155" spans="1:13" s="69" customFormat="1" ht="40.5" hidden="1">
      <c r="A155" s="1187" t="s">
        <v>48</v>
      </c>
      <c r="B155" s="29" t="s">
        <v>568</v>
      </c>
      <c r="C155" s="34" t="s">
        <v>124</v>
      </c>
      <c r="D155" s="63" t="s">
        <v>43</v>
      </c>
      <c r="E155" s="186"/>
      <c r="F155" s="35">
        <f>F158</f>
        <v>0</v>
      </c>
      <c r="G155" s="30"/>
      <c r="H155" s="38"/>
      <c r="I155" s="38"/>
      <c r="J155" s="38"/>
      <c r="K155" s="38"/>
      <c r="L155" s="38"/>
      <c r="M155" s="467"/>
    </row>
    <row r="156" spans="1:13" s="69" customFormat="1" ht="16.5" hidden="1">
      <c r="A156" s="1189"/>
      <c r="B156" s="468"/>
      <c r="C156" s="31" t="s">
        <v>38</v>
      </c>
      <c r="D156" s="60" t="s">
        <v>12</v>
      </c>
      <c r="E156" s="187">
        <v>0.41</v>
      </c>
      <c r="F156" s="33">
        <f>E156*F155</f>
        <v>0</v>
      </c>
      <c r="G156" s="30"/>
      <c r="H156" s="38"/>
      <c r="I156" s="38"/>
      <c r="J156" s="38"/>
      <c r="K156" s="38"/>
      <c r="L156" s="38"/>
      <c r="M156" s="467"/>
    </row>
    <row r="157" spans="1:13" s="69" customFormat="1" ht="16.5" hidden="1">
      <c r="A157" s="1189"/>
      <c r="B157" s="468"/>
      <c r="C157" s="36" t="s">
        <v>11</v>
      </c>
      <c r="D157" s="60" t="s">
        <v>9</v>
      </c>
      <c r="E157" s="187">
        <v>2.1999999999999999E-2</v>
      </c>
      <c r="F157" s="61">
        <f>E157*F155</f>
        <v>0</v>
      </c>
      <c r="G157" s="30"/>
      <c r="H157" s="38"/>
      <c r="I157" s="38"/>
      <c r="J157" s="38"/>
      <c r="K157" s="38"/>
      <c r="L157" s="38"/>
      <c r="M157" s="467"/>
    </row>
    <row r="158" spans="1:13" s="69" customFormat="1" ht="16.5" hidden="1">
      <c r="A158" s="1189"/>
      <c r="B158" s="62"/>
      <c r="C158" s="36" t="s">
        <v>564</v>
      </c>
      <c r="D158" s="63" t="s">
        <v>43</v>
      </c>
      <c r="E158" s="188"/>
      <c r="F158" s="33">
        <v>0</v>
      </c>
      <c r="G158" s="30"/>
      <c r="H158" s="38"/>
      <c r="I158" s="38"/>
      <c r="J158" s="38"/>
      <c r="K158" s="38"/>
      <c r="L158" s="38"/>
      <c r="M158" s="467"/>
    </row>
    <row r="159" spans="1:13" s="69" customFormat="1" ht="16.5" hidden="1">
      <c r="A159" s="1188"/>
      <c r="B159" s="468"/>
      <c r="C159" s="31" t="s">
        <v>13</v>
      </c>
      <c r="D159" s="60" t="s">
        <v>9</v>
      </c>
      <c r="E159" s="187">
        <v>0.16600000000000001</v>
      </c>
      <c r="F159" s="33">
        <f>E159*F155</f>
        <v>0</v>
      </c>
      <c r="G159" s="30"/>
      <c r="H159" s="38"/>
      <c r="I159" s="30"/>
      <c r="J159" s="38"/>
      <c r="K159" s="30"/>
      <c r="L159" s="38"/>
      <c r="M159" s="467"/>
    </row>
    <row r="160" spans="1:13" s="69" customFormat="1" ht="16.5">
      <c r="A160" s="139"/>
      <c r="B160" s="62"/>
      <c r="C160" s="36"/>
      <c r="D160" s="63"/>
      <c r="E160" s="64"/>
      <c r="F160" s="33"/>
      <c r="G160" s="30"/>
      <c r="H160" s="38"/>
      <c r="I160" s="38"/>
      <c r="J160" s="38"/>
      <c r="K160" s="38"/>
      <c r="L160" s="38"/>
      <c r="M160" s="38"/>
    </row>
    <row r="161" spans="1:14" s="69" customFormat="1" ht="16.5">
      <c r="A161" s="77"/>
      <c r="B161" s="77"/>
      <c r="C161" s="100" t="s">
        <v>93</v>
      </c>
      <c r="D161" s="77"/>
      <c r="E161" s="48"/>
      <c r="F161" s="48"/>
      <c r="G161" s="78"/>
      <c r="H161" s="78"/>
      <c r="I161" s="78"/>
      <c r="J161" s="78"/>
      <c r="K161" s="78"/>
      <c r="L161" s="78"/>
      <c r="M161" s="78"/>
      <c r="N161" s="301">
        <f>H161+J161+L161</f>
        <v>0</v>
      </c>
    </row>
    <row r="162" spans="1:14" s="69" customFormat="1" ht="47.25">
      <c r="A162" s="19"/>
      <c r="B162" s="28"/>
      <c r="C162" s="106" t="s">
        <v>94</v>
      </c>
      <c r="D162" s="79"/>
      <c r="E162" s="50"/>
      <c r="F162" s="210">
        <v>0.05</v>
      </c>
      <c r="G162" s="107"/>
      <c r="H162" s="107"/>
      <c r="I162" s="107"/>
      <c r="J162" s="107"/>
      <c r="K162" s="107"/>
      <c r="L162" s="107"/>
      <c r="M162" s="201"/>
    </row>
    <row r="163" spans="1:14" s="69" customFormat="1" ht="16.5">
      <c r="A163" s="19"/>
      <c r="B163" s="28"/>
      <c r="C163" s="212" t="s">
        <v>25</v>
      </c>
      <c r="D163" s="79"/>
      <c r="E163" s="50"/>
      <c r="F163" s="50"/>
      <c r="G163" s="107"/>
      <c r="H163" s="107"/>
      <c r="I163" s="107"/>
      <c r="J163" s="107"/>
      <c r="K163" s="107"/>
      <c r="L163" s="107"/>
      <c r="M163" s="107"/>
    </row>
    <row r="164" spans="1:14" s="69" customFormat="1" ht="31.5">
      <c r="A164" s="19"/>
      <c r="B164" s="19"/>
      <c r="C164" s="83" t="s">
        <v>111</v>
      </c>
      <c r="D164" s="14"/>
      <c r="E164" s="167"/>
      <c r="F164" s="227" t="s">
        <v>112</v>
      </c>
      <c r="G164" s="165"/>
      <c r="H164" s="165"/>
      <c r="I164" s="165"/>
      <c r="J164" s="165"/>
      <c r="K164" s="165"/>
      <c r="L164" s="165"/>
      <c r="M164" s="165"/>
    </row>
    <row r="165" spans="1:14" s="69" customFormat="1" ht="16.5">
      <c r="A165" s="77"/>
      <c r="B165" s="77"/>
      <c r="C165" s="100" t="s">
        <v>113</v>
      </c>
      <c r="D165" s="77"/>
      <c r="E165" s="48"/>
      <c r="F165" s="48"/>
      <c r="G165" s="78"/>
      <c r="H165" s="78"/>
      <c r="I165" s="78"/>
      <c r="J165" s="78"/>
      <c r="K165" s="78"/>
      <c r="L165" s="78"/>
      <c r="M165" s="78"/>
    </row>
    <row r="166" spans="1:14" s="69" customFormat="1" ht="16.5">
      <c r="A166" s="829"/>
      <c r="B166" s="829"/>
      <c r="C166" s="830" t="s">
        <v>671</v>
      </c>
      <c r="D166" s="829"/>
      <c r="E166" s="831"/>
      <c r="F166" s="831"/>
      <c r="G166" s="832"/>
      <c r="H166" s="832"/>
      <c r="I166" s="832"/>
      <c r="J166" s="832"/>
      <c r="K166" s="832"/>
      <c r="L166" s="832"/>
      <c r="M166" s="832"/>
    </row>
    <row r="167" spans="1:14" s="69" customFormat="1" ht="16.5">
      <c r="A167" s="260"/>
      <c r="B167" s="260"/>
      <c r="C167" s="259"/>
      <c r="D167" s="260"/>
      <c r="E167" s="24"/>
      <c r="F167" s="24"/>
      <c r="G167" s="358"/>
      <c r="H167" s="358"/>
      <c r="I167" s="358"/>
      <c r="J167" s="358"/>
      <c r="K167" s="358"/>
      <c r="L167" s="358"/>
      <c r="M167" s="358"/>
    </row>
    <row r="168" spans="1:14" s="69" customFormat="1" ht="31.5">
      <c r="A168" s="371"/>
      <c r="B168" s="371"/>
      <c r="C168" s="372" t="s">
        <v>646</v>
      </c>
      <c r="D168" s="373"/>
      <c r="E168" s="374"/>
      <c r="F168" s="374"/>
      <c r="G168" s="17"/>
      <c r="H168" s="17"/>
      <c r="I168" s="17"/>
      <c r="J168" s="17"/>
      <c r="K168" s="17"/>
      <c r="L168" s="17"/>
      <c r="M168" s="17"/>
    </row>
    <row r="169" spans="1:14" s="69" customFormat="1" ht="16.5">
      <c r="A169" s="356" t="s">
        <v>137</v>
      </c>
      <c r="B169" s="354"/>
      <c r="C169" s="355" t="s">
        <v>669</v>
      </c>
      <c r="D169" s="356"/>
      <c r="E169" s="357"/>
      <c r="F169" s="357"/>
      <c r="G169" s="358"/>
      <c r="H169" s="358"/>
      <c r="I169" s="358"/>
      <c r="J169" s="358"/>
      <c r="K169" s="358"/>
      <c r="L169" s="358"/>
      <c r="M169" s="358"/>
    </row>
    <row r="170" spans="1:14" s="69" customFormat="1" ht="16.5">
      <c r="A170" s="731"/>
      <c r="B170" s="733"/>
      <c r="C170" s="824" t="s">
        <v>647</v>
      </c>
      <c r="D170" s="260"/>
      <c r="E170" s="103"/>
      <c r="F170" s="726"/>
      <c r="G170" s="825"/>
      <c r="H170" s="825"/>
      <c r="I170" s="825"/>
      <c r="J170" s="825"/>
      <c r="K170" s="825"/>
      <c r="L170" s="825"/>
      <c r="M170" s="825"/>
    </row>
    <row r="171" spans="1:14" s="69" customFormat="1" ht="16.5" hidden="1">
      <c r="A171" s="1202">
        <v>1</v>
      </c>
      <c r="B171" s="114" t="s">
        <v>648</v>
      </c>
      <c r="C171" s="101" t="s">
        <v>649</v>
      </c>
      <c r="D171" s="114" t="s">
        <v>650</v>
      </c>
      <c r="E171" s="115"/>
      <c r="F171" s="178"/>
      <c r="G171" s="20"/>
      <c r="H171" s="727"/>
      <c r="I171" s="20"/>
      <c r="J171" s="727"/>
      <c r="K171" s="21"/>
      <c r="L171" s="727"/>
      <c r="M171" s="727"/>
    </row>
    <row r="172" spans="1:14" s="69" customFormat="1" ht="16.5" hidden="1">
      <c r="A172" s="1203"/>
      <c r="B172" s="732"/>
      <c r="C172" s="102" t="s">
        <v>67</v>
      </c>
      <c r="D172" s="732" t="s">
        <v>68</v>
      </c>
      <c r="E172" s="115">
        <v>2.06</v>
      </c>
      <c r="F172" s="115">
        <f>F171*E172</f>
        <v>0</v>
      </c>
      <c r="G172" s="20"/>
      <c r="H172" s="727"/>
      <c r="I172" s="20"/>
      <c r="J172" s="727"/>
      <c r="K172" s="21"/>
      <c r="L172" s="727"/>
      <c r="M172" s="727"/>
    </row>
    <row r="173" spans="1:14" s="69" customFormat="1" ht="16.5">
      <c r="A173" s="1140" t="s">
        <v>84</v>
      </c>
      <c r="B173" s="263" t="s">
        <v>232</v>
      </c>
      <c r="C173" s="340" t="s">
        <v>204</v>
      </c>
      <c r="D173" s="141" t="s">
        <v>39</v>
      </c>
      <c r="E173" s="341"/>
      <c r="F173" s="23">
        <f>(40)*0.25*0.7</f>
        <v>7</v>
      </c>
      <c r="G173" s="727"/>
      <c r="H173" s="13"/>
      <c r="I173" s="727"/>
      <c r="J173" s="13"/>
      <c r="K173" s="727"/>
      <c r="L173" s="13"/>
      <c r="M173" s="13"/>
    </row>
    <row r="174" spans="1:14" s="69" customFormat="1" ht="16.5">
      <c r="A174" s="1141"/>
      <c r="B174" s="263"/>
      <c r="C174" s="342" t="s">
        <v>38</v>
      </c>
      <c r="D174" s="334" t="s">
        <v>12</v>
      </c>
      <c r="E174" s="333">
        <f>34/1000</f>
        <v>3.4000000000000002E-2</v>
      </c>
      <c r="F174" s="202">
        <f>F173*E174</f>
        <v>0.23800000000000002</v>
      </c>
      <c r="G174" s="727"/>
      <c r="H174" s="13"/>
      <c r="I174" s="727"/>
      <c r="J174" s="13"/>
      <c r="K174" s="22"/>
      <c r="L174" s="13"/>
      <c r="M174" s="727"/>
    </row>
    <row r="175" spans="1:14" s="69" customFormat="1" ht="16.5">
      <c r="A175" s="1141"/>
      <c r="B175" s="263" t="s">
        <v>197</v>
      </c>
      <c r="C175" s="342" t="s">
        <v>224</v>
      </c>
      <c r="D175" s="334" t="s">
        <v>44</v>
      </c>
      <c r="E175" s="333">
        <f>80.3/1000</f>
        <v>8.0299999999999996E-2</v>
      </c>
      <c r="F175" s="202">
        <f>F173*E175</f>
        <v>0.56209999999999993</v>
      </c>
      <c r="G175" s="727"/>
      <c r="H175" s="13"/>
      <c r="I175" s="727"/>
      <c r="J175" s="13"/>
      <c r="K175" s="727"/>
      <c r="L175" s="317"/>
      <c r="M175" s="727"/>
    </row>
    <row r="176" spans="1:14" s="69" customFormat="1" ht="16.5">
      <c r="A176" s="1141"/>
      <c r="B176" s="263"/>
      <c r="C176" s="342" t="s">
        <v>11</v>
      </c>
      <c r="D176" s="334" t="s">
        <v>9</v>
      </c>
      <c r="E176" s="333">
        <f>5.6/1000</f>
        <v>5.5999999999999999E-3</v>
      </c>
      <c r="F176" s="202">
        <f>F173*E176</f>
        <v>3.9199999999999999E-2</v>
      </c>
      <c r="G176" s="727"/>
      <c r="H176" s="13"/>
      <c r="I176" s="727"/>
      <c r="J176" s="13"/>
      <c r="K176" s="727"/>
      <c r="L176" s="317"/>
      <c r="M176" s="727"/>
    </row>
    <row r="177" spans="1:14" s="69" customFormat="1" ht="16.5">
      <c r="A177" s="1207" t="s">
        <v>69</v>
      </c>
      <c r="B177" s="117" t="s">
        <v>60</v>
      </c>
      <c r="C177" s="118" t="s">
        <v>95</v>
      </c>
      <c r="D177" s="117" t="s">
        <v>96</v>
      </c>
      <c r="E177" s="119"/>
      <c r="F177" s="179">
        <f>(40)*0.25*0.25</f>
        <v>2.5</v>
      </c>
      <c r="G177" s="20"/>
      <c r="H177" s="727"/>
      <c r="I177" s="20"/>
      <c r="J177" s="727"/>
      <c r="K177" s="21"/>
      <c r="L177" s="727"/>
      <c r="M177" s="727"/>
    </row>
    <row r="178" spans="1:14" s="69" customFormat="1" ht="16.5">
      <c r="A178" s="1208"/>
      <c r="B178" s="120"/>
      <c r="C178" s="121" t="s">
        <v>67</v>
      </c>
      <c r="D178" s="120" t="s">
        <v>68</v>
      </c>
      <c r="E178" s="119">
        <v>1.8</v>
      </c>
      <c r="F178" s="119">
        <f>F177*E178</f>
        <v>4.5</v>
      </c>
      <c r="G178" s="20"/>
      <c r="H178" s="727"/>
      <c r="I178" s="20"/>
      <c r="J178" s="727"/>
      <c r="K178" s="21"/>
      <c r="L178" s="727"/>
      <c r="M178" s="727"/>
    </row>
    <row r="179" spans="1:14" s="69" customFormat="1" ht="16.5">
      <c r="A179" s="1209"/>
      <c r="B179" s="120"/>
      <c r="C179" s="121" t="s">
        <v>133</v>
      </c>
      <c r="D179" s="120" t="s">
        <v>96</v>
      </c>
      <c r="E179" s="119">
        <v>1.1000000000000001</v>
      </c>
      <c r="F179" s="119">
        <f>F177*E179</f>
        <v>2.75</v>
      </c>
      <c r="G179" s="20"/>
      <c r="H179" s="727"/>
      <c r="I179" s="20"/>
      <c r="J179" s="727"/>
      <c r="K179" s="21"/>
      <c r="L179" s="727"/>
      <c r="M179" s="727"/>
    </row>
    <row r="180" spans="1:14" s="69" customFormat="1" ht="31.5">
      <c r="A180" s="1202" t="s">
        <v>85</v>
      </c>
      <c r="B180" s="114" t="s">
        <v>61</v>
      </c>
      <c r="C180" s="623" t="s">
        <v>653</v>
      </c>
      <c r="D180" s="114" t="s">
        <v>97</v>
      </c>
      <c r="E180" s="185"/>
      <c r="F180" s="178">
        <f>40</f>
        <v>40</v>
      </c>
      <c r="G180" s="20"/>
      <c r="H180" s="727"/>
      <c r="I180" s="20"/>
      <c r="J180" s="727"/>
      <c r="K180" s="21"/>
      <c r="L180" s="727"/>
      <c r="M180" s="727"/>
    </row>
    <row r="181" spans="1:14" s="69" customFormat="1" ht="16.5">
      <c r="A181" s="1203"/>
      <c r="B181" s="732"/>
      <c r="C181" s="102" t="s">
        <v>67</v>
      </c>
      <c r="D181" s="732" t="s">
        <v>68</v>
      </c>
      <c r="E181" s="185">
        <v>0.105</v>
      </c>
      <c r="F181" s="115">
        <f>F180*E181</f>
        <v>4.2</v>
      </c>
      <c r="G181" s="20"/>
      <c r="H181" s="727"/>
      <c r="I181" s="20"/>
      <c r="J181" s="727"/>
      <c r="K181" s="21"/>
      <c r="L181" s="727"/>
      <c r="M181" s="727"/>
    </row>
    <row r="182" spans="1:14" s="69" customFormat="1" ht="16.5">
      <c r="A182" s="1203"/>
      <c r="B182" s="732"/>
      <c r="C182" s="102" t="s">
        <v>98</v>
      </c>
      <c r="D182" s="732" t="s">
        <v>26</v>
      </c>
      <c r="E182" s="185">
        <v>5.3800000000000001E-2</v>
      </c>
      <c r="F182" s="115">
        <f>F180*E182</f>
        <v>2.1520000000000001</v>
      </c>
      <c r="G182" s="20"/>
      <c r="H182" s="727"/>
      <c r="I182" s="20"/>
      <c r="J182" s="727"/>
      <c r="K182" s="21"/>
      <c r="L182" s="727"/>
      <c r="M182" s="727"/>
    </row>
    <row r="183" spans="1:14" s="69" customFormat="1" ht="16.5">
      <c r="A183" s="1203"/>
      <c r="B183" s="732"/>
      <c r="C183" s="826" t="s">
        <v>654</v>
      </c>
      <c r="D183" s="732" t="s">
        <v>97</v>
      </c>
      <c r="E183" s="185">
        <v>1.01</v>
      </c>
      <c r="F183" s="115">
        <f>F180*E183</f>
        <v>40.4</v>
      </c>
      <c r="G183" s="20"/>
      <c r="H183" s="727"/>
      <c r="I183" s="20"/>
      <c r="J183" s="727"/>
      <c r="K183" s="21"/>
      <c r="L183" s="727"/>
      <c r="M183" s="727"/>
    </row>
    <row r="184" spans="1:14" s="69" customFormat="1" ht="16.5">
      <c r="A184" s="1204"/>
      <c r="B184" s="732"/>
      <c r="C184" s="102" t="s">
        <v>89</v>
      </c>
      <c r="D184" s="732" t="s">
        <v>26</v>
      </c>
      <c r="E184" s="185">
        <v>1.1999999999999999E-3</v>
      </c>
      <c r="F184" s="115">
        <f>F180*E184</f>
        <v>4.7999999999999994E-2</v>
      </c>
      <c r="G184" s="20"/>
      <c r="H184" s="727"/>
      <c r="I184" s="20"/>
      <c r="J184" s="727"/>
      <c r="K184" s="21"/>
      <c r="L184" s="727"/>
      <c r="M184" s="727"/>
    </row>
    <row r="185" spans="1:14" s="69" customFormat="1" ht="16.5">
      <c r="A185" s="1210" t="s">
        <v>79</v>
      </c>
      <c r="B185" s="93" t="s">
        <v>99</v>
      </c>
      <c r="C185" s="92" t="s">
        <v>100</v>
      </c>
      <c r="D185" s="93" t="s">
        <v>97</v>
      </c>
      <c r="E185" s="46"/>
      <c r="F185" s="46">
        <f>40</f>
        <v>40</v>
      </c>
      <c r="G185" s="20"/>
      <c r="H185" s="727"/>
      <c r="I185" s="20"/>
      <c r="J185" s="727"/>
      <c r="K185" s="21"/>
      <c r="L185" s="727"/>
      <c r="M185" s="727"/>
    </row>
    <row r="186" spans="1:14" s="69" customFormat="1" ht="16.5">
      <c r="A186" s="1211"/>
      <c r="B186" s="734"/>
      <c r="C186" s="91" t="s">
        <v>67</v>
      </c>
      <c r="D186" s="732" t="s">
        <v>68</v>
      </c>
      <c r="E186" s="89">
        <f>11/1000</f>
        <v>1.0999999999999999E-2</v>
      </c>
      <c r="F186" s="89">
        <f>F185*E186</f>
        <v>0.43999999999999995</v>
      </c>
      <c r="G186" s="20"/>
      <c r="H186" s="727"/>
      <c r="I186" s="20"/>
      <c r="J186" s="727"/>
      <c r="K186" s="21"/>
      <c r="L186" s="727"/>
      <c r="M186" s="727"/>
    </row>
    <row r="187" spans="1:14" s="69" customFormat="1" ht="16.5">
      <c r="A187" s="1212"/>
      <c r="B187" s="122"/>
      <c r="C187" s="123" t="s">
        <v>101</v>
      </c>
      <c r="D187" s="124" t="s">
        <v>97</v>
      </c>
      <c r="E187" s="125"/>
      <c r="F187" s="125">
        <f>F185</f>
        <v>40</v>
      </c>
      <c r="G187" s="20"/>
      <c r="H187" s="727"/>
      <c r="I187" s="20"/>
      <c r="J187" s="727"/>
      <c r="K187" s="21"/>
      <c r="L187" s="727"/>
      <c r="M187" s="727"/>
    </row>
    <row r="188" spans="1:14" s="69" customFormat="1" ht="31.5">
      <c r="A188" s="1197" t="s">
        <v>80</v>
      </c>
      <c r="B188" s="126" t="s">
        <v>63</v>
      </c>
      <c r="C188" s="127" t="s">
        <v>102</v>
      </c>
      <c r="D188" s="126" t="s">
        <v>96</v>
      </c>
      <c r="E188" s="54"/>
      <c r="F188" s="180">
        <f>(40)*0.25*(0.7-0.25)</f>
        <v>4.5</v>
      </c>
      <c r="G188" s="20"/>
      <c r="H188" s="727"/>
      <c r="I188" s="20"/>
      <c r="J188" s="727"/>
      <c r="K188" s="21"/>
      <c r="L188" s="727"/>
      <c r="M188" s="727"/>
    </row>
    <row r="189" spans="1:14" s="69" customFormat="1" ht="16.5">
      <c r="A189" s="1198"/>
      <c r="B189" s="52"/>
      <c r="C189" s="128" t="s">
        <v>67</v>
      </c>
      <c r="D189" s="52" t="s">
        <v>68</v>
      </c>
      <c r="E189" s="54">
        <v>1.21</v>
      </c>
      <c r="F189" s="54">
        <f>F188*E189</f>
        <v>5.4450000000000003</v>
      </c>
      <c r="G189" s="20"/>
      <c r="H189" s="727"/>
      <c r="I189" s="20"/>
      <c r="J189" s="727"/>
      <c r="K189" s="21"/>
      <c r="L189" s="727"/>
      <c r="M189" s="727"/>
    </row>
    <row r="190" spans="1:14" s="69" customFormat="1" ht="16.5">
      <c r="A190" s="260"/>
      <c r="B190" s="260"/>
      <c r="C190" s="259"/>
      <c r="D190" s="260"/>
      <c r="E190" s="24"/>
      <c r="F190" s="24"/>
      <c r="G190" s="17"/>
      <c r="H190" s="17"/>
      <c r="I190" s="17"/>
      <c r="J190" s="17"/>
      <c r="K190" s="17"/>
      <c r="L190" s="17"/>
      <c r="M190" s="17"/>
    </row>
    <row r="191" spans="1:14" s="69" customFormat="1" ht="16.5">
      <c r="A191" s="77"/>
      <c r="B191" s="77"/>
      <c r="C191" s="100" t="s">
        <v>93</v>
      </c>
      <c r="D191" s="131"/>
      <c r="E191" s="47"/>
      <c r="F191" s="48"/>
      <c r="G191" s="49"/>
      <c r="H191" s="78"/>
      <c r="I191" s="78"/>
      <c r="J191" s="78"/>
      <c r="K191" s="78"/>
      <c r="L191" s="78"/>
      <c r="M191" s="78"/>
      <c r="N191" s="301">
        <f>H191+J191+L191</f>
        <v>0</v>
      </c>
    </row>
    <row r="192" spans="1:14" s="69" customFormat="1" ht="47.25">
      <c r="A192" s="735"/>
      <c r="B192" s="28"/>
      <c r="C192" s="106" t="s">
        <v>94</v>
      </c>
      <c r="D192" s="79"/>
      <c r="E192" s="50"/>
      <c r="F192" s="210">
        <v>0.05</v>
      </c>
      <c r="G192" s="107"/>
      <c r="H192" s="107"/>
      <c r="I192" s="107"/>
      <c r="J192" s="107"/>
      <c r="K192" s="107"/>
      <c r="L192" s="107"/>
      <c r="M192" s="728"/>
    </row>
    <row r="193" spans="1:13" s="69" customFormat="1" ht="16.5">
      <c r="A193" s="735"/>
      <c r="B193" s="28"/>
      <c r="C193" s="212" t="s">
        <v>25</v>
      </c>
      <c r="D193" s="79"/>
      <c r="E193" s="50"/>
      <c r="F193" s="50"/>
      <c r="G193" s="107"/>
      <c r="H193" s="107"/>
      <c r="I193" s="107"/>
      <c r="J193" s="107"/>
      <c r="K193" s="107"/>
      <c r="L193" s="107"/>
      <c r="M193" s="728"/>
    </row>
    <row r="194" spans="1:13" s="69" customFormat="1" ht="16.5">
      <c r="A194" s="260"/>
      <c r="B194" s="79"/>
      <c r="C194" s="106" t="s">
        <v>106</v>
      </c>
      <c r="D194" s="79"/>
      <c r="E194" s="50"/>
      <c r="F194" s="216" t="s">
        <v>57</v>
      </c>
      <c r="G194" s="107"/>
      <c r="H194" s="107"/>
      <c r="I194" s="107"/>
      <c r="J194" s="107"/>
      <c r="K194" s="107"/>
      <c r="L194" s="107"/>
      <c r="M194" s="728"/>
    </row>
    <row r="195" spans="1:13" s="69" customFormat="1" ht="16.5">
      <c r="A195" s="132"/>
      <c r="B195" s="133"/>
      <c r="C195" s="134" t="s">
        <v>655</v>
      </c>
      <c r="D195" s="133"/>
      <c r="E195" s="135"/>
      <c r="F195" s="135"/>
      <c r="G195" s="136"/>
      <c r="H195" s="136"/>
      <c r="I195" s="136"/>
      <c r="J195" s="136"/>
      <c r="K195" s="136"/>
      <c r="L195" s="136"/>
      <c r="M195" s="827"/>
    </row>
    <row r="196" spans="1:13" s="69" customFormat="1" ht="16.5">
      <c r="A196" s="356" t="s">
        <v>15</v>
      </c>
      <c r="B196" s="354"/>
      <c r="C196" s="355" t="s">
        <v>670</v>
      </c>
      <c r="D196" s="356"/>
      <c r="E196" s="357"/>
      <c r="F196" s="357"/>
      <c r="G196" s="730"/>
      <c r="H196" s="170"/>
      <c r="I196" s="730"/>
      <c r="J196" s="170"/>
      <c r="K196" s="138"/>
      <c r="L196" s="170"/>
      <c r="M196" s="170"/>
    </row>
    <row r="197" spans="1:13" s="69" customFormat="1" ht="16.5">
      <c r="A197" s="1199" t="s">
        <v>84</v>
      </c>
      <c r="B197" s="260" t="s">
        <v>86</v>
      </c>
      <c r="C197" s="73" t="s">
        <v>109</v>
      </c>
      <c r="D197" s="735" t="s">
        <v>87</v>
      </c>
      <c r="E197" s="401"/>
      <c r="F197" s="24">
        <f>F199</f>
        <v>40</v>
      </c>
      <c r="G197" s="17"/>
      <c r="H197" s="13"/>
      <c r="I197" s="17"/>
      <c r="J197" s="727"/>
      <c r="K197" s="727"/>
      <c r="L197" s="727"/>
      <c r="M197" s="727"/>
    </row>
    <row r="198" spans="1:13" s="69" customFormat="1" ht="16.5">
      <c r="A198" s="1200"/>
      <c r="B198" s="735"/>
      <c r="C198" s="27" t="s">
        <v>56</v>
      </c>
      <c r="D198" s="735" t="s">
        <v>656</v>
      </c>
      <c r="E198" s="401">
        <v>0.13900000000000001</v>
      </c>
      <c r="F198" s="726">
        <f>F197*E198</f>
        <v>5.5600000000000005</v>
      </c>
      <c r="G198" s="727"/>
      <c r="H198" s="13"/>
      <c r="I198" s="727"/>
      <c r="J198" s="727"/>
      <c r="K198" s="727"/>
      <c r="L198" s="727"/>
      <c r="M198" s="727"/>
    </row>
    <row r="199" spans="1:13" s="69" customFormat="1" ht="16.5">
      <c r="A199" s="1200"/>
      <c r="B199" s="735"/>
      <c r="C199" s="27" t="s">
        <v>657</v>
      </c>
      <c r="D199" s="52" t="s">
        <v>43</v>
      </c>
      <c r="E199" s="401"/>
      <c r="F199" s="726">
        <v>40</v>
      </c>
      <c r="G199" s="727"/>
      <c r="H199" s="727"/>
      <c r="I199" s="727"/>
      <c r="J199" s="727"/>
      <c r="K199" s="727"/>
      <c r="L199" s="727"/>
      <c r="M199" s="727"/>
    </row>
    <row r="200" spans="1:13" s="69" customFormat="1" ht="16.5">
      <c r="A200" s="1201"/>
      <c r="B200" s="735"/>
      <c r="C200" s="27" t="s">
        <v>88</v>
      </c>
      <c r="D200" s="735" t="s">
        <v>26</v>
      </c>
      <c r="E200" s="401">
        <v>9.7000000000000003E-3</v>
      </c>
      <c r="F200" s="54">
        <f>F197*E200</f>
        <v>0.38800000000000001</v>
      </c>
      <c r="G200" s="727"/>
      <c r="H200" s="13"/>
      <c r="I200" s="20"/>
      <c r="J200" s="727"/>
      <c r="K200" s="727"/>
      <c r="L200" s="727"/>
      <c r="M200" s="727"/>
    </row>
    <row r="201" spans="1:13" s="69" customFormat="1" ht="26.25">
      <c r="A201" s="1104" t="s">
        <v>69</v>
      </c>
      <c r="B201" s="260" t="s">
        <v>110</v>
      </c>
      <c r="C201" s="73" t="s">
        <v>658</v>
      </c>
      <c r="D201" s="735"/>
      <c r="E201" s="401"/>
      <c r="F201" s="54">
        <f>F203</f>
        <v>1</v>
      </c>
      <c r="G201" s="268"/>
      <c r="H201" s="84"/>
      <c r="I201" s="20"/>
      <c r="J201" s="727"/>
      <c r="K201" s="727"/>
      <c r="L201" s="727"/>
      <c r="M201" s="727"/>
    </row>
    <row r="202" spans="1:13" s="69" customFormat="1" ht="16.5">
      <c r="A202" s="1105"/>
      <c r="B202" s="735"/>
      <c r="C202" s="85" t="s">
        <v>56</v>
      </c>
      <c r="D202" s="735" t="s">
        <v>656</v>
      </c>
      <c r="E202" s="401">
        <v>7.05</v>
      </c>
      <c r="F202" s="401">
        <f>F201*E202</f>
        <v>7.05</v>
      </c>
      <c r="G202" s="268"/>
      <c r="H202" s="84"/>
      <c r="I202" s="834"/>
      <c r="J202" s="84"/>
      <c r="K202" s="268"/>
      <c r="L202" s="84"/>
      <c r="M202" s="727"/>
    </row>
    <row r="203" spans="1:13" s="69" customFormat="1" ht="26.25">
      <c r="A203" s="1105"/>
      <c r="B203" s="103"/>
      <c r="C203" s="85" t="s">
        <v>710</v>
      </c>
      <c r="D203" s="735" t="s">
        <v>75</v>
      </c>
      <c r="E203" s="401"/>
      <c r="F203" s="54">
        <v>1</v>
      </c>
      <c r="G203" s="268"/>
      <c r="H203" s="727"/>
      <c r="I203" s="20"/>
      <c r="J203" s="727"/>
      <c r="K203" s="727"/>
      <c r="L203" s="727"/>
      <c r="M203" s="727"/>
    </row>
    <row r="204" spans="1:13" s="69" customFormat="1" ht="16.5">
      <c r="A204" s="1105"/>
      <c r="B204" s="735"/>
      <c r="C204" s="85" t="s">
        <v>711</v>
      </c>
      <c r="D204" s="735" t="s">
        <v>52</v>
      </c>
      <c r="E204" s="401"/>
      <c r="F204" s="54">
        <v>1</v>
      </c>
      <c r="G204" s="268"/>
      <c r="H204" s="727"/>
      <c r="I204" s="20"/>
      <c r="J204" s="727"/>
      <c r="K204" s="727"/>
      <c r="L204" s="727"/>
      <c r="M204" s="727"/>
    </row>
    <row r="205" spans="1:13" s="69" customFormat="1" ht="16.5">
      <c r="A205" s="1105"/>
      <c r="B205" s="735"/>
      <c r="C205" s="85" t="s">
        <v>712</v>
      </c>
      <c r="D205" s="735" t="s">
        <v>52</v>
      </c>
      <c r="E205" s="401"/>
      <c r="F205" s="54">
        <v>1</v>
      </c>
      <c r="G205" s="268"/>
      <c r="H205" s="727"/>
      <c r="I205" s="20"/>
      <c r="J205" s="727"/>
      <c r="K205" s="727"/>
      <c r="L205" s="727"/>
      <c r="M205" s="727"/>
    </row>
    <row r="206" spans="1:13" s="69" customFormat="1" ht="16.5">
      <c r="A206" s="1106"/>
      <c r="B206" s="735"/>
      <c r="C206" s="85" t="s">
        <v>148</v>
      </c>
      <c r="D206" s="103" t="s">
        <v>75</v>
      </c>
      <c r="E206" s="103"/>
      <c r="F206" s="103">
        <v>1</v>
      </c>
      <c r="G206" s="298"/>
      <c r="H206" s="727"/>
      <c r="I206" s="20"/>
      <c r="J206" s="727"/>
      <c r="K206" s="727"/>
      <c r="L206" s="727"/>
      <c r="M206" s="727"/>
    </row>
    <row r="207" spans="1:13" s="69" customFormat="1" ht="16.5">
      <c r="A207" s="735" t="s">
        <v>85</v>
      </c>
      <c r="B207" s="735"/>
      <c r="C207" s="100" t="s">
        <v>70</v>
      </c>
      <c r="D207" s="735"/>
      <c r="E207" s="57"/>
      <c r="F207" s="57"/>
      <c r="G207" s="58"/>
      <c r="H207" s="58"/>
      <c r="I207" s="59"/>
      <c r="J207" s="58"/>
      <c r="K207" s="58"/>
      <c r="L207" s="58"/>
      <c r="M207" s="727"/>
    </row>
    <row r="208" spans="1:13" s="69" customFormat="1" ht="16.5">
      <c r="A208" s="835" t="s">
        <v>84</v>
      </c>
      <c r="B208" s="62"/>
      <c r="C208" s="308" t="s">
        <v>557</v>
      </c>
      <c r="D208" s="63" t="s">
        <v>52</v>
      </c>
      <c r="E208" s="188"/>
      <c r="F208" s="35">
        <v>1</v>
      </c>
      <c r="G208" s="30"/>
      <c r="H208" s="38"/>
      <c r="I208" s="38"/>
      <c r="J208" s="38"/>
      <c r="K208" s="38"/>
      <c r="L208" s="38"/>
      <c r="M208" s="834"/>
    </row>
    <row r="209" spans="1:13" s="69" customFormat="1" ht="40.5">
      <c r="A209" s="1213" t="s">
        <v>69</v>
      </c>
      <c r="B209" s="29" t="s">
        <v>72</v>
      </c>
      <c r="C209" s="34" t="s">
        <v>659</v>
      </c>
      <c r="D209" s="63" t="s">
        <v>43</v>
      </c>
      <c r="E209" s="186"/>
      <c r="F209" s="35">
        <f>F212</f>
        <v>12</v>
      </c>
      <c r="G209" s="30"/>
      <c r="H209" s="38"/>
      <c r="I209" s="38"/>
      <c r="J209" s="38"/>
      <c r="K209" s="38"/>
      <c r="L209" s="38"/>
      <c r="M209" s="727"/>
    </row>
    <row r="210" spans="1:13" s="69" customFormat="1" ht="16.5">
      <c r="A210" s="1213"/>
      <c r="B210" s="729"/>
      <c r="C210" s="31" t="s">
        <v>38</v>
      </c>
      <c r="D210" s="60" t="s">
        <v>12</v>
      </c>
      <c r="E210" s="187">
        <v>0.12</v>
      </c>
      <c r="F210" s="33">
        <f>E210*F209</f>
        <v>1.44</v>
      </c>
      <c r="G210" s="30"/>
      <c r="H210" s="38"/>
      <c r="I210" s="38"/>
      <c r="J210" s="38"/>
      <c r="K210" s="38"/>
      <c r="L210" s="38"/>
      <c r="M210" s="727"/>
    </row>
    <row r="211" spans="1:13" s="69" customFormat="1" ht="16.5">
      <c r="A211" s="1213"/>
      <c r="B211" s="729"/>
      <c r="C211" s="36" t="s">
        <v>11</v>
      </c>
      <c r="D211" s="60" t="s">
        <v>9</v>
      </c>
      <c r="E211" s="187">
        <v>8.9999999999999993E-3</v>
      </c>
      <c r="F211" s="61">
        <f>E211*F209</f>
        <v>0.10799999999999998</v>
      </c>
      <c r="G211" s="30"/>
      <c r="H211" s="38"/>
      <c r="I211" s="38"/>
      <c r="J211" s="38"/>
      <c r="K211" s="38"/>
      <c r="L211" s="38"/>
      <c r="M211" s="727"/>
    </row>
    <row r="212" spans="1:13" s="69" customFormat="1" ht="16.5">
      <c r="A212" s="1213"/>
      <c r="B212" s="62"/>
      <c r="C212" s="36" t="s">
        <v>73</v>
      </c>
      <c r="D212" s="63" t="s">
        <v>43</v>
      </c>
      <c r="E212" s="188"/>
      <c r="F212" s="33">
        <v>12</v>
      </c>
      <c r="G212" s="30"/>
      <c r="H212" s="38"/>
      <c r="I212" s="38"/>
      <c r="J212" s="38"/>
      <c r="K212" s="38"/>
      <c r="L212" s="38"/>
      <c r="M212" s="727"/>
    </row>
    <row r="213" spans="1:13" s="69" customFormat="1" ht="16.5">
      <c r="A213" s="1213"/>
      <c r="B213" s="729"/>
      <c r="C213" s="31" t="s">
        <v>13</v>
      </c>
      <c r="D213" s="60" t="s">
        <v>9</v>
      </c>
      <c r="E213" s="187">
        <v>0.14000000000000001</v>
      </c>
      <c r="F213" s="33">
        <f>E213*F209</f>
        <v>1.6800000000000002</v>
      </c>
      <c r="G213" s="30"/>
      <c r="H213" s="38"/>
      <c r="I213" s="30"/>
      <c r="J213" s="38"/>
      <c r="K213" s="30"/>
      <c r="L213" s="38"/>
      <c r="M213" s="727"/>
    </row>
    <row r="214" spans="1:13" s="69" customFormat="1" ht="40.5">
      <c r="A214" s="1187" t="s">
        <v>85</v>
      </c>
      <c r="B214" s="29" t="s">
        <v>558</v>
      </c>
      <c r="C214" s="34" t="s">
        <v>660</v>
      </c>
      <c r="D214" s="60" t="s">
        <v>52</v>
      </c>
      <c r="E214" s="187"/>
      <c r="F214" s="35">
        <f>F217+F218</f>
        <v>3</v>
      </c>
      <c r="G214" s="30"/>
      <c r="H214" s="38"/>
      <c r="I214" s="30"/>
      <c r="J214" s="38"/>
      <c r="K214" s="30"/>
      <c r="L214" s="38"/>
      <c r="M214" s="727"/>
    </row>
    <row r="215" spans="1:13" s="69" customFormat="1" ht="16.5">
      <c r="A215" s="1189"/>
      <c r="B215" s="729"/>
      <c r="C215" s="31" t="s">
        <v>38</v>
      </c>
      <c r="D215" s="60" t="s">
        <v>12</v>
      </c>
      <c r="E215" s="187">
        <v>0.6</v>
      </c>
      <c r="F215" s="33">
        <f>E215*F214</f>
        <v>1.7999999999999998</v>
      </c>
      <c r="G215" s="30"/>
      <c r="H215" s="38"/>
      <c r="I215" s="38"/>
      <c r="J215" s="38"/>
      <c r="K215" s="38"/>
      <c r="L215" s="38"/>
      <c r="M215" s="727"/>
    </row>
    <row r="216" spans="1:13" s="69" customFormat="1" ht="16.5">
      <c r="A216" s="1189"/>
      <c r="B216" s="729"/>
      <c r="C216" s="36" t="s">
        <v>11</v>
      </c>
      <c r="D216" s="60" t="s">
        <v>9</v>
      </c>
      <c r="E216" s="187">
        <v>0.05</v>
      </c>
      <c r="F216" s="61">
        <f>E216*F214</f>
        <v>0.15000000000000002</v>
      </c>
      <c r="G216" s="30"/>
      <c r="H216" s="38"/>
      <c r="I216" s="38"/>
      <c r="J216" s="38"/>
      <c r="K216" s="38"/>
      <c r="L216" s="38"/>
      <c r="M216" s="727"/>
    </row>
    <row r="217" spans="1:13" s="69" customFormat="1" ht="31.5" hidden="1">
      <c r="A217" s="1189"/>
      <c r="B217" s="729"/>
      <c r="C217" s="36" t="s">
        <v>559</v>
      </c>
      <c r="D217" s="63" t="s">
        <v>52</v>
      </c>
      <c r="E217" s="188"/>
      <c r="F217" s="61">
        <v>0</v>
      </c>
      <c r="G217" s="30"/>
      <c r="H217" s="38"/>
      <c r="I217" s="38"/>
      <c r="J217" s="38"/>
      <c r="K217" s="38"/>
      <c r="L217" s="38"/>
      <c r="M217" s="727"/>
    </row>
    <row r="218" spans="1:13" s="69" customFormat="1" ht="31.5">
      <c r="A218" s="1189"/>
      <c r="B218" s="729"/>
      <c r="C218" s="36" t="s">
        <v>661</v>
      </c>
      <c r="D218" s="63" t="s">
        <v>52</v>
      </c>
      <c r="E218" s="188"/>
      <c r="F218" s="33">
        <f>3</f>
        <v>3</v>
      </c>
      <c r="G218" s="30"/>
      <c r="H218" s="38"/>
      <c r="I218" s="38"/>
      <c r="J218" s="38"/>
      <c r="K218" s="38"/>
      <c r="L218" s="38"/>
      <c r="M218" s="727"/>
    </row>
    <row r="219" spans="1:13" s="69" customFormat="1" ht="16.5">
      <c r="A219" s="1189"/>
      <c r="B219" s="729"/>
      <c r="C219" s="36" t="s">
        <v>662</v>
      </c>
      <c r="D219" s="63" t="s">
        <v>52</v>
      </c>
      <c r="E219" s="188"/>
      <c r="F219" s="33">
        <v>4</v>
      </c>
      <c r="G219" s="30"/>
      <c r="H219" s="38"/>
      <c r="I219" s="38"/>
      <c r="J219" s="38"/>
      <c r="K219" s="38"/>
      <c r="L219" s="38"/>
      <c r="M219" s="727"/>
    </row>
    <row r="220" spans="1:13" s="69" customFormat="1" ht="16.5">
      <c r="A220" s="1189"/>
      <c r="B220" s="729"/>
      <c r="C220" s="36" t="s">
        <v>663</v>
      </c>
      <c r="D220" s="63" t="s">
        <v>52</v>
      </c>
      <c r="E220" s="188"/>
      <c r="F220" s="33">
        <v>3</v>
      </c>
      <c r="G220" s="30"/>
      <c r="H220" s="38"/>
      <c r="I220" s="38"/>
      <c r="J220" s="38"/>
      <c r="K220" s="38"/>
      <c r="L220" s="38"/>
      <c r="M220" s="727"/>
    </row>
    <row r="221" spans="1:13" s="69" customFormat="1" ht="16.5">
      <c r="A221" s="1188"/>
      <c r="B221" s="729"/>
      <c r="C221" s="31" t="s">
        <v>13</v>
      </c>
      <c r="D221" s="60" t="s">
        <v>9</v>
      </c>
      <c r="E221" s="187">
        <v>0.108</v>
      </c>
      <c r="F221" s="33">
        <f>E221*F214</f>
        <v>0.32400000000000001</v>
      </c>
      <c r="G221" s="30"/>
      <c r="H221" s="38"/>
      <c r="I221" s="30"/>
      <c r="J221" s="38"/>
      <c r="K221" s="30"/>
      <c r="L221" s="38"/>
      <c r="M221" s="727"/>
    </row>
    <row r="222" spans="1:13" s="69" customFormat="1" ht="40.5" hidden="1">
      <c r="A222" s="1187" t="s">
        <v>664</v>
      </c>
      <c r="B222" s="29" t="s">
        <v>665</v>
      </c>
      <c r="C222" s="34" t="s">
        <v>124</v>
      </c>
      <c r="D222" s="63" t="s">
        <v>43</v>
      </c>
      <c r="E222" s="186"/>
      <c r="F222" s="35">
        <f>F225</f>
        <v>0</v>
      </c>
      <c r="G222" s="30"/>
      <c r="H222" s="38"/>
      <c r="I222" s="38"/>
      <c r="J222" s="38"/>
      <c r="K222" s="38"/>
      <c r="L222" s="38"/>
      <c r="M222" s="727"/>
    </row>
    <row r="223" spans="1:13" s="69" customFormat="1" ht="16.5" hidden="1">
      <c r="A223" s="1189"/>
      <c r="B223" s="729"/>
      <c r="C223" s="31" t="s">
        <v>38</v>
      </c>
      <c r="D223" s="60" t="s">
        <v>12</v>
      </c>
      <c r="E223" s="187">
        <v>0.26</v>
      </c>
      <c r="F223" s="33">
        <f>E223*F222</f>
        <v>0</v>
      </c>
      <c r="G223" s="30"/>
      <c r="H223" s="38"/>
      <c r="I223" s="38"/>
      <c r="J223" s="38"/>
      <c r="K223" s="38"/>
      <c r="L223" s="38"/>
      <c r="M223" s="727"/>
    </row>
    <row r="224" spans="1:13" s="69" customFormat="1" ht="16.5" hidden="1">
      <c r="A224" s="1189"/>
      <c r="B224" s="729"/>
      <c r="C224" s="36" t="s">
        <v>11</v>
      </c>
      <c r="D224" s="60" t="s">
        <v>9</v>
      </c>
      <c r="E224" s="187">
        <v>1.6E-2</v>
      </c>
      <c r="F224" s="61">
        <f>E224*F222</f>
        <v>0</v>
      </c>
      <c r="G224" s="30"/>
      <c r="H224" s="38"/>
      <c r="I224" s="38"/>
      <c r="J224" s="38"/>
      <c r="K224" s="38"/>
      <c r="L224" s="38"/>
      <c r="M224" s="727"/>
    </row>
    <row r="225" spans="1:14" s="69" customFormat="1" ht="16.5" hidden="1">
      <c r="A225" s="1189"/>
      <c r="B225" s="62"/>
      <c r="C225" s="36" t="s">
        <v>666</v>
      </c>
      <c r="D225" s="63" t="s">
        <v>43</v>
      </c>
      <c r="E225" s="188"/>
      <c r="F225" s="35">
        <v>0</v>
      </c>
      <c r="G225" s="30"/>
      <c r="H225" s="38"/>
      <c r="I225" s="38"/>
      <c r="J225" s="38"/>
      <c r="K225" s="38"/>
      <c r="L225" s="38"/>
      <c r="M225" s="727"/>
    </row>
    <row r="226" spans="1:14" s="69" customFormat="1" ht="16.5" hidden="1">
      <c r="A226" s="1188"/>
      <c r="B226" s="729"/>
      <c r="C226" s="31" t="s">
        <v>13</v>
      </c>
      <c r="D226" s="60" t="s">
        <v>9</v>
      </c>
      <c r="E226" s="187">
        <v>0.35299999999999998</v>
      </c>
      <c r="F226" s="33">
        <f>E226*F222</f>
        <v>0</v>
      </c>
      <c r="G226" s="30"/>
      <c r="H226" s="38"/>
      <c r="I226" s="30"/>
      <c r="J226" s="38"/>
      <c r="K226" s="30"/>
      <c r="L226" s="38"/>
      <c r="M226" s="727"/>
    </row>
    <row r="227" spans="1:14" s="69" customFormat="1" ht="16.5">
      <c r="A227" s="260"/>
      <c r="B227" s="260"/>
      <c r="C227" s="259"/>
      <c r="D227" s="260"/>
      <c r="E227" s="24"/>
      <c r="F227" s="24"/>
      <c r="G227" s="17"/>
      <c r="H227" s="17"/>
      <c r="I227" s="17"/>
      <c r="J227" s="17"/>
      <c r="K227" s="17"/>
      <c r="L227" s="17"/>
      <c r="M227" s="17"/>
    </row>
    <row r="228" spans="1:14" s="69" customFormat="1" ht="16.5">
      <c r="A228" s="77"/>
      <c r="B228" s="77"/>
      <c r="C228" s="100" t="s">
        <v>93</v>
      </c>
      <c r="D228" s="77"/>
      <c r="E228" s="48"/>
      <c r="F228" s="48"/>
      <c r="G228" s="78"/>
      <c r="H228" s="78"/>
      <c r="I228" s="78"/>
      <c r="J228" s="78"/>
      <c r="K228" s="78"/>
      <c r="L228" s="78"/>
      <c r="M228" s="78"/>
      <c r="N228" s="301">
        <f>H228+J228+L228</f>
        <v>0</v>
      </c>
    </row>
    <row r="229" spans="1:14" s="69" customFormat="1" ht="47.25">
      <c r="A229" s="735"/>
      <c r="B229" s="28"/>
      <c r="C229" s="106" t="s">
        <v>94</v>
      </c>
      <c r="D229" s="79"/>
      <c r="E229" s="50"/>
      <c r="F229" s="210">
        <v>0.05</v>
      </c>
      <c r="G229" s="107"/>
      <c r="H229" s="107"/>
      <c r="I229" s="107"/>
      <c r="J229" s="107"/>
      <c r="K229" s="107"/>
      <c r="L229" s="107"/>
      <c r="M229" s="728"/>
    </row>
    <row r="230" spans="1:14" s="69" customFormat="1" ht="16.5">
      <c r="A230" s="735"/>
      <c r="B230" s="28"/>
      <c r="C230" s="212" t="s">
        <v>25</v>
      </c>
      <c r="D230" s="79"/>
      <c r="E230" s="50"/>
      <c r="F230" s="50"/>
      <c r="G230" s="107"/>
      <c r="H230" s="107"/>
      <c r="I230" s="107"/>
      <c r="J230" s="107"/>
      <c r="K230" s="107"/>
      <c r="L230" s="107"/>
      <c r="M230" s="107"/>
    </row>
    <row r="231" spans="1:14" s="69" customFormat="1" ht="31.5">
      <c r="A231" s="735"/>
      <c r="B231" s="735"/>
      <c r="C231" s="725" t="s">
        <v>111</v>
      </c>
      <c r="D231" s="260"/>
      <c r="E231" s="726"/>
      <c r="F231" s="227" t="s">
        <v>112</v>
      </c>
      <c r="G231" s="727"/>
      <c r="H231" s="727"/>
      <c r="I231" s="727"/>
      <c r="J231" s="727"/>
      <c r="K231" s="727"/>
      <c r="L231" s="727"/>
      <c r="M231" s="727"/>
    </row>
    <row r="232" spans="1:14" s="69" customFormat="1" ht="16.5">
      <c r="A232" s="77"/>
      <c r="B232" s="77"/>
      <c r="C232" s="100" t="s">
        <v>667</v>
      </c>
      <c r="D232" s="77"/>
      <c r="E232" s="48"/>
      <c r="F232" s="48"/>
      <c r="G232" s="78"/>
      <c r="H232" s="78"/>
      <c r="I232" s="78"/>
      <c r="J232" s="78"/>
      <c r="K232" s="78"/>
      <c r="L232" s="78"/>
      <c r="M232" s="828"/>
    </row>
    <row r="233" spans="1:14" s="69" customFormat="1" ht="16.5">
      <c r="A233" s="829"/>
      <c r="B233" s="829"/>
      <c r="C233" s="830" t="s">
        <v>672</v>
      </c>
      <c r="D233" s="829"/>
      <c r="E233" s="831"/>
      <c r="F233" s="831"/>
      <c r="G233" s="832"/>
      <c r="H233" s="832"/>
      <c r="I233" s="832"/>
      <c r="J233" s="832"/>
      <c r="K233" s="832"/>
      <c r="L233" s="832"/>
      <c r="M233" s="832"/>
    </row>
    <row r="234" spans="1:14" s="69" customFormat="1" ht="16.5">
      <c r="A234" s="260"/>
      <c r="B234" s="260"/>
      <c r="C234" s="259"/>
      <c r="D234" s="260"/>
      <c r="E234" s="24"/>
      <c r="F234" s="24"/>
      <c r="G234" s="358"/>
      <c r="H234" s="358"/>
      <c r="I234" s="358"/>
      <c r="J234" s="358"/>
      <c r="K234" s="358"/>
      <c r="L234" s="358"/>
      <c r="M234" s="358"/>
    </row>
    <row r="235" spans="1:14" s="69" customFormat="1" ht="16.5">
      <c r="A235" s="365"/>
      <c r="B235" s="366"/>
      <c r="C235" s="361" t="s">
        <v>668</v>
      </c>
      <c r="D235" s="366"/>
      <c r="E235" s="367"/>
      <c r="F235" s="368"/>
      <c r="G235" s="369"/>
      <c r="H235" s="369"/>
      <c r="I235" s="369"/>
      <c r="J235" s="369"/>
      <c r="K235" s="369"/>
      <c r="L235" s="369"/>
      <c r="M235" s="833"/>
    </row>
    <row r="236" spans="1:14" s="69" customFormat="1" ht="16.5">
      <c r="A236" s="353"/>
      <c r="B236" s="353"/>
      <c r="C236" s="350" t="s">
        <v>210</v>
      </c>
      <c r="D236" s="260"/>
      <c r="E236" s="351"/>
      <c r="F236" s="227" t="s">
        <v>970</v>
      </c>
      <c r="G236" s="352"/>
      <c r="H236" s="352"/>
      <c r="I236" s="352"/>
      <c r="J236" s="352"/>
      <c r="K236" s="352"/>
      <c r="L236" s="352"/>
      <c r="M236" s="352"/>
    </row>
    <row r="237" spans="1:14" s="69" customFormat="1" ht="16.5">
      <c r="A237" s="203"/>
      <c r="B237" s="263"/>
      <c r="C237" s="212" t="s">
        <v>25</v>
      </c>
      <c r="D237" s="263"/>
      <c r="E237" s="164"/>
      <c r="F237" s="23"/>
      <c r="G237" s="229"/>
      <c r="H237" s="229"/>
      <c r="I237" s="229"/>
      <c r="J237" s="229"/>
      <c r="K237" s="229"/>
      <c r="L237" s="229"/>
      <c r="M237" s="359"/>
    </row>
    <row r="238" spans="1:14" s="69" customFormat="1" ht="16.5">
      <c r="A238" s="260"/>
      <c r="B238" s="353"/>
      <c r="C238" s="350" t="s">
        <v>4</v>
      </c>
      <c r="D238" s="260"/>
      <c r="E238" s="351"/>
      <c r="F238" s="370">
        <v>0.03</v>
      </c>
      <c r="G238" s="352"/>
      <c r="H238" s="352"/>
      <c r="I238" s="352"/>
      <c r="J238" s="352"/>
      <c r="K238" s="352"/>
      <c r="L238" s="352"/>
      <c r="M238" s="352"/>
    </row>
    <row r="239" spans="1:14" s="69" customFormat="1" ht="16.5">
      <c r="A239" s="203"/>
      <c r="B239" s="263"/>
      <c r="C239" s="212" t="s">
        <v>25</v>
      </c>
      <c r="D239" s="263"/>
      <c r="E239" s="164"/>
      <c r="F239" s="23"/>
      <c r="G239" s="229"/>
      <c r="H239" s="229"/>
      <c r="I239" s="229"/>
      <c r="J239" s="229"/>
      <c r="K239" s="229"/>
      <c r="L239" s="229"/>
      <c r="M239" s="285"/>
    </row>
    <row r="240" spans="1:14" s="69" customFormat="1" ht="31.5" hidden="1">
      <c r="A240" s="217"/>
      <c r="B240" s="218"/>
      <c r="C240" s="225" t="s">
        <v>129</v>
      </c>
      <c r="D240" s="219"/>
      <c r="E240" s="220"/>
      <c r="F240" s="226">
        <v>0</v>
      </c>
      <c r="G240" s="206"/>
      <c r="H240" s="206"/>
      <c r="I240" s="206"/>
      <c r="J240" s="228"/>
      <c r="K240" s="206"/>
      <c r="L240" s="206"/>
      <c r="M240" s="206"/>
    </row>
    <row r="241" spans="1:13" s="69" customFormat="1" ht="16.5" hidden="1">
      <c r="A241" s="217"/>
      <c r="B241" s="218"/>
      <c r="C241" s="212" t="s">
        <v>25</v>
      </c>
      <c r="D241" s="219"/>
      <c r="E241" s="220"/>
      <c r="F241" s="224"/>
      <c r="G241" s="206"/>
      <c r="H241" s="206"/>
      <c r="I241" s="206"/>
      <c r="J241" s="212"/>
      <c r="K241" s="206"/>
      <c r="L241" s="206"/>
      <c r="M241" s="206"/>
    </row>
    <row r="242" spans="1:13" s="69" customFormat="1" ht="16.5">
      <c r="A242" s="260"/>
      <c r="B242" s="353"/>
      <c r="C242" s="350" t="s">
        <v>130</v>
      </c>
      <c r="D242" s="260"/>
      <c r="E242" s="351"/>
      <c r="F242" s="16" t="s">
        <v>58</v>
      </c>
      <c r="G242" s="352"/>
      <c r="H242" s="352"/>
      <c r="I242" s="352"/>
      <c r="J242" s="352"/>
      <c r="K242" s="352"/>
      <c r="L242" s="352"/>
      <c r="M242" s="352"/>
    </row>
    <row r="243" spans="1:13" s="69" customFormat="1" ht="23.25" customHeight="1">
      <c r="A243" s="365"/>
      <c r="B243" s="366"/>
      <c r="C243" s="361" t="s">
        <v>215</v>
      </c>
      <c r="D243" s="366"/>
      <c r="E243" s="367"/>
      <c r="F243" s="368"/>
      <c r="G243" s="369"/>
      <c r="H243" s="369"/>
      <c r="I243" s="369"/>
      <c r="J243" s="369"/>
      <c r="K243" s="369"/>
      <c r="L243" s="369"/>
      <c r="M243" s="222"/>
    </row>
    <row r="244" spans="1:13" s="69" customFormat="1" ht="16.5">
      <c r="A244" s="159"/>
      <c r="B244" s="159"/>
      <c r="C244" s="160"/>
      <c r="D244" s="159"/>
      <c r="E244" s="161"/>
      <c r="F244" s="181"/>
      <c r="G244" s="162"/>
      <c r="H244" s="162"/>
      <c r="I244" s="162"/>
      <c r="J244" s="162"/>
      <c r="K244" s="162"/>
      <c r="L244" s="162"/>
      <c r="M244" s="163"/>
    </row>
    <row r="245" spans="1:13" s="69" customFormat="1" ht="16.5">
      <c r="A245" s="86"/>
      <c r="B245" s="86"/>
      <c r="C245" s="96" t="s">
        <v>176</v>
      </c>
      <c r="D245" s="70"/>
      <c r="E245" s="109"/>
      <c r="F245" s="109"/>
      <c r="G245" s="80"/>
      <c r="H245" s="80"/>
      <c r="I245" s="80"/>
      <c r="J245" s="80"/>
      <c r="K245" s="80"/>
      <c r="L245" s="80"/>
      <c r="M245" s="80"/>
    </row>
    <row r="246" spans="1:13" s="69" customFormat="1" ht="16.5">
      <c r="A246" s="86"/>
      <c r="B246" s="86"/>
      <c r="C246" s="95"/>
      <c r="D246" s="70"/>
      <c r="E246" s="109"/>
      <c r="F246" s="109"/>
      <c r="G246" s="80"/>
      <c r="H246" s="80"/>
      <c r="I246" s="80"/>
      <c r="J246" s="80"/>
      <c r="K246" s="80"/>
      <c r="L246" s="80"/>
      <c r="M246" s="80"/>
    </row>
  </sheetData>
  <mergeCells count="56">
    <mergeCell ref="A222:A226"/>
    <mergeCell ref="A188:A189"/>
    <mergeCell ref="A197:A200"/>
    <mergeCell ref="A201:A206"/>
    <mergeCell ref="A209:A213"/>
    <mergeCell ref="A214:A221"/>
    <mergeCell ref="A171:A172"/>
    <mergeCell ref="A173:A176"/>
    <mergeCell ref="A177:A179"/>
    <mergeCell ref="A180:A184"/>
    <mergeCell ref="A185:A187"/>
    <mergeCell ref="A126:A134"/>
    <mergeCell ref="A135:A139"/>
    <mergeCell ref="A145:A149"/>
    <mergeCell ref="A155:A159"/>
    <mergeCell ref="A150:A154"/>
    <mergeCell ref="A140:A144"/>
    <mergeCell ref="A114:A118"/>
    <mergeCell ref="A119:A125"/>
    <mergeCell ref="K13:K14"/>
    <mergeCell ref="L13:L14"/>
    <mergeCell ref="A13:A14"/>
    <mergeCell ref="B13:B14"/>
    <mergeCell ref="G13:G14"/>
    <mergeCell ref="H13:H14"/>
    <mergeCell ref="I13:I14"/>
    <mergeCell ref="J13:J14"/>
    <mergeCell ref="A45:A50"/>
    <mergeCell ref="A35:A36"/>
    <mergeCell ref="A40:A44"/>
    <mergeCell ref="A19:A21"/>
    <mergeCell ref="A22:A27"/>
    <mergeCell ref="A28:A30"/>
    <mergeCell ref="A31:A32"/>
    <mergeCell ref="A76:A80"/>
    <mergeCell ref="A85:A92"/>
    <mergeCell ref="A51:A61"/>
    <mergeCell ref="A62:A67"/>
    <mergeCell ref="A37:A38"/>
    <mergeCell ref="A81:A84"/>
    <mergeCell ref="A109:A113"/>
    <mergeCell ref="A15:A18"/>
    <mergeCell ref="A94:A106"/>
    <mergeCell ref="A1:M1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M13:M14"/>
    <mergeCell ref="E7:F7"/>
  </mergeCells>
  <phoneticPr fontId="92" type="noConversion"/>
  <conditionalFormatting sqref="G35:M35">
    <cfRule type="cellIs" dxfId="5" priority="2" stopIfTrue="1" operator="equal">
      <formula>8223.307275</formula>
    </cfRule>
  </conditionalFormatting>
  <conditionalFormatting sqref="C44:D44">
    <cfRule type="cellIs" dxfId="4" priority="1" stopIfTrue="1" operator="equal">
      <formula>8223.307275</formula>
    </cfRule>
  </conditionalFormatting>
  <pageMargins left="0.70866141732283472" right="0.16" top="0.39" bottom="0.19685039370078741" header="0.23" footer="0.15748031496062992"/>
  <pageSetup paperSize="9" scale="75" orientation="landscape" horizontalDpi="1200" verticalDpi="1200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06"/>
  <sheetViews>
    <sheetView topLeftCell="A133" zoomScale="80" zoomScaleNormal="80" workbookViewId="0">
      <selection activeCell="F209" sqref="F209"/>
    </sheetView>
  </sheetViews>
  <sheetFormatPr defaultColWidth="9.140625" defaultRowHeight="15"/>
  <cols>
    <col min="1" max="1" width="5.5703125" style="633" customWidth="1"/>
    <col min="2" max="2" width="9.140625" style="633"/>
    <col min="3" max="3" width="48.28515625" style="633" customWidth="1"/>
    <col min="4" max="4" width="9.140625" style="633"/>
    <col min="5" max="6" width="10.7109375" style="633" customWidth="1"/>
    <col min="7" max="7" width="9.85546875" style="633" customWidth="1"/>
    <col min="8" max="8" width="10.7109375" style="633" customWidth="1"/>
    <col min="9" max="9" width="9.140625" style="633"/>
    <col min="10" max="10" width="10.140625" style="633" customWidth="1"/>
    <col min="11" max="11" width="9.140625" style="633"/>
    <col min="12" max="12" width="10.140625" style="633" customWidth="1"/>
    <col min="13" max="13" width="12.28515625" style="633" customWidth="1"/>
    <col min="14" max="14" width="18" style="633" customWidth="1"/>
    <col min="15" max="16384" width="9.140625" style="633"/>
  </cols>
  <sheetData>
    <row r="1" spans="1:14" s="603" customFormat="1" ht="33" customHeight="1">
      <c r="A1" s="1161" t="str">
        <f>krebsiti!A3</f>
        <v>q.Tbilisi municipalitetis sofel diRomSi, wminda giorgis ubanSi, daviT
aRmaSeneblis II Sesaxvevisa da irodion surgulaZis quCebis kveTasTan arsebul
miwis nakveTze (s/k: 01.72.14.064.360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245" t="s">
        <v>250</v>
      </c>
    </row>
    <row r="2" spans="1:14" s="603" customForma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</row>
    <row r="3" spans="1:14" s="603" customFormat="1" ht="15.75" customHeight="1">
      <c r="A3" s="1161" t="s">
        <v>539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</row>
    <row r="4" spans="1:14" s="603" customFormat="1" ht="15.75">
      <c r="A4" s="97"/>
      <c r="B4" s="97"/>
      <c r="C4" s="97"/>
      <c r="D4" s="97"/>
      <c r="E4" s="465"/>
      <c r="F4" s="465"/>
      <c r="G4" s="71"/>
      <c r="H4" s="71"/>
      <c r="I4" s="71"/>
      <c r="J4" s="71"/>
      <c r="K4" s="71"/>
      <c r="L4" s="71"/>
      <c r="M4" s="71"/>
    </row>
    <row r="5" spans="1:14" s="603" customFormat="1" ht="15.75">
      <c r="A5" s="1161" t="s">
        <v>135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</row>
    <row r="6" spans="1:14" s="603" customFormat="1">
      <c r="A6" s="111"/>
      <c r="B6" s="111"/>
      <c r="C6" s="111"/>
      <c r="D6" s="111"/>
      <c r="E6" s="112"/>
      <c r="F6" s="112"/>
      <c r="G6" s="82"/>
      <c r="H6" s="82"/>
      <c r="I6" s="82"/>
      <c r="J6" s="82"/>
      <c r="K6" s="82"/>
      <c r="L6" s="82"/>
      <c r="M6" s="82"/>
    </row>
    <row r="7" spans="1:14" s="72" customFormat="1" ht="15.75">
      <c r="A7" s="1139" t="s">
        <v>0</v>
      </c>
      <c r="B7" s="1162" t="s">
        <v>152</v>
      </c>
      <c r="C7" s="1193" t="s">
        <v>153</v>
      </c>
      <c r="D7" s="1162" t="s">
        <v>154</v>
      </c>
      <c r="E7" s="1165" t="s">
        <v>155</v>
      </c>
      <c r="F7" s="1165"/>
      <c r="G7" s="1166" t="s">
        <v>156</v>
      </c>
      <c r="H7" s="1166"/>
      <c r="I7" s="1166" t="s">
        <v>157</v>
      </c>
      <c r="J7" s="1166"/>
      <c r="K7" s="1167" t="s">
        <v>29</v>
      </c>
      <c r="L7" s="1168"/>
      <c r="M7" s="1166" t="s">
        <v>158</v>
      </c>
      <c r="N7" s="173"/>
    </row>
    <row r="8" spans="1:14" s="72" customFormat="1" ht="31.5">
      <c r="A8" s="1139"/>
      <c r="B8" s="1162"/>
      <c r="C8" s="1194"/>
      <c r="D8" s="1162"/>
      <c r="E8" s="466" t="s">
        <v>19</v>
      </c>
      <c r="F8" s="466" t="s">
        <v>8</v>
      </c>
      <c r="G8" s="467" t="s">
        <v>19</v>
      </c>
      <c r="H8" s="467" t="s">
        <v>8</v>
      </c>
      <c r="I8" s="467" t="s">
        <v>19</v>
      </c>
      <c r="J8" s="467" t="s">
        <v>8</v>
      </c>
      <c r="K8" s="467" t="s">
        <v>19</v>
      </c>
      <c r="L8" s="467" t="s">
        <v>8</v>
      </c>
      <c r="M8" s="1166"/>
      <c r="N8" s="173"/>
    </row>
    <row r="9" spans="1:14" s="69" customFormat="1" ht="16.5">
      <c r="A9" s="470" t="s">
        <v>84</v>
      </c>
      <c r="B9" s="470" t="s">
        <v>69</v>
      </c>
      <c r="C9" s="470" t="s">
        <v>85</v>
      </c>
      <c r="D9" s="470" t="s">
        <v>79</v>
      </c>
      <c r="E9" s="401" t="s">
        <v>80</v>
      </c>
      <c r="F9" s="401" t="s">
        <v>81</v>
      </c>
      <c r="G9" s="268" t="s">
        <v>77</v>
      </c>
      <c r="H9" s="268" t="s">
        <v>42</v>
      </c>
      <c r="I9" s="268" t="s">
        <v>46</v>
      </c>
      <c r="J9" s="268" t="s">
        <v>48</v>
      </c>
      <c r="K9" s="268" t="s">
        <v>159</v>
      </c>
      <c r="L9" s="268" t="s">
        <v>53</v>
      </c>
      <c r="M9" s="268" t="s">
        <v>160</v>
      </c>
      <c r="N9" s="174"/>
    </row>
    <row r="10" spans="1:14" s="69" customFormat="1" ht="42.75">
      <c r="A10" s="294" t="s">
        <v>540</v>
      </c>
      <c r="B10" s="294"/>
      <c r="C10" s="297" t="s">
        <v>477</v>
      </c>
      <c r="D10" s="294"/>
      <c r="E10" s="295"/>
      <c r="F10" s="295"/>
      <c r="G10" s="268"/>
      <c r="H10" s="268"/>
      <c r="I10" s="268"/>
      <c r="J10" s="268"/>
      <c r="K10" s="268"/>
      <c r="L10" s="268"/>
      <c r="M10" s="268"/>
      <c r="N10" s="174"/>
    </row>
    <row r="11" spans="1:14" s="69" customFormat="1" ht="16.5">
      <c r="A11" s="605"/>
      <c r="B11" s="605"/>
      <c r="C11" s="606"/>
      <c r="D11" s="605"/>
      <c r="E11" s="607"/>
      <c r="F11" s="607"/>
      <c r="G11" s="268"/>
      <c r="H11" s="268"/>
      <c r="I11" s="268"/>
      <c r="J11" s="268"/>
      <c r="K11" s="268"/>
      <c r="L11" s="268"/>
      <c r="M11" s="268"/>
      <c r="N11" s="174"/>
    </row>
    <row r="12" spans="1:14" ht="47.25">
      <c r="A12" s="375" t="s">
        <v>14</v>
      </c>
      <c r="B12" s="608"/>
      <c r="C12" s="376" t="s">
        <v>517</v>
      </c>
      <c r="D12" s="375"/>
      <c r="E12" s="632"/>
      <c r="F12" s="609"/>
      <c r="G12" s="467"/>
      <c r="H12" s="467"/>
      <c r="I12" s="467"/>
      <c r="J12" s="467"/>
      <c r="K12" s="467"/>
      <c r="L12" s="467"/>
      <c r="M12" s="467"/>
    </row>
    <row r="13" spans="1:14" ht="15.75">
      <c r="A13" s="77"/>
      <c r="B13" s="395"/>
      <c r="C13" s="100" t="s">
        <v>518</v>
      </c>
      <c r="D13" s="77"/>
      <c r="E13" s="634"/>
      <c r="F13" s="48"/>
      <c r="G13" s="467"/>
      <c r="H13" s="467"/>
      <c r="I13" s="467"/>
      <c r="J13" s="467"/>
      <c r="K13" s="467"/>
      <c r="L13" s="467"/>
      <c r="M13" s="467"/>
    </row>
    <row r="14" spans="1:14" ht="15.75">
      <c r="A14" s="260" t="s">
        <v>84</v>
      </c>
      <c r="B14" s="470"/>
      <c r="C14" s="259" t="s">
        <v>519</v>
      </c>
      <c r="D14" s="260" t="s">
        <v>43</v>
      </c>
      <c r="E14" s="401"/>
      <c r="F14" s="24">
        <v>60</v>
      </c>
      <c r="G14" s="467"/>
      <c r="H14" s="467"/>
      <c r="I14" s="467"/>
      <c r="J14" s="467"/>
      <c r="K14" s="467"/>
      <c r="L14" s="467"/>
      <c r="M14" s="467"/>
      <c r="N14" s="635"/>
    </row>
    <row r="15" spans="1:14" ht="31.5" hidden="1">
      <c r="A15" s="1219" t="s">
        <v>478</v>
      </c>
      <c r="B15" s="260" t="s">
        <v>59</v>
      </c>
      <c r="C15" s="56" t="s">
        <v>497</v>
      </c>
      <c r="D15" s="260" t="s">
        <v>39</v>
      </c>
      <c r="E15" s="556">
        <f>0.7*1*F14</f>
        <v>42</v>
      </c>
      <c r="F15" s="24"/>
      <c r="G15" s="17"/>
      <c r="H15" s="467"/>
      <c r="I15" s="17"/>
      <c r="J15" s="467"/>
      <c r="K15" s="17"/>
      <c r="L15" s="467"/>
      <c r="M15" s="467"/>
    </row>
    <row r="16" spans="1:14" ht="15.75" hidden="1">
      <c r="A16" s="1220"/>
      <c r="B16" s="260"/>
      <c r="C16" s="27" t="s">
        <v>20</v>
      </c>
      <c r="D16" s="470" t="s">
        <v>21</v>
      </c>
      <c r="E16" s="401">
        <v>2.06</v>
      </c>
      <c r="F16" s="466">
        <f>E16*F15</f>
        <v>0</v>
      </c>
      <c r="G16" s="467"/>
      <c r="H16" s="467"/>
      <c r="I16" s="467"/>
      <c r="J16" s="467"/>
      <c r="K16" s="467"/>
      <c r="L16" s="467"/>
      <c r="M16" s="467"/>
    </row>
    <row r="17" spans="1:13" ht="15.75">
      <c r="A17" s="1140" t="s">
        <v>84</v>
      </c>
      <c r="B17" s="263" t="s">
        <v>651</v>
      </c>
      <c r="C17" s="340" t="s">
        <v>204</v>
      </c>
      <c r="D17" s="141" t="s">
        <v>39</v>
      </c>
      <c r="E17" s="341"/>
      <c r="F17" s="23">
        <f>0.7*1*F14</f>
        <v>42</v>
      </c>
      <c r="G17" s="834"/>
      <c r="H17" s="13"/>
      <c r="I17" s="834"/>
      <c r="J17" s="13"/>
      <c r="K17" s="834"/>
      <c r="L17" s="13"/>
      <c r="M17" s="13"/>
    </row>
    <row r="18" spans="1:13" ht="15.75">
      <c r="A18" s="1141"/>
      <c r="B18" s="263"/>
      <c r="C18" s="342" t="s">
        <v>38</v>
      </c>
      <c r="D18" s="334" t="s">
        <v>12</v>
      </c>
      <c r="E18" s="333">
        <f>20/1000</f>
        <v>0.02</v>
      </c>
      <c r="F18" s="202">
        <f>F17*E18</f>
        <v>0.84</v>
      </c>
      <c r="G18" s="834"/>
      <c r="H18" s="13"/>
      <c r="I18" s="834"/>
      <c r="J18" s="13"/>
      <c r="K18" s="22"/>
      <c r="L18" s="13"/>
      <c r="M18" s="13"/>
    </row>
    <row r="19" spans="1:13" ht="15.75">
      <c r="A19" s="1141"/>
      <c r="B19" s="263" t="s">
        <v>197</v>
      </c>
      <c r="C19" s="342" t="s">
        <v>652</v>
      </c>
      <c r="D19" s="334" t="s">
        <v>44</v>
      </c>
      <c r="E19" s="333">
        <f>44.8/1000</f>
        <v>4.48E-2</v>
      </c>
      <c r="F19" s="202">
        <f>F17*E19</f>
        <v>1.8815999999999999</v>
      </c>
      <c r="G19" s="834"/>
      <c r="H19" s="13"/>
      <c r="I19" s="834"/>
      <c r="J19" s="13"/>
      <c r="K19" s="834"/>
      <c r="L19" s="317"/>
      <c r="M19" s="317"/>
    </row>
    <row r="20" spans="1:13" ht="15.75">
      <c r="A20" s="1141"/>
      <c r="B20" s="263"/>
      <c r="C20" s="342" t="s">
        <v>11</v>
      </c>
      <c r="D20" s="334" t="s">
        <v>9</v>
      </c>
      <c r="E20" s="333">
        <f>2.1/1000</f>
        <v>2.1000000000000003E-3</v>
      </c>
      <c r="F20" s="202">
        <f>F17*E20</f>
        <v>8.8200000000000014E-2</v>
      </c>
      <c r="G20" s="834"/>
      <c r="H20" s="13"/>
      <c r="I20" s="834"/>
      <c r="J20" s="13"/>
      <c r="K20" s="834"/>
      <c r="L20" s="317"/>
      <c r="M20" s="317"/>
    </row>
    <row r="21" spans="1:13" ht="15.75">
      <c r="A21" s="1142"/>
      <c r="B21" s="263"/>
      <c r="C21" s="342" t="s">
        <v>32</v>
      </c>
      <c r="D21" s="334" t="s">
        <v>39</v>
      </c>
      <c r="E21" s="333">
        <f>0.05/1000</f>
        <v>5.0000000000000002E-5</v>
      </c>
      <c r="F21" s="202">
        <f>F17*E21</f>
        <v>2.1000000000000003E-3</v>
      </c>
      <c r="G21" s="834"/>
      <c r="H21" s="13"/>
      <c r="I21" s="834"/>
      <c r="J21" s="13"/>
      <c r="K21" s="834"/>
      <c r="L21" s="13"/>
      <c r="M21" s="13"/>
    </row>
    <row r="22" spans="1:13" ht="31.5" hidden="1">
      <c r="A22" s="1146" t="s">
        <v>478</v>
      </c>
      <c r="B22" s="427" t="s">
        <v>82</v>
      </c>
      <c r="C22" s="98" t="s">
        <v>122</v>
      </c>
      <c r="D22" s="260" t="s">
        <v>40</v>
      </c>
      <c r="E22" s="243"/>
      <c r="F22" s="76">
        <f>0*1.95</f>
        <v>0</v>
      </c>
      <c r="G22" s="22"/>
      <c r="H22" s="467"/>
      <c r="I22" s="22"/>
      <c r="J22" s="467"/>
      <c r="K22" s="22"/>
      <c r="L22" s="467"/>
      <c r="M22" s="467"/>
    </row>
    <row r="23" spans="1:13" ht="15.75" hidden="1">
      <c r="A23" s="1148"/>
      <c r="B23" s="636"/>
      <c r="C23" s="41" t="s">
        <v>56</v>
      </c>
      <c r="D23" s="42" t="s">
        <v>12</v>
      </c>
      <c r="E23" s="243">
        <v>0.53</v>
      </c>
      <c r="F23" s="43">
        <f>F22*E23</f>
        <v>0</v>
      </c>
      <c r="G23" s="22"/>
      <c r="H23" s="467"/>
      <c r="I23" s="22"/>
      <c r="J23" s="467"/>
      <c r="K23" s="22"/>
      <c r="L23" s="467"/>
      <c r="M23" s="467"/>
    </row>
    <row r="24" spans="1:13" ht="15.75" hidden="1">
      <c r="A24" s="1147"/>
      <c r="B24" s="470" t="s">
        <v>92</v>
      </c>
      <c r="C24" s="99" t="s">
        <v>171</v>
      </c>
      <c r="D24" s="260" t="s">
        <v>40</v>
      </c>
      <c r="E24" s="243"/>
      <c r="F24" s="76">
        <f>F22</f>
        <v>0</v>
      </c>
      <c r="G24" s="22"/>
      <c r="H24" s="467"/>
      <c r="I24" s="22"/>
      <c r="J24" s="467"/>
      <c r="K24" s="22"/>
      <c r="L24" s="467"/>
      <c r="M24" s="467"/>
    </row>
    <row r="25" spans="1:13" ht="31.5">
      <c r="A25" s="1210" t="s">
        <v>69</v>
      </c>
      <c r="B25" s="260" t="s">
        <v>498</v>
      </c>
      <c r="C25" s="622" t="s">
        <v>499</v>
      </c>
      <c r="D25" s="260" t="s">
        <v>39</v>
      </c>
      <c r="E25" s="15"/>
      <c r="F25" s="24">
        <f>0.7*0.2*F14</f>
        <v>8.3999999999999986</v>
      </c>
      <c r="G25" s="88"/>
      <c r="H25" s="467"/>
      <c r="I25" s="30"/>
      <c r="J25" s="467"/>
      <c r="K25" s="30"/>
      <c r="L25" s="467"/>
      <c r="M25" s="467"/>
    </row>
    <row r="26" spans="1:13" ht="15.75">
      <c r="A26" s="1211"/>
      <c r="B26" s="470"/>
      <c r="C26" s="27" t="s">
        <v>20</v>
      </c>
      <c r="D26" s="470" t="s">
        <v>12</v>
      </c>
      <c r="E26" s="401">
        <f>18/10</f>
        <v>1.8</v>
      </c>
      <c r="F26" s="466">
        <f>E26*F25</f>
        <v>15.119999999999997</v>
      </c>
      <c r="G26" s="467"/>
      <c r="H26" s="467"/>
      <c r="I26" s="467"/>
      <c r="J26" s="467"/>
      <c r="K26" s="467"/>
      <c r="L26" s="467"/>
      <c r="M26" s="467"/>
    </row>
    <row r="27" spans="1:13" ht="15.75">
      <c r="A27" s="1211"/>
      <c r="B27" s="470"/>
      <c r="C27" s="27" t="s">
        <v>500</v>
      </c>
      <c r="D27" s="470" t="s">
        <v>39</v>
      </c>
      <c r="E27" s="401">
        <v>1.1000000000000001</v>
      </c>
      <c r="F27" s="466">
        <f>F25*E27</f>
        <v>9.2399999999999984</v>
      </c>
      <c r="G27" s="467"/>
      <c r="H27" s="467"/>
      <c r="I27" s="616"/>
      <c r="J27" s="467"/>
      <c r="K27" s="467"/>
      <c r="L27" s="467"/>
      <c r="M27" s="467"/>
    </row>
    <row r="28" spans="1:13" ht="31.5">
      <c r="A28" s="1217" t="s">
        <v>85</v>
      </c>
      <c r="B28" s="260" t="s">
        <v>509</v>
      </c>
      <c r="C28" s="56" t="s">
        <v>520</v>
      </c>
      <c r="D28" s="260" t="s">
        <v>43</v>
      </c>
      <c r="E28" s="15"/>
      <c r="F28" s="24">
        <f>SUM(F31:F31)</f>
        <v>60</v>
      </c>
      <c r="G28" s="17"/>
      <c r="H28" s="467"/>
      <c r="I28" s="17"/>
      <c r="J28" s="467"/>
      <c r="K28" s="17"/>
      <c r="L28" s="467"/>
      <c r="M28" s="467"/>
    </row>
    <row r="29" spans="1:13" ht="15.75">
      <c r="A29" s="1217"/>
      <c r="B29" s="470"/>
      <c r="C29" s="27" t="s">
        <v>481</v>
      </c>
      <c r="D29" s="470" t="s">
        <v>68</v>
      </c>
      <c r="E29" s="401">
        <v>9.5899999999999999E-2</v>
      </c>
      <c r="F29" s="466">
        <f>F28*E29</f>
        <v>5.7539999999999996</v>
      </c>
      <c r="G29" s="467"/>
      <c r="H29" s="467"/>
      <c r="I29" s="467"/>
      <c r="J29" s="467"/>
      <c r="K29" s="467"/>
      <c r="L29" s="467"/>
      <c r="M29" s="467"/>
    </row>
    <row r="30" spans="1:13" ht="15.75">
      <c r="A30" s="1217"/>
      <c r="B30" s="470"/>
      <c r="C30" s="27" t="s">
        <v>23</v>
      </c>
      <c r="D30" s="470" t="s">
        <v>26</v>
      </c>
      <c r="E30" s="401">
        <v>4.5199999999999997E-2</v>
      </c>
      <c r="F30" s="466">
        <f>F28*E30</f>
        <v>2.7119999999999997</v>
      </c>
      <c r="G30" s="467"/>
      <c r="H30" s="467"/>
      <c r="I30" s="467"/>
      <c r="J30" s="467"/>
      <c r="K30" s="467"/>
      <c r="L30" s="467"/>
      <c r="M30" s="467"/>
    </row>
    <row r="31" spans="1:13" ht="15.75">
      <c r="A31" s="1217"/>
      <c r="B31" s="470"/>
      <c r="C31" s="27" t="s">
        <v>501</v>
      </c>
      <c r="D31" s="470" t="s">
        <v>43</v>
      </c>
      <c r="E31" s="401"/>
      <c r="F31" s="57">
        <f>F14</f>
        <v>60</v>
      </c>
      <c r="G31" s="467"/>
      <c r="H31" s="467"/>
      <c r="I31" s="467"/>
      <c r="J31" s="467"/>
      <c r="K31" s="467"/>
      <c r="L31" s="467"/>
      <c r="M31" s="467"/>
    </row>
    <row r="32" spans="1:13" ht="15.75">
      <c r="A32" s="1217"/>
      <c r="B32" s="470"/>
      <c r="C32" s="27" t="s">
        <v>88</v>
      </c>
      <c r="D32" s="470" t="s">
        <v>26</v>
      </c>
      <c r="E32" s="401">
        <v>5.9999999999999995E-4</v>
      </c>
      <c r="F32" s="466">
        <f>F28*E32</f>
        <v>3.5999999999999997E-2</v>
      </c>
      <c r="G32" s="467"/>
      <c r="H32" s="467"/>
      <c r="I32" s="467"/>
      <c r="J32" s="467"/>
      <c r="K32" s="467"/>
      <c r="L32" s="467"/>
      <c r="M32" s="467"/>
    </row>
    <row r="33" spans="1:13" ht="15.75" hidden="1" customHeight="1">
      <c r="A33" s="1191" t="s">
        <v>478</v>
      </c>
      <c r="B33" s="29" t="s">
        <v>535</v>
      </c>
      <c r="C33" s="34" t="s">
        <v>521</v>
      </c>
      <c r="D33" s="29" t="s">
        <v>39</v>
      </c>
      <c r="E33" s="850">
        <f>0.7*(1-0.2)*F14</f>
        <v>33.599999999999994</v>
      </c>
      <c r="F33" s="24"/>
      <c r="G33" s="30"/>
      <c r="H33" s="30"/>
      <c r="I33" s="30"/>
      <c r="J33" s="30"/>
      <c r="K33" s="30"/>
      <c r="L33" s="30"/>
      <c r="M33" s="30"/>
    </row>
    <row r="34" spans="1:13" ht="15.75" hidden="1" customHeight="1">
      <c r="A34" s="1205"/>
      <c r="B34" s="468"/>
      <c r="C34" s="31" t="s">
        <v>35</v>
      </c>
      <c r="D34" s="104" t="s">
        <v>12</v>
      </c>
      <c r="E34" s="32">
        <v>1.21</v>
      </c>
      <c r="F34" s="466">
        <f>F33*E34</f>
        <v>0</v>
      </c>
      <c r="G34" s="30"/>
      <c r="H34" s="30"/>
      <c r="I34" s="30"/>
      <c r="J34" s="30"/>
      <c r="K34" s="30"/>
      <c r="L34" s="30"/>
      <c r="M34" s="30"/>
    </row>
    <row r="35" spans="1:13" ht="15.75">
      <c r="A35" s="1217" t="s">
        <v>79</v>
      </c>
      <c r="B35" s="260" t="s">
        <v>503</v>
      </c>
      <c r="C35" s="623" t="s">
        <v>504</v>
      </c>
      <c r="D35" s="260" t="s">
        <v>34</v>
      </c>
      <c r="E35" s="637"/>
      <c r="F35" s="24">
        <f>0.7*(1-0.2)*F14</f>
        <v>33.599999999999994</v>
      </c>
      <c r="G35" s="88"/>
      <c r="H35" s="467"/>
      <c r="I35" s="88"/>
      <c r="J35" s="467"/>
      <c r="K35" s="88"/>
      <c r="L35" s="467"/>
      <c r="M35" s="467"/>
    </row>
    <row r="36" spans="1:13" ht="15.75">
      <c r="A36" s="1217"/>
      <c r="B36" s="470"/>
      <c r="C36" s="27" t="s">
        <v>20</v>
      </c>
      <c r="D36" s="470" t="s">
        <v>12</v>
      </c>
      <c r="E36" s="401">
        <f>17.8/10</f>
        <v>1.78</v>
      </c>
      <c r="F36" s="466">
        <f>E36*F35</f>
        <v>59.807999999999993</v>
      </c>
      <c r="G36" s="30"/>
      <c r="H36" s="467"/>
      <c r="I36" s="30"/>
      <c r="J36" s="467"/>
      <c r="K36" s="30"/>
      <c r="L36" s="467"/>
      <c r="M36" s="467"/>
    </row>
    <row r="37" spans="1:13" ht="15.75">
      <c r="A37" s="1217"/>
      <c r="B37" s="470"/>
      <c r="C37" s="27" t="s">
        <v>32</v>
      </c>
      <c r="D37" s="470" t="s">
        <v>31</v>
      </c>
      <c r="E37" s="401">
        <v>1.1000000000000001</v>
      </c>
      <c r="F37" s="466">
        <f>E37*F35</f>
        <v>36.959999999999994</v>
      </c>
      <c r="G37" s="30"/>
      <c r="H37" s="467"/>
      <c r="I37" s="30"/>
      <c r="J37" s="467"/>
      <c r="K37" s="30"/>
      <c r="L37" s="467"/>
      <c r="M37" s="467"/>
    </row>
    <row r="38" spans="1:13" ht="31.5">
      <c r="A38" s="1146" t="s">
        <v>80</v>
      </c>
      <c r="B38" s="427" t="s">
        <v>82</v>
      </c>
      <c r="C38" s="98" t="s">
        <v>122</v>
      </c>
      <c r="D38" s="260" t="s">
        <v>40</v>
      </c>
      <c r="E38" s="243"/>
      <c r="F38" s="76">
        <f>(F15+F17-F33)*1.95</f>
        <v>81.899999999999991</v>
      </c>
      <c r="G38" s="22"/>
      <c r="H38" s="467"/>
      <c r="I38" s="22"/>
      <c r="J38" s="467"/>
      <c r="K38" s="22"/>
      <c r="L38" s="467"/>
      <c r="M38" s="467"/>
    </row>
    <row r="39" spans="1:13" ht="15.75">
      <c r="A39" s="1148"/>
      <c r="B39" s="636"/>
      <c r="C39" s="41" t="s">
        <v>56</v>
      </c>
      <c r="D39" s="42" t="s">
        <v>12</v>
      </c>
      <c r="E39" s="243">
        <v>0.53</v>
      </c>
      <c r="F39" s="43">
        <f>F38*E39</f>
        <v>43.406999999999996</v>
      </c>
      <c r="G39" s="22"/>
      <c r="H39" s="467"/>
      <c r="I39" s="22"/>
      <c r="J39" s="467"/>
      <c r="K39" s="22"/>
      <c r="L39" s="467"/>
      <c r="M39" s="467"/>
    </row>
    <row r="40" spans="1:13" ht="31.5">
      <c r="A40" s="1147"/>
      <c r="B40" s="260" t="s">
        <v>177</v>
      </c>
      <c r="C40" s="464" t="s">
        <v>187</v>
      </c>
      <c r="D40" s="260" t="s">
        <v>40</v>
      </c>
      <c r="E40" s="240"/>
      <c r="F40" s="193">
        <f>F38</f>
        <v>81.899999999999991</v>
      </c>
      <c r="G40" s="467"/>
      <c r="H40" s="467"/>
      <c r="I40" s="467"/>
      <c r="J40" s="467"/>
      <c r="K40" s="22"/>
      <c r="L40" s="467"/>
      <c r="M40" s="467"/>
    </row>
    <row r="41" spans="1:13" ht="15.75">
      <c r="A41" s="1218" t="s">
        <v>81</v>
      </c>
      <c r="B41" s="260" t="s">
        <v>483</v>
      </c>
      <c r="C41" s="56" t="s">
        <v>502</v>
      </c>
      <c r="D41" s="260" t="s">
        <v>66</v>
      </c>
      <c r="E41" s="15"/>
      <c r="F41" s="24">
        <f>SUM(F44:F44)</f>
        <v>4</v>
      </c>
      <c r="G41" s="17"/>
      <c r="H41" s="13"/>
      <c r="I41" s="17"/>
      <c r="J41" s="13"/>
      <c r="K41" s="17"/>
      <c r="L41" s="13"/>
      <c r="M41" s="13"/>
    </row>
    <row r="42" spans="1:13" ht="15.75">
      <c r="A42" s="1218"/>
      <c r="B42" s="470"/>
      <c r="C42" s="27" t="s">
        <v>481</v>
      </c>
      <c r="D42" s="470" t="s">
        <v>68</v>
      </c>
      <c r="E42" s="401">
        <v>1.51</v>
      </c>
      <c r="F42" s="466">
        <f>F41*E42</f>
        <v>6.04</v>
      </c>
      <c r="G42" s="467"/>
      <c r="H42" s="13"/>
      <c r="I42" s="467"/>
      <c r="J42" s="467"/>
      <c r="K42" s="467"/>
      <c r="L42" s="13"/>
      <c r="M42" s="467"/>
    </row>
    <row r="43" spans="1:13" ht="15.75">
      <c r="A43" s="1218"/>
      <c r="B43" s="470"/>
      <c r="C43" s="27" t="s">
        <v>482</v>
      </c>
      <c r="D43" s="470" t="s">
        <v>26</v>
      </c>
      <c r="E43" s="401">
        <v>0.13</v>
      </c>
      <c r="F43" s="466">
        <f>F41*E43</f>
        <v>0.52</v>
      </c>
      <c r="G43" s="467"/>
      <c r="H43" s="13"/>
      <c r="I43" s="467"/>
      <c r="J43" s="13"/>
      <c r="K43" s="467"/>
      <c r="L43" s="467"/>
      <c r="M43" s="467"/>
    </row>
    <row r="44" spans="1:13" ht="15.75">
      <c r="A44" s="1218"/>
      <c r="B44" s="470"/>
      <c r="C44" s="27" t="s">
        <v>484</v>
      </c>
      <c r="D44" s="470" t="s">
        <v>66</v>
      </c>
      <c r="E44" s="401"/>
      <c r="F44" s="57">
        <v>4</v>
      </c>
      <c r="G44" s="467"/>
      <c r="H44" s="467"/>
      <c r="I44" s="467"/>
      <c r="J44" s="13"/>
      <c r="K44" s="467"/>
      <c r="L44" s="13"/>
      <c r="M44" s="467"/>
    </row>
    <row r="45" spans="1:13" ht="15.75">
      <c r="A45" s="1218"/>
      <c r="B45" s="470"/>
      <c r="C45" s="27" t="s">
        <v>88</v>
      </c>
      <c r="D45" s="470" t="s">
        <v>26</v>
      </c>
      <c r="E45" s="401">
        <v>7.0000000000000007E-2</v>
      </c>
      <c r="F45" s="466">
        <f>F41*E45</f>
        <v>0.28000000000000003</v>
      </c>
      <c r="G45" s="467"/>
      <c r="H45" s="467"/>
      <c r="I45" s="467"/>
      <c r="J45" s="13"/>
      <c r="K45" s="467"/>
      <c r="L45" s="13"/>
      <c r="M45" s="467"/>
    </row>
    <row r="46" spans="1:13" ht="40.5">
      <c r="A46" s="1199" t="s">
        <v>77</v>
      </c>
      <c r="B46" s="638" t="s">
        <v>522</v>
      </c>
      <c r="C46" s="619" t="s">
        <v>489</v>
      </c>
      <c r="D46" s="610" t="s">
        <v>479</v>
      </c>
      <c r="E46" s="620"/>
      <c r="F46" s="611">
        <f>SUM(F49:F61)</f>
        <v>20</v>
      </c>
      <c r="G46" s="612"/>
      <c r="H46" s="13"/>
      <c r="I46" s="612"/>
      <c r="J46" s="13"/>
      <c r="K46" s="612"/>
      <c r="L46" s="13"/>
      <c r="M46" s="13"/>
    </row>
    <row r="47" spans="1:13" ht="15.75">
      <c r="A47" s="1200"/>
      <c r="B47" s="613"/>
      <c r="C47" s="27" t="s">
        <v>38</v>
      </c>
      <c r="D47" s="470" t="s">
        <v>21</v>
      </c>
      <c r="E47" s="639">
        <f>(3.89+5.84+7.88)/3/10</f>
        <v>0.58699999999999997</v>
      </c>
      <c r="F47" s="466">
        <f>F46*E47</f>
        <v>11.739999999999998</v>
      </c>
      <c r="G47" s="614"/>
      <c r="H47" s="13"/>
      <c r="I47" s="614"/>
      <c r="J47" s="13"/>
      <c r="K47" s="614"/>
      <c r="L47" s="13"/>
      <c r="M47" s="13"/>
    </row>
    <row r="48" spans="1:13" ht="15.75">
      <c r="A48" s="1200"/>
      <c r="B48" s="613"/>
      <c r="C48" s="27" t="s">
        <v>480</v>
      </c>
      <c r="D48" s="470" t="s">
        <v>9</v>
      </c>
      <c r="E48" s="639">
        <f>(1.51+2.27+3.02)/3/10</f>
        <v>0.22666666666666671</v>
      </c>
      <c r="F48" s="466">
        <f>F46*E48</f>
        <v>4.5333333333333341</v>
      </c>
      <c r="G48" s="614"/>
      <c r="H48" s="13"/>
      <c r="I48" s="614"/>
      <c r="J48" s="13"/>
      <c r="K48" s="614"/>
      <c r="L48" s="13"/>
      <c r="M48" s="13"/>
    </row>
    <row r="49" spans="1:13" ht="15.75">
      <c r="A49" s="1200"/>
      <c r="B49" s="613"/>
      <c r="C49" s="27" t="s">
        <v>507</v>
      </c>
      <c r="D49" s="470" t="s">
        <v>52</v>
      </c>
      <c r="E49" s="639"/>
      <c r="F49" s="57">
        <v>20</v>
      </c>
      <c r="G49" s="614"/>
      <c r="H49" s="467"/>
      <c r="I49" s="467"/>
      <c r="J49" s="467"/>
      <c r="K49" s="467"/>
      <c r="L49" s="467"/>
      <c r="M49" s="467"/>
    </row>
    <row r="50" spans="1:13" ht="15.75" hidden="1">
      <c r="A50" s="1200"/>
      <c r="B50" s="613"/>
      <c r="C50" s="27" t="s">
        <v>523</v>
      </c>
      <c r="D50" s="470" t="s">
        <v>52</v>
      </c>
      <c r="E50" s="401"/>
      <c r="F50" s="466"/>
      <c r="G50" s="614"/>
      <c r="H50" s="467"/>
      <c r="I50" s="467"/>
      <c r="J50" s="467"/>
      <c r="K50" s="467"/>
      <c r="L50" s="467"/>
      <c r="M50" s="467"/>
    </row>
    <row r="51" spans="1:13" ht="15.75" hidden="1">
      <c r="A51" s="1200"/>
      <c r="B51" s="613"/>
      <c r="C51" s="27" t="s">
        <v>524</v>
      </c>
      <c r="D51" s="470" t="s">
        <v>52</v>
      </c>
      <c r="E51" s="401"/>
      <c r="F51" s="466"/>
      <c r="G51" s="614"/>
      <c r="H51" s="467"/>
      <c r="I51" s="467"/>
      <c r="J51" s="467"/>
      <c r="K51" s="467"/>
      <c r="L51" s="467"/>
      <c r="M51" s="467"/>
    </row>
    <row r="52" spans="1:13" ht="15.75" hidden="1">
      <c r="A52" s="1200"/>
      <c r="B52" s="613"/>
      <c r="C52" s="27" t="s">
        <v>525</v>
      </c>
      <c r="D52" s="470" t="s">
        <v>52</v>
      </c>
      <c r="E52" s="401"/>
      <c r="F52" s="466"/>
      <c r="G52" s="614"/>
      <c r="H52" s="467"/>
      <c r="I52" s="467"/>
      <c r="J52" s="467"/>
      <c r="K52" s="467"/>
      <c r="L52" s="467"/>
      <c r="M52" s="467"/>
    </row>
    <row r="53" spans="1:13" ht="15.75" hidden="1">
      <c r="A53" s="1200"/>
      <c r="B53" s="613"/>
      <c r="C53" s="27" t="s">
        <v>526</v>
      </c>
      <c r="D53" s="470" t="s">
        <v>52</v>
      </c>
      <c r="E53" s="639"/>
      <c r="F53" s="466"/>
      <c r="G53" s="614"/>
      <c r="H53" s="467"/>
      <c r="I53" s="467"/>
      <c r="J53" s="467"/>
      <c r="K53" s="467"/>
      <c r="L53" s="467"/>
      <c r="M53" s="467"/>
    </row>
    <row r="54" spans="1:13" ht="30.75" hidden="1">
      <c r="A54" s="1200"/>
      <c r="B54" s="613"/>
      <c r="C54" s="27" t="s">
        <v>527</v>
      </c>
      <c r="D54" s="470" t="s">
        <v>52</v>
      </c>
      <c r="E54" s="639"/>
      <c r="F54" s="466"/>
      <c r="G54" s="614"/>
      <c r="H54" s="467"/>
      <c r="I54" s="467"/>
      <c r="J54" s="467"/>
      <c r="K54" s="467"/>
      <c r="L54" s="467"/>
      <c r="M54" s="467"/>
    </row>
    <row r="55" spans="1:13" ht="30.75" hidden="1">
      <c r="A55" s="1200"/>
      <c r="B55" s="613"/>
      <c r="C55" s="27" t="s">
        <v>528</v>
      </c>
      <c r="D55" s="470" t="s">
        <v>52</v>
      </c>
      <c r="E55" s="639"/>
      <c r="F55" s="466"/>
      <c r="G55" s="614"/>
      <c r="H55" s="467"/>
      <c r="I55" s="467"/>
      <c r="J55" s="467"/>
      <c r="K55" s="467"/>
      <c r="L55" s="467"/>
      <c r="M55" s="467"/>
    </row>
    <row r="56" spans="1:13" ht="30.75" hidden="1">
      <c r="A56" s="1200"/>
      <c r="B56" s="613"/>
      <c r="C56" s="27" t="s">
        <v>529</v>
      </c>
      <c r="D56" s="470" t="s">
        <v>52</v>
      </c>
      <c r="E56" s="639"/>
      <c r="F56" s="466"/>
      <c r="G56" s="614"/>
      <c r="H56" s="467"/>
      <c r="I56" s="467"/>
      <c r="J56" s="467"/>
      <c r="K56" s="467"/>
      <c r="L56" s="467"/>
      <c r="M56" s="467"/>
    </row>
    <row r="57" spans="1:13" ht="30.75" hidden="1">
      <c r="A57" s="1200"/>
      <c r="B57" s="613"/>
      <c r="C57" s="27" t="s">
        <v>530</v>
      </c>
      <c r="D57" s="470" t="s">
        <v>52</v>
      </c>
      <c r="E57" s="639"/>
      <c r="F57" s="466"/>
      <c r="G57" s="614"/>
      <c r="H57" s="467"/>
      <c r="I57" s="467"/>
      <c r="J57" s="467"/>
      <c r="K57" s="467"/>
      <c r="L57" s="467"/>
      <c r="M57" s="467"/>
    </row>
    <row r="58" spans="1:13" ht="30" hidden="1">
      <c r="A58" s="1200"/>
      <c r="B58" s="613"/>
      <c r="C58" s="640" t="s">
        <v>531</v>
      </c>
      <c r="D58" s="470" t="s">
        <v>75</v>
      </c>
      <c r="E58" s="639"/>
      <c r="F58" s="466"/>
      <c r="G58" s="614"/>
      <c r="H58" s="467"/>
      <c r="I58" s="467"/>
      <c r="J58" s="467"/>
      <c r="K58" s="467"/>
      <c r="L58" s="467"/>
      <c r="M58" s="467"/>
    </row>
    <row r="59" spans="1:13" ht="15.75" hidden="1">
      <c r="A59" s="1200"/>
      <c r="B59" s="613"/>
      <c r="C59" s="27"/>
      <c r="D59" s="470"/>
      <c r="E59" s="639"/>
      <c r="F59" s="466"/>
      <c r="G59" s="614"/>
      <c r="H59" s="467"/>
      <c r="I59" s="467"/>
      <c r="J59" s="467"/>
      <c r="K59" s="467"/>
      <c r="L59" s="467"/>
      <c r="M59" s="467"/>
    </row>
    <row r="60" spans="1:13" ht="15.75" hidden="1">
      <c r="A60" s="1200"/>
      <c r="B60" s="470"/>
      <c r="C60" s="27" t="s">
        <v>532</v>
      </c>
      <c r="D60" s="470" t="s">
        <v>52</v>
      </c>
      <c r="E60" s="401"/>
      <c r="F60" s="466"/>
      <c r="G60" s="467"/>
      <c r="H60" s="13"/>
      <c r="I60" s="467"/>
      <c r="J60" s="13"/>
      <c r="K60" s="467"/>
      <c r="L60" s="13"/>
      <c r="M60" s="13"/>
    </row>
    <row r="61" spans="1:13" ht="15.75" hidden="1">
      <c r="A61" s="1200"/>
      <c r="B61" s="470"/>
      <c r="C61" s="27" t="s">
        <v>533</v>
      </c>
      <c r="D61" s="470" t="s">
        <v>52</v>
      </c>
      <c r="E61" s="401"/>
      <c r="F61" s="466"/>
      <c r="G61" s="467"/>
      <c r="H61" s="13"/>
      <c r="I61" s="467"/>
      <c r="J61" s="13"/>
      <c r="K61" s="467"/>
      <c r="L61" s="13"/>
      <c r="M61" s="13"/>
    </row>
    <row r="62" spans="1:13" ht="15.75">
      <c r="A62" s="1201"/>
      <c r="B62" s="613"/>
      <c r="C62" s="27" t="s">
        <v>50</v>
      </c>
      <c r="D62" s="470" t="s">
        <v>9</v>
      </c>
      <c r="E62" s="401">
        <f>(0.24+0.24+0.24)/3/10</f>
        <v>2.4E-2</v>
      </c>
      <c r="F62" s="466">
        <f>F46*E62</f>
        <v>0.48</v>
      </c>
      <c r="G62" s="614"/>
      <c r="H62" s="13"/>
      <c r="I62" s="614"/>
      <c r="J62" s="13"/>
      <c r="K62" s="614"/>
      <c r="L62" s="13"/>
      <c r="M62" s="13"/>
    </row>
    <row r="63" spans="1:13" ht="15.75">
      <c r="A63" s="1199" t="s">
        <v>42</v>
      </c>
      <c r="B63" s="260" t="s">
        <v>485</v>
      </c>
      <c r="C63" s="56" t="s">
        <v>486</v>
      </c>
      <c r="D63" s="260" t="s">
        <v>487</v>
      </c>
      <c r="E63" s="401"/>
      <c r="F63" s="24">
        <f>F14/100</f>
        <v>0.6</v>
      </c>
      <c r="G63" s="467"/>
      <c r="H63" s="467"/>
      <c r="I63" s="467"/>
      <c r="J63" s="467"/>
      <c r="K63" s="467"/>
      <c r="L63" s="467"/>
      <c r="M63" s="467"/>
    </row>
    <row r="64" spans="1:13" ht="15.75">
      <c r="A64" s="1200"/>
      <c r="B64" s="470"/>
      <c r="C64" s="27" t="s">
        <v>481</v>
      </c>
      <c r="D64" s="470" t="s">
        <v>68</v>
      </c>
      <c r="E64" s="401">
        <v>5.16</v>
      </c>
      <c r="F64" s="466">
        <f>F63*E64</f>
        <v>3.0960000000000001</v>
      </c>
      <c r="G64" s="467"/>
      <c r="H64" s="467"/>
      <c r="I64" s="467"/>
      <c r="J64" s="467"/>
      <c r="K64" s="467"/>
      <c r="L64" s="467"/>
      <c r="M64" s="467"/>
    </row>
    <row r="65" spans="1:13" ht="15.75">
      <c r="A65" s="1200"/>
      <c r="B65" s="470"/>
      <c r="C65" s="27" t="s">
        <v>284</v>
      </c>
      <c r="D65" s="470" t="s">
        <v>39</v>
      </c>
      <c r="E65" s="401">
        <v>1</v>
      </c>
      <c r="F65" s="466">
        <f>F63*E65</f>
        <v>0.6</v>
      </c>
      <c r="G65" s="467"/>
      <c r="H65" s="467"/>
      <c r="I65" s="467"/>
      <c r="J65" s="467"/>
      <c r="K65" s="467"/>
      <c r="L65" s="467"/>
      <c r="M65" s="467"/>
    </row>
    <row r="66" spans="1:13" ht="15.75">
      <c r="A66" s="1201"/>
      <c r="B66" s="470"/>
      <c r="C66" s="27" t="s">
        <v>50</v>
      </c>
      <c r="D66" s="470" t="s">
        <v>9</v>
      </c>
      <c r="E66" s="401">
        <v>0.11</v>
      </c>
      <c r="F66" s="466">
        <f>F63*E66</f>
        <v>6.6000000000000003E-2</v>
      </c>
      <c r="G66" s="467"/>
      <c r="H66" s="467"/>
      <c r="I66" s="467"/>
      <c r="J66" s="467"/>
      <c r="K66" s="467"/>
      <c r="L66" s="467"/>
      <c r="M66" s="467"/>
    </row>
    <row r="67" spans="1:13" ht="31.5">
      <c r="A67" s="1210" t="s">
        <v>46</v>
      </c>
      <c r="B67" s="93" t="s">
        <v>506</v>
      </c>
      <c r="C67" s="56" t="s">
        <v>534</v>
      </c>
      <c r="D67" s="93" t="s">
        <v>479</v>
      </c>
      <c r="E67" s="641"/>
      <c r="F67" s="24">
        <v>1</v>
      </c>
      <c r="G67" s="88"/>
      <c r="H67" s="467"/>
      <c r="I67" s="30"/>
      <c r="J67" s="467"/>
      <c r="K67" s="30"/>
      <c r="L67" s="467"/>
      <c r="M67" s="467"/>
    </row>
    <row r="68" spans="1:13" ht="15.75">
      <c r="A68" s="1211"/>
      <c r="B68" s="405"/>
      <c r="C68" s="27" t="s">
        <v>38</v>
      </c>
      <c r="D68" s="470" t="s">
        <v>12</v>
      </c>
      <c r="E68" s="401">
        <v>3.15</v>
      </c>
      <c r="F68" s="466">
        <f>F67*E68</f>
        <v>3.15</v>
      </c>
      <c r="G68" s="30"/>
      <c r="H68" s="467"/>
      <c r="I68" s="30"/>
      <c r="J68" s="467"/>
      <c r="K68" s="30"/>
      <c r="L68" s="467"/>
      <c r="M68" s="467"/>
    </row>
    <row r="69" spans="1:13" ht="15.75">
      <c r="A69" s="1211"/>
      <c r="B69" s="405"/>
      <c r="C69" s="91" t="s">
        <v>11</v>
      </c>
      <c r="D69" s="405" t="s">
        <v>9</v>
      </c>
      <c r="E69" s="629">
        <v>0.84</v>
      </c>
      <c r="F69" s="89">
        <f>F67*E69</f>
        <v>0.84</v>
      </c>
      <c r="G69" s="30"/>
      <c r="H69" s="467"/>
      <c r="I69" s="30"/>
      <c r="J69" s="467"/>
      <c r="K69" s="30"/>
      <c r="L69" s="467"/>
      <c r="M69" s="467"/>
    </row>
    <row r="70" spans="1:13" ht="15.75">
      <c r="A70" s="1211"/>
      <c r="B70" s="405"/>
      <c r="C70" s="91" t="s">
        <v>507</v>
      </c>
      <c r="D70" s="405" t="s">
        <v>90</v>
      </c>
      <c r="E70" s="629">
        <v>5</v>
      </c>
      <c r="F70" s="94">
        <f>E70*F67</f>
        <v>5</v>
      </c>
      <c r="G70" s="30"/>
      <c r="H70" s="467"/>
      <c r="I70" s="30"/>
      <c r="J70" s="467"/>
      <c r="K70" s="30"/>
      <c r="L70" s="467"/>
      <c r="M70" s="467"/>
    </row>
    <row r="71" spans="1:13" ht="15.75">
      <c r="A71" s="1212"/>
      <c r="B71" s="405"/>
      <c r="C71" s="91" t="s">
        <v>13</v>
      </c>
      <c r="D71" s="405" t="s">
        <v>9</v>
      </c>
      <c r="E71" s="629">
        <v>0.47</v>
      </c>
      <c r="F71" s="89">
        <f>F67*E71</f>
        <v>0.47</v>
      </c>
      <c r="G71" s="30"/>
      <c r="H71" s="467"/>
      <c r="I71" s="30"/>
      <c r="J71" s="467"/>
      <c r="K71" s="30"/>
      <c r="L71" s="467"/>
      <c r="M71" s="467"/>
    </row>
    <row r="72" spans="1:13" ht="15.75">
      <c r="A72" s="469"/>
      <c r="B72" s="405"/>
      <c r="C72" s="91"/>
      <c r="D72" s="405"/>
      <c r="E72" s="629"/>
      <c r="F72" s="89"/>
      <c r="G72" s="37"/>
      <c r="H72" s="467"/>
      <c r="I72" s="30"/>
      <c r="J72" s="467"/>
      <c r="K72" s="30"/>
      <c r="L72" s="467"/>
      <c r="M72" s="467"/>
    </row>
    <row r="73" spans="1:13" ht="31.5">
      <c r="A73" s="77"/>
      <c r="B73" s="395"/>
      <c r="C73" s="100" t="s">
        <v>546</v>
      </c>
      <c r="D73" s="77" t="s">
        <v>43</v>
      </c>
      <c r="E73" s="634"/>
      <c r="F73" s="48">
        <v>60</v>
      </c>
      <c r="G73" s="625"/>
      <c r="H73" s="467"/>
      <c r="I73" s="30"/>
      <c r="J73" s="467"/>
      <c r="K73" s="30"/>
      <c r="L73" s="467"/>
      <c r="M73" s="467"/>
    </row>
    <row r="74" spans="1:13" ht="31.5" hidden="1">
      <c r="A74" s="1210">
        <v>1</v>
      </c>
      <c r="B74" s="93" t="s">
        <v>59</v>
      </c>
      <c r="C74" s="92" t="s">
        <v>508</v>
      </c>
      <c r="D74" s="93" t="s">
        <v>39</v>
      </c>
      <c r="E74" s="852">
        <f>0.7*1*F73</f>
        <v>42</v>
      </c>
      <c r="F74" s="24"/>
      <c r="G74" s="625"/>
      <c r="H74" s="467"/>
      <c r="I74" s="625"/>
      <c r="J74" s="467"/>
      <c r="K74" s="625"/>
      <c r="L74" s="467"/>
      <c r="M74" s="467"/>
    </row>
    <row r="75" spans="1:13" ht="15.75" hidden="1">
      <c r="A75" s="1212"/>
      <c r="B75" s="626"/>
      <c r="C75" s="91" t="s">
        <v>38</v>
      </c>
      <c r="D75" s="405" t="s">
        <v>39</v>
      </c>
      <c r="E75" s="177">
        <v>2.06</v>
      </c>
      <c r="F75" s="94">
        <f>E75*F74</f>
        <v>0</v>
      </c>
      <c r="G75" s="37"/>
      <c r="H75" s="467"/>
      <c r="I75" s="37"/>
      <c r="J75" s="467"/>
      <c r="K75" s="30"/>
      <c r="L75" s="467"/>
      <c r="M75" s="467"/>
    </row>
    <row r="76" spans="1:13" ht="15.75">
      <c r="A76" s="1140" t="s">
        <v>84</v>
      </c>
      <c r="B76" s="263" t="s">
        <v>651</v>
      </c>
      <c r="C76" s="340" t="s">
        <v>204</v>
      </c>
      <c r="D76" s="141" t="s">
        <v>39</v>
      </c>
      <c r="E76" s="341"/>
      <c r="F76" s="23">
        <f>0.7*1*F73</f>
        <v>42</v>
      </c>
      <c r="G76" s="834"/>
      <c r="H76" s="13"/>
      <c r="I76" s="834"/>
      <c r="J76" s="13"/>
      <c r="K76" s="834"/>
      <c r="L76" s="13"/>
      <c r="M76" s="13"/>
    </row>
    <row r="77" spans="1:13" ht="15.75">
      <c r="A77" s="1141"/>
      <c r="B77" s="263"/>
      <c r="C77" s="342" t="s">
        <v>38</v>
      </c>
      <c r="D77" s="334" t="s">
        <v>12</v>
      </c>
      <c r="E77" s="333">
        <f>20/1000</f>
        <v>0.02</v>
      </c>
      <c r="F77" s="202">
        <f>F76*E77</f>
        <v>0.84</v>
      </c>
      <c r="G77" s="834"/>
      <c r="H77" s="13"/>
      <c r="I77" s="834"/>
      <c r="J77" s="13"/>
      <c r="K77" s="22"/>
      <c r="L77" s="13"/>
      <c r="M77" s="13"/>
    </row>
    <row r="78" spans="1:13" ht="15.75">
      <c r="A78" s="1141"/>
      <c r="B78" s="263" t="s">
        <v>197</v>
      </c>
      <c r="C78" s="342" t="s">
        <v>652</v>
      </c>
      <c r="D78" s="334" t="s">
        <v>44</v>
      </c>
      <c r="E78" s="333">
        <f>44.8/1000</f>
        <v>4.48E-2</v>
      </c>
      <c r="F78" s="202">
        <f>F76*E78</f>
        <v>1.8815999999999999</v>
      </c>
      <c r="G78" s="834"/>
      <c r="H78" s="13"/>
      <c r="I78" s="834"/>
      <c r="J78" s="13"/>
      <c r="K78" s="834"/>
      <c r="L78" s="317"/>
      <c r="M78" s="317"/>
    </row>
    <row r="79" spans="1:13" ht="15.75">
      <c r="A79" s="1141"/>
      <c r="B79" s="263"/>
      <c r="C79" s="342" t="s">
        <v>11</v>
      </c>
      <c r="D79" s="334" t="s">
        <v>9</v>
      </c>
      <c r="E79" s="333">
        <f>2.1/1000</f>
        <v>2.1000000000000003E-3</v>
      </c>
      <c r="F79" s="202">
        <f>F76*E79</f>
        <v>8.8200000000000014E-2</v>
      </c>
      <c r="G79" s="834"/>
      <c r="H79" s="13"/>
      <c r="I79" s="834"/>
      <c r="J79" s="13"/>
      <c r="K79" s="834"/>
      <c r="L79" s="317"/>
      <c r="M79" s="317"/>
    </row>
    <row r="80" spans="1:13" ht="15.75">
      <c r="A80" s="1142"/>
      <c r="B80" s="263"/>
      <c r="C80" s="342" t="s">
        <v>32</v>
      </c>
      <c r="D80" s="334" t="s">
        <v>39</v>
      </c>
      <c r="E80" s="333">
        <f>0.05/1000</f>
        <v>5.0000000000000002E-5</v>
      </c>
      <c r="F80" s="202">
        <f>F76*E80</f>
        <v>2.1000000000000003E-3</v>
      </c>
      <c r="G80" s="834"/>
      <c r="H80" s="13"/>
      <c r="I80" s="834"/>
      <c r="J80" s="13"/>
      <c r="K80" s="834"/>
      <c r="L80" s="13"/>
      <c r="M80" s="13"/>
    </row>
    <row r="81" spans="1:13" ht="31.5" hidden="1">
      <c r="A81" s="1146" t="s">
        <v>478</v>
      </c>
      <c r="B81" s="427" t="s">
        <v>82</v>
      </c>
      <c r="C81" s="98" t="s">
        <v>122</v>
      </c>
      <c r="D81" s="260" t="s">
        <v>40</v>
      </c>
      <c r="E81" s="243"/>
      <c r="F81" s="76">
        <f>0*1.95</f>
        <v>0</v>
      </c>
      <c r="G81" s="22"/>
      <c r="H81" s="467"/>
      <c r="I81" s="22"/>
      <c r="J81" s="467"/>
      <c r="K81" s="22"/>
      <c r="L81" s="467"/>
      <c r="M81" s="467"/>
    </row>
    <row r="82" spans="1:13" ht="15.75" hidden="1">
      <c r="A82" s="1148"/>
      <c r="B82" s="636"/>
      <c r="C82" s="41" t="s">
        <v>56</v>
      </c>
      <c r="D82" s="42" t="s">
        <v>12</v>
      </c>
      <c r="E82" s="243">
        <v>0.53</v>
      </c>
      <c r="F82" s="43">
        <f>F81*E82</f>
        <v>0</v>
      </c>
      <c r="G82" s="22"/>
      <c r="H82" s="467"/>
      <c r="I82" s="22"/>
      <c r="J82" s="467"/>
      <c r="K82" s="22"/>
      <c r="L82" s="467"/>
      <c r="M82" s="467"/>
    </row>
    <row r="83" spans="1:13" ht="15.75" hidden="1">
      <c r="A83" s="1147"/>
      <c r="B83" s="470"/>
      <c r="C83" s="99" t="s">
        <v>171</v>
      </c>
      <c r="D83" s="260" t="s">
        <v>40</v>
      </c>
      <c r="E83" s="243"/>
      <c r="F83" s="76">
        <f>F81</f>
        <v>0</v>
      </c>
      <c r="G83" s="22"/>
      <c r="H83" s="467"/>
      <c r="I83" s="22"/>
      <c r="J83" s="467"/>
      <c r="K83" s="22"/>
      <c r="L83" s="467"/>
      <c r="M83" s="467"/>
    </row>
    <row r="84" spans="1:13" ht="31.5">
      <c r="A84" s="1217" t="s">
        <v>69</v>
      </c>
      <c r="B84" s="260" t="s">
        <v>498</v>
      </c>
      <c r="C84" s="622" t="s">
        <v>713</v>
      </c>
      <c r="D84" s="260" t="s">
        <v>39</v>
      </c>
      <c r="E84" s="15"/>
      <c r="F84" s="24">
        <f>0.7*0.35*F73-3.14*0.075*0.075*F73</f>
        <v>13.640249999999998</v>
      </c>
      <c r="G84" s="37"/>
      <c r="H84" s="467"/>
      <c r="I84" s="37"/>
      <c r="J84" s="467"/>
      <c r="K84" s="30"/>
      <c r="L84" s="467"/>
      <c r="M84" s="467"/>
    </row>
    <row r="85" spans="1:13" ht="15.75">
      <c r="A85" s="1217"/>
      <c r="B85" s="470"/>
      <c r="C85" s="27" t="s">
        <v>20</v>
      </c>
      <c r="D85" s="470" t="s">
        <v>12</v>
      </c>
      <c r="E85" s="401">
        <f>18/10</f>
        <v>1.8</v>
      </c>
      <c r="F85" s="466">
        <f>E85*F84</f>
        <v>24.552449999999997</v>
      </c>
      <c r="G85" s="37"/>
      <c r="H85" s="467"/>
      <c r="I85" s="37"/>
      <c r="J85" s="467"/>
      <c r="K85" s="30"/>
      <c r="L85" s="467"/>
      <c r="M85" s="467"/>
    </row>
    <row r="86" spans="1:13" ht="15.75">
      <c r="A86" s="1217"/>
      <c r="B86" s="470"/>
      <c r="C86" s="27" t="s">
        <v>500</v>
      </c>
      <c r="D86" s="470" t="s">
        <v>39</v>
      </c>
      <c r="E86" s="401">
        <v>1.1499999999999999</v>
      </c>
      <c r="F86" s="466">
        <f>F84*E86</f>
        <v>15.686287499999997</v>
      </c>
      <c r="G86" s="37"/>
      <c r="H86" s="467"/>
      <c r="I86" s="37"/>
      <c r="J86" s="467"/>
      <c r="K86" s="30"/>
      <c r="L86" s="467"/>
      <c r="M86" s="467"/>
    </row>
    <row r="87" spans="1:13" ht="31.5">
      <c r="A87" s="1210" t="s">
        <v>85</v>
      </c>
      <c r="B87" s="260" t="s">
        <v>509</v>
      </c>
      <c r="C87" s="622" t="s">
        <v>510</v>
      </c>
      <c r="D87" s="93" t="s">
        <v>43</v>
      </c>
      <c r="E87" s="641"/>
      <c r="F87" s="24">
        <f>F73</f>
        <v>60</v>
      </c>
      <c r="G87" s="88"/>
      <c r="H87" s="467"/>
      <c r="I87" s="30"/>
      <c r="J87" s="467"/>
      <c r="K87" s="30"/>
      <c r="L87" s="467"/>
      <c r="M87" s="467"/>
    </row>
    <row r="88" spans="1:13" ht="15.75">
      <c r="A88" s="1211"/>
      <c r="B88" s="405"/>
      <c r="C88" s="27" t="s">
        <v>38</v>
      </c>
      <c r="D88" s="470" t="s">
        <v>12</v>
      </c>
      <c r="E88" s="629">
        <f>95.9*0.001</f>
        <v>9.5900000000000013E-2</v>
      </c>
      <c r="F88" s="89">
        <f>F87*E88</f>
        <v>5.7540000000000004</v>
      </c>
      <c r="G88" s="30"/>
      <c r="H88" s="467"/>
      <c r="I88" s="30"/>
      <c r="J88" s="467"/>
      <c r="K88" s="30"/>
      <c r="L88" s="467"/>
      <c r="M88" s="467"/>
    </row>
    <row r="89" spans="1:13" ht="15.75">
      <c r="A89" s="1211"/>
      <c r="B89" s="405"/>
      <c r="C89" s="91" t="s">
        <v>11</v>
      </c>
      <c r="D89" s="405" t="s">
        <v>9</v>
      </c>
      <c r="E89" s="629">
        <f>45.2/1000</f>
        <v>4.5200000000000004E-2</v>
      </c>
      <c r="F89" s="89">
        <f>F87*E89</f>
        <v>2.7120000000000002</v>
      </c>
      <c r="G89" s="627"/>
      <c r="H89" s="467"/>
      <c r="I89" s="627"/>
      <c r="J89" s="467"/>
      <c r="K89" s="627"/>
      <c r="L89" s="467"/>
      <c r="M89" s="467"/>
    </row>
    <row r="90" spans="1:13" ht="31.5">
      <c r="A90" s="1211"/>
      <c r="B90" s="405"/>
      <c r="C90" s="91" t="s">
        <v>511</v>
      </c>
      <c r="D90" s="405" t="str">
        <f>D87</f>
        <v>g/m</v>
      </c>
      <c r="E90" s="629">
        <v>1</v>
      </c>
      <c r="F90" s="89">
        <f>F87*E90</f>
        <v>60</v>
      </c>
      <c r="G90" s="30"/>
      <c r="H90" s="467"/>
      <c r="I90" s="30"/>
      <c r="J90" s="467"/>
      <c r="K90" s="30"/>
      <c r="L90" s="467"/>
      <c r="M90" s="467"/>
    </row>
    <row r="91" spans="1:13" ht="15.75">
      <c r="A91" s="1211"/>
      <c r="B91" s="405"/>
      <c r="C91" s="471" t="s">
        <v>512</v>
      </c>
      <c r="D91" s="44" t="s">
        <v>52</v>
      </c>
      <c r="E91" s="629"/>
      <c r="F91" s="836">
        <v>10</v>
      </c>
      <c r="G91" s="30"/>
      <c r="H91" s="467"/>
      <c r="I91" s="30"/>
      <c r="J91" s="467"/>
      <c r="K91" s="30"/>
      <c r="L91" s="467"/>
      <c r="M91" s="467"/>
    </row>
    <row r="92" spans="1:13" ht="15.75">
      <c r="A92" s="1212"/>
      <c r="B92" s="405"/>
      <c r="C92" s="91" t="s">
        <v>13</v>
      </c>
      <c r="D92" s="405" t="s">
        <v>9</v>
      </c>
      <c r="E92" s="629">
        <f>0.6*0.001</f>
        <v>5.9999999999999995E-4</v>
      </c>
      <c r="F92" s="89">
        <f>F87*E92</f>
        <v>3.5999999999999997E-2</v>
      </c>
      <c r="G92" s="30"/>
      <c r="H92" s="467"/>
      <c r="I92" s="30"/>
      <c r="J92" s="467"/>
      <c r="K92" s="30"/>
      <c r="L92" s="467"/>
      <c r="M92" s="467"/>
    </row>
    <row r="93" spans="1:13" ht="15.75" hidden="1">
      <c r="A93" s="1191" t="s">
        <v>478</v>
      </c>
      <c r="B93" s="29" t="s">
        <v>535</v>
      </c>
      <c r="C93" s="34" t="s">
        <v>521</v>
      </c>
      <c r="D93" s="29" t="s">
        <v>39</v>
      </c>
      <c r="E93" s="851">
        <f>0.7*(1-0.35)*F73</f>
        <v>27.299999999999997</v>
      </c>
      <c r="F93" s="24"/>
      <c r="G93" s="30"/>
      <c r="H93" s="30"/>
      <c r="I93" s="30"/>
      <c r="J93" s="30"/>
      <c r="K93" s="30"/>
      <c r="L93" s="30"/>
      <c r="M93" s="30"/>
    </row>
    <row r="94" spans="1:13" ht="15.75" hidden="1">
      <c r="A94" s="1205"/>
      <c r="B94" s="468"/>
      <c r="C94" s="31" t="s">
        <v>35</v>
      </c>
      <c r="D94" s="104" t="s">
        <v>12</v>
      </c>
      <c r="E94" s="32">
        <v>1.21</v>
      </c>
      <c r="F94" s="466">
        <f>F93*E94</f>
        <v>0</v>
      </c>
      <c r="G94" s="30"/>
      <c r="H94" s="30"/>
      <c r="I94" s="30"/>
      <c r="J94" s="30"/>
      <c r="K94" s="30"/>
      <c r="L94" s="30"/>
      <c r="M94" s="30"/>
    </row>
    <row r="95" spans="1:13" ht="15.75">
      <c r="A95" s="1217" t="s">
        <v>79</v>
      </c>
      <c r="B95" s="628" t="s">
        <v>513</v>
      </c>
      <c r="C95" s="623" t="s">
        <v>504</v>
      </c>
      <c r="D95" s="260" t="s">
        <v>34</v>
      </c>
      <c r="E95" s="637"/>
      <c r="F95" s="24">
        <f>0.7*(1-0.35)*F73</f>
        <v>27.299999999999997</v>
      </c>
      <c r="G95" s="37"/>
      <c r="H95" s="467"/>
      <c r="I95" s="37"/>
      <c r="J95" s="467"/>
      <c r="K95" s="30"/>
      <c r="L95" s="467"/>
      <c r="M95" s="467"/>
    </row>
    <row r="96" spans="1:13" ht="15.75">
      <c r="A96" s="1217"/>
      <c r="B96" s="470"/>
      <c r="C96" s="27" t="s">
        <v>20</v>
      </c>
      <c r="D96" s="470" t="s">
        <v>12</v>
      </c>
      <c r="E96" s="401">
        <f>17.8/10</f>
        <v>1.78</v>
      </c>
      <c r="F96" s="466">
        <f>E96*F95</f>
        <v>48.593999999999994</v>
      </c>
      <c r="G96" s="37"/>
      <c r="H96" s="467"/>
      <c r="I96" s="37"/>
      <c r="J96" s="467"/>
      <c r="K96" s="30"/>
      <c r="L96" s="467"/>
      <c r="M96" s="467"/>
    </row>
    <row r="97" spans="1:13" ht="15.75">
      <c r="A97" s="1217"/>
      <c r="B97" s="470"/>
      <c r="C97" s="27" t="s">
        <v>32</v>
      </c>
      <c r="D97" s="470" t="s">
        <v>31</v>
      </c>
      <c r="E97" s="401">
        <v>1.1000000000000001</v>
      </c>
      <c r="F97" s="466">
        <f>E97*F95</f>
        <v>30.029999999999998</v>
      </c>
      <c r="G97" s="37"/>
      <c r="H97" s="467"/>
      <c r="I97" s="37"/>
      <c r="J97" s="467"/>
      <c r="K97" s="30"/>
      <c r="L97" s="467"/>
      <c r="M97" s="467"/>
    </row>
    <row r="98" spans="1:13" ht="31.5">
      <c r="A98" s="1146" t="s">
        <v>80</v>
      </c>
      <c r="B98" s="427" t="s">
        <v>82</v>
      </c>
      <c r="C98" s="98" t="s">
        <v>122</v>
      </c>
      <c r="D98" s="260" t="s">
        <v>40</v>
      </c>
      <c r="E98" s="243"/>
      <c r="F98" s="76">
        <f>(F74+F76-F93)*1.95</f>
        <v>81.899999999999991</v>
      </c>
      <c r="G98" s="22"/>
      <c r="H98" s="467"/>
      <c r="I98" s="22"/>
      <c r="J98" s="467"/>
      <c r="K98" s="22"/>
      <c r="L98" s="467"/>
      <c r="M98" s="467"/>
    </row>
    <row r="99" spans="1:13" ht="15.75">
      <c r="A99" s="1148"/>
      <c r="B99" s="636"/>
      <c r="C99" s="41" t="s">
        <v>56</v>
      </c>
      <c r="D99" s="42" t="s">
        <v>12</v>
      </c>
      <c r="E99" s="243">
        <v>0.53</v>
      </c>
      <c r="F99" s="43">
        <f>F98*E99</f>
        <v>43.406999999999996</v>
      </c>
      <c r="G99" s="22"/>
      <c r="H99" s="467"/>
      <c r="I99" s="22"/>
      <c r="J99" s="467"/>
      <c r="K99" s="22"/>
      <c r="L99" s="467"/>
      <c r="M99" s="467"/>
    </row>
    <row r="100" spans="1:13" ht="31.5">
      <c r="A100" s="1147"/>
      <c r="B100" s="260" t="s">
        <v>177</v>
      </c>
      <c r="C100" s="464" t="s">
        <v>187</v>
      </c>
      <c r="D100" s="260" t="s">
        <v>40</v>
      </c>
      <c r="E100" s="240"/>
      <c r="F100" s="193">
        <f>F98</f>
        <v>81.899999999999991</v>
      </c>
      <c r="G100" s="467"/>
      <c r="H100" s="467"/>
      <c r="I100" s="467"/>
      <c r="J100" s="467"/>
      <c r="K100" s="22"/>
      <c r="L100" s="467"/>
      <c r="M100" s="467"/>
    </row>
    <row r="101" spans="1:13" ht="15.75">
      <c r="A101" s="1221" t="s">
        <v>81</v>
      </c>
      <c r="B101" s="610" t="s">
        <v>488</v>
      </c>
      <c r="C101" s="617" t="s">
        <v>489</v>
      </c>
      <c r="D101" s="611" t="s">
        <v>479</v>
      </c>
      <c r="E101" s="611"/>
      <c r="F101" s="611">
        <f>SUM(F104:F111)</f>
        <v>10</v>
      </c>
      <c r="G101" s="612"/>
      <c r="H101" s="467"/>
      <c r="I101" s="612"/>
      <c r="J101" s="467"/>
      <c r="K101" s="612"/>
      <c r="L101" s="467"/>
      <c r="M101" s="467"/>
    </row>
    <row r="102" spans="1:13" ht="15.75">
      <c r="A102" s="1222"/>
      <c r="B102" s="613"/>
      <c r="C102" s="618" t="s">
        <v>38</v>
      </c>
      <c r="D102" s="466" t="s">
        <v>21</v>
      </c>
      <c r="E102" s="466">
        <v>2.67</v>
      </c>
      <c r="F102" s="466">
        <f>F101*E102</f>
        <v>26.7</v>
      </c>
      <c r="G102" s="614"/>
      <c r="H102" s="467"/>
      <c r="I102" s="614"/>
      <c r="J102" s="467"/>
      <c r="K102" s="614"/>
      <c r="L102" s="467"/>
      <c r="M102" s="467"/>
    </row>
    <row r="103" spans="1:13" ht="15.75">
      <c r="A103" s="1222"/>
      <c r="B103" s="613"/>
      <c r="C103" s="618" t="s">
        <v>480</v>
      </c>
      <c r="D103" s="466" t="s">
        <v>9</v>
      </c>
      <c r="E103" s="466">
        <v>0.28999999999999998</v>
      </c>
      <c r="F103" s="466">
        <f>F101*E103</f>
        <v>2.9</v>
      </c>
      <c r="G103" s="614"/>
      <c r="H103" s="467"/>
      <c r="I103" s="614"/>
      <c r="J103" s="467"/>
      <c r="K103" s="614"/>
      <c r="L103" s="467"/>
      <c r="M103" s="467"/>
    </row>
    <row r="104" spans="1:13" ht="15.75">
      <c r="A104" s="1222"/>
      <c r="B104" s="613"/>
      <c r="C104" s="618" t="s">
        <v>507</v>
      </c>
      <c r="D104" s="466" t="s">
        <v>52</v>
      </c>
      <c r="E104" s="466"/>
      <c r="F104" s="57">
        <v>10</v>
      </c>
      <c r="G104" s="614"/>
      <c r="H104" s="467"/>
      <c r="I104" s="614"/>
      <c r="J104" s="467"/>
      <c r="K104" s="614"/>
      <c r="L104" s="467"/>
      <c r="M104" s="467"/>
    </row>
    <row r="105" spans="1:13" ht="15.75" hidden="1">
      <c r="A105" s="1222"/>
      <c r="B105" s="610"/>
      <c r="C105" s="618" t="s">
        <v>490</v>
      </c>
      <c r="D105" s="466" t="s">
        <v>52</v>
      </c>
      <c r="E105" s="466"/>
      <c r="F105" s="466"/>
      <c r="G105" s="614"/>
      <c r="H105" s="467"/>
      <c r="I105" s="614"/>
      <c r="J105" s="467"/>
      <c r="K105" s="614"/>
      <c r="L105" s="467"/>
      <c r="M105" s="467"/>
    </row>
    <row r="106" spans="1:13" ht="15.75" hidden="1">
      <c r="A106" s="1222"/>
      <c r="B106" s="610"/>
      <c r="C106" s="621" t="s">
        <v>491</v>
      </c>
      <c r="D106" s="615" t="s">
        <v>52</v>
      </c>
      <c r="E106" s="466"/>
      <c r="F106" s="466"/>
      <c r="G106" s="614"/>
      <c r="H106" s="467"/>
      <c r="I106" s="614"/>
      <c r="J106" s="467"/>
      <c r="K106" s="614"/>
      <c r="L106" s="467"/>
      <c r="M106" s="467"/>
    </row>
    <row r="107" spans="1:13" ht="18" hidden="1">
      <c r="A107" s="1222"/>
      <c r="B107" s="610"/>
      <c r="C107" s="621" t="s">
        <v>492</v>
      </c>
      <c r="D107" s="615" t="s">
        <v>52</v>
      </c>
      <c r="E107" s="466"/>
      <c r="F107" s="466"/>
      <c r="G107" s="614"/>
      <c r="H107" s="467"/>
      <c r="I107" s="614"/>
      <c r="J107" s="467"/>
      <c r="K107" s="614"/>
      <c r="L107" s="467"/>
      <c r="M107" s="467"/>
    </row>
    <row r="108" spans="1:13" ht="18" hidden="1">
      <c r="A108" s="1222"/>
      <c r="B108" s="610"/>
      <c r="C108" s="621" t="s">
        <v>493</v>
      </c>
      <c r="D108" s="615" t="s">
        <v>52</v>
      </c>
      <c r="E108" s="466"/>
      <c r="F108" s="466"/>
      <c r="G108" s="614"/>
      <c r="H108" s="467"/>
      <c r="I108" s="614"/>
      <c r="J108" s="467"/>
      <c r="K108" s="614"/>
      <c r="L108" s="467"/>
      <c r="M108" s="467"/>
    </row>
    <row r="109" spans="1:13" ht="15.75" hidden="1">
      <c r="A109" s="1222"/>
      <c r="B109" s="610"/>
      <c r="C109" s="621" t="s">
        <v>494</v>
      </c>
      <c r="D109" s="615" t="s">
        <v>52</v>
      </c>
      <c r="E109" s="466"/>
      <c r="F109" s="466"/>
      <c r="G109" s="614"/>
      <c r="H109" s="467"/>
      <c r="I109" s="614"/>
      <c r="J109" s="467"/>
      <c r="K109" s="614"/>
      <c r="L109" s="467"/>
      <c r="M109" s="467"/>
    </row>
    <row r="110" spans="1:13" ht="15.75" hidden="1">
      <c r="A110" s="1222"/>
      <c r="B110" s="610"/>
      <c r="C110" s="621" t="s">
        <v>495</v>
      </c>
      <c r="D110" s="615" t="s">
        <v>52</v>
      </c>
      <c r="E110" s="466"/>
      <c r="F110" s="466"/>
      <c r="G110" s="614"/>
      <c r="H110" s="467"/>
      <c r="I110" s="614"/>
      <c r="J110" s="467"/>
      <c r="K110" s="614"/>
      <c r="L110" s="467"/>
      <c r="M110" s="467"/>
    </row>
    <row r="111" spans="1:13" ht="15.75" hidden="1">
      <c r="A111" s="1222"/>
      <c r="B111" s="610"/>
      <c r="C111" s="621" t="s">
        <v>496</v>
      </c>
      <c r="D111" s="615" t="s">
        <v>52</v>
      </c>
      <c r="E111" s="466"/>
      <c r="F111" s="466"/>
      <c r="G111" s="614"/>
      <c r="H111" s="467"/>
      <c r="I111" s="614"/>
      <c r="J111" s="467"/>
      <c r="K111" s="614"/>
      <c r="L111" s="467"/>
      <c r="M111" s="467"/>
    </row>
    <row r="112" spans="1:13" ht="15.75">
      <c r="A112" s="1223"/>
      <c r="B112" s="613"/>
      <c r="C112" s="618" t="s">
        <v>50</v>
      </c>
      <c r="D112" s="466" t="s">
        <v>9</v>
      </c>
      <c r="E112" s="466">
        <v>0.2</v>
      </c>
      <c r="F112" s="466">
        <f>F101*E112</f>
        <v>2</v>
      </c>
      <c r="G112" s="614"/>
      <c r="H112" s="467"/>
      <c r="I112" s="614"/>
      <c r="J112" s="467"/>
      <c r="K112" s="614"/>
      <c r="L112" s="467"/>
      <c r="M112" s="467"/>
    </row>
    <row r="113" spans="1:15" ht="31.5">
      <c r="A113" s="1224" t="s">
        <v>77</v>
      </c>
      <c r="B113" s="628" t="s">
        <v>514</v>
      </c>
      <c r="C113" s="623" t="s">
        <v>515</v>
      </c>
      <c r="D113" s="628" t="s">
        <v>516</v>
      </c>
      <c r="E113" s="637"/>
      <c r="F113" s="24">
        <v>1</v>
      </c>
      <c r="G113" s="630"/>
      <c r="H113" s="467"/>
      <c r="I113" s="630"/>
      <c r="J113" s="467"/>
      <c r="K113" s="630"/>
      <c r="L113" s="467"/>
      <c r="M113" s="467"/>
    </row>
    <row r="114" spans="1:15" ht="15.75">
      <c r="A114" s="1225"/>
      <c r="B114" s="631"/>
      <c r="C114" s="27" t="s">
        <v>20</v>
      </c>
      <c r="D114" s="470" t="s">
        <v>12</v>
      </c>
      <c r="E114" s="401">
        <v>17</v>
      </c>
      <c r="F114" s="466">
        <f>F113*E114</f>
        <v>17</v>
      </c>
      <c r="G114" s="467"/>
      <c r="H114" s="467"/>
      <c r="I114" s="467"/>
      <c r="J114" s="467"/>
      <c r="K114" s="467"/>
      <c r="L114" s="467"/>
      <c r="M114" s="467"/>
    </row>
    <row r="115" spans="1:15" ht="15.75">
      <c r="A115" s="1225"/>
      <c r="B115" s="470"/>
      <c r="C115" s="27" t="s">
        <v>536</v>
      </c>
      <c r="D115" s="470" t="s">
        <v>39</v>
      </c>
      <c r="E115" s="401">
        <v>0.05</v>
      </c>
      <c r="F115" s="466">
        <f>F113*E115</f>
        <v>0.05</v>
      </c>
      <c r="G115" s="30"/>
      <c r="H115" s="467"/>
      <c r="I115" s="30"/>
      <c r="J115" s="467"/>
      <c r="K115" s="30"/>
      <c r="L115" s="467"/>
      <c r="M115" s="467"/>
    </row>
    <row r="116" spans="1:15" ht="15.75">
      <c r="A116" s="1225"/>
      <c r="B116" s="470"/>
      <c r="C116" s="27" t="s">
        <v>32</v>
      </c>
      <c r="D116" s="470" t="s">
        <v>39</v>
      </c>
      <c r="E116" s="401">
        <v>0.2</v>
      </c>
      <c r="F116" s="466">
        <f>F113*E116</f>
        <v>0.2</v>
      </c>
      <c r="G116" s="30"/>
      <c r="H116" s="467"/>
      <c r="I116" s="30"/>
      <c r="J116" s="467"/>
      <c r="K116" s="30"/>
      <c r="L116" s="467"/>
      <c r="M116" s="467"/>
    </row>
    <row r="117" spans="1:15" ht="15.75">
      <c r="A117" s="1225"/>
      <c r="B117" s="631"/>
      <c r="C117" s="27" t="s">
        <v>505</v>
      </c>
      <c r="D117" s="470" t="s">
        <v>7</v>
      </c>
      <c r="E117" s="401">
        <v>7.8</v>
      </c>
      <c r="F117" s="466">
        <f>F113*E117</f>
        <v>7.8</v>
      </c>
      <c r="G117" s="467"/>
      <c r="H117" s="467"/>
      <c r="I117" s="467"/>
      <c r="J117" s="467"/>
      <c r="K117" s="30"/>
      <c r="L117" s="467"/>
      <c r="M117" s="467"/>
    </row>
    <row r="118" spans="1:15" ht="15.75">
      <c r="A118" s="1226"/>
      <c r="B118" s="631"/>
      <c r="C118" s="27" t="s">
        <v>50</v>
      </c>
      <c r="D118" s="470" t="s">
        <v>9</v>
      </c>
      <c r="E118" s="401">
        <v>1.08</v>
      </c>
      <c r="F118" s="466">
        <f>F113*E118</f>
        <v>1.08</v>
      </c>
      <c r="G118" s="467"/>
      <c r="H118" s="467"/>
      <c r="I118" s="467"/>
      <c r="J118" s="467"/>
      <c r="K118" s="30"/>
      <c r="L118" s="467"/>
      <c r="M118" s="467"/>
    </row>
    <row r="119" spans="1:15" ht="15.75">
      <c r="A119" s="470"/>
      <c r="B119" s="631"/>
      <c r="C119" s="27"/>
      <c r="D119" s="470"/>
      <c r="E119" s="401"/>
      <c r="F119" s="466"/>
      <c r="G119" s="467"/>
      <c r="H119" s="467"/>
      <c r="I119" s="467"/>
      <c r="J119" s="467"/>
      <c r="K119" s="30"/>
      <c r="L119" s="467"/>
      <c r="M119" s="467"/>
    </row>
    <row r="120" spans="1:15" customFormat="1" ht="31.5">
      <c r="A120" s="375" t="s">
        <v>83</v>
      </c>
      <c r="B120" s="608"/>
      <c r="C120" s="376" t="s">
        <v>673</v>
      </c>
      <c r="D120" s="375"/>
      <c r="E120" s="632"/>
      <c r="F120" s="609"/>
      <c r="G120" s="819"/>
      <c r="H120" s="819"/>
      <c r="I120" s="819"/>
      <c r="J120" s="819"/>
      <c r="K120" s="819"/>
      <c r="L120" s="819"/>
      <c r="M120" s="819"/>
      <c r="N120" s="174"/>
      <c r="O120" s="69"/>
    </row>
    <row r="121" spans="1:15" customFormat="1" ht="16.5">
      <c r="A121" s="420" t="s">
        <v>84</v>
      </c>
      <c r="B121" s="820"/>
      <c r="C121" s="655" t="s">
        <v>519</v>
      </c>
      <c r="D121" s="420" t="s">
        <v>43</v>
      </c>
      <c r="E121" s="837"/>
      <c r="F121" s="193">
        <f>F132</f>
        <v>270</v>
      </c>
      <c r="G121" s="819"/>
      <c r="H121" s="819"/>
      <c r="I121" s="819"/>
      <c r="J121" s="819"/>
      <c r="K121" s="819"/>
      <c r="L121" s="819"/>
      <c r="M121" s="819"/>
      <c r="N121" s="174"/>
      <c r="O121" s="69"/>
    </row>
    <row r="122" spans="1:15" customFormat="1" ht="31.5" hidden="1">
      <c r="A122" s="1219" t="s">
        <v>478</v>
      </c>
      <c r="B122" s="260" t="s">
        <v>59</v>
      </c>
      <c r="C122" s="340" t="s">
        <v>674</v>
      </c>
      <c r="D122" s="141" t="s">
        <v>34</v>
      </c>
      <c r="E122" s="341">
        <f>0.7*0.7*F121</f>
        <v>132.29999999999998</v>
      </c>
      <c r="F122" s="23"/>
      <c r="G122" s="17"/>
      <c r="H122" s="819"/>
      <c r="I122" s="17"/>
      <c r="J122" s="819"/>
      <c r="K122" s="17"/>
      <c r="L122" s="819"/>
      <c r="M122" s="819"/>
      <c r="N122" s="174"/>
      <c r="O122" s="69"/>
    </row>
    <row r="123" spans="1:15" customFormat="1" ht="16.5" hidden="1">
      <c r="A123" s="1220"/>
      <c r="B123" s="260"/>
      <c r="C123" s="27" t="s">
        <v>20</v>
      </c>
      <c r="D123" s="823" t="s">
        <v>21</v>
      </c>
      <c r="E123" s="401">
        <v>2.06</v>
      </c>
      <c r="F123" s="818">
        <f>E123*F122</f>
        <v>0</v>
      </c>
      <c r="G123" s="819"/>
      <c r="H123" s="819"/>
      <c r="I123" s="819"/>
      <c r="J123" s="819"/>
      <c r="K123" s="819"/>
      <c r="L123" s="819"/>
      <c r="M123" s="819"/>
      <c r="N123" s="174"/>
      <c r="O123" s="69"/>
    </row>
    <row r="124" spans="1:15" s="841" customFormat="1" ht="15.75">
      <c r="A124" s="1140" t="s">
        <v>84</v>
      </c>
      <c r="B124" s="263" t="s">
        <v>651</v>
      </c>
      <c r="C124" s="340" t="s">
        <v>204</v>
      </c>
      <c r="D124" s="141" t="s">
        <v>39</v>
      </c>
      <c r="E124" s="341"/>
      <c r="F124" s="23">
        <f>0.7*0.7*F121</f>
        <v>132.29999999999998</v>
      </c>
      <c r="G124" s="819"/>
      <c r="H124" s="13"/>
      <c r="I124" s="819"/>
      <c r="J124" s="13"/>
      <c r="K124" s="819"/>
      <c r="L124" s="13"/>
      <c r="M124" s="13"/>
      <c r="N124" s="840"/>
    </row>
    <row r="125" spans="1:15" s="841" customFormat="1" ht="15.75">
      <c r="A125" s="1141"/>
      <c r="B125" s="263"/>
      <c r="C125" s="342" t="s">
        <v>38</v>
      </c>
      <c r="D125" s="334" t="s">
        <v>12</v>
      </c>
      <c r="E125" s="333">
        <f>20/1000</f>
        <v>0.02</v>
      </c>
      <c r="F125" s="202">
        <f>F124*E125</f>
        <v>2.6459999999999999</v>
      </c>
      <c r="G125" s="819"/>
      <c r="H125" s="13"/>
      <c r="I125" s="819"/>
      <c r="J125" s="13"/>
      <c r="K125" s="22"/>
      <c r="L125" s="13"/>
      <c r="M125" s="13"/>
      <c r="N125" s="840"/>
    </row>
    <row r="126" spans="1:15" s="841" customFormat="1" ht="15.75">
      <c r="A126" s="1141"/>
      <c r="B126" s="263" t="s">
        <v>197</v>
      </c>
      <c r="C126" s="342" t="s">
        <v>652</v>
      </c>
      <c r="D126" s="334" t="s">
        <v>44</v>
      </c>
      <c r="E126" s="333">
        <f>44.8/1000</f>
        <v>4.48E-2</v>
      </c>
      <c r="F126" s="202">
        <f>F124*E126</f>
        <v>5.927039999999999</v>
      </c>
      <c r="G126" s="819"/>
      <c r="H126" s="13"/>
      <c r="I126" s="819"/>
      <c r="J126" s="13"/>
      <c r="K126" s="819"/>
      <c r="L126" s="317"/>
      <c r="M126" s="317"/>
      <c r="N126" s="840"/>
    </row>
    <row r="127" spans="1:15" s="841" customFormat="1" ht="15.75">
      <c r="A127" s="1141"/>
      <c r="B127" s="263"/>
      <c r="C127" s="342" t="s">
        <v>11</v>
      </c>
      <c r="D127" s="334" t="s">
        <v>9</v>
      </c>
      <c r="E127" s="333">
        <f>2.1/1000</f>
        <v>2.1000000000000003E-3</v>
      </c>
      <c r="F127" s="202">
        <f>F124*E127</f>
        <v>0.27783000000000002</v>
      </c>
      <c r="G127" s="819"/>
      <c r="H127" s="13"/>
      <c r="I127" s="819"/>
      <c r="J127" s="13"/>
      <c r="K127" s="819"/>
      <c r="L127" s="317"/>
      <c r="M127" s="317"/>
      <c r="N127" s="840"/>
    </row>
    <row r="128" spans="1:15" s="841" customFormat="1" ht="15.75">
      <c r="A128" s="1142"/>
      <c r="B128" s="263"/>
      <c r="C128" s="342" t="s">
        <v>32</v>
      </c>
      <c r="D128" s="334" t="s">
        <v>39</v>
      </c>
      <c r="E128" s="333">
        <f>0.05/1000</f>
        <v>5.0000000000000002E-5</v>
      </c>
      <c r="F128" s="202">
        <f>F124*E128</f>
        <v>6.6149999999999994E-3</v>
      </c>
      <c r="G128" s="819"/>
      <c r="H128" s="13"/>
      <c r="I128" s="819"/>
      <c r="J128" s="13"/>
      <c r="K128" s="819"/>
      <c r="L128" s="13"/>
      <c r="M128" s="13"/>
      <c r="N128" s="840"/>
    </row>
    <row r="129" spans="1:15" customFormat="1" ht="31.5">
      <c r="A129" s="1210" t="s">
        <v>69</v>
      </c>
      <c r="B129" s="260" t="s">
        <v>498</v>
      </c>
      <c r="C129" s="622" t="s">
        <v>499</v>
      </c>
      <c r="D129" s="260" t="s">
        <v>34</v>
      </c>
      <c r="E129" s="15"/>
      <c r="F129" s="24">
        <f>0.7*0.2*F121</f>
        <v>37.799999999999997</v>
      </c>
      <c r="G129" s="88"/>
      <c r="H129" s="819"/>
      <c r="I129" s="30"/>
      <c r="J129" s="819"/>
      <c r="K129" s="30"/>
      <c r="L129" s="819"/>
      <c r="M129" s="819"/>
      <c r="O129" s="841"/>
    </row>
    <row r="130" spans="1:15" customFormat="1" ht="15.75">
      <c r="A130" s="1211"/>
      <c r="B130" s="823"/>
      <c r="C130" s="27" t="s">
        <v>20</v>
      </c>
      <c r="D130" s="823" t="s">
        <v>12</v>
      </c>
      <c r="E130" s="401">
        <f>18/10</f>
        <v>1.8</v>
      </c>
      <c r="F130" s="818">
        <f>E130*F129</f>
        <v>68.039999999999992</v>
      </c>
      <c r="G130" s="819"/>
      <c r="H130" s="819"/>
      <c r="I130" s="819"/>
      <c r="J130" s="819"/>
      <c r="K130" s="819"/>
      <c r="L130" s="819"/>
      <c r="M130" s="819"/>
      <c r="O130" s="841"/>
    </row>
    <row r="131" spans="1:15" customFormat="1" ht="15.75">
      <c r="A131" s="1211"/>
      <c r="B131" s="823"/>
      <c r="C131" s="27" t="s">
        <v>500</v>
      </c>
      <c r="D131" s="823" t="s">
        <v>31</v>
      </c>
      <c r="E131" s="401">
        <v>1.1000000000000001</v>
      </c>
      <c r="F131" s="818">
        <f>F129*E131</f>
        <v>41.58</v>
      </c>
      <c r="G131" s="819"/>
      <c r="H131" s="819"/>
      <c r="I131" s="616"/>
      <c r="J131" s="819"/>
      <c r="K131" s="819"/>
      <c r="L131" s="819"/>
      <c r="M131" s="819"/>
      <c r="O131" s="841"/>
    </row>
    <row r="132" spans="1:15" customFormat="1" ht="31.5">
      <c r="A132" s="1217" t="s">
        <v>85</v>
      </c>
      <c r="B132" s="260" t="s">
        <v>509</v>
      </c>
      <c r="C132" s="56" t="s">
        <v>675</v>
      </c>
      <c r="D132" s="260" t="s">
        <v>43</v>
      </c>
      <c r="E132" s="15"/>
      <c r="F132" s="24">
        <f>SUM(F135:F136)</f>
        <v>270</v>
      </c>
      <c r="G132" s="17"/>
      <c r="H132" s="819"/>
      <c r="I132" s="17"/>
      <c r="J132" s="819"/>
      <c r="K132" s="17"/>
      <c r="L132" s="819"/>
      <c r="M132" s="819"/>
    </row>
    <row r="133" spans="1:15" customFormat="1" ht="15.75">
      <c r="A133" s="1217"/>
      <c r="B133" s="823"/>
      <c r="C133" s="27" t="s">
        <v>481</v>
      </c>
      <c r="D133" s="823" t="s">
        <v>68</v>
      </c>
      <c r="E133" s="401">
        <v>9.5899999999999999E-2</v>
      </c>
      <c r="F133" s="818">
        <f>F132*E133</f>
        <v>25.893000000000001</v>
      </c>
      <c r="G133" s="819"/>
      <c r="H133" s="819"/>
      <c r="I133" s="819"/>
      <c r="J133" s="819"/>
      <c r="K133" s="819"/>
      <c r="L133" s="819"/>
      <c r="M133" s="819"/>
    </row>
    <row r="134" spans="1:15" customFormat="1" ht="15.75">
      <c r="A134" s="1217"/>
      <c r="B134" s="823"/>
      <c r="C134" s="27" t="s">
        <v>23</v>
      </c>
      <c r="D134" s="823" t="s">
        <v>26</v>
      </c>
      <c r="E134" s="401">
        <v>4.5199999999999997E-2</v>
      </c>
      <c r="F134" s="818">
        <f>F132*E134</f>
        <v>12.203999999999999</v>
      </c>
      <c r="G134" s="819"/>
      <c r="H134" s="819"/>
      <c r="I134" s="819"/>
      <c r="J134" s="819"/>
      <c r="K134" s="819"/>
      <c r="L134" s="819"/>
      <c r="M134" s="819"/>
    </row>
    <row r="135" spans="1:15" customFormat="1" ht="15.75">
      <c r="A135" s="1217"/>
      <c r="B135" s="823"/>
      <c r="C135" s="842" t="s">
        <v>676</v>
      </c>
      <c r="D135" s="823" t="s">
        <v>677</v>
      </c>
      <c r="E135" s="401"/>
      <c r="F135" s="818">
        <v>250</v>
      </c>
      <c r="G135" s="819"/>
      <c r="H135" s="819"/>
      <c r="I135" s="819"/>
      <c r="J135" s="819"/>
      <c r="K135" s="819"/>
      <c r="L135" s="819"/>
      <c r="M135" s="819"/>
    </row>
    <row r="136" spans="1:15" customFormat="1" ht="15.75">
      <c r="A136" s="1217"/>
      <c r="B136" s="823"/>
      <c r="C136" s="842" t="s">
        <v>678</v>
      </c>
      <c r="D136" s="823" t="s">
        <v>677</v>
      </c>
      <c r="E136" s="401"/>
      <c r="F136" s="818">
        <v>20</v>
      </c>
      <c r="G136" s="819"/>
      <c r="H136" s="819"/>
      <c r="I136" s="819"/>
      <c r="J136" s="819"/>
      <c r="K136" s="819"/>
      <c r="L136" s="819"/>
      <c r="M136" s="819"/>
    </row>
    <row r="137" spans="1:15" customFormat="1" ht="15.75">
      <c r="A137" s="1217"/>
      <c r="B137" s="823"/>
      <c r="C137" s="27" t="s">
        <v>88</v>
      </c>
      <c r="D137" s="823" t="s">
        <v>26</v>
      </c>
      <c r="E137" s="401">
        <v>5.9999999999999995E-4</v>
      </c>
      <c r="F137" s="818">
        <f>F132*E137</f>
        <v>0.16199999999999998</v>
      </c>
      <c r="G137" s="819"/>
      <c r="H137" s="819"/>
      <c r="I137" s="819"/>
      <c r="J137" s="819"/>
      <c r="K137" s="819"/>
      <c r="L137" s="819"/>
      <c r="M137" s="819"/>
    </row>
    <row r="138" spans="1:15" customFormat="1" ht="15.75">
      <c r="A138" s="1191" t="s">
        <v>79</v>
      </c>
      <c r="B138" s="29" t="s">
        <v>535</v>
      </c>
      <c r="C138" s="34" t="s">
        <v>521</v>
      </c>
      <c r="D138" s="29" t="s">
        <v>39</v>
      </c>
      <c r="E138" s="850"/>
      <c r="F138" s="24">
        <f>0.7*(0.7-0.2)*F121</f>
        <v>94.499999999999986</v>
      </c>
      <c r="G138" s="30"/>
      <c r="H138" s="30"/>
      <c r="I138" s="30"/>
      <c r="J138" s="30"/>
      <c r="K138" s="30"/>
      <c r="L138" s="30"/>
      <c r="M138" s="30"/>
    </row>
    <row r="139" spans="1:15" customFormat="1" ht="15.75">
      <c r="A139" s="1205"/>
      <c r="B139" s="821"/>
      <c r="C139" s="31" t="s">
        <v>35</v>
      </c>
      <c r="D139" s="104" t="s">
        <v>12</v>
      </c>
      <c r="E139" s="32">
        <v>1.21</v>
      </c>
      <c r="F139" s="818">
        <f>F138*E139</f>
        <v>114.34499999999998</v>
      </c>
      <c r="G139" s="30"/>
      <c r="H139" s="30"/>
      <c r="I139" s="30"/>
      <c r="J139" s="30"/>
      <c r="K139" s="30"/>
      <c r="L139" s="30"/>
      <c r="M139" s="30"/>
    </row>
    <row r="140" spans="1:15" customFormat="1" ht="15.75" hidden="1">
      <c r="A140" s="1217" t="s">
        <v>80</v>
      </c>
      <c r="B140" s="260" t="s">
        <v>503</v>
      </c>
      <c r="C140" s="838" t="s">
        <v>504</v>
      </c>
      <c r="D140" s="839" t="s">
        <v>34</v>
      </c>
      <c r="E140" s="559"/>
      <c r="F140" s="560">
        <f>0*0.7*(1-0.3)</f>
        <v>0</v>
      </c>
      <c r="G140" s="88"/>
      <c r="H140" s="819"/>
      <c r="I140" s="88"/>
      <c r="J140" s="819"/>
      <c r="K140" s="88"/>
      <c r="L140" s="819"/>
      <c r="M140" s="819"/>
    </row>
    <row r="141" spans="1:15" customFormat="1" ht="15.75" hidden="1">
      <c r="A141" s="1217"/>
      <c r="B141" s="823"/>
      <c r="C141" s="27" t="s">
        <v>20</v>
      </c>
      <c r="D141" s="823" t="s">
        <v>12</v>
      </c>
      <c r="E141" s="401">
        <f>17.8/10</f>
        <v>1.78</v>
      </c>
      <c r="F141" s="818">
        <f>E141*F140</f>
        <v>0</v>
      </c>
      <c r="G141" s="30"/>
      <c r="H141" s="819"/>
      <c r="I141" s="30"/>
      <c r="J141" s="819"/>
      <c r="K141" s="30"/>
      <c r="L141" s="819"/>
      <c r="M141" s="819"/>
    </row>
    <row r="142" spans="1:15" customFormat="1" ht="15.75" hidden="1">
      <c r="A142" s="1217"/>
      <c r="B142" s="823"/>
      <c r="C142" s="27" t="s">
        <v>32</v>
      </c>
      <c r="D142" s="823" t="s">
        <v>31</v>
      </c>
      <c r="E142" s="401">
        <v>1.1000000000000001</v>
      </c>
      <c r="F142" s="818">
        <f>E142*F140</f>
        <v>0</v>
      </c>
      <c r="G142" s="30"/>
      <c r="H142" s="819"/>
      <c r="I142" s="30"/>
      <c r="J142" s="819"/>
      <c r="K142" s="30"/>
      <c r="L142" s="819"/>
      <c r="M142" s="819"/>
    </row>
    <row r="143" spans="1:15" customFormat="1" ht="31.5">
      <c r="A143" s="1146" t="s">
        <v>80</v>
      </c>
      <c r="B143" s="75" t="s">
        <v>82</v>
      </c>
      <c r="C143" s="98" t="s">
        <v>122</v>
      </c>
      <c r="D143" s="260" t="s">
        <v>40</v>
      </c>
      <c r="E143" s="243"/>
      <c r="F143" s="76">
        <f>(F122+F124-F138)*1.95</f>
        <v>73.709999999999994</v>
      </c>
      <c r="G143" s="22"/>
      <c r="H143" s="819"/>
      <c r="I143" s="22"/>
      <c r="J143" s="819"/>
      <c r="K143" s="22"/>
      <c r="L143" s="819"/>
      <c r="M143" s="819"/>
    </row>
    <row r="144" spans="1:15" customFormat="1" ht="15.75">
      <c r="A144" s="1148"/>
      <c r="B144" s="636"/>
      <c r="C144" s="41" t="s">
        <v>56</v>
      </c>
      <c r="D144" s="42" t="s">
        <v>12</v>
      </c>
      <c r="E144" s="243">
        <v>0.53</v>
      </c>
      <c r="F144" s="43">
        <f>F143*E144</f>
        <v>39.066299999999998</v>
      </c>
      <c r="G144" s="22"/>
      <c r="H144" s="819"/>
      <c r="I144" s="22"/>
      <c r="J144" s="819"/>
      <c r="K144" s="22"/>
      <c r="L144" s="819"/>
      <c r="M144" s="819"/>
    </row>
    <row r="145" spans="1:13" customFormat="1" ht="31.5">
      <c r="A145" s="1147"/>
      <c r="B145" s="260" t="s">
        <v>679</v>
      </c>
      <c r="C145" s="464" t="s">
        <v>187</v>
      </c>
      <c r="D145" s="260" t="s">
        <v>40</v>
      </c>
      <c r="E145" s="240"/>
      <c r="F145" s="193">
        <f>F143</f>
        <v>73.709999999999994</v>
      </c>
      <c r="G145" s="819"/>
      <c r="H145" s="819"/>
      <c r="I145" s="819"/>
      <c r="J145" s="819"/>
      <c r="K145" s="22"/>
      <c r="L145" s="819"/>
      <c r="M145" s="819"/>
    </row>
    <row r="146" spans="1:13" customFormat="1" ht="15.75">
      <c r="A146" s="1218" t="s">
        <v>81</v>
      </c>
      <c r="B146" s="260" t="s">
        <v>483</v>
      </c>
      <c r="C146" s="56" t="s">
        <v>502</v>
      </c>
      <c r="D146" s="260" t="s">
        <v>66</v>
      </c>
      <c r="E146" s="15"/>
      <c r="F146" s="24">
        <f>F149+F150+F151</f>
        <v>1</v>
      </c>
      <c r="G146" s="17"/>
      <c r="H146" s="13"/>
      <c r="I146" s="17"/>
      <c r="J146" s="13"/>
      <c r="K146" s="17"/>
      <c r="L146" s="13"/>
      <c r="M146" s="13"/>
    </row>
    <row r="147" spans="1:13" customFormat="1" ht="15.75">
      <c r="A147" s="1218"/>
      <c r="B147" s="823"/>
      <c r="C147" s="27" t="s">
        <v>481</v>
      </c>
      <c r="D147" s="823" t="s">
        <v>68</v>
      </c>
      <c r="E147" s="401">
        <v>1.51</v>
      </c>
      <c r="F147" s="818">
        <f>F146*E147</f>
        <v>1.51</v>
      </c>
      <c r="G147" s="819"/>
      <c r="H147" s="13"/>
      <c r="I147" s="819"/>
      <c r="J147" s="819"/>
      <c r="K147" s="819"/>
      <c r="L147" s="13"/>
      <c r="M147" s="819"/>
    </row>
    <row r="148" spans="1:13" customFormat="1" ht="15.75">
      <c r="A148" s="1218"/>
      <c r="B148" s="823"/>
      <c r="C148" s="27" t="s">
        <v>482</v>
      </c>
      <c r="D148" s="823" t="s">
        <v>26</v>
      </c>
      <c r="E148" s="401">
        <v>0.13</v>
      </c>
      <c r="F148" s="818">
        <f>F146*E148</f>
        <v>0.13</v>
      </c>
      <c r="G148" s="819"/>
      <c r="H148" s="13"/>
      <c r="I148" s="819"/>
      <c r="J148" s="13"/>
      <c r="K148" s="819"/>
      <c r="L148" s="819"/>
      <c r="M148" s="819"/>
    </row>
    <row r="149" spans="1:13" customFormat="1" ht="15.75" hidden="1">
      <c r="A149" s="1218"/>
      <c r="B149" s="823"/>
      <c r="C149" s="27" t="s">
        <v>680</v>
      </c>
      <c r="D149" s="823" t="s">
        <v>66</v>
      </c>
      <c r="E149" s="401"/>
      <c r="F149" s="818"/>
      <c r="G149" s="819"/>
      <c r="H149" s="819"/>
      <c r="I149" s="819"/>
      <c r="J149" s="13"/>
      <c r="K149" s="819"/>
      <c r="L149" s="13"/>
      <c r="M149" s="819"/>
    </row>
    <row r="150" spans="1:13" customFormat="1" ht="15.75">
      <c r="A150" s="1218"/>
      <c r="B150" s="823"/>
      <c r="C150" s="27" t="s">
        <v>484</v>
      </c>
      <c r="D150" s="823" t="s">
        <v>66</v>
      </c>
      <c r="E150" s="401"/>
      <c r="F150" s="818">
        <v>1</v>
      </c>
      <c r="G150" s="819"/>
      <c r="H150" s="819"/>
      <c r="I150" s="819"/>
      <c r="J150" s="13"/>
      <c r="K150" s="819"/>
      <c r="L150" s="13"/>
      <c r="M150" s="819"/>
    </row>
    <row r="151" spans="1:13" customFormat="1" ht="15.75" hidden="1">
      <c r="A151" s="1218"/>
      <c r="B151" s="823"/>
      <c r="C151" s="27" t="s">
        <v>681</v>
      </c>
      <c r="D151" s="823" t="s">
        <v>52</v>
      </c>
      <c r="E151" s="401"/>
      <c r="F151" s="818"/>
      <c r="G151" s="819"/>
      <c r="H151" s="819"/>
      <c r="I151" s="819"/>
      <c r="J151" s="13"/>
      <c r="K151" s="819"/>
      <c r="L151" s="13"/>
      <c r="M151" s="819"/>
    </row>
    <row r="152" spans="1:13" customFormat="1" ht="15.75">
      <c r="A152" s="1218"/>
      <c r="B152" s="823"/>
      <c r="C152" s="27" t="s">
        <v>88</v>
      </c>
      <c r="D152" s="823" t="s">
        <v>26</v>
      </c>
      <c r="E152" s="401">
        <v>7.0000000000000007E-2</v>
      </c>
      <c r="F152" s="818">
        <f>F146*E152</f>
        <v>7.0000000000000007E-2</v>
      </c>
      <c r="G152" s="819"/>
      <c r="H152" s="819"/>
      <c r="I152" s="819"/>
      <c r="J152" s="13"/>
      <c r="K152" s="819"/>
      <c r="L152" s="13"/>
      <c r="M152" s="819"/>
    </row>
    <row r="153" spans="1:13" customFormat="1" ht="15.75">
      <c r="A153" s="1104" t="s">
        <v>77</v>
      </c>
      <c r="B153" s="260" t="s">
        <v>682</v>
      </c>
      <c r="C153" s="56" t="s">
        <v>683</v>
      </c>
      <c r="D153" s="823"/>
      <c r="E153" s="401"/>
      <c r="F153" s="24">
        <f>F156</f>
        <v>1</v>
      </c>
      <c r="G153" s="819"/>
      <c r="H153" s="614"/>
      <c r="I153" s="819"/>
      <c r="J153" s="819"/>
      <c r="K153" s="819"/>
      <c r="L153" s="819"/>
      <c r="M153" s="614"/>
    </row>
    <row r="154" spans="1:13" customFormat="1" ht="15.75">
      <c r="A154" s="1105"/>
      <c r="B154" s="823"/>
      <c r="C154" s="27" t="s">
        <v>20</v>
      </c>
      <c r="D154" s="823" t="s">
        <v>12</v>
      </c>
      <c r="E154" s="401">
        <v>1.06</v>
      </c>
      <c r="F154" s="818">
        <f>F153*E154</f>
        <v>1.06</v>
      </c>
      <c r="G154" s="819"/>
      <c r="H154" s="13"/>
      <c r="I154" s="819"/>
      <c r="J154" s="614"/>
      <c r="K154" s="614"/>
      <c r="L154" s="614"/>
      <c r="M154" s="819"/>
    </row>
    <row r="155" spans="1:13" customFormat="1" ht="15.75">
      <c r="A155" s="1105"/>
      <c r="B155" s="823"/>
      <c r="C155" s="27" t="s">
        <v>23</v>
      </c>
      <c r="D155" s="823" t="s">
        <v>9</v>
      </c>
      <c r="E155" s="401">
        <v>0.16</v>
      </c>
      <c r="F155" s="818">
        <f>F153*E155</f>
        <v>0.16</v>
      </c>
      <c r="G155" s="819"/>
      <c r="H155" s="13"/>
      <c r="I155" s="614"/>
      <c r="J155" s="614"/>
      <c r="K155" s="614"/>
      <c r="L155" s="614"/>
      <c r="M155" s="614"/>
    </row>
    <row r="156" spans="1:13" customFormat="1" ht="31.5">
      <c r="A156" s="1105"/>
      <c r="B156" s="823"/>
      <c r="C156" s="25" t="s">
        <v>684</v>
      </c>
      <c r="D156" s="275" t="s">
        <v>479</v>
      </c>
      <c r="E156" s="4">
        <v>1</v>
      </c>
      <c r="F156" s="818">
        <v>1</v>
      </c>
      <c r="G156" s="819"/>
      <c r="H156" s="13"/>
      <c r="I156" s="614"/>
      <c r="J156" s="13"/>
      <c r="K156" s="13"/>
      <c r="L156" s="13"/>
      <c r="M156" s="13"/>
    </row>
    <row r="157" spans="1:13" customFormat="1" ht="15.75">
      <c r="A157" s="1106"/>
      <c r="B157" s="823"/>
      <c r="C157" s="27" t="s">
        <v>685</v>
      </c>
      <c r="D157" s="275" t="s">
        <v>9</v>
      </c>
      <c r="E157" s="4">
        <v>0.02</v>
      </c>
      <c r="F157" s="818">
        <f>F153*E157</f>
        <v>0.02</v>
      </c>
      <c r="G157" s="819"/>
      <c r="H157" s="13"/>
      <c r="I157" s="614"/>
      <c r="J157" s="13"/>
      <c r="K157" s="13"/>
      <c r="L157" s="13"/>
      <c r="M157" s="13"/>
    </row>
    <row r="158" spans="1:13" s="152" customFormat="1" ht="15.75">
      <c r="A158" s="817" t="s">
        <v>42</v>
      </c>
      <c r="B158" s="613"/>
      <c r="C158" s="56" t="s">
        <v>686</v>
      </c>
      <c r="D158" s="823" t="s">
        <v>75</v>
      </c>
      <c r="E158" s="401"/>
      <c r="F158" s="611">
        <v>1</v>
      </c>
      <c r="G158" s="88"/>
      <c r="H158" s="13"/>
      <c r="I158" s="819"/>
      <c r="J158" s="13"/>
      <c r="K158" s="819"/>
      <c r="L158" s="13"/>
      <c r="M158" s="13"/>
    </row>
    <row r="159" spans="1:13" s="152" customFormat="1" ht="31.5">
      <c r="A159" s="1152" t="s">
        <v>687</v>
      </c>
      <c r="B159" s="93" t="s">
        <v>33</v>
      </c>
      <c r="C159" s="92" t="s">
        <v>688</v>
      </c>
      <c r="D159" s="822" t="s">
        <v>39</v>
      </c>
      <c r="E159" s="629"/>
      <c r="F159" s="24">
        <f>1.3*1.3*1.2*F158</f>
        <v>2.028</v>
      </c>
      <c r="G159" s="30"/>
      <c r="H159" s="13"/>
      <c r="I159" s="30"/>
      <c r="J159" s="13"/>
      <c r="K159" s="30"/>
      <c r="L159" s="13"/>
      <c r="M159" s="13"/>
    </row>
    <row r="160" spans="1:13" s="152" customFormat="1" ht="15.75">
      <c r="A160" s="1154"/>
      <c r="B160" s="822"/>
      <c r="C160" s="91" t="s">
        <v>38</v>
      </c>
      <c r="D160" s="822" t="s">
        <v>31</v>
      </c>
      <c r="E160" s="177">
        <v>3.88</v>
      </c>
      <c r="F160" s="94">
        <f>E160*F159</f>
        <v>7.8686400000000001</v>
      </c>
      <c r="G160" s="30"/>
      <c r="H160" s="13"/>
      <c r="I160" s="30"/>
      <c r="J160" s="13"/>
      <c r="K160" s="30"/>
      <c r="L160" s="13"/>
      <c r="M160" s="13"/>
    </row>
    <row r="161" spans="1:13" s="152" customFormat="1" ht="27">
      <c r="A161" s="1152" t="s">
        <v>689</v>
      </c>
      <c r="B161" s="93" t="s">
        <v>690</v>
      </c>
      <c r="C161" s="622" t="s">
        <v>691</v>
      </c>
      <c r="D161" s="93" t="s">
        <v>479</v>
      </c>
      <c r="E161" s="641"/>
      <c r="F161" s="24">
        <f>F158</f>
        <v>1</v>
      </c>
      <c r="G161" s="843"/>
      <c r="H161" s="13"/>
      <c r="I161" s="844"/>
      <c r="J161" s="13"/>
      <c r="K161" s="844"/>
      <c r="L161" s="13"/>
      <c r="M161" s="13"/>
    </row>
    <row r="162" spans="1:13" s="152" customFormat="1" ht="15.75">
      <c r="A162" s="1153"/>
      <c r="B162" s="822"/>
      <c r="C162" s="91" t="s">
        <v>54</v>
      </c>
      <c r="D162" s="822" t="s">
        <v>12</v>
      </c>
      <c r="E162" s="629">
        <v>14.6</v>
      </c>
      <c r="F162" s="89">
        <f>F161*E162</f>
        <v>14.6</v>
      </c>
      <c r="G162" s="845"/>
      <c r="H162" s="13"/>
      <c r="I162" s="844"/>
      <c r="J162" s="13"/>
      <c r="K162" s="844"/>
      <c r="L162" s="13"/>
      <c r="M162" s="13"/>
    </row>
    <row r="163" spans="1:13" s="152" customFormat="1" ht="15.75">
      <c r="A163" s="1153"/>
      <c r="B163" s="822"/>
      <c r="C163" s="91" t="s">
        <v>11</v>
      </c>
      <c r="D163" s="822" t="s">
        <v>9</v>
      </c>
      <c r="E163" s="629">
        <v>5.5</v>
      </c>
      <c r="F163" s="89">
        <f>F161*E163</f>
        <v>5.5</v>
      </c>
      <c r="G163" s="844"/>
      <c r="H163" s="13"/>
      <c r="I163" s="844"/>
      <c r="J163" s="13"/>
      <c r="K163" s="844"/>
      <c r="L163" s="13"/>
      <c r="M163" s="13"/>
    </row>
    <row r="164" spans="1:13" s="152" customFormat="1" ht="15.75">
      <c r="A164" s="1153"/>
      <c r="B164" s="822"/>
      <c r="C164" s="91" t="s">
        <v>714</v>
      </c>
      <c r="D164" s="822" t="s">
        <v>479</v>
      </c>
      <c r="E164" s="629">
        <v>1</v>
      </c>
      <c r="F164" s="89">
        <f>F161</f>
        <v>1</v>
      </c>
      <c r="G164" s="844"/>
      <c r="H164" s="13"/>
      <c r="I164" s="844"/>
      <c r="J164" s="13"/>
      <c r="K164" s="819"/>
      <c r="L164" s="13"/>
      <c r="M164" s="13"/>
    </row>
    <row r="165" spans="1:13" s="152" customFormat="1" ht="15.75">
      <c r="A165" s="1153"/>
      <c r="B165" s="822"/>
      <c r="C165" s="91" t="s">
        <v>692</v>
      </c>
      <c r="D165" s="822" t="s">
        <v>479</v>
      </c>
      <c r="E165" s="629">
        <v>1</v>
      </c>
      <c r="F165" s="89">
        <f>F161*E165</f>
        <v>1</v>
      </c>
      <c r="G165" s="844"/>
      <c r="H165" s="13"/>
      <c r="I165" s="844"/>
      <c r="J165" s="13"/>
      <c r="K165" s="819"/>
      <c r="L165" s="13"/>
      <c r="M165" s="13"/>
    </row>
    <row r="166" spans="1:13" s="152" customFormat="1" ht="15.75">
      <c r="A166" s="1153"/>
      <c r="B166" s="822"/>
      <c r="C166" s="91" t="s">
        <v>693</v>
      </c>
      <c r="D166" s="822" t="s">
        <v>479</v>
      </c>
      <c r="E166" s="629">
        <v>1</v>
      </c>
      <c r="F166" s="89">
        <f>F161*E166</f>
        <v>1</v>
      </c>
      <c r="G166" s="844"/>
      <c r="H166" s="13"/>
      <c r="I166" s="844"/>
      <c r="J166" s="13"/>
      <c r="K166" s="819"/>
      <c r="L166" s="13"/>
      <c r="M166" s="13"/>
    </row>
    <row r="167" spans="1:13" s="152" customFormat="1" ht="15.75">
      <c r="A167" s="1153"/>
      <c r="B167" s="822"/>
      <c r="C167" s="91" t="s">
        <v>694</v>
      </c>
      <c r="D167" s="822" t="s">
        <v>31</v>
      </c>
      <c r="E167" s="629">
        <f>(4.13+1.24)/10</f>
        <v>0.53700000000000003</v>
      </c>
      <c r="F167" s="94">
        <f>F161*E167</f>
        <v>0.53700000000000003</v>
      </c>
      <c r="G167" s="844"/>
      <c r="H167" s="13"/>
      <c r="I167" s="844"/>
      <c r="J167" s="13"/>
      <c r="K167" s="819"/>
      <c r="L167" s="13"/>
      <c r="M167" s="13"/>
    </row>
    <row r="168" spans="1:13" s="152" customFormat="1" ht="15.75">
      <c r="A168" s="1153"/>
      <c r="B168" s="822"/>
      <c r="C168" s="91" t="s">
        <v>695</v>
      </c>
      <c r="D168" s="822" t="s">
        <v>40</v>
      </c>
      <c r="E168" s="629">
        <v>7.0000000000000001E-3</v>
      </c>
      <c r="F168" s="94">
        <f>F161*E168</f>
        <v>7.0000000000000001E-3</v>
      </c>
      <c r="G168" s="844"/>
      <c r="H168" s="13"/>
      <c r="I168" s="844"/>
      <c r="J168" s="13"/>
      <c r="K168" s="819"/>
      <c r="L168" s="13"/>
      <c r="M168" s="13"/>
    </row>
    <row r="169" spans="1:13" s="152" customFormat="1" ht="15.75">
      <c r="A169" s="1153"/>
      <c r="B169" s="822"/>
      <c r="C169" s="27" t="s">
        <v>505</v>
      </c>
      <c r="D169" s="823" t="s">
        <v>7</v>
      </c>
      <c r="E169" s="629">
        <v>7.85</v>
      </c>
      <c r="F169" s="94">
        <f>F161*E169</f>
        <v>7.85</v>
      </c>
      <c r="G169" s="844"/>
      <c r="H169" s="13"/>
      <c r="I169" s="844"/>
      <c r="J169" s="13"/>
      <c r="K169" s="819"/>
      <c r="L169" s="13"/>
      <c r="M169" s="13"/>
    </row>
    <row r="170" spans="1:13" s="152" customFormat="1" ht="15.75">
      <c r="A170" s="1154"/>
      <c r="B170" s="822"/>
      <c r="C170" s="91" t="s">
        <v>13</v>
      </c>
      <c r="D170" s="822" t="s">
        <v>9</v>
      </c>
      <c r="E170" s="629">
        <v>6.77</v>
      </c>
      <c r="F170" s="89">
        <f>F161*E170</f>
        <v>6.77</v>
      </c>
      <c r="G170" s="844"/>
      <c r="H170" s="13"/>
      <c r="I170" s="844"/>
      <c r="J170" s="13"/>
      <c r="K170" s="844"/>
      <c r="L170" s="13"/>
      <c r="M170" s="13"/>
    </row>
    <row r="171" spans="1:13" s="152" customFormat="1" ht="31.5">
      <c r="A171" s="1152" t="s">
        <v>696</v>
      </c>
      <c r="B171" s="846" t="s">
        <v>82</v>
      </c>
      <c r="C171" s="847" t="s">
        <v>697</v>
      </c>
      <c r="D171" s="203" t="s">
        <v>40</v>
      </c>
      <c r="E171" s="243"/>
      <c r="F171" s="24">
        <f>F159*1.95</f>
        <v>3.9546000000000001</v>
      </c>
      <c r="G171" s="22"/>
      <c r="H171" s="13"/>
      <c r="I171" s="22"/>
      <c r="J171" s="13"/>
      <c r="K171" s="22"/>
      <c r="L171" s="13"/>
      <c r="M171" s="156"/>
    </row>
    <row r="172" spans="1:13" s="152" customFormat="1" ht="15.75">
      <c r="A172" s="1153"/>
      <c r="B172" s="636"/>
      <c r="C172" s="848" t="s">
        <v>56</v>
      </c>
      <c r="D172" s="42" t="s">
        <v>12</v>
      </c>
      <c r="E172" s="243">
        <v>0.53</v>
      </c>
      <c r="F172" s="43">
        <f>F171*E172</f>
        <v>2.0959380000000003</v>
      </c>
      <c r="G172" s="22"/>
      <c r="H172" s="13"/>
      <c r="I172" s="22"/>
      <c r="J172" s="13"/>
      <c r="K172" s="22"/>
      <c r="L172" s="13"/>
      <c r="M172" s="156"/>
    </row>
    <row r="173" spans="1:13" s="152" customFormat="1" ht="27">
      <c r="A173" s="1154"/>
      <c r="B173" s="263" t="s">
        <v>698</v>
      </c>
      <c r="C173" s="849" t="s">
        <v>171</v>
      </c>
      <c r="D173" s="203" t="s">
        <v>40</v>
      </c>
      <c r="E173" s="243"/>
      <c r="F173" s="24">
        <f>F171</f>
        <v>3.9546000000000001</v>
      </c>
      <c r="G173" s="22"/>
      <c r="H173" s="13"/>
      <c r="I173" s="22"/>
      <c r="J173" s="13"/>
      <c r="K173" s="293"/>
      <c r="L173" s="13"/>
      <c r="M173" s="156"/>
    </row>
    <row r="174" spans="1:13" customFormat="1" ht="31.5">
      <c r="A174" s="1214" t="s">
        <v>46</v>
      </c>
      <c r="B174" s="260"/>
      <c r="C174" s="56" t="s">
        <v>699</v>
      </c>
      <c r="D174" s="260"/>
      <c r="E174" s="15"/>
      <c r="F174" s="24"/>
      <c r="G174" s="819"/>
      <c r="H174" s="819"/>
      <c r="I174" s="819"/>
      <c r="J174" s="819"/>
      <c r="K174" s="819"/>
      <c r="L174" s="819"/>
      <c r="M174" s="819"/>
    </row>
    <row r="175" spans="1:13" customFormat="1" ht="15.75">
      <c r="A175" s="1215"/>
      <c r="B175" s="260"/>
      <c r="C175" s="27" t="s">
        <v>481</v>
      </c>
      <c r="D175" s="823" t="s">
        <v>75</v>
      </c>
      <c r="E175" s="401"/>
      <c r="F175" s="818">
        <v>1</v>
      </c>
      <c r="G175" s="819"/>
      <c r="H175" s="819"/>
      <c r="I175" s="819"/>
      <c r="J175" s="819"/>
      <c r="K175" s="819"/>
      <c r="L175" s="819"/>
      <c r="M175" s="819"/>
    </row>
    <row r="176" spans="1:13" customFormat="1" ht="47.25">
      <c r="A176" s="1215"/>
      <c r="B176" s="823"/>
      <c r="C176" s="27" t="s">
        <v>700</v>
      </c>
      <c r="D176" s="823" t="s">
        <v>75</v>
      </c>
      <c r="E176" s="401"/>
      <c r="F176" s="818">
        <v>1</v>
      </c>
      <c r="G176" s="819"/>
      <c r="H176" s="819"/>
      <c r="I176" s="819"/>
      <c r="J176" s="819"/>
      <c r="K176" s="819"/>
      <c r="L176" s="819"/>
      <c r="M176" s="819"/>
    </row>
    <row r="177" spans="1:14" customFormat="1" ht="31.5">
      <c r="A177" s="1215"/>
      <c r="B177" s="823"/>
      <c r="C177" s="27" t="s">
        <v>701</v>
      </c>
      <c r="D177" s="823" t="s">
        <v>75</v>
      </c>
      <c r="E177" s="401"/>
      <c r="F177" s="818">
        <v>1</v>
      </c>
      <c r="G177" s="819"/>
      <c r="H177" s="819"/>
      <c r="I177" s="819"/>
      <c r="J177" s="819"/>
      <c r="K177" s="819"/>
      <c r="L177" s="819"/>
      <c r="M177" s="819"/>
    </row>
    <row r="178" spans="1:14" customFormat="1" ht="15.75">
      <c r="A178" s="1215"/>
      <c r="B178" s="823"/>
      <c r="C178" s="27" t="s">
        <v>702</v>
      </c>
      <c r="D178" s="823" t="s">
        <v>52</v>
      </c>
      <c r="E178" s="401"/>
      <c r="F178" s="818">
        <v>1</v>
      </c>
      <c r="G178" s="819"/>
      <c r="H178" s="819"/>
      <c r="I178" s="819"/>
      <c r="J178" s="819"/>
      <c r="K178" s="819"/>
      <c r="L178" s="819"/>
      <c r="M178" s="819"/>
    </row>
    <row r="179" spans="1:14" customFormat="1" ht="15.75">
      <c r="A179" s="1215"/>
      <c r="B179" s="823"/>
      <c r="C179" s="27" t="s">
        <v>703</v>
      </c>
      <c r="D179" s="823" t="s">
        <v>75</v>
      </c>
      <c r="E179" s="401"/>
      <c r="F179" s="818">
        <v>2</v>
      </c>
      <c r="G179" s="819"/>
      <c r="H179" s="819"/>
      <c r="I179" s="819"/>
      <c r="J179" s="819"/>
      <c r="K179" s="819"/>
      <c r="L179" s="819"/>
      <c r="M179" s="819"/>
    </row>
    <row r="180" spans="1:14" customFormat="1" ht="31.5">
      <c r="A180" s="1215"/>
      <c r="B180" s="823"/>
      <c r="C180" s="27" t="s">
        <v>704</v>
      </c>
      <c r="D180" s="823" t="s">
        <v>75</v>
      </c>
      <c r="E180" s="401"/>
      <c r="F180" s="818">
        <v>20</v>
      </c>
      <c r="G180" s="819"/>
      <c r="H180" s="819"/>
      <c r="I180" s="819"/>
      <c r="J180" s="819"/>
      <c r="K180" s="819"/>
      <c r="L180" s="819"/>
      <c r="M180" s="819"/>
    </row>
    <row r="181" spans="1:14" customFormat="1" ht="15.75">
      <c r="A181" s="1215"/>
      <c r="B181" s="823"/>
      <c r="C181" s="27" t="s">
        <v>705</v>
      </c>
      <c r="D181" s="823" t="s">
        <v>75</v>
      </c>
      <c r="E181" s="401"/>
      <c r="F181" s="818">
        <v>1</v>
      </c>
      <c r="G181" s="819"/>
      <c r="H181" s="819"/>
      <c r="I181" s="819"/>
      <c r="J181" s="819"/>
      <c r="K181" s="819"/>
      <c r="L181" s="819"/>
      <c r="M181" s="819"/>
    </row>
    <row r="182" spans="1:14" customFormat="1" ht="31.5">
      <c r="A182" s="1215"/>
      <c r="B182" s="823"/>
      <c r="C182" s="27" t="s">
        <v>706</v>
      </c>
      <c r="D182" s="823" t="s">
        <v>707</v>
      </c>
      <c r="E182" s="401"/>
      <c r="F182" s="818">
        <v>2</v>
      </c>
      <c r="G182" s="819"/>
      <c r="H182" s="819"/>
      <c r="I182" s="819"/>
      <c r="J182" s="819"/>
      <c r="K182" s="819"/>
      <c r="L182" s="819"/>
      <c r="M182" s="819"/>
    </row>
    <row r="183" spans="1:14" customFormat="1" ht="15.75">
      <c r="A183" s="1215"/>
      <c r="B183" s="823"/>
      <c r="C183" s="27" t="s">
        <v>708</v>
      </c>
      <c r="D183" s="823" t="s">
        <v>75</v>
      </c>
      <c r="E183" s="401"/>
      <c r="F183" s="818">
        <v>1</v>
      </c>
      <c r="G183" s="819"/>
      <c r="H183" s="819"/>
      <c r="I183" s="819"/>
      <c r="J183" s="819"/>
      <c r="K183" s="819"/>
      <c r="L183" s="819"/>
      <c r="M183" s="819"/>
    </row>
    <row r="184" spans="1:14" customFormat="1" ht="14.25" customHeight="1">
      <c r="A184" s="1216"/>
      <c r="B184" s="823"/>
      <c r="C184" s="27" t="s">
        <v>709</v>
      </c>
      <c r="D184" s="823" t="s">
        <v>52</v>
      </c>
      <c r="E184" s="401"/>
      <c r="F184" s="818">
        <v>20</v>
      </c>
      <c r="G184" s="819"/>
      <c r="H184" s="819"/>
      <c r="I184" s="819"/>
      <c r="J184" s="819"/>
      <c r="K184" s="819"/>
      <c r="L184" s="819"/>
      <c r="M184" s="819"/>
    </row>
    <row r="185" spans="1:14" ht="15.75" hidden="1">
      <c r="A185" s="823"/>
      <c r="B185" s="631"/>
      <c r="C185" s="27"/>
      <c r="D185" s="823"/>
      <c r="E185" s="401"/>
      <c r="F185" s="818"/>
      <c r="G185" s="819"/>
      <c r="H185" s="819"/>
      <c r="I185" s="819"/>
      <c r="J185" s="819"/>
      <c r="K185" s="30"/>
      <c r="L185" s="819"/>
      <c r="M185" s="819"/>
    </row>
    <row r="186" spans="1:14" ht="31.5" hidden="1">
      <c r="A186" s="1210" t="s">
        <v>48</v>
      </c>
      <c r="B186" s="93" t="s">
        <v>506</v>
      </c>
      <c r="C186" s="56" t="s">
        <v>534</v>
      </c>
      <c r="D186" s="93" t="s">
        <v>479</v>
      </c>
      <c r="E186" s="641"/>
      <c r="F186" s="24">
        <v>0</v>
      </c>
      <c r="G186" s="88"/>
      <c r="H186" s="854"/>
      <c r="I186" s="30"/>
      <c r="J186" s="854"/>
      <c r="K186" s="30"/>
      <c r="L186" s="854"/>
      <c r="M186" s="854"/>
    </row>
    <row r="187" spans="1:14" ht="15.75" hidden="1">
      <c r="A187" s="1211"/>
      <c r="B187" s="855"/>
      <c r="C187" s="27" t="s">
        <v>38</v>
      </c>
      <c r="D187" s="856" t="s">
        <v>12</v>
      </c>
      <c r="E187" s="401">
        <v>3.15</v>
      </c>
      <c r="F187" s="853">
        <f>F186*E187</f>
        <v>0</v>
      </c>
      <c r="G187" s="30"/>
      <c r="H187" s="854"/>
      <c r="I187" s="30"/>
      <c r="J187" s="854"/>
      <c r="K187" s="30"/>
      <c r="L187" s="854"/>
      <c r="M187" s="854"/>
    </row>
    <row r="188" spans="1:14" ht="15.75" hidden="1">
      <c r="A188" s="1211"/>
      <c r="B188" s="855"/>
      <c r="C188" s="91" t="s">
        <v>11</v>
      </c>
      <c r="D188" s="855" t="s">
        <v>9</v>
      </c>
      <c r="E188" s="629">
        <v>0.84</v>
      </c>
      <c r="F188" s="89">
        <f>F186*E188</f>
        <v>0</v>
      </c>
      <c r="G188" s="30"/>
      <c r="H188" s="854"/>
      <c r="I188" s="30"/>
      <c r="J188" s="854"/>
      <c r="K188" s="30"/>
      <c r="L188" s="854"/>
      <c r="M188" s="854"/>
    </row>
    <row r="189" spans="1:14" ht="15.75" hidden="1">
      <c r="A189" s="1211"/>
      <c r="B189" s="855"/>
      <c r="C189" s="91" t="s">
        <v>507</v>
      </c>
      <c r="D189" s="855" t="s">
        <v>90</v>
      </c>
      <c r="E189" s="629">
        <v>5</v>
      </c>
      <c r="F189" s="94">
        <f>E189*F186</f>
        <v>0</v>
      </c>
      <c r="G189" s="30"/>
      <c r="H189" s="854"/>
      <c r="I189" s="30"/>
      <c r="J189" s="854"/>
      <c r="K189" s="30"/>
      <c r="L189" s="854"/>
      <c r="M189" s="854"/>
    </row>
    <row r="190" spans="1:14" ht="15.75" hidden="1">
      <c r="A190" s="1212"/>
      <c r="B190" s="855"/>
      <c r="C190" s="91" t="s">
        <v>13</v>
      </c>
      <c r="D190" s="855" t="s">
        <v>9</v>
      </c>
      <c r="E190" s="629">
        <v>0.47</v>
      </c>
      <c r="F190" s="89">
        <f>F186*E190</f>
        <v>0</v>
      </c>
      <c r="G190" s="30"/>
      <c r="H190" s="854"/>
      <c r="I190" s="30"/>
      <c r="J190" s="854"/>
      <c r="K190" s="30"/>
      <c r="L190" s="854"/>
      <c r="M190" s="854"/>
    </row>
    <row r="191" spans="1:14" ht="15.75" hidden="1">
      <c r="A191" s="856"/>
      <c r="B191" s="631"/>
      <c r="C191" s="27"/>
      <c r="D191" s="856"/>
      <c r="E191" s="401"/>
      <c r="F191" s="853"/>
      <c r="G191" s="854"/>
      <c r="H191" s="854"/>
      <c r="I191" s="854"/>
      <c r="J191" s="854"/>
      <c r="K191" s="30"/>
      <c r="L191" s="854"/>
      <c r="M191" s="854"/>
    </row>
    <row r="192" spans="1:14" ht="15.75">
      <c r="A192" s="366"/>
      <c r="B192" s="366"/>
      <c r="C192" s="361" t="s">
        <v>537</v>
      </c>
      <c r="D192" s="366"/>
      <c r="E192" s="367"/>
      <c r="F192" s="368"/>
      <c r="G192" s="369"/>
      <c r="H192" s="369"/>
      <c r="I192" s="369"/>
      <c r="J192" s="369"/>
      <c r="K192" s="369"/>
      <c r="L192" s="369"/>
      <c r="M192" s="369"/>
      <c r="N192" s="642">
        <f>H192+J192+L192</f>
        <v>0</v>
      </c>
    </row>
    <row r="193" spans="1:13" ht="31.5">
      <c r="A193" s="203"/>
      <c r="B193" s="207"/>
      <c r="C193" s="208" t="s">
        <v>538</v>
      </c>
      <c r="D193" s="207"/>
      <c r="E193" s="209"/>
      <c r="F193" s="210">
        <v>0.05</v>
      </c>
      <c r="G193" s="211"/>
      <c r="H193" s="211"/>
      <c r="I193" s="211"/>
      <c r="J193" s="211"/>
      <c r="K193" s="211"/>
      <c r="L193" s="211"/>
      <c r="M193" s="568"/>
    </row>
    <row r="194" spans="1:13" ht="15.75">
      <c r="A194" s="203"/>
      <c r="B194" s="207"/>
      <c r="C194" s="212" t="s">
        <v>25</v>
      </c>
      <c r="D194" s="207"/>
      <c r="E194" s="209"/>
      <c r="F194" s="569"/>
      <c r="G194" s="211"/>
      <c r="H194" s="211"/>
      <c r="I194" s="211"/>
      <c r="J194" s="211"/>
      <c r="K194" s="211"/>
      <c r="L194" s="211"/>
      <c r="M194" s="568"/>
    </row>
    <row r="195" spans="1:13" ht="15.75">
      <c r="A195" s="643"/>
      <c r="B195" s="213"/>
      <c r="C195" s="214" t="s">
        <v>128</v>
      </c>
      <c r="D195" s="215"/>
      <c r="E195" s="570"/>
      <c r="F195" s="216" t="s">
        <v>970</v>
      </c>
      <c r="G195" s="571"/>
      <c r="H195" s="571"/>
      <c r="I195" s="571"/>
      <c r="J195" s="571"/>
      <c r="K195" s="571"/>
      <c r="L195" s="571"/>
      <c r="M195" s="571"/>
    </row>
    <row r="196" spans="1:13" ht="15.75">
      <c r="A196" s="217"/>
      <c r="B196" s="218"/>
      <c r="C196" s="212" t="s">
        <v>25</v>
      </c>
      <c r="D196" s="219"/>
      <c r="E196" s="220"/>
      <c r="F196" s="572"/>
      <c r="G196" s="206"/>
      <c r="H196" s="206"/>
      <c r="I196" s="206"/>
      <c r="J196" s="206"/>
      <c r="K196" s="206"/>
      <c r="L196" s="206"/>
      <c r="M196" s="206"/>
    </row>
    <row r="197" spans="1:13" ht="15.75">
      <c r="A197" s="217"/>
      <c r="B197" s="218"/>
      <c r="C197" s="221" t="s">
        <v>74</v>
      </c>
      <c r="D197" s="219"/>
      <c r="E197" s="220"/>
      <c r="F197" s="573" t="s">
        <v>970</v>
      </c>
      <c r="G197" s="206"/>
      <c r="H197" s="206"/>
      <c r="I197" s="206"/>
      <c r="J197" s="206"/>
      <c r="K197" s="206"/>
      <c r="L197" s="206"/>
      <c r="M197" s="206"/>
    </row>
    <row r="198" spans="1:13" ht="15.75">
      <c r="A198" s="644"/>
      <c r="B198" s="645"/>
      <c r="C198" s="212" t="s">
        <v>25</v>
      </c>
      <c r="D198" s="646"/>
      <c r="E198" s="647"/>
      <c r="F198" s="572"/>
      <c r="G198" s="359"/>
      <c r="H198" s="359"/>
      <c r="I198" s="359"/>
      <c r="J198" s="359"/>
      <c r="K198" s="359"/>
      <c r="L198" s="359"/>
      <c r="M198" s="222"/>
    </row>
    <row r="199" spans="1:13" ht="15.75">
      <c r="A199" s="217"/>
      <c r="B199" s="218"/>
      <c r="C199" s="221" t="s">
        <v>4</v>
      </c>
      <c r="D199" s="219"/>
      <c r="E199" s="220"/>
      <c r="F199" s="226">
        <v>0.03</v>
      </c>
      <c r="G199" s="206"/>
      <c r="H199" s="206"/>
      <c r="I199" s="206"/>
      <c r="J199" s="206"/>
      <c r="K199" s="206"/>
      <c r="L199" s="206"/>
      <c r="M199" s="206"/>
    </row>
    <row r="200" spans="1:13" ht="15.75">
      <c r="A200" s="217"/>
      <c r="B200" s="218"/>
      <c r="C200" s="212" t="s">
        <v>25</v>
      </c>
      <c r="D200" s="219"/>
      <c r="E200" s="220"/>
      <c r="F200" s="224"/>
      <c r="G200" s="206"/>
      <c r="H200" s="206"/>
      <c r="I200" s="206"/>
      <c r="J200" s="206"/>
      <c r="K200" s="206"/>
      <c r="L200" s="206"/>
      <c r="M200" s="206"/>
    </row>
    <row r="201" spans="1:13" ht="31.5" hidden="1">
      <c r="A201" s="217"/>
      <c r="B201" s="218"/>
      <c r="C201" s="225" t="s">
        <v>129</v>
      </c>
      <c r="D201" s="219"/>
      <c r="E201" s="220"/>
      <c r="F201" s="226">
        <v>0</v>
      </c>
      <c r="G201" s="206"/>
      <c r="H201" s="206"/>
      <c r="I201" s="206"/>
      <c r="J201" s="206"/>
      <c r="K201" s="206"/>
      <c r="L201" s="206"/>
      <c r="M201" s="206"/>
    </row>
    <row r="202" spans="1:13" ht="15.75" hidden="1">
      <c r="A202" s="217"/>
      <c r="B202" s="218"/>
      <c r="C202" s="212" t="s">
        <v>25</v>
      </c>
      <c r="D202" s="219"/>
      <c r="E202" s="220"/>
      <c r="F202" s="224"/>
      <c r="G202" s="206"/>
      <c r="H202" s="206"/>
      <c r="I202" s="206"/>
      <c r="J202" s="206"/>
      <c r="K202" s="206"/>
      <c r="L202" s="206"/>
      <c r="M202" s="206"/>
    </row>
    <row r="203" spans="1:13" ht="15.75">
      <c r="A203" s="217"/>
      <c r="B203" s="218"/>
      <c r="C203" s="221" t="s">
        <v>130</v>
      </c>
      <c r="D203" s="219"/>
      <c r="E203" s="220"/>
      <c r="F203" s="223" t="s">
        <v>58</v>
      </c>
      <c r="G203" s="206"/>
      <c r="H203" s="206"/>
      <c r="I203" s="206"/>
      <c r="J203" s="206"/>
      <c r="K203" s="206"/>
      <c r="L203" s="206"/>
      <c r="M203" s="206"/>
    </row>
    <row r="204" spans="1:13" ht="15.75">
      <c r="A204" s="365"/>
      <c r="B204" s="366"/>
      <c r="C204" s="361" t="s">
        <v>541</v>
      </c>
      <c r="D204" s="366"/>
      <c r="E204" s="367"/>
      <c r="F204" s="368"/>
      <c r="G204" s="369"/>
      <c r="H204" s="369"/>
      <c r="I204" s="369"/>
      <c r="J204" s="369"/>
      <c r="K204" s="369"/>
      <c r="L204" s="369"/>
      <c r="M204" s="66"/>
    </row>
    <row r="205" spans="1:13">
      <c r="A205" s="648"/>
      <c r="B205" s="648"/>
      <c r="C205" s="648"/>
      <c r="D205" s="648"/>
      <c r="E205" s="649"/>
      <c r="F205" s="649"/>
      <c r="G205" s="650"/>
      <c r="H205" s="650"/>
      <c r="I205" s="650"/>
      <c r="J205" s="650"/>
      <c r="K205" s="650"/>
      <c r="L205" s="650"/>
      <c r="M205" s="650"/>
    </row>
    <row r="206" spans="1:13" ht="15.75">
      <c r="A206" s="648"/>
      <c r="B206" s="648"/>
      <c r="C206" s="96" t="s">
        <v>176</v>
      </c>
      <c r="D206" s="648"/>
      <c r="E206" s="649"/>
      <c r="F206" s="649"/>
      <c r="G206" s="650"/>
      <c r="H206" s="650"/>
      <c r="I206" s="650"/>
      <c r="J206" s="650"/>
      <c r="K206" s="650"/>
      <c r="L206" s="650"/>
      <c r="M206" s="650"/>
    </row>
  </sheetData>
  <mergeCells count="48">
    <mergeCell ref="A76:A80"/>
    <mergeCell ref="A101:A112"/>
    <mergeCell ref="A113:A118"/>
    <mergeCell ref="A81:A83"/>
    <mergeCell ref="A84:A86"/>
    <mergeCell ref="A87:A92"/>
    <mergeCell ref="A93:A94"/>
    <mergeCell ref="A95:A97"/>
    <mergeCell ref="A98:A100"/>
    <mergeCell ref="A74:A75"/>
    <mergeCell ref="A15:A16"/>
    <mergeCell ref="A22:A24"/>
    <mergeCell ref="A25:A27"/>
    <mergeCell ref="A28:A32"/>
    <mergeCell ref="A33:A34"/>
    <mergeCell ref="A35:A37"/>
    <mergeCell ref="A38:A40"/>
    <mergeCell ref="A41:A45"/>
    <mergeCell ref="A46:A62"/>
    <mergeCell ref="A63:A66"/>
    <mergeCell ref="A67:A71"/>
    <mergeCell ref="A17:A21"/>
    <mergeCell ref="K7:L7"/>
    <mergeCell ref="M7:M8"/>
    <mergeCell ref="A1:M1"/>
    <mergeCell ref="A3:M3"/>
    <mergeCell ref="A5:M5"/>
    <mergeCell ref="A7:A8"/>
    <mergeCell ref="B7:B8"/>
    <mergeCell ref="C7:C8"/>
    <mergeCell ref="D7:D8"/>
    <mergeCell ref="E7:F7"/>
    <mergeCell ref="G7:H7"/>
    <mergeCell ref="I7:J7"/>
    <mergeCell ref="A122:A123"/>
    <mergeCell ref="A124:A128"/>
    <mergeCell ref="A129:A131"/>
    <mergeCell ref="A132:A137"/>
    <mergeCell ref="A138:A139"/>
    <mergeCell ref="A186:A190"/>
    <mergeCell ref="A161:A170"/>
    <mergeCell ref="A171:A173"/>
    <mergeCell ref="A174:A184"/>
    <mergeCell ref="A140:A142"/>
    <mergeCell ref="A143:A145"/>
    <mergeCell ref="A146:A152"/>
    <mergeCell ref="A153:A157"/>
    <mergeCell ref="A159:A160"/>
  </mergeCells>
  <pageMargins left="0.70866141732283505" right="0.28000000000000003" top="0.74803149606299202" bottom="0.74803149606299202" header="0.31496062992126" footer="0.31496062992126"/>
  <pageSetup paperSize="9" scale="75" orientation="landscape" verticalDpi="0" r:id="rId1"/>
  <headerFooter>
    <oddHeader>&amp;R&amp;P--&amp;N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4"/>
  <sheetViews>
    <sheetView zoomScale="80" zoomScaleNormal="80" workbookViewId="0">
      <selection activeCell="F44" sqref="F44"/>
    </sheetView>
  </sheetViews>
  <sheetFormatPr defaultRowHeight="15"/>
  <cols>
    <col min="1" max="1" width="5.5703125" customWidth="1"/>
    <col min="2" max="2" width="9.85546875" customWidth="1"/>
    <col min="3" max="3" width="47.85546875" customWidth="1"/>
    <col min="4" max="4" width="9.5703125" customWidth="1"/>
    <col min="5" max="5" width="9.85546875" customWidth="1"/>
    <col min="6" max="6" width="10.5703125" customWidth="1"/>
    <col min="7" max="7" width="10.28515625" customWidth="1"/>
    <col min="8" max="8" width="11.5703125" customWidth="1"/>
    <col min="9" max="9" width="11.140625" customWidth="1"/>
    <col min="10" max="10" width="11.42578125" customWidth="1"/>
    <col min="11" max="11" width="8.7109375" customWidth="1"/>
    <col min="12" max="12" width="10.42578125" customWidth="1"/>
    <col min="13" max="13" width="14.85546875" customWidth="1"/>
    <col min="14" max="14" width="18.85546875" customWidth="1"/>
    <col min="15" max="15" width="23.42578125" customWidth="1"/>
    <col min="16" max="17" width="23.28515625" customWidth="1"/>
  </cols>
  <sheetData>
    <row r="1" spans="1:14" s="72" customFormat="1" ht="48.75" customHeight="1">
      <c r="A1" s="1161" t="str">
        <f>krebsiti!A3</f>
        <v>q.Tbilisi municipalitetis sofel diRomSi, wminda giorgis ubanSi, daviT
aRmaSeneblis II Sesaxvevisa da irodion surgulaZis quCebis kveTasTan arsebul
miwis nakveTze (s/k: 01.72.14.064.360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245" t="s">
        <v>250</v>
      </c>
    </row>
    <row r="2" spans="1:14" s="72" customFormat="1" ht="15.75" hidden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4" s="72" customFormat="1" ht="16.5" customHeight="1">
      <c r="A3" s="1161" t="s">
        <v>601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</row>
    <row r="4" spans="1:14" s="72" customFormat="1" ht="15.75">
      <c r="A4" s="289"/>
      <c r="B4" s="96"/>
      <c r="C4" s="96"/>
      <c r="D4" s="96"/>
      <c r="E4" s="145"/>
      <c r="F4" s="145"/>
      <c r="G4" s="288"/>
      <c r="H4" s="288"/>
      <c r="I4" s="288"/>
      <c r="J4" s="288"/>
      <c r="K4" s="288"/>
      <c r="L4" s="288"/>
      <c r="M4" s="288"/>
    </row>
    <row r="5" spans="1:14" s="72" customFormat="1" ht="16.5" customHeight="1">
      <c r="A5" s="1161" t="s">
        <v>585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</row>
    <row r="6" spans="1:14" s="72" customFormat="1" ht="15.75">
      <c r="A6" s="237"/>
      <c r="B6" s="97"/>
      <c r="C6" s="96"/>
      <c r="D6" s="97"/>
      <c r="E6" s="409"/>
      <c r="F6" s="409"/>
      <c r="G6" s="71"/>
      <c r="H6" s="71"/>
      <c r="I6" s="71"/>
      <c r="J6" s="71"/>
      <c r="K6" s="71"/>
      <c r="L6" s="71"/>
      <c r="M6" s="71"/>
    </row>
    <row r="7" spans="1:14" s="72" customFormat="1" ht="28.5" customHeight="1">
      <c r="A7" s="1139" t="s">
        <v>0</v>
      </c>
      <c r="B7" s="1162" t="s">
        <v>152</v>
      </c>
      <c r="C7" s="1193" t="s">
        <v>153</v>
      </c>
      <c r="D7" s="1162" t="s">
        <v>154</v>
      </c>
      <c r="E7" s="1165" t="s">
        <v>155</v>
      </c>
      <c r="F7" s="1165"/>
      <c r="G7" s="1166" t="s">
        <v>156</v>
      </c>
      <c r="H7" s="1166"/>
      <c r="I7" s="1166" t="s">
        <v>157</v>
      </c>
      <c r="J7" s="1166"/>
      <c r="K7" s="1167" t="s">
        <v>29</v>
      </c>
      <c r="L7" s="1168"/>
      <c r="M7" s="1166" t="s">
        <v>158</v>
      </c>
      <c r="N7" s="173"/>
    </row>
    <row r="8" spans="1:14" s="72" customFormat="1" ht="31.5">
      <c r="A8" s="1139"/>
      <c r="B8" s="1162"/>
      <c r="C8" s="1194"/>
      <c r="D8" s="1162"/>
      <c r="E8" s="265" t="s">
        <v>19</v>
      </c>
      <c r="F8" s="265" t="s">
        <v>8</v>
      </c>
      <c r="G8" s="265" t="s">
        <v>19</v>
      </c>
      <c r="H8" s="265" t="s">
        <v>8</v>
      </c>
      <c r="I8" s="265" t="s">
        <v>19</v>
      </c>
      <c r="J8" s="265" t="s">
        <v>8</v>
      </c>
      <c r="K8" s="265" t="s">
        <v>19</v>
      </c>
      <c r="L8" s="265" t="s">
        <v>8</v>
      </c>
      <c r="M8" s="1166"/>
      <c r="N8" s="173"/>
    </row>
    <row r="9" spans="1:14" s="69" customFormat="1" ht="16.5">
      <c r="A9" s="266" t="s">
        <v>84</v>
      </c>
      <c r="B9" s="266" t="s">
        <v>69</v>
      </c>
      <c r="C9" s="266" t="s">
        <v>85</v>
      </c>
      <c r="D9" s="266" t="s">
        <v>79</v>
      </c>
      <c r="E9" s="266" t="s">
        <v>80</v>
      </c>
      <c r="F9" s="266" t="s">
        <v>81</v>
      </c>
      <c r="G9" s="266" t="s">
        <v>77</v>
      </c>
      <c r="H9" s="266" t="s">
        <v>42</v>
      </c>
      <c r="I9" s="266" t="s">
        <v>46</v>
      </c>
      <c r="J9" s="266" t="s">
        <v>48</v>
      </c>
      <c r="K9" s="266" t="s">
        <v>159</v>
      </c>
      <c r="L9" s="266" t="s">
        <v>53</v>
      </c>
      <c r="M9" s="266" t="s">
        <v>160</v>
      </c>
      <c r="N9" s="174"/>
    </row>
    <row r="10" spans="1:14" s="69" customFormat="1" ht="25.5">
      <c r="A10" s="294" t="s">
        <v>542</v>
      </c>
      <c r="B10" s="294"/>
      <c r="C10" s="297" t="s">
        <v>969</v>
      </c>
      <c r="D10" s="294"/>
      <c r="E10" s="294"/>
      <c r="F10" s="294"/>
      <c r="G10" s="353"/>
      <c r="H10" s="353"/>
      <c r="I10" s="353"/>
      <c r="J10" s="353"/>
      <c r="K10" s="353"/>
      <c r="L10" s="353"/>
      <c r="M10" s="353"/>
      <c r="N10" s="174"/>
    </row>
    <row r="11" spans="1:14" s="72" customFormat="1" ht="31.5" hidden="1">
      <c r="A11" s="470" t="s">
        <v>84</v>
      </c>
      <c r="B11" s="470" t="s">
        <v>24</v>
      </c>
      <c r="C11" s="56" t="s">
        <v>578</v>
      </c>
      <c r="D11" s="26" t="s">
        <v>52</v>
      </c>
      <c r="E11" s="466"/>
      <c r="F11" s="466"/>
      <c r="G11" s="467"/>
      <c r="H11" s="467"/>
      <c r="I11" s="467"/>
      <c r="J11" s="467"/>
      <c r="K11" s="467"/>
      <c r="L11" s="467"/>
      <c r="M11" s="467"/>
    </row>
    <row r="12" spans="1:14" s="72" customFormat="1" ht="15.75">
      <c r="A12" s="470" t="s">
        <v>69</v>
      </c>
      <c r="B12" s="470" t="s">
        <v>24</v>
      </c>
      <c r="C12" s="56" t="s">
        <v>579</v>
      </c>
      <c r="D12" s="26" t="s">
        <v>52</v>
      </c>
      <c r="E12" s="466"/>
      <c r="F12" s="466">
        <v>10</v>
      </c>
      <c r="G12" s="467"/>
      <c r="H12" s="467"/>
      <c r="I12" s="467"/>
      <c r="J12" s="467"/>
      <c r="K12" s="467"/>
      <c r="L12" s="467"/>
      <c r="M12" s="467"/>
    </row>
    <row r="13" spans="1:14" s="72" customFormat="1" ht="15.75" hidden="1">
      <c r="A13" s="470" t="s">
        <v>85</v>
      </c>
      <c r="B13" s="470" t="s">
        <v>24</v>
      </c>
      <c r="C13" s="56" t="s">
        <v>580</v>
      </c>
      <c r="D13" s="26" t="s">
        <v>52</v>
      </c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4" s="72" customFormat="1" ht="31.5">
      <c r="A14" s="470" t="s">
        <v>79</v>
      </c>
      <c r="B14" s="470" t="s">
        <v>24</v>
      </c>
      <c r="C14" s="56" t="s">
        <v>581</v>
      </c>
      <c r="D14" s="26" t="s">
        <v>52</v>
      </c>
      <c r="E14" s="466"/>
      <c r="F14" s="466">
        <v>7</v>
      </c>
      <c r="G14" s="467"/>
      <c r="H14" s="467"/>
      <c r="I14" s="467"/>
      <c r="J14" s="467"/>
      <c r="K14" s="467"/>
      <c r="L14" s="467"/>
      <c r="M14" s="467"/>
    </row>
    <row r="15" spans="1:14" s="72" customFormat="1" ht="31.5" hidden="1">
      <c r="A15" s="470" t="s">
        <v>80</v>
      </c>
      <c r="B15" s="470" t="s">
        <v>24</v>
      </c>
      <c r="C15" s="56" t="s">
        <v>582</v>
      </c>
      <c r="D15" s="26" t="s">
        <v>52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4" s="72" customFormat="1" ht="31.5">
      <c r="A16" s="470" t="s">
        <v>81</v>
      </c>
      <c r="B16" s="470" t="s">
        <v>24</v>
      </c>
      <c r="C16" s="56" t="s">
        <v>583</v>
      </c>
      <c r="D16" s="26" t="s">
        <v>52</v>
      </c>
      <c r="E16" s="466"/>
      <c r="F16" s="466">
        <v>2</v>
      </c>
      <c r="G16" s="467"/>
      <c r="H16" s="467"/>
      <c r="I16" s="467"/>
      <c r="J16" s="467"/>
      <c r="K16" s="467"/>
      <c r="L16" s="467"/>
      <c r="M16" s="467"/>
    </row>
    <row r="17" spans="1:13" s="72" customFormat="1" ht="15.75" hidden="1">
      <c r="A17" s="470" t="s">
        <v>77</v>
      </c>
      <c r="B17" s="470" t="s">
        <v>24</v>
      </c>
      <c r="C17" s="56" t="s">
        <v>584</v>
      </c>
      <c r="D17" s="26" t="s">
        <v>52</v>
      </c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s="72" customFormat="1" ht="15.75" hidden="1">
      <c r="A18" s="924" t="s">
        <v>42</v>
      </c>
      <c r="B18" s="924" t="s">
        <v>24</v>
      </c>
      <c r="C18" s="56" t="s">
        <v>817</v>
      </c>
      <c r="D18" s="26"/>
      <c r="E18" s="920"/>
      <c r="F18" s="920"/>
      <c r="G18" s="921"/>
      <c r="H18" s="921"/>
      <c r="I18" s="921"/>
      <c r="J18" s="921"/>
      <c r="K18" s="921"/>
      <c r="L18" s="921"/>
      <c r="M18" s="921"/>
    </row>
    <row r="19" spans="1:13" s="67" customFormat="1" ht="15.75" hidden="1">
      <c r="A19" s="924" t="s">
        <v>46</v>
      </c>
      <c r="B19" s="600" t="s">
        <v>24</v>
      </c>
      <c r="C19" s="56" t="s">
        <v>589</v>
      </c>
      <c r="D19" s="26" t="s">
        <v>75</v>
      </c>
      <c r="E19" s="149"/>
      <c r="F19" s="378"/>
      <c r="G19" s="381"/>
      <c r="H19" s="597"/>
      <c r="I19" s="387"/>
      <c r="J19" s="597"/>
      <c r="K19" s="597"/>
      <c r="L19" s="597"/>
      <c r="M19" s="597"/>
    </row>
    <row r="20" spans="1:13" s="67" customFormat="1" ht="63" hidden="1">
      <c r="A20" s="968"/>
      <c r="B20" s="968" t="s">
        <v>24</v>
      </c>
      <c r="C20" s="56" t="s">
        <v>856</v>
      </c>
      <c r="D20" s="26" t="s">
        <v>75</v>
      </c>
      <c r="E20" s="149"/>
      <c r="F20" s="378"/>
      <c r="G20" s="381"/>
      <c r="H20" s="967"/>
      <c r="I20" s="967"/>
      <c r="J20" s="967"/>
      <c r="K20" s="967"/>
      <c r="L20" s="967"/>
      <c r="M20" s="967"/>
    </row>
    <row r="21" spans="1:13" s="67" customFormat="1" ht="31.5" hidden="1">
      <c r="A21" s="924" t="s">
        <v>159</v>
      </c>
      <c r="B21" s="869" t="s">
        <v>24</v>
      </c>
      <c r="C21" s="56" t="s">
        <v>741</v>
      </c>
      <c r="D21" s="26" t="s">
        <v>75</v>
      </c>
      <c r="E21" s="149"/>
      <c r="F21" s="378"/>
      <c r="G21" s="868"/>
      <c r="H21" s="854"/>
      <c r="I21" s="597"/>
      <c r="J21" s="854"/>
      <c r="K21" s="854"/>
      <c r="L21" s="854"/>
      <c r="M21" s="854"/>
    </row>
    <row r="22" spans="1:13" s="67" customFormat="1" ht="63">
      <c r="A22" s="1066"/>
      <c r="B22" s="1066"/>
      <c r="C22" s="56" t="s">
        <v>964</v>
      </c>
      <c r="D22" s="26" t="s">
        <v>75</v>
      </c>
      <c r="E22" s="149"/>
      <c r="F22" s="378">
        <v>1</v>
      </c>
      <c r="G22" s="868"/>
      <c r="H22" s="1065"/>
      <c r="I22" s="1065"/>
      <c r="J22" s="1065"/>
      <c r="K22" s="1065"/>
      <c r="L22" s="1065"/>
      <c r="M22" s="1065"/>
    </row>
    <row r="23" spans="1:13" s="67" customFormat="1" ht="30.75">
      <c r="A23" s="924" t="s">
        <v>48</v>
      </c>
      <c r="B23" s="600" t="s">
        <v>24</v>
      </c>
      <c r="C23" s="56" t="s">
        <v>963</v>
      </c>
      <c r="D23" s="26" t="s">
        <v>75</v>
      </c>
      <c r="E23" s="149"/>
      <c r="F23" s="378">
        <v>1</v>
      </c>
      <c r="G23" s="381"/>
      <c r="H23" s="597"/>
      <c r="I23" s="597"/>
      <c r="J23" s="597"/>
      <c r="K23" s="597"/>
      <c r="L23" s="597"/>
      <c r="M23" s="597"/>
    </row>
    <row r="24" spans="1:13" s="67" customFormat="1" ht="31.5">
      <c r="A24" s="924" t="s">
        <v>53</v>
      </c>
      <c r="B24" s="869" t="s">
        <v>24</v>
      </c>
      <c r="C24" s="56" t="s">
        <v>962</v>
      </c>
      <c r="D24" s="26" t="s">
        <v>75</v>
      </c>
      <c r="E24" s="149"/>
      <c r="F24" s="378">
        <v>1</v>
      </c>
      <c r="G24" s="868"/>
      <c r="H24" s="854"/>
      <c r="I24" s="854"/>
      <c r="J24" s="854"/>
      <c r="K24" s="854"/>
      <c r="L24" s="854"/>
      <c r="M24" s="854"/>
    </row>
    <row r="25" spans="1:13" s="67" customFormat="1" ht="31.5" hidden="1">
      <c r="A25" s="924" t="s">
        <v>160</v>
      </c>
      <c r="B25" s="883" t="s">
        <v>24</v>
      </c>
      <c r="C25" s="56" t="s">
        <v>740</v>
      </c>
      <c r="D25" s="26" t="s">
        <v>75</v>
      </c>
      <c r="E25" s="149"/>
      <c r="F25" s="378"/>
      <c r="G25" s="868"/>
      <c r="H25" s="877"/>
      <c r="I25" s="877"/>
      <c r="J25" s="877"/>
      <c r="K25" s="877"/>
      <c r="L25" s="877"/>
      <c r="M25" s="877"/>
    </row>
    <row r="26" spans="1:13" s="67" customFormat="1" ht="31.5" hidden="1">
      <c r="A26" s="924" t="s">
        <v>185</v>
      </c>
      <c r="B26" s="869" t="s">
        <v>24</v>
      </c>
      <c r="C26" s="56" t="s">
        <v>730</v>
      </c>
      <c r="D26" s="26" t="s">
        <v>75</v>
      </c>
      <c r="E26" s="149"/>
      <c r="F26" s="378"/>
      <c r="G26" s="868"/>
      <c r="H26" s="854"/>
      <c r="I26" s="854"/>
      <c r="J26" s="854"/>
      <c r="K26" s="854"/>
      <c r="L26" s="854"/>
      <c r="M26" s="854"/>
    </row>
    <row r="27" spans="1:13" s="67" customFormat="1" ht="0.75" customHeight="1">
      <c r="A27" s="924"/>
      <c r="B27" s="924"/>
      <c r="C27" s="56"/>
      <c r="D27" s="26"/>
      <c r="E27" s="149"/>
      <c r="F27" s="378"/>
      <c r="G27" s="381"/>
      <c r="H27" s="921"/>
      <c r="I27" s="921"/>
      <c r="J27" s="921"/>
      <c r="K27" s="921"/>
      <c r="L27" s="921"/>
      <c r="M27" s="921"/>
    </row>
    <row r="28" spans="1:13" s="67" customFormat="1" ht="15.75" hidden="1">
      <c r="A28" s="40" t="s">
        <v>185</v>
      </c>
      <c r="B28" s="40"/>
      <c r="C28" s="824" t="s">
        <v>742</v>
      </c>
      <c r="D28" s="26"/>
      <c r="E28" s="149"/>
      <c r="F28" s="378"/>
      <c r="G28" s="381"/>
      <c r="H28" s="293"/>
      <c r="I28" s="854"/>
      <c r="J28" s="293"/>
      <c r="K28" s="293"/>
      <c r="L28" s="293"/>
      <c r="M28" s="293"/>
    </row>
    <row r="29" spans="1:13" s="67" customFormat="1" ht="60" hidden="1">
      <c r="A29" s="909"/>
      <c r="B29" s="909" t="s">
        <v>84</v>
      </c>
      <c r="C29" s="910" t="s">
        <v>785</v>
      </c>
      <c r="D29" s="26" t="s">
        <v>786</v>
      </c>
      <c r="E29" s="907"/>
      <c r="F29" s="911"/>
      <c r="G29" s="912"/>
      <c r="H29" s="908"/>
      <c r="I29" s="908"/>
      <c r="J29" s="908"/>
      <c r="K29" s="908"/>
      <c r="L29" s="908"/>
      <c r="M29" s="908"/>
    </row>
    <row r="30" spans="1:13" s="67" customFormat="1" ht="60" hidden="1">
      <c r="A30" s="909"/>
      <c r="B30" s="909" t="s">
        <v>69</v>
      </c>
      <c r="C30" s="913" t="s">
        <v>787</v>
      </c>
      <c r="D30" s="26" t="s">
        <v>786</v>
      </c>
      <c r="E30" s="907"/>
      <c r="F30" s="378"/>
      <c r="G30" s="381"/>
      <c r="H30" s="908"/>
      <c r="I30" s="908"/>
      <c r="J30" s="908"/>
      <c r="K30" s="908"/>
      <c r="L30" s="908"/>
      <c r="M30" s="908"/>
    </row>
    <row r="31" spans="1:13" s="67" customFormat="1" ht="60" hidden="1">
      <c r="A31" s="909"/>
      <c r="B31" s="909" t="s">
        <v>85</v>
      </c>
      <c r="C31" s="379" t="s">
        <v>788</v>
      </c>
      <c r="D31" s="26" t="s">
        <v>786</v>
      </c>
      <c r="E31" s="907"/>
      <c r="F31" s="378"/>
      <c r="G31" s="381"/>
      <c r="H31" s="908"/>
      <c r="I31" s="908"/>
      <c r="J31" s="908"/>
      <c r="K31" s="908"/>
      <c r="L31" s="908"/>
      <c r="M31" s="908"/>
    </row>
    <row r="32" spans="1:13" s="67" customFormat="1" ht="60" hidden="1">
      <c r="A32" s="909"/>
      <c r="B32" s="40" t="s">
        <v>79</v>
      </c>
      <c r="C32" s="379" t="s">
        <v>789</v>
      </c>
      <c r="D32" s="26" t="s">
        <v>786</v>
      </c>
      <c r="E32" s="149"/>
      <c r="F32" s="378"/>
      <c r="G32" s="381"/>
      <c r="H32" s="293"/>
      <c r="I32" s="908"/>
      <c r="J32" s="293"/>
      <c r="K32" s="293"/>
      <c r="L32" s="293"/>
      <c r="M32" s="293"/>
    </row>
    <row r="33" spans="1:14" s="67" customFormat="1" ht="60" hidden="1">
      <c r="A33" s="40"/>
      <c r="B33" s="40" t="s">
        <v>80</v>
      </c>
      <c r="C33" s="379" t="s">
        <v>790</v>
      </c>
      <c r="D33" s="26" t="s">
        <v>786</v>
      </c>
      <c r="E33" s="149"/>
      <c r="F33" s="378"/>
      <c r="G33" s="381"/>
      <c r="H33" s="293"/>
      <c r="I33" s="908"/>
      <c r="J33" s="293"/>
      <c r="K33" s="293"/>
      <c r="L33" s="293"/>
      <c r="M33" s="293"/>
    </row>
    <row r="34" spans="1:14" s="67" customFormat="1" ht="60" hidden="1">
      <c r="A34" s="40"/>
      <c r="B34" s="40" t="s">
        <v>81</v>
      </c>
      <c r="C34" s="380" t="s">
        <v>791</v>
      </c>
      <c r="D34" s="26" t="s">
        <v>786</v>
      </c>
      <c r="E34" s="149"/>
      <c r="F34" s="378"/>
      <c r="G34" s="381"/>
      <c r="H34" s="293"/>
      <c r="I34" s="908"/>
      <c r="J34" s="293"/>
      <c r="K34" s="293"/>
      <c r="L34" s="293"/>
      <c r="M34" s="293"/>
    </row>
    <row r="35" spans="1:14" s="67" customFormat="1" ht="60" hidden="1">
      <c r="A35" s="40"/>
      <c r="B35" s="40" t="s">
        <v>77</v>
      </c>
      <c r="C35" s="380" t="s">
        <v>792</v>
      </c>
      <c r="D35" s="26" t="s">
        <v>786</v>
      </c>
      <c r="E35" s="149"/>
      <c r="F35" s="378"/>
      <c r="G35" s="381"/>
      <c r="H35" s="293"/>
      <c r="I35" s="908"/>
      <c r="J35" s="293"/>
      <c r="K35" s="293"/>
      <c r="L35" s="293"/>
      <c r="M35" s="293"/>
    </row>
    <row r="36" spans="1:14" s="67" customFormat="1" ht="60" hidden="1">
      <c r="A36" s="40"/>
      <c r="B36" s="40" t="s">
        <v>42</v>
      </c>
      <c r="C36" s="380" t="s">
        <v>793</v>
      </c>
      <c r="D36" s="26" t="s">
        <v>786</v>
      </c>
      <c r="E36" s="149"/>
      <c r="F36" s="378"/>
      <c r="G36" s="381"/>
      <c r="H36" s="293"/>
      <c r="I36" s="908"/>
      <c r="J36" s="293"/>
      <c r="K36" s="293"/>
      <c r="L36" s="293"/>
      <c r="M36" s="293"/>
    </row>
    <row r="37" spans="1:14" s="67" customFormat="1" ht="60" hidden="1">
      <c r="A37" s="40"/>
      <c r="B37" s="40" t="s">
        <v>46</v>
      </c>
      <c r="C37" s="914" t="s">
        <v>794</v>
      </c>
      <c r="D37" s="26" t="s">
        <v>786</v>
      </c>
      <c r="E37" s="149"/>
      <c r="F37" s="149"/>
      <c r="G37" s="293"/>
      <c r="H37" s="293"/>
      <c r="I37" s="293"/>
      <c r="J37" s="293"/>
      <c r="K37" s="293"/>
      <c r="L37" s="293"/>
      <c r="M37" s="293"/>
    </row>
    <row r="38" spans="1:14" s="67" customFormat="1" ht="15.75" hidden="1">
      <c r="A38" s="40"/>
      <c r="B38" s="40"/>
      <c r="C38" s="379"/>
      <c r="D38" s="26"/>
      <c r="E38" s="149"/>
      <c r="F38" s="378"/>
      <c r="G38" s="381"/>
      <c r="H38" s="293"/>
      <c r="I38" s="877"/>
      <c r="J38" s="293"/>
      <c r="K38" s="293"/>
      <c r="L38" s="293"/>
      <c r="M38" s="293"/>
    </row>
    <row r="39" spans="1:14" s="72" customFormat="1" ht="15.75">
      <c r="A39" s="365"/>
      <c r="B39" s="366"/>
      <c r="C39" s="361" t="s">
        <v>543</v>
      </c>
      <c r="D39" s="366"/>
      <c r="E39" s="367"/>
      <c r="F39" s="368"/>
      <c r="G39" s="369"/>
      <c r="H39" s="369"/>
      <c r="I39" s="369"/>
      <c r="J39" s="369"/>
      <c r="K39" s="369"/>
      <c r="L39" s="369"/>
      <c r="M39" s="369"/>
      <c r="N39" s="385"/>
    </row>
    <row r="40" spans="1:14" s="72" customFormat="1" ht="27">
      <c r="A40" s="207"/>
      <c r="B40" s="207"/>
      <c r="C40" s="235" t="s">
        <v>131</v>
      </c>
      <c r="D40" s="207"/>
      <c r="E40" s="209"/>
      <c r="F40" s="210">
        <v>0.05</v>
      </c>
      <c r="G40" s="211"/>
      <c r="H40" s="211"/>
      <c r="I40" s="211"/>
      <c r="J40" s="211"/>
      <c r="K40" s="211"/>
      <c r="L40" s="211"/>
      <c r="M40" s="211"/>
    </row>
    <row r="41" spans="1:14" s="72" customFormat="1" ht="15.75">
      <c r="A41" s="23"/>
      <c r="B41" s="164"/>
      <c r="C41" s="212" t="s">
        <v>25</v>
      </c>
      <c r="D41" s="164"/>
      <c r="E41" s="23"/>
      <c r="F41" s="23"/>
      <c r="G41" s="23"/>
      <c r="H41" s="229"/>
      <c r="I41" s="229"/>
      <c r="J41" s="229"/>
      <c r="K41" s="229"/>
      <c r="L41" s="229"/>
      <c r="M41" s="229"/>
    </row>
    <row r="42" spans="1:14" s="72" customFormat="1" ht="45.75" customHeight="1">
      <c r="A42" s="199"/>
      <c r="B42" s="4"/>
      <c r="C42" s="234" t="s">
        <v>132</v>
      </c>
      <c r="D42" s="4"/>
      <c r="E42" s="199"/>
      <c r="F42" s="227">
        <v>0.68</v>
      </c>
      <c r="G42" s="199"/>
      <c r="H42" s="199"/>
      <c r="I42" s="199"/>
      <c r="J42" s="156"/>
      <c r="K42" s="156"/>
      <c r="L42" s="156"/>
      <c r="M42" s="156"/>
    </row>
    <row r="43" spans="1:14" s="72" customFormat="1" ht="15.75">
      <c r="A43" s="199"/>
      <c r="B43" s="4"/>
      <c r="C43" s="212" t="s">
        <v>25</v>
      </c>
      <c r="D43" s="4"/>
      <c r="E43" s="199"/>
      <c r="F43" s="68"/>
      <c r="G43" s="199"/>
      <c r="H43" s="199"/>
      <c r="I43" s="199"/>
      <c r="J43" s="156"/>
      <c r="K43" s="156"/>
      <c r="L43" s="156"/>
      <c r="M43" s="156"/>
    </row>
    <row r="44" spans="1:14" s="72" customFormat="1" ht="49.5">
      <c r="A44" s="199"/>
      <c r="B44" s="4"/>
      <c r="C44" s="234" t="s">
        <v>545</v>
      </c>
      <c r="D44" s="4"/>
      <c r="E44" s="199"/>
      <c r="F44" s="227" t="s">
        <v>970</v>
      </c>
      <c r="G44" s="199"/>
      <c r="H44" s="199"/>
      <c r="I44" s="199"/>
      <c r="J44" s="156"/>
      <c r="K44" s="156"/>
      <c r="L44" s="156"/>
      <c r="M44" s="156"/>
    </row>
    <row r="45" spans="1:14" s="72" customFormat="1" ht="15.75">
      <c r="A45" s="23"/>
      <c r="B45" s="164"/>
      <c r="C45" s="212" t="s">
        <v>25</v>
      </c>
      <c r="D45" s="164"/>
      <c r="E45" s="23"/>
      <c r="F45" s="23"/>
      <c r="G45" s="23"/>
      <c r="H45" s="229"/>
      <c r="I45" s="229"/>
      <c r="J45" s="229"/>
      <c r="K45" s="229"/>
      <c r="L45" s="229"/>
      <c r="M45" s="66"/>
    </row>
    <row r="46" spans="1:14" s="72" customFormat="1" ht="15.75">
      <c r="A46" s="217"/>
      <c r="B46" s="218"/>
      <c r="C46" s="221" t="s">
        <v>4</v>
      </c>
      <c r="D46" s="219"/>
      <c r="E46" s="220"/>
      <c r="F46" s="226">
        <v>0.03</v>
      </c>
      <c r="G46" s="206"/>
      <c r="H46" s="206"/>
      <c r="I46" s="206"/>
      <c r="J46" s="206"/>
      <c r="K46" s="206"/>
      <c r="L46" s="206"/>
      <c r="M46" s="206"/>
    </row>
    <row r="47" spans="1:14" s="72" customFormat="1" ht="15.75">
      <c r="A47" s="217"/>
      <c r="B47" s="218"/>
      <c r="C47" s="212" t="s">
        <v>25</v>
      </c>
      <c r="D47" s="219"/>
      <c r="E47" s="220"/>
      <c r="F47" s="224"/>
      <c r="G47" s="206"/>
      <c r="H47" s="206"/>
      <c r="I47" s="206"/>
      <c r="J47" s="206"/>
      <c r="K47" s="206"/>
      <c r="L47" s="206"/>
      <c r="M47" s="206"/>
    </row>
    <row r="48" spans="1:14" s="72" customFormat="1" ht="29.25" hidden="1" customHeight="1">
      <c r="A48" s="217"/>
      <c r="B48" s="218"/>
      <c r="C48" s="225" t="s">
        <v>129</v>
      </c>
      <c r="D48" s="219"/>
      <c r="E48" s="220"/>
      <c r="F48" s="226">
        <v>0</v>
      </c>
      <c r="G48" s="206"/>
      <c r="H48" s="206"/>
      <c r="I48" s="206"/>
      <c r="J48" s="206"/>
      <c r="K48" s="206"/>
      <c r="L48" s="206"/>
      <c r="M48" s="206"/>
    </row>
    <row r="49" spans="1:13" s="72" customFormat="1" ht="15.75" hidden="1">
      <c r="A49" s="217"/>
      <c r="B49" s="218"/>
      <c r="C49" s="212" t="s">
        <v>25</v>
      </c>
      <c r="D49" s="219"/>
      <c r="E49" s="220"/>
      <c r="F49" s="224"/>
      <c r="G49" s="206"/>
      <c r="H49" s="206"/>
      <c r="I49" s="206"/>
      <c r="J49" s="206"/>
      <c r="K49" s="206"/>
      <c r="L49" s="206"/>
      <c r="M49" s="206"/>
    </row>
    <row r="50" spans="1:13" s="72" customFormat="1" ht="15.75">
      <c r="A50" s="217"/>
      <c r="B50" s="218"/>
      <c r="C50" s="221" t="s">
        <v>130</v>
      </c>
      <c r="D50" s="219"/>
      <c r="E50" s="220"/>
      <c r="F50" s="223" t="s">
        <v>58</v>
      </c>
      <c r="G50" s="206"/>
      <c r="H50" s="206"/>
      <c r="I50" s="206"/>
      <c r="J50" s="206"/>
      <c r="K50" s="206"/>
      <c r="L50" s="206"/>
      <c r="M50" s="206"/>
    </row>
    <row r="51" spans="1:13" s="72" customFormat="1" ht="15.75">
      <c r="A51" s="365"/>
      <c r="B51" s="366"/>
      <c r="C51" s="361" t="s">
        <v>544</v>
      </c>
      <c r="D51" s="366"/>
      <c r="E51" s="367"/>
      <c r="F51" s="368"/>
      <c r="G51" s="369"/>
      <c r="H51" s="369"/>
      <c r="I51" s="369"/>
      <c r="J51" s="369"/>
      <c r="K51" s="369"/>
      <c r="L51" s="369"/>
      <c r="M51" s="66"/>
    </row>
    <row r="52" spans="1:13" s="72" customFormat="1" ht="15.75">
      <c r="A52" s="81"/>
      <c r="B52" s="81"/>
      <c r="C52" s="111"/>
      <c r="D52" s="81"/>
      <c r="E52" s="112"/>
      <c r="F52" s="112"/>
      <c r="G52" s="82"/>
      <c r="H52" s="82"/>
      <c r="I52" s="82"/>
      <c r="J52" s="82"/>
      <c r="K52" s="82"/>
      <c r="L52" s="82"/>
      <c r="M52" s="82"/>
    </row>
    <row r="53" spans="1:13" s="72" customFormat="1" ht="15.75">
      <c r="A53" s="81"/>
      <c r="B53" s="86"/>
      <c r="C53" s="96" t="s">
        <v>176</v>
      </c>
      <c r="D53" s="70"/>
      <c r="E53" s="109"/>
      <c r="F53" s="109"/>
      <c r="G53" s="80"/>
      <c r="H53" s="80"/>
      <c r="I53" s="87"/>
      <c r="J53" s="87"/>
      <c r="K53" s="87"/>
      <c r="L53" s="87"/>
      <c r="M53" s="87"/>
    </row>
    <row r="54" spans="1:13" s="72" customFormat="1" ht="15.75">
      <c r="A54" s="81"/>
      <c r="B54" s="86"/>
      <c r="C54" s="142"/>
      <c r="D54" s="143"/>
      <c r="E54" s="144"/>
      <c r="F54" s="112"/>
      <c r="G54" s="82"/>
      <c r="H54" s="82"/>
      <c r="I54" s="82"/>
      <c r="J54" s="82"/>
      <c r="K54" s="82"/>
      <c r="L54" s="82"/>
      <c r="M54" s="82"/>
    </row>
  </sheetData>
  <mergeCells count="12">
    <mergeCell ref="A1:M1"/>
    <mergeCell ref="A5:M5"/>
    <mergeCell ref="A3:M3"/>
    <mergeCell ref="A7:A8"/>
    <mergeCell ref="B7:B8"/>
    <mergeCell ref="C7:C8"/>
    <mergeCell ref="D7:D8"/>
    <mergeCell ref="G7:H7"/>
    <mergeCell ref="I7:J7"/>
    <mergeCell ref="K7:L7"/>
    <mergeCell ref="M7:M8"/>
    <mergeCell ref="E7:F7"/>
  </mergeCells>
  <pageMargins left="0.70866141732283505" right="0.35433070866141703" top="0.39370078740157499" bottom="0.43307086614173201" header="0.31496062992126" footer="0.31496062992126"/>
  <pageSetup paperSize="9" scale="75" orientation="landscape" horizontalDpi="1200" verticalDpi="1200" r:id="rId1"/>
  <headerFooter>
    <oddHeader>&amp;R&amp;P--&amp;N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M936"/>
  <sheetViews>
    <sheetView zoomScale="80" zoomScaleNormal="80" workbookViewId="0">
      <selection activeCell="B27" sqref="B27"/>
    </sheetView>
  </sheetViews>
  <sheetFormatPr defaultColWidth="8.85546875" defaultRowHeight="16.5"/>
  <cols>
    <col min="1" max="1" width="7.140625" style="6" customWidth="1"/>
    <col min="2" max="2" width="51.7109375" style="6" customWidth="1"/>
    <col min="3" max="3" width="10.7109375" style="6" customWidth="1"/>
    <col min="4" max="4" width="16.5703125" style="2" customWidth="1"/>
    <col min="5" max="5" width="16" style="6" customWidth="1"/>
    <col min="6" max="16384" width="8.85546875" style="1"/>
  </cols>
  <sheetData>
    <row r="1" spans="1:13" s="146" customFormat="1" ht="52.5" customHeight="1">
      <c r="A1" s="1227" t="str">
        <f>krebsiti!A3</f>
        <v>q.Tbilisi municipalitetis sofel diRomSi, wminda giorgis ubanSi, daviT
aRmaSeneblis II Sesaxvevisa da irodion surgulaZis quCebis kveTasTan arsebul
miwis nakveTze (s/k: 01.72.14.064.360</v>
      </c>
      <c r="B1" s="1227"/>
      <c r="C1" s="1227"/>
      <c r="D1" s="1227"/>
      <c r="E1" s="1227"/>
      <c r="F1" s="145"/>
      <c r="G1" s="145"/>
      <c r="H1" s="145"/>
      <c r="I1" s="145"/>
      <c r="J1" s="145"/>
      <c r="K1" s="145"/>
      <c r="L1" s="145"/>
      <c r="M1" s="145"/>
    </row>
    <row r="2" spans="1:13" s="146" customFormat="1">
      <c r="A2" s="147"/>
      <c r="B2" s="67"/>
      <c r="C2" s="67"/>
      <c r="D2" s="140"/>
      <c r="E2" s="67"/>
    </row>
    <row r="3" spans="1:13" s="146" customFormat="1">
      <c r="A3" s="1228" t="s">
        <v>6</v>
      </c>
      <c r="B3" s="1228"/>
      <c r="C3" s="1228"/>
      <c r="D3" s="1228"/>
      <c r="E3" s="1228"/>
    </row>
    <row r="4" spans="1:13" s="146" customFormat="1">
      <c r="A4" s="147"/>
      <c r="B4" s="67"/>
      <c r="C4" s="67"/>
      <c r="D4" s="140"/>
      <c r="E4" s="67"/>
    </row>
    <row r="5" spans="1:13" s="146" customFormat="1" ht="47.25">
      <c r="A5" s="148" t="s">
        <v>0</v>
      </c>
      <c r="B5" s="11" t="s">
        <v>1</v>
      </c>
      <c r="C5" s="11" t="s">
        <v>2</v>
      </c>
      <c r="D5" s="55" t="s">
        <v>3</v>
      </c>
      <c r="E5" s="149" t="s">
        <v>5</v>
      </c>
      <c r="G5" s="150"/>
      <c r="H5" s="150"/>
    </row>
    <row r="6" spans="1:13" s="146" customFormat="1">
      <c r="A6" s="668"/>
      <c r="B6" s="606"/>
      <c r="C6" s="605"/>
      <c r="D6" s="607"/>
      <c r="E6" s="151"/>
    </row>
    <row r="7" spans="1:13" s="69" customFormat="1">
      <c r="A7" s="599"/>
      <c r="B7" s="259"/>
      <c r="C7" s="260"/>
      <c r="D7" s="151"/>
      <c r="E7" s="151"/>
    </row>
    <row r="8" spans="1:13">
      <c r="A8" s="599"/>
      <c r="B8" s="56"/>
      <c r="C8" s="260"/>
      <c r="D8" s="151"/>
      <c r="E8" s="151"/>
    </row>
    <row r="9" spans="1:13">
      <c r="A9" s="599"/>
      <c r="B9" s="56"/>
      <c r="C9" s="260"/>
      <c r="D9" s="151"/>
      <c r="E9" s="151"/>
    </row>
    <row r="10" spans="1:13">
      <c r="A10" s="514"/>
      <c r="B10" s="56"/>
      <c r="C10" s="260"/>
      <c r="D10" s="151"/>
      <c r="E10" s="151"/>
    </row>
    <row r="11" spans="1:13">
      <c r="A11" s="514"/>
      <c r="B11" s="98"/>
      <c r="C11" s="260"/>
      <c r="D11" s="281"/>
      <c r="E11" s="151"/>
    </row>
    <row r="12" spans="1:13">
      <c r="A12" s="514"/>
      <c r="B12" s="99"/>
      <c r="C12" s="260"/>
      <c r="D12" s="281"/>
      <c r="E12" s="151"/>
    </row>
    <row r="13" spans="1:13">
      <c r="A13" s="669"/>
      <c r="B13" s="244"/>
      <c r="C13" s="244"/>
      <c r="D13" s="670"/>
      <c r="E13" s="151"/>
    </row>
    <row r="14" spans="1:13" s="6" customFormat="1">
      <c r="A14" s="669"/>
      <c r="B14" s="244"/>
      <c r="C14" s="244"/>
      <c r="D14" s="670"/>
      <c r="E14" s="151"/>
    </row>
    <row r="15" spans="1:13" s="6" customFormat="1">
      <c r="A15" s="669"/>
      <c r="B15" s="244"/>
      <c r="C15" s="244"/>
      <c r="D15" s="670"/>
      <c r="E15" s="151"/>
    </row>
    <row r="16" spans="1:13" s="6" customFormat="1">
      <c r="A16" s="669"/>
      <c r="B16" s="244"/>
      <c r="C16" s="244"/>
      <c r="D16" s="670"/>
      <c r="E16" s="151"/>
    </row>
    <row r="17" spans="1:5" s="6" customFormat="1">
      <c r="A17" s="669"/>
      <c r="B17" s="244"/>
      <c r="C17" s="244"/>
      <c r="D17" s="670"/>
      <c r="E17" s="151"/>
    </row>
    <row r="18" spans="1:5" s="6" customFormat="1">
      <c r="A18" s="669"/>
      <c r="B18" s="244"/>
      <c r="C18" s="244"/>
      <c r="D18" s="670"/>
      <c r="E18" s="151"/>
    </row>
    <row r="19" spans="1:5" s="6" customFormat="1">
      <c r="A19" s="669"/>
      <c r="B19" s="244"/>
      <c r="C19" s="244"/>
      <c r="D19" s="670"/>
      <c r="E19" s="151"/>
    </row>
    <row r="20" spans="1:5" s="6" customFormat="1">
      <c r="A20" s="669"/>
      <c r="B20" s="244"/>
      <c r="C20" s="244"/>
      <c r="D20" s="670"/>
      <c r="E20" s="151"/>
    </row>
    <row r="21" spans="1:5" s="6" customFormat="1">
      <c r="A21" s="669"/>
      <c r="B21" s="244"/>
      <c r="C21" s="244"/>
      <c r="D21" s="670"/>
      <c r="E21" s="151"/>
    </row>
    <row r="22" spans="1:5" s="6" customFormat="1">
      <c r="A22" s="669"/>
      <c r="B22" s="244"/>
      <c r="C22" s="244"/>
      <c r="D22" s="670"/>
      <c r="E22" s="151"/>
    </row>
    <row r="23" spans="1:5" s="6" customFormat="1">
      <c r="A23" s="669"/>
      <c r="B23" s="244"/>
      <c r="C23" s="244"/>
      <c r="D23" s="670"/>
      <c r="E23" s="151"/>
    </row>
    <row r="24" spans="1:5" s="6" customFormat="1">
      <c r="A24" s="669"/>
      <c r="B24" s="244"/>
      <c r="C24" s="244"/>
      <c r="D24" s="670"/>
      <c r="E24" s="151"/>
    </row>
    <row r="25" spans="1:5" s="6" customFormat="1">
      <c r="A25" s="669"/>
      <c r="B25" s="244"/>
      <c r="C25" s="244"/>
      <c r="D25" s="670"/>
      <c r="E25" s="151"/>
    </row>
    <row r="26" spans="1:5" s="6" customFormat="1">
      <c r="A26" s="669"/>
      <c r="B26" s="244"/>
      <c r="C26" s="244"/>
      <c r="D26" s="670"/>
      <c r="E26" s="151"/>
    </row>
    <row r="27" spans="1:5" s="6" customFormat="1">
      <c r="A27" s="669"/>
      <c r="B27" s="244"/>
      <c r="C27" s="244"/>
      <c r="D27" s="670"/>
      <c r="E27" s="151"/>
    </row>
    <row r="28" spans="1:5" s="6" customFormat="1">
      <c r="A28" s="669"/>
      <c r="B28" s="244"/>
      <c r="C28" s="244"/>
      <c r="D28" s="670"/>
      <c r="E28" s="151"/>
    </row>
    <row r="29" spans="1:5" s="6" customFormat="1">
      <c r="A29" s="669"/>
      <c r="B29" s="244"/>
      <c r="C29" s="244"/>
      <c r="D29" s="670"/>
      <c r="E29" s="151"/>
    </row>
    <row r="30" spans="1:5" s="6" customFormat="1">
      <c r="A30" s="669"/>
      <c r="B30" s="244"/>
      <c r="C30" s="244"/>
      <c r="D30" s="670"/>
      <c r="E30" s="151"/>
    </row>
    <row r="31" spans="1:5" s="6" customFormat="1">
      <c r="A31" s="669"/>
      <c r="B31" s="244"/>
      <c r="C31" s="244"/>
      <c r="D31" s="670"/>
      <c r="E31" s="151"/>
    </row>
    <row r="32" spans="1:5" s="6" customFormat="1">
      <c r="A32" s="669"/>
      <c r="B32" s="244"/>
      <c r="C32" s="244"/>
      <c r="D32" s="670"/>
      <c r="E32" s="151"/>
    </row>
    <row r="33" spans="1:5" s="6" customFormat="1">
      <c r="A33" s="669"/>
      <c r="B33" s="244"/>
      <c r="C33" s="244"/>
      <c r="D33" s="670"/>
      <c r="E33" s="151"/>
    </row>
    <row r="34" spans="1:5" s="6" customFormat="1">
      <c r="A34" s="669"/>
      <c r="B34" s="244"/>
      <c r="C34" s="244"/>
      <c r="D34" s="670"/>
      <c r="E34" s="151"/>
    </row>
    <row r="35" spans="1:5" s="6" customFormat="1">
      <c r="A35" s="669"/>
      <c r="B35" s="244"/>
      <c r="C35" s="244"/>
      <c r="D35" s="670"/>
      <c r="E35" s="151"/>
    </row>
    <row r="36" spans="1:5" s="6" customFormat="1">
      <c r="A36" s="669"/>
      <c r="B36" s="244"/>
      <c r="C36" s="244"/>
      <c r="D36" s="670"/>
      <c r="E36" s="151"/>
    </row>
    <row r="37" spans="1:5" s="6" customFormat="1">
      <c r="A37" s="669"/>
      <c r="B37" s="244"/>
      <c r="C37" s="244"/>
      <c r="D37" s="670"/>
      <c r="E37" s="151"/>
    </row>
    <row r="38" spans="1:5" s="6" customFormat="1">
      <c r="A38" s="669"/>
      <c r="B38" s="244"/>
      <c r="C38" s="244"/>
      <c r="D38" s="670"/>
      <c r="E38" s="151"/>
    </row>
    <row r="39" spans="1:5" s="6" customFormat="1">
      <c r="A39" s="669"/>
      <c r="B39" s="244"/>
      <c r="C39" s="244"/>
      <c r="D39" s="670"/>
      <c r="E39" s="151"/>
    </row>
    <row r="40" spans="1:5" s="6" customFormat="1">
      <c r="A40" s="669"/>
      <c r="B40" s="244"/>
      <c r="C40" s="244"/>
      <c r="D40" s="670"/>
      <c r="E40" s="151"/>
    </row>
    <row r="41" spans="1:5" s="6" customFormat="1">
      <c r="A41" s="669"/>
      <c r="B41" s="244"/>
      <c r="C41" s="244"/>
      <c r="D41" s="670"/>
      <c r="E41" s="151"/>
    </row>
    <row r="42" spans="1:5" s="6" customFormat="1">
      <c r="A42" s="669"/>
      <c r="B42" s="244"/>
      <c r="C42" s="244"/>
      <c r="D42" s="670"/>
      <c r="E42" s="151"/>
    </row>
    <row r="43" spans="1:5" s="6" customFormat="1">
      <c r="A43" s="669"/>
      <c r="B43" s="244"/>
      <c r="C43" s="244"/>
      <c r="D43" s="670"/>
      <c r="E43" s="151"/>
    </row>
    <row r="44" spans="1:5" s="6" customFormat="1">
      <c r="A44" s="669"/>
      <c r="B44" s="244"/>
      <c r="C44" s="244"/>
      <c r="D44" s="670"/>
      <c r="E44" s="151"/>
    </row>
    <row r="45" spans="1:5" s="6" customFormat="1">
      <c r="A45" s="669"/>
      <c r="B45" s="244"/>
      <c r="C45" s="244"/>
      <c r="D45" s="670"/>
      <c r="E45" s="151"/>
    </row>
    <row r="46" spans="1:5" s="6" customFormat="1">
      <c r="A46" s="669"/>
      <c r="B46" s="244"/>
      <c r="C46" s="244"/>
      <c r="D46" s="670"/>
      <c r="E46" s="151"/>
    </row>
    <row r="47" spans="1:5" s="6" customFormat="1">
      <c r="A47" s="669"/>
      <c r="B47" s="244"/>
      <c r="C47" s="244"/>
      <c r="D47" s="670"/>
      <c r="E47" s="151"/>
    </row>
    <row r="48" spans="1:5" s="6" customFormat="1">
      <c r="A48" s="669"/>
      <c r="B48" s="244"/>
      <c r="C48" s="244"/>
      <c r="D48" s="670"/>
      <c r="E48" s="151"/>
    </row>
    <row r="49" spans="1:5" s="6" customFormat="1">
      <c r="A49" s="669"/>
      <c r="B49" s="244"/>
      <c r="C49" s="244"/>
      <c r="D49" s="670"/>
      <c r="E49" s="151"/>
    </row>
    <row r="50" spans="1:5" s="6" customFormat="1">
      <c r="A50" s="669"/>
      <c r="B50" s="244"/>
      <c r="C50" s="244"/>
      <c r="D50" s="670"/>
      <c r="E50" s="151"/>
    </row>
    <row r="51" spans="1:5" s="6" customFormat="1">
      <c r="A51" s="669"/>
      <c r="B51" s="244"/>
      <c r="C51" s="244"/>
      <c r="D51" s="670"/>
      <c r="E51" s="151"/>
    </row>
    <row r="52" spans="1:5" s="6" customFormat="1">
      <c r="A52" s="669"/>
      <c r="B52" s="244"/>
      <c r="C52" s="244"/>
      <c r="D52" s="670"/>
      <c r="E52" s="151"/>
    </row>
    <row r="53" spans="1:5" s="6" customFormat="1">
      <c r="A53" s="669"/>
      <c r="B53" s="244"/>
      <c r="C53" s="244"/>
      <c r="D53" s="670"/>
      <c r="E53" s="151"/>
    </row>
    <row r="54" spans="1:5" s="6" customFormat="1">
      <c r="A54" s="669"/>
      <c r="B54" s="244"/>
      <c r="C54" s="244"/>
      <c r="D54" s="670"/>
      <c r="E54" s="151"/>
    </row>
    <row r="55" spans="1:5" s="6" customFormat="1">
      <c r="A55" s="669"/>
      <c r="B55" s="244"/>
      <c r="C55" s="244"/>
      <c r="D55" s="670"/>
      <c r="E55" s="151"/>
    </row>
    <row r="56" spans="1:5" s="6" customFormat="1">
      <c r="A56" s="669"/>
      <c r="B56" s="244"/>
      <c r="C56" s="244"/>
      <c r="D56" s="670"/>
      <c r="E56" s="151"/>
    </row>
    <row r="57" spans="1:5" s="6" customFormat="1">
      <c r="A57" s="669"/>
      <c r="B57" s="244"/>
      <c r="C57" s="244"/>
      <c r="D57" s="670"/>
      <c r="E57" s="151"/>
    </row>
    <row r="58" spans="1:5" s="6" customFormat="1">
      <c r="A58" s="669"/>
      <c r="B58" s="244"/>
      <c r="C58" s="244"/>
      <c r="D58" s="670"/>
      <c r="E58" s="151"/>
    </row>
    <row r="59" spans="1:5" s="6" customFormat="1">
      <c r="A59" s="669"/>
      <c r="B59" s="244"/>
      <c r="C59" s="244"/>
      <c r="D59" s="670"/>
      <c r="E59" s="151"/>
    </row>
    <row r="60" spans="1:5" s="6" customFormat="1">
      <c r="A60" s="669"/>
      <c r="B60" s="244"/>
      <c r="C60" s="244"/>
      <c r="D60" s="670"/>
      <c r="E60" s="151"/>
    </row>
    <row r="61" spans="1:5" s="6" customFormat="1">
      <c r="A61" s="669"/>
      <c r="B61" s="244"/>
      <c r="C61" s="244"/>
      <c r="D61" s="670"/>
      <c r="E61" s="151"/>
    </row>
    <row r="62" spans="1:5" s="6" customFormat="1">
      <c r="A62" s="669"/>
      <c r="B62" s="244"/>
      <c r="C62" s="244"/>
      <c r="D62" s="670"/>
      <c r="E62" s="151"/>
    </row>
    <row r="63" spans="1:5" s="6" customFormat="1">
      <c r="A63" s="669"/>
      <c r="B63" s="244"/>
      <c r="C63" s="244"/>
      <c r="D63" s="670"/>
      <c r="E63" s="151"/>
    </row>
    <row r="64" spans="1:5" s="6" customFormat="1">
      <c r="A64" s="669"/>
      <c r="B64" s="244"/>
      <c r="C64" s="244"/>
      <c r="D64" s="670"/>
      <c r="E64" s="151"/>
    </row>
    <row r="65" spans="1:5" s="6" customFormat="1">
      <c r="A65" s="669"/>
      <c r="B65" s="244"/>
      <c r="C65" s="244"/>
      <c r="D65" s="670"/>
      <c r="E65" s="151"/>
    </row>
    <row r="66" spans="1:5" s="6" customFormat="1">
      <c r="A66" s="669"/>
      <c r="B66" s="244"/>
      <c r="C66" s="244"/>
      <c r="D66" s="670"/>
      <c r="E66" s="151"/>
    </row>
    <row r="67" spans="1:5" s="6" customFormat="1">
      <c r="A67" s="669"/>
      <c r="B67" s="244"/>
      <c r="C67" s="244"/>
      <c r="D67" s="670"/>
      <c r="E67" s="151"/>
    </row>
    <row r="68" spans="1:5" s="6" customFormat="1">
      <c r="A68" s="669"/>
      <c r="B68" s="244"/>
      <c r="C68" s="244"/>
      <c r="D68" s="670"/>
      <c r="E68" s="151"/>
    </row>
    <row r="69" spans="1:5" s="6" customFormat="1">
      <c r="A69" s="669"/>
      <c r="B69" s="244"/>
      <c r="C69" s="244"/>
      <c r="D69" s="670"/>
      <c r="E69" s="151"/>
    </row>
    <row r="70" spans="1:5" s="6" customFormat="1">
      <c r="A70" s="669"/>
      <c r="B70" s="244"/>
      <c r="C70" s="244"/>
      <c r="D70" s="670"/>
      <c r="E70" s="151"/>
    </row>
    <row r="71" spans="1:5" s="6" customFormat="1">
      <c r="A71" s="669"/>
      <c r="B71" s="244"/>
      <c r="C71" s="244"/>
      <c r="D71" s="670"/>
      <c r="E71" s="151"/>
    </row>
    <row r="72" spans="1:5" s="6" customFormat="1">
      <c r="A72" s="669"/>
      <c r="B72" s="244"/>
      <c r="C72" s="244"/>
      <c r="D72" s="670"/>
      <c r="E72" s="151"/>
    </row>
    <row r="73" spans="1:5" s="6" customFormat="1">
      <c r="A73" s="669"/>
      <c r="B73" s="244"/>
      <c r="C73" s="244"/>
      <c r="D73" s="670"/>
      <c r="E73" s="151"/>
    </row>
    <row r="74" spans="1:5" s="6" customFormat="1">
      <c r="A74" s="669"/>
      <c r="B74" s="244"/>
      <c r="C74" s="244"/>
      <c r="D74" s="670"/>
      <c r="E74" s="151"/>
    </row>
    <row r="75" spans="1:5" s="6" customFormat="1">
      <c r="A75" s="669"/>
      <c r="B75" s="244"/>
      <c r="C75" s="244"/>
      <c r="D75" s="670"/>
      <c r="E75" s="151"/>
    </row>
    <row r="76" spans="1:5" s="6" customFormat="1">
      <c r="A76" s="669"/>
      <c r="B76" s="244"/>
      <c r="C76" s="244"/>
      <c r="D76" s="670"/>
      <c r="E76" s="151"/>
    </row>
    <row r="77" spans="1:5" s="6" customFormat="1">
      <c r="A77" s="669"/>
      <c r="B77" s="244"/>
      <c r="C77" s="244"/>
      <c r="D77" s="670"/>
      <c r="E77" s="151"/>
    </row>
    <row r="78" spans="1:5" s="6" customFormat="1">
      <c r="A78" s="669"/>
      <c r="B78" s="244"/>
      <c r="C78" s="244"/>
      <c r="D78" s="670"/>
      <c r="E78" s="151"/>
    </row>
    <row r="79" spans="1:5" s="6" customFormat="1">
      <c r="A79" s="669"/>
      <c r="B79" s="244"/>
      <c r="C79" s="244"/>
      <c r="D79" s="670"/>
      <c r="E79" s="151"/>
    </row>
    <row r="80" spans="1:5" s="6" customFormat="1">
      <c r="A80" s="669"/>
      <c r="B80" s="244"/>
      <c r="C80" s="244"/>
      <c r="D80" s="670"/>
      <c r="E80" s="151"/>
    </row>
    <row r="81" spans="1:5" s="6" customFormat="1">
      <c r="A81" s="669"/>
      <c r="B81" s="244"/>
      <c r="C81" s="244"/>
      <c r="D81" s="670"/>
      <c r="E81" s="151"/>
    </row>
    <row r="82" spans="1:5" s="6" customFormat="1">
      <c r="A82" s="669"/>
      <c r="B82" s="244"/>
      <c r="C82" s="244"/>
      <c r="D82" s="670"/>
      <c r="E82" s="151"/>
    </row>
    <row r="83" spans="1:5" s="6" customFormat="1">
      <c r="A83" s="669"/>
      <c r="B83" s="244"/>
      <c r="C83" s="244"/>
      <c r="D83" s="670"/>
      <c r="E83" s="151"/>
    </row>
    <row r="84" spans="1:5" s="6" customFormat="1">
      <c r="A84" s="669"/>
      <c r="B84" s="244"/>
      <c r="C84" s="244"/>
      <c r="D84" s="670"/>
      <c r="E84" s="151"/>
    </row>
    <row r="85" spans="1:5" s="6" customFormat="1">
      <c r="A85" s="669"/>
      <c r="B85" s="244"/>
      <c r="C85" s="244"/>
      <c r="D85" s="670"/>
      <c r="E85" s="151"/>
    </row>
    <row r="86" spans="1:5" s="6" customFormat="1">
      <c r="A86" s="669"/>
      <c r="B86" s="244"/>
      <c r="C86" s="244"/>
      <c r="D86" s="670"/>
      <c r="E86" s="151"/>
    </row>
    <row r="87" spans="1:5" s="6" customFormat="1">
      <c r="A87" s="669"/>
      <c r="B87" s="244"/>
      <c r="C87" s="244"/>
      <c r="D87" s="670"/>
      <c r="E87" s="151"/>
    </row>
    <row r="88" spans="1:5" s="6" customFormat="1">
      <c r="A88" s="669"/>
      <c r="B88" s="244"/>
      <c r="C88" s="244"/>
      <c r="D88" s="670"/>
      <c r="E88" s="151"/>
    </row>
    <row r="89" spans="1:5" s="6" customFormat="1">
      <c r="A89" s="669"/>
      <c r="B89" s="244"/>
      <c r="C89" s="244"/>
      <c r="D89" s="670"/>
      <c r="E89" s="151"/>
    </row>
    <row r="90" spans="1:5" s="6" customFormat="1">
      <c r="A90" s="669"/>
      <c r="B90" s="244"/>
      <c r="C90" s="244"/>
      <c r="D90" s="670"/>
      <c r="E90" s="151"/>
    </row>
    <row r="91" spans="1:5" s="6" customFormat="1">
      <c r="A91" s="669"/>
      <c r="B91" s="244"/>
      <c r="C91" s="244"/>
      <c r="D91" s="670"/>
      <c r="E91" s="151"/>
    </row>
    <row r="92" spans="1:5" s="6" customFormat="1">
      <c r="A92" s="669"/>
      <c r="B92" s="244"/>
      <c r="C92" s="244"/>
      <c r="D92" s="670"/>
      <c r="E92" s="151"/>
    </row>
    <row r="93" spans="1:5" s="6" customFormat="1">
      <c r="A93" s="669"/>
      <c r="B93" s="244"/>
      <c r="C93" s="244"/>
      <c r="D93" s="670"/>
      <c r="E93" s="151"/>
    </row>
    <row r="94" spans="1:5" s="6" customFormat="1">
      <c r="A94" s="669"/>
      <c r="B94" s="244"/>
      <c r="C94" s="244"/>
      <c r="D94" s="670"/>
      <c r="E94" s="151"/>
    </row>
    <row r="95" spans="1:5" s="6" customFormat="1">
      <c r="A95" s="669"/>
      <c r="B95" s="244"/>
      <c r="C95" s="244"/>
      <c r="D95" s="670"/>
      <c r="E95" s="151"/>
    </row>
    <row r="96" spans="1:5" s="6" customFormat="1">
      <c r="A96" s="669"/>
      <c r="B96" s="244"/>
      <c r="C96" s="244"/>
      <c r="D96" s="670"/>
      <c r="E96" s="151"/>
    </row>
    <row r="97" spans="1:5" s="6" customFormat="1">
      <c r="A97" s="669"/>
      <c r="B97" s="244"/>
      <c r="C97" s="244"/>
      <c r="D97" s="670"/>
      <c r="E97" s="151"/>
    </row>
    <row r="98" spans="1:5" s="6" customFormat="1">
      <c r="A98" s="669"/>
      <c r="B98" s="244"/>
      <c r="C98" s="244"/>
      <c r="D98" s="670"/>
      <c r="E98" s="151"/>
    </row>
    <row r="99" spans="1:5" s="6" customFormat="1">
      <c r="A99" s="669"/>
      <c r="B99" s="244"/>
      <c r="C99" s="244"/>
      <c r="D99" s="670"/>
      <c r="E99" s="151"/>
    </row>
    <row r="100" spans="1:5" s="6" customFormat="1">
      <c r="A100" s="669"/>
      <c r="B100" s="244"/>
      <c r="C100" s="244"/>
      <c r="D100" s="670"/>
      <c r="E100" s="151"/>
    </row>
    <row r="101" spans="1:5" s="6" customFormat="1">
      <c r="A101" s="669"/>
      <c r="B101" s="244"/>
      <c r="C101" s="244"/>
      <c r="D101" s="670"/>
      <c r="E101" s="151"/>
    </row>
    <row r="102" spans="1:5" s="6" customFormat="1">
      <c r="A102" s="669"/>
      <c r="B102" s="244"/>
      <c r="C102" s="244"/>
      <c r="D102" s="670"/>
      <c r="E102" s="151"/>
    </row>
    <row r="103" spans="1:5" s="6" customFormat="1">
      <c r="A103" s="669"/>
      <c r="B103" s="244"/>
      <c r="C103" s="244"/>
      <c r="D103" s="670"/>
      <c r="E103" s="151"/>
    </row>
    <row r="104" spans="1:5" s="6" customFormat="1">
      <c r="A104" s="669"/>
      <c r="B104" s="244"/>
      <c r="C104" s="244"/>
      <c r="D104" s="670"/>
      <c r="E104" s="151"/>
    </row>
    <row r="105" spans="1:5" s="6" customFormat="1">
      <c r="A105" s="669"/>
      <c r="B105" s="244"/>
      <c r="C105" s="244"/>
      <c r="D105" s="670"/>
      <c r="E105" s="151"/>
    </row>
    <row r="106" spans="1:5" s="6" customFormat="1">
      <c r="A106" s="669"/>
      <c r="B106" s="244"/>
      <c r="C106" s="244"/>
      <c r="D106" s="670"/>
      <c r="E106" s="151"/>
    </row>
    <row r="107" spans="1:5" s="6" customFormat="1">
      <c r="A107" s="669"/>
      <c r="B107" s="244"/>
      <c r="C107" s="244"/>
      <c r="D107" s="670"/>
      <c r="E107" s="151"/>
    </row>
    <row r="108" spans="1:5" s="6" customFormat="1">
      <c r="A108" s="669"/>
      <c r="B108" s="244"/>
      <c r="C108" s="244"/>
      <c r="D108" s="670"/>
      <c r="E108" s="151"/>
    </row>
    <row r="109" spans="1:5" s="6" customFormat="1">
      <c r="A109" s="669"/>
      <c r="B109" s="244"/>
      <c r="C109" s="244"/>
      <c r="D109" s="670"/>
      <c r="E109" s="151"/>
    </row>
    <row r="110" spans="1:5" s="6" customFormat="1">
      <c r="A110" s="669"/>
      <c r="B110" s="244"/>
      <c r="C110" s="244"/>
      <c r="D110" s="670"/>
      <c r="E110" s="151"/>
    </row>
    <row r="111" spans="1:5" s="6" customFormat="1">
      <c r="A111" s="669"/>
      <c r="B111" s="244"/>
      <c r="C111" s="244"/>
      <c r="D111" s="670"/>
      <c r="E111" s="151"/>
    </row>
    <row r="112" spans="1:5" s="6" customFormat="1">
      <c r="A112" s="669"/>
      <c r="B112" s="244"/>
      <c r="C112" s="244"/>
      <c r="D112" s="670"/>
      <c r="E112" s="151"/>
    </row>
    <row r="113" spans="1:5" s="6" customFormat="1">
      <c r="A113" s="669"/>
      <c r="B113" s="244"/>
      <c r="C113" s="244"/>
      <c r="D113" s="670"/>
      <c r="E113" s="151"/>
    </row>
    <row r="114" spans="1:5" s="6" customFormat="1">
      <c r="A114" s="669"/>
      <c r="B114" s="244"/>
      <c r="C114" s="244"/>
      <c r="D114" s="670"/>
      <c r="E114" s="151"/>
    </row>
    <row r="115" spans="1:5" s="6" customFormat="1">
      <c r="A115" s="669"/>
      <c r="B115" s="244"/>
      <c r="C115" s="244"/>
      <c r="D115" s="670"/>
      <c r="E115" s="151"/>
    </row>
    <row r="116" spans="1:5" s="6" customFormat="1">
      <c r="A116" s="669"/>
      <c r="B116" s="244"/>
      <c r="C116" s="244"/>
      <c r="D116" s="670"/>
      <c r="E116" s="151"/>
    </row>
    <row r="117" spans="1:5" s="6" customFormat="1">
      <c r="A117" s="669"/>
      <c r="B117" s="244"/>
      <c r="C117" s="244"/>
      <c r="D117" s="670"/>
      <c r="E117" s="151"/>
    </row>
    <row r="118" spans="1:5" s="6" customFormat="1">
      <c r="A118" s="669"/>
      <c r="B118" s="244"/>
      <c r="C118" s="244"/>
      <c r="D118" s="670"/>
      <c r="E118" s="151"/>
    </row>
    <row r="119" spans="1:5" s="6" customFormat="1">
      <c r="A119" s="669"/>
      <c r="B119" s="244"/>
      <c r="C119" s="244"/>
      <c r="D119" s="670"/>
      <c r="E119" s="151"/>
    </row>
    <row r="120" spans="1:5" s="6" customFormat="1">
      <c r="A120" s="669"/>
      <c r="B120" s="244"/>
      <c r="C120" s="244"/>
      <c r="D120" s="670"/>
      <c r="E120" s="151"/>
    </row>
    <row r="121" spans="1:5" s="6" customFormat="1">
      <c r="A121" s="669"/>
      <c r="B121" s="244"/>
      <c r="C121" s="244"/>
      <c r="D121" s="670"/>
      <c r="E121" s="151"/>
    </row>
    <row r="122" spans="1:5" s="6" customFormat="1">
      <c r="A122" s="669"/>
      <c r="B122" s="244"/>
      <c r="C122" s="244"/>
      <c r="D122" s="670"/>
      <c r="E122" s="151"/>
    </row>
    <row r="123" spans="1:5" s="6" customFormat="1">
      <c r="A123" s="669"/>
      <c r="B123" s="244"/>
      <c r="C123" s="244"/>
      <c r="D123" s="670"/>
      <c r="E123" s="151"/>
    </row>
    <row r="124" spans="1:5" s="6" customFormat="1">
      <c r="A124" s="669"/>
      <c r="B124" s="244"/>
      <c r="C124" s="244"/>
      <c r="D124" s="670"/>
      <c r="E124" s="151"/>
    </row>
    <row r="125" spans="1:5" s="6" customFormat="1">
      <c r="A125" s="669"/>
      <c r="B125" s="244"/>
      <c r="C125" s="244"/>
      <c r="D125" s="670"/>
      <c r="E125" s="151"/>
    </row>
    <row r="126" spans="1:5" s="6" customFormat="1">
      <c r="A126" s="669"/>
      <c r="B126" s="244"/>
      <c r="C126" s="244"/>
      <c r="D126" s="670"/>
      <c r="E126" s="151"/>
    </row>
    <row r="127" spans="1:5" s="6" customFormat="1">
      <c r="A127" s="669"/>
      <c r="B127" s="244"/>
      <c r="C127" s="244"/>
      <c r="D127" s="670"/>
      <c r="E127" s="151"/>
    </row>
    <row r="128" spans="1:5" s="6" customFormat="1">
      <c r="A128" s="669"/>
      <c r="B128" s="244"/>
      <c r="C128" s="244"/>
      <c r="D128" s="670"/>
      <c r="E128" s="151"/>
    </row>
    <row r="129" spans="1:5" s="6" customFormat="1">
      <c r="A129" s="669"/>
      <c r="B129" s="244"/>
      <c r="C129" s="244"/>
      <c r="D129" s="670"/>
      <c r="E129" s="151"/>
    </row>
    <row r="130" spans="1:5" s="6" customFormat="1">
      <c r="A130" s="669"/>
      <c r="B130" s="244"/>
      <c r="C130" s="244"/>
      <c r="D130" s="670"/>
      <c r="E130" s="151"/>
    </row>
    <row r="131" spans="1:5" s="6" customFormat="1">
      <c r="A131" s="669"/>
      <c r="B131" s="244"/>
      <c r="C131" s="244"/>
      <c r="D131" s="670"/>
      <c r="E131" s="151"/>
    </row>
    <row r="132" spans="1:5" s="6" customFormat="1">
      <c r="A132" s="669"/>
      <c r="B132" s="244"/>
      <c r="C132" s="244"/>
      <c r="D132" s="670"/>
      <c r="E132" s="151"/>
    </row>
    <row r="133" spans="1:5" s="6" customFormat="1">
      <c r="A133" s="669"/>
      <c r="B133" s="244"/>
      <c r="C133" s="244"/>
      <c r="D133" s="670"/>
      <c r="E133" s="151"/>
    </row>
    <row r="134" spans="1:5" s="6" customFormat="1">
      <c r="A134" s="669"/>
      <c r="B134" s="244"/>
      <c r="C134" s="244"/>
      <c r="D134" s="670"/>
      <c r="E134" s="151"/>
    </row>
    <row r="135" spans="1:5" s="6" customFormat="1">
      <c r="A135" s="669"/>
      <c r="B135" s="244"/>
      <c r="C135" s="244"/>
      <c r="D135" s="670"/>
      <c r="E135" s="151"/>
    </row>
    <row r="136" spans="1:5" s="6" customFormat="1">
      <c r="A136" s="669"/>
      <c r="B136" s="244"/>
      <c r="C136" s="244"/>
      <c r="D136" s="670"/>
      <c r="E136" s="151"/>
    </row>
    <row r="137" spans="1:5" s="6" customFormat="1">
      <c r="A137" s="669"/>
      <c r="B137" s="244"/>
      <c r="C137" s="244"/>
      <c r="D137" s="670"/>
      <c r="E137" s="151"/>
    </row>
    <row r="138" spans="1:5" s="6" customFormat="1">
      <c r="A138" s="669"/>
      <c r="B138" s="244"/>
      <c r="C138" s="244"/>
      <c r="D138" s="670"/>
      <c r="E138" s="151"/>
    </row>
    <row r="139" spans="1:5" s="6" customFormat="1">
      <c r="A139" s="669"/>
      <c r="B139" s="244"/>
      <c r="C139" s="244"/>
      <c r="D139" s="670"/>
      <c r="E139" s="151"/>
    </row>
    <row r="140" spans="1:5" s="6" customFormat="1">
      <c r="A140" s="669"/>
      <c r="B140" s="244"/>
      <c r="C140" s="244"/>
      <c r="D140" s="670"/>
      <c r="E140" s="151"/>
    </row>
    <row r="141" spans="1:5" s="6" customFormat="1">
      <c r="A141" s="669"/>
      <c r="B141" s="244"/>
      <c r="C141" s="244"/>
      <c r="D141" s="670"/>
      <c r="E141" s="151"/>
    </row>
    <row r="142" spans="1:5" s="6" customFormat="1">
      <c r="A142" s="669"/>
      <c r="B142" s="244"/>
      <c r="C142" s="244"/>
      <c r="D142" s="670"/>
      <c r="E142" s="151"/>
    </row>
    <row r="143" spans="1:5" s="6" customFormat="1">
      <c r="A143" s="669"/>
      <c r="B143" s="244"/>
      <c r="C143" s="244"/>
      <c r="D143" s="670"/>
      <c r="E143" s="151"/>
    </row>
    <row r="144" spans="1:5" s="6" customFormat="1">
      <c r="A144" s="669"/>
      <c r="B144" s="244"/>
      <c r="C144" s="244"/>
      <c r="D144" s="670"/>
      <c r="E144" s="151"/>
    </row>
    <row r="145" spans="1:5" s="6" customFormat="1">
      <c r="A145" s="669"/>
      <c r="B145" s="244"/>
      <c r="C145" s="244"/>
      <c r="D145" s="670"/>
      <c r="E145" s="151"/>
    </row>
    <row r="146" spans="1:5" s="6" customFormat="1">
      <c r="A146" s="669"/>
      <c r="B146" s="244"/>
      <c r="C146" s="244"/>
      <c r="D146" s="670"/>
      <c r="E146" s="151"/>
    </row>
    <row r="147" spans="1:5" s="6" customFormat="1">
      <c r="A147" s="669"/>
      <c r="B147" s="244"/>
      <c r="C147" s="244"/>
      <c r="D147" s="670"/>
      <c r="E147" s="151"/>
    </row>
    <row r="148" spans="1:5" s="6" customFormat="1">
      <c r="A148" s="669"/>
      <c r="B148" s="244"/>
      <c r="C148" s="244"/>
      <c r="D148" s="670"/>
      <c r="E148" s="151"/>
    </row>
    <row r="149" spans="1:5" s="6" customFormat="1">
      <c r="A149" s="669"/>
      <c r="B149" s="244"/>
      <c r="C149" s="244"/>
      <c r="D149" s="670"/>
      <c r="E149" s="151"/>
    </row>
    <row r="150" spans="1:5" s="6" customFormat="1">
      <c r="A150" s="669"/>
      <c r="B150" s="244"/>
      <c r="C150" s="244"/>
      <c r="D150" s="670"/>
      <c r="E150" s="151"/>
    </row>
    <row r="151" spans="1:5" s="6" customFormat="1">
      <c r="A151" s="669"/>
      <c r="B151" s="244"/>
      <c r="C151" s="244"/>
      <c r="D151" s="670"/>
      <c r="E151" s="151"/>
    </row>
    <row r="152" spans="1:5" s="6" customFormat="1">
      <c r="A152" s="669"/>
      <c r="B152" s="244"/>
      <c r="C152" s="244"/>
      <c r="D152" s="670"/>
      <c r="E152" s="151"/>
    </row>
    <row r="153" spans="1:5" s="6" customFormat="1">
      <c r="A153" s="669"/>
      <c r="B153" s="244"/>
      <c r="C153" s="244"/>
      <c r="D153" s="670"/>
      <c r="E153" s="151"/>
    </row>
    <row r="154" spans="1:5" s="6" customFormat="1">
      <c r="A154" s="669"/>
      <c r="B154" s="244"/>
      <c r="C154" s="244"/>
      <c r="D154" s="670"/>
      <c r="E154" s="151"/>
    </row>
    <row r="155" spans="1:5" s="6" customFormat="1">
      <c r="A155" s="669"/>
      <c r="B155" s="244"/>
      <c r="C155" s="244"/>
      <c r="D155" s="670"/>
      <c r="E155" s="151"/>
    </row>
    <row r="156" spans="1:5" s="6" customFormat="1">
      <c r="A156" s="669"/>
      <c r="B156" s="244"/>
      <c r="C156" s="244"/>
      <c r="D156" s="670"/>
      <c r="E156" s="151"/>
    </row>
    <row r="157" spans="1:5" s="6" customFormat="1">
      <c r="A157" s="669"/>
      <c r="B157" s="244"/>
      <c r="C157" s="244"/>
      <c r="D157" s="670"/>
      <c r="E157" s="151"/>
    </row>
    <row r="158" spans="1:5" s="6" customFormat="1">
      <c r="A158" s="669"/>
      <c r="B158" s="244"/>
      <c r="C158" s="244"/>
      <c r="D158" s="670"/>
      <c r="E158" s="151"/>
    </row>
    <row r="159" spans="1:5" s="6" customFormat="1">
      <c r="A159" s="669"/>
      <c r="B159" s="244"/>
      <c r="C159" s="244"/>
      <c r="D159" s="670"/>
      <c r="E159" s="151"/>
    </row>
    <row r="160" spans="1:5" s="6" customFormat="1">
      <c r="A160" s="669"/>
      <c r="B160" s="244"/>
      <c r="C160" s="244"/>
      <c r="D160" s="670"/>
      <c r="E160" s="151"/>
    </row>
    <row r="161" spans="1:5" s="6" customFormat="1">
      <c r="A161" s="669"/>
      <c r="B161" s="244"/>
      <c r="C161" s="244"/>
      <c r="D161" s="670"/>
      <c r="E161" s="151"/>
    </row>
    <row r="162" spans="1:5" s="6" customFormat="1">
      <c r="A162" s="669"/>
      <c r="B162" s="244"/>
      <c r="C162" s="244"/>
      <c r="D162" s="670"/>
      <c r="E162" s="151"/>
    </row>
    <row r="163" spans="1:5" s="6" customFormat="1">
      <c r="A163" s="669"/>
      <c r="B163" s="244"/>
      <c r="C163" s="244"/>
      <c r="D163" s="670"/>
      <c r="E163" s="151"/>
    </row>
    <row r="164" spans="1:5" s="6" customFormat="1">
      <c r="A164" s="669"/>
      <c r="B164" s="244"/>
      <c r="C164" s="244"/>
      <c r="D164" s="670"/>
      <c r="E164" s="151"/>
    </row>
    <row r="165" spans="1:5" s="6" customFormat="1">
      <c r="A165" s="669"/>
      <c r="B165" s="244"/>
      <c r="C165" s="244"/>
      <c r="D165" s="670"/>
      <c r="E165" s="151"/>
    </row>
    <row r="166" spans="1:5" s="6" customFormat="1">
      <c r="A166" s="669"/>
      <c r="B166" s="244"/>
      <c r="C166" s="244"/>
      <c r="D166" s="670"/>
      <c r="E166" s="151"/>
    </row>
    <row r="167" spans="1:5" s="6" customFormat="1">
      <c r="A167" s="669"/>
      <c r="B167" s="244"/>
      <c r="C167" s="244"/>
      <c r="D167" s="670"/>
      <c r="E167" s="151"/>
    </row>
    <row r="168" spans="1:5" s="6" customFormat="1">
      <c r="A168" s="669"/>
      <c r="B168" s="244"/>
      <c r="C168" s="244"/>
      <c r="D168" s="670"/>
      <c r="E168" s="151"/>
    </row>
    <row r="169" spans="1:5" s="6" customFormat="1">
      <c r="A169" s="669"/>
      <c r="B169" s="244"/>
      <c r="C169" s="244"/>
      <c r="D169" s="670"/>
      <c r="E169" s="151"/>
    </row>
    <row r="170" spans="1:5" s="6" customFormat="1">
      <c r="A170" s="669"/>
      <c r="B170" s="244"/>
      <c r="C170" s="244"/>
      <c r="D170" s="670"/>
      <c r="E170" s="151"/>
    </row>
    <row r="171" spans="1:5" s="6" customFormat="1">
      <c r="A171" s="669"/>
      <c r="B171" s="244"/>
      <c r="C171" s="244"/>
      <c r="D171" s="670"/>
      <c r="E171" s="151"/>
    </row>
    <row r="172" spans="1:5" s="6" customFormat="1">
      <c r="A172" s="669"/>
      <c r="B172" s="244"/>
      <c r="C172" s="244"/>
      <c r="D172" s="670"/>
      <c r="E172" s="151"/>
    </row>
    <row r="173" spans="1:5" s="6" customFormat="1">
      <c r="A173" s="669"/>
      <c r="B173" s="244"/>
      <c r="C173" s="244"/>
      <c r="D173" s="670"/>
      <c r="E173" s="151"/>
    </row>
    <row r="174" spans="1:5" s="6" customFormat="1">
      <c r="A174" s="669"/>
      <c r="B174" s="244"/>
      <c r="C174" s="244"/>
      <c r="D174" s="670"/>
      <c r="E174" s="151"/>
    </row>
    <row r="175" spans="1:5" s="6" customFormat="1">
      <c r="A175" s="669"/>
      <c r="B175" s="244"/>
      <c r="C175" s="244"/>
      <c r="D175" s="670"/>
      <c r="E175" s="151"/>
    </row>
    <row r="176" spans="1:5" s="6" customFormat="1">
      <c r="A176" s="669"/>
      <c r="B176" s="244"/>
      <c r="C176" s="244"/>
      <c r="D176" s="670"/>
      <c r="E176" s="151"/>
    </row>
    <row r="177" spans="1:5" s="6" customFormat="1">
      <c r="A177" s="669"/>
      <c r="B177" s="244"/>
      <c r="C177" s="244"/>
      <c r="D177" s="670"/>
      <c r="E177" s="151"/>
    </row>
    <row r="178" spans="1:5" s="6" customFormat="1">
      <c r="A178" s="669"/>
      <c r="B178" s="244"/>
      <c r="C178" s="244"/>
      <c r="D178" s="670"/>
      <c r="E178" s="151"/>
    </row>
    <row r="179" spans="1:5" s="6" customFormat="1">
      <c r="A179" s="669"/>
      <c r="B179" s="244"/>
      <c r="C179" s="244"/>
      <c r="D179" s="670"/>
      <c r="E179" s="151"/>
    </row>
    <row r="180" spans="1:5" s="6" customFormat="1">
      <c r="A180" s="669"/>
      <c r="B180" s="244"/>
      <c r="C180" s="244"/>
      <c r="D180" s="670"/>
      <c r="E180" s="151"/>
    </row>
    <row r="181" spans="1:5" s="6" customFormat="1">
      <c r="A181" s="669"/>
      <c r="B181" s="244"/>
      <c r="C181" s="244"/>
      <c r="D181" s="670"/>
      <c r="E181" s="151"/>
    </row>
    <row r="182" spans="1:5" s="6" customFormat="1">
      <c r="A182" s="669"/>
      <c r="B182" s="244"/>
      <c r="C182" s="244"/>
      <c r="D182" s="670"/>
      <c r="E182" s="151"/>
    </row>
    <row r="183" spans="1:5" s="6" customFormat="1">
      <c r="A183" s="669"/>
      <c r="B183" s="244"/>
      <c r="C183" s="244"/>
      <c r="D183" s="670"/>
      <c r="E183" s="151"/>
    </row>
    <row r="184" spans="1:5" s="6" customFormat="1">
      <c r="A184" s="669"/>
      <c r="B184" s="244"/>
      <c r="C184" s="244"/>
      <c r="D184" s="670"/>
      <c r="E184" s="151"/>
    </row>
    <row r="185" spans="1:5" s="6" customFormat="1">
      <c r="A185" s="669"/>
      <c r="B185" s="244"/>
      <c r="C185" s="244"/>
      <c r="D185" s="670"/>
      <c r="E185" s="151"/>
    </row>
    <row r="186" spans="1:5" s="6" customFormat="1">
      <c r="A186" s="669"/>
      <c r="B186" s="244"/>
      <c r="C186" s="244"/>
      <c r="D186" s="670"/>
      <c r="E186" s="151"/>
    </row>
    <row r="187" spans="1:5" s="6" customFormat="1">
      <c r="A187" s="669"/>
      <c r="B187" s="244"/>
      <c r="C187" s="244"/>
      <c r="D187" s="670"/>
      <c r="E187" s="151"/>
    </row>
    <row r="188" spans="1:5" s="6" customFormat="1">
      <c r="A188" s="669"/>
      <c r="B188" s="244"/>
      <c r="C188" s="244"/>
      <c r="D188" s="670"/>
      <c r="E188" s="151"/>
    </row>
    <row r="189" spans="1:5" s="6" customFormat="1">
      <c r="A189" s="669"/>
      <c r="B189" s="244"/>
      <c r="C189" s="244"/>
      <c r="D189" s="670"/>
      <c r="E189" s="151"/>
    </row>
    <row r="190" spans="1:5" s="6" customFormat="1">
      <c r="A190" s="669"/>
      <c r="B190" s="244"/>
      <c r="C190" s="244"/>
      <c r="D190" s="670"/>
      <c r="E190" s="151"/>
    </row>
    <row r="191" spans="1:5" s="6" customFormat="1">
      <c r="A191" s="669"/>
      <c r="B191" s="244"/>
      <c r="C191" s="244"/>
      <c r="D191" s="670"/>
      <c r="E191" s="151"/>
    </row>
    <row r="192" spans="1:5" s="6" customFormat="1">
      <c r="A192" s="669"/>
      <c r="B192" s="244"/>
      <c r="C192" s="244"/>
      <c r="D192" s="670"/>
      <c r="E192" s="151"/>
    </row>
    <row r="193" spans="1:5" s="6" customFormat="1">
      <c r="A193" s="669"/>
      <c r="B193" s="244"/>
      <c r="C193" s="244"/>
      <c r="D193" s="670"/>
      <c r="E193" s="151"/>
    </row>
    <row r="194" spans="1:5" s="6" customFormat="1">
      <c r="A194" s="669"/>
      <c r="B194" s="244"/>
      <c r="C194" s="244"/>
      <c r="D194" s="670"/>
      <c r="E194" s="151"/>
    </row>
    <row r="195" spans="1:5" s="6" customFormat="1">
      <c r="A195" s="669"/>
      <c r="B195" s="244"/>
      <c r="C195" s="244"/>
      <c r="D195" s="670"/>
      <c r="E195" s="151"/>
    </row>
    <row r="196" spans="1:5" s="6" customFormat="1">
      <c r="A196" s="669"/>
      <c r="B196" s="244"/>
      <c r="C196" s="244"/>
      <c r="D196" s="670"/>
      <c r="E196" s="151"/>
    </row>
    <row r="197" spans="1:5" s="6" customFormat="1">
      <c r="A197" s="669"/>
      <c r="B197" s="244"/>
      <c r="C197" s="244"/>
      <c r="D197" s="670"/>
      <c r="E197" s="151"/>
    </row>
    <row r="198" spans="1:5" s="6" customFormat="1">
      <c r="A198" s="669"/>
      <c r="B198" s="244"/>
      <c r="C198" s="244"/>
      <c r="D198" s="670"/>
      <c r="E198" s="151"/>
    </row>
    <row r="199" spans="1:5" s="6" customFormat="1">
      <c r="A199" s="669"/>
      <c r="B199" s="244"/>
      <c r="C199" s="244"/>
      <c r="D199" s="670"/>
      <c r="E199" s="151"/>
    </row>
    <row r="200" spans="1:5" s="6" customFormat="1">
      <c r="A200" s="669"/>
      <c r="B200" s="244"/>
      <c r="C200" s="244"/>
      <c r="D200" s="670"/>
      <c r="E200" s="151"/>
    </row>
    <row r="201" spans="1:5" s="6" customFormat="1">
      <c r="A201" s="669"/>
      <c r="B201" s="244"/>
      <c r="C201" s="244"/>
      <c r="D201" s="670"/>
      <c r="E201" s="151"/>
    </row>
    <row r="202" spans="1:5" s="6" customFormat="1">
      <c r="A202" s="669"/>
      <c r="B202" s="244"/>
      <c r="C202" s="244"/>
      <c r="D202" s="670"/>
      <c r="E202" s="151"/>
    </row>
    <row r="203" spans="1:5" s="6" customFormat="1">
      <c r="A203" s="669"/>
      <c r="B203" s="244"/>
      <c r="C203" s="244"/>
      <c r="D203" s="670"/>
      <c r="E203" s="151"/>
    </row>
    <row r="204" spans="1:5" s="6" customFormat="1">
      <c r="A204" s="669"/>
      <c r="B204" s="244"/>
      <c r="C204" s="244"/>
      <c r="D204" s="670"/>
      <c r="E204" s="151"/>
    </row>
    <row r="205" spans="1:5" s="6" customFormat="1">
      <c r="A205" s="669"/>
      <c r="B205" s="244"/>
      <c r="C205" s="244"/>
      <c r="D205" s="670"/>
      <c r="E205" s="151"/>
    </row>
    <row r="206" spans="1:5" s="6" customFormat="1">
      <c r="A206" s="669"/>
      <c r="B206" s="244"/>
      <c r="C206" s="244"/>
      <c r="D206" s="670"/>
      <c r="E206" s="151"/>
    </row>
    <row r="207" spans="1:5" s="6" customFormat="1">
      <c r="A207" s="669"/>
      <c r="B207" s="244"/>
      <c r="C207" s="244"/>
      <c r="D207" s="670"/>
      <c r="E207" s="151"/>
    </row>
    <row r="208" spans="1:5" s="6" customFormat="1">
      <c r="A208" s="669"/>
      <c r="B208" s="244"/>
      <c r="C208" s="244"/>
      <c r="D208" s="670"/>
      <c r="E208" s="151"/>
    </row>
    <row r="209" spans="1:5" s="6" customFormat="1">
      <c r="A209" s="669"/>
      <c r="B209" s="244"/>
      <c r="C209" s="244"/>
      <c r="D209" s="670"/>
      <c r="E209" s="151"/>
    </row>
    <row r="210" spans="1:5" s="6" customFormat="1">
      <c r="A210" s="669"/>
      <c r="B210" s="244"/>
      <c r="C210" s="244"/>
      <c r="D210" s="670"/>
      <c r="E210" s="151"/>
    </row>
    <row r="211" spans="1:5" s="6" customFormat="1">
      <c r="A211" s="669"/>
      <c r="B211" s="244"/>
      <c r="C211" s="244"/>
      <c r="D211" s="670"/>
      <c r="E211" s="151"/>
    </row>
    <row r="212" spans="1:5" s="6" customFormat="1">
      <c r="A212" s="669"/>
      <c r="B212" s="244"/>
      <c r="C212" s="244"/>
      <c r="D212" s="670"/>
      <c r="E212" s="151"/>
    </row>
    <row r="213" spans="1:5" s="6" customFormat="1">
      <c r="A213" s="669"/>
      <c r="B213" s="244"/>
      <c r="C213" s="244"/>
      <c r="D213" s="670"/>
      <c r="E213" s="151"/>
    </row>
    <row r="214" spans="1:5" s="6" customFormat="1">
      <c r="A214" s="669"/>
      <c r="B214" s="244"/>
      <c r="C214" s="244"/>
      <c r="D214" s="670"/>
      <c r="E214" s="151"/>
    </row>
    <row r="215" spans="1:5" s="6" customFormat="1">
      <c r="A215" s="669"/>
      <c r="B215" s="244"/>
      <c r="C215" s="244"/>
      <c r="D215" s="670"/>
      <c r="E215" s="151"/>
    </row>
    <row r="216" spans="1:5" s="6" customFormat="1">
      <c r="A216" s="669"/>
      <c r="B216" s="244"/>
      <c r="C216" s="244"/>
      <c r="D216" s="670"/>
      <c r="E216" s="151"/>
    </row>
    <row r="217" spans="1:5" s="6" customFormat="1">
      <c r="A217" s="669"/>
      <c r="B217" s="244"/>
      <c r="C217" s="244"/>
      <c r="D217" s="670"/>
      <c r="E217" s="151"/>
    </row>
    <row r="218" spans="1:5" s="6" customFormat="1">
      <c r="A218" s="669"/>
      <c r="B218" s="244"/>
      <c r="C218" s="244"/>
      <c r="D218" s="670"/>
      <c r="E218" s="151"/>
    </row>
    <row r="219" spans="1:5" s="6" customFormat="1">
      <c r="A219" s="669"/>
      <c r="B219" s="244"/>
      <c r="C219" s="244"/>
      <c r="D219" s="670"/>
      <c r="E219" s="151"/>
    </row>
    <row r="220" spans="1:5" s="6" customFormat="1">
      <c r="A220" s="669"/>
      <c r="B220" s="244"/>
      <c r="C220" s="244"/>
      <c r="D220" s="670"/>
      <c r="E220" s="151"/>
    </row>
    <row r="221" spans="1:5" s="6" customFormat="1">
      <c r="A221" s="669"/>
      <c r="B221" s="244"/>
      <c r="C221" s="244"/>
      <c r="D221" s="670"/>
      <c r="E221" s="151"/>
    </row>
    <row r="222" spans="1:5" s="6" customFormat="1">
      <c r="A222" s="669"/>
      <c r="B222" s="244"/>
      <c r="C222" s="244"/>
      <c r="D222" s="670"/>
      <c r="E222" s="151"/>
    </row>
    <row r="223" spans="1:5" s="6" customFormat="1">
      <c r="A223" s="669"/>
      <c r="B223" s="244"/>
      <c r="C223" s="244"/>
      <c r="D223" s="670"/>
      <c r="E223" s="151"/>
    </row>
    <row r="224" spans="1:5" s="6" customFormat="1">
      <c r="A224" s="669"/>
      <c r="B224" s="244"/>
      <c r="C224" s="244"/>
      <c r="D224" s="670"/>
      <c r="E224" s="151"/>
    </row>
    <row r="225" spans="1:5" s="6" customFormat="1">
      <c r="A225" s="669"/>
      <c r="B225" s="244"/>
      <c r="C225" s="244"/>
      <c r="D225" s="670"/>
      <c r="E225" s="151"/>
    </row>
    <row r="226" spans="1:5" s="6" customFormat="1">
      <c r="A226" s="669"/>
      <c r="B226" s="244"/>
      <c r="C226" s="244"/>
      <c r="D226" s="670"/>
      <c r="E226" s="151"/>
    </row>
    <row r="227" spans="1:5" s="6" customFormat="1">
      <c r="A227" s="669"/>
      <c r="B227" s="244"/>
      <c r="C227" s="244"/>
      <c r="D227" s="670"/>
      <c r="E227" s="151"/>
    </row>
    <row r="228" spans="1:5" s="6" customFormat="1">
      <c r="A228" s="669"/>
      <c r="B228" s="244"/>
      <c r="C228" s="244"/>
      <c r="D228" s="670"/>
      <c r="E228" s="151"/>
    </row>
    <row r="229" spans="1:5" s="6" customFormat="1">
      <c r="A229" s="669"/>
      <c r="B229" s="244"/>
      <c r="C229" s="244"/>
      <c r="D229" s="670"/>
      <c r="E229" s="151"/>
    </row>
    <row r="230" spans="1:5" s="6" customFormat="1">
      <c r="A230" s="669"/>
      <c r="B230" s="244"/>
      <c r="C230" s="244"/>
      <c r="D230" s="670"/>
      <c r="E230" s="151"/>
    </row>
    <row r="231" spans="1:5" s="6" customFormat="1">
      <c r="A231" s="669"/>
      <c r="B231" s="244"/>
      <c r="C231" s="244"/>
      <c r="D231" s="670"/>
      <c r="E231" s="151"/>
    </row>
    <row r="232" spans="1:5" s="6" customFormat="1">
      <c r="A232" s="669"/>
      <c r="B232" s="244"/>
      <c r="C232" s="244"/>
      <c r="D232" s="670"/>
      <c r="E232" s="151"/>
    </row>
    <row r="233" spans="1:5" s="6" customFormat="1">
      <c r="A233" s="669"/>
      <c r="B233" s="244"/>
      <c r="C233" s="244"/>
      <c r="D233" s="670"/>
      <c r="E233" s="151"/>
    </row>
    <row r="234" spans="1:5" s="6" customFormat="1">
      <c r="A234" s="669"/>
      <c r="B234" s="244"/>
      <c r="C234" s="244"/>
      <c r="D234" s="670"/>
      <c r="E234" s="151"/>
    </row>
    <row r="235" spans="1:5" s="6" customFormat="1">
      <c r="A235" s="669"/>
      <c r="B235" s="244"/>
      <c r="C235" s="244"/>
      <c r="D235" s="670"/>
      <c r="E235" s="151"/>
    </row>
    <row r="236" spans="1:5" s="6" customFormat="1">
      <c r="A236" s="669"/>
      <c r="B236" s="244"/>
      <c r="C236" s="244"/>
      <c r="D236" s="670"/>
      <c r="E236" s="151"/>
    </row>
    <row r="237" spans="1:5" s="6" customFormat="1">
      <c r="A237" s="669"/>
      <c r="B237" s="244"/>
      <c r="C237" s="244"/>
      <c r="D237" s="670"/>
      <c r="E237" s="151"/>
    </row>
    <row r="238" spans="1:5" s="6" customFormat="1">
      <c r="A238" s="669"/>
      <c r="B238" s="244"/>
      <c r="C238" s="244"/>
      <c r="D238" s="670"/>
      <c r="E238" s="151"/>
    </row>
    <row r="239" spans="1:5" s="6" customFormat="1">
      <c r="A239" s="669"/>
      <c r="B239" s="244"/>
      <c r="C239" s="244"/>
      <c r="D239" s="670"/>
      <c r="E239" s="151"/>
    </row>
    <row r="240" spans="1:5" s="6" customFormat="1">
      <c r="A240" s="669"/>
      <c r="B240" s="244"/>
      <c r="C240" s="244"/>
      <c r="D240" s="670"/>
      <c r="E240" s="151"/>
    </row>
    <row r="241" spans="1:5" s="6" customFormat="1">
      <c r="A241" s="669"/>
      <c r="B241" s="244"/>
      <c r="C241" s="244"/>
      <c r="D241" s="670"/>
      <c r="E241" s="151"/>
    </row>
    <row r="242" spans="1:5" s="6" customFormat="1">
      <c r="A242" s="669"/>
      <c r="B242" s="244"/>
      <c r="C242" s="244"/>
      <c r="D242" s="670"/>
      <c r="E242" s="151"/>
    </row>
    <row r="243" spans="1:5" s="6" customFormat="1">
      <c r="A243" s="669"/>
      <c r="B243" s="244"/>
      <c r="C243" s="244"/>
      <c r="D243" s="670"/>
      <c r="E243" s="151"/>
    </row>
    <row r="244" spans="1:5" s="6" customFormat="1">
      <c r="A244" s="669"/>
      <c r="B244" s="244"/>
      <c r="C244" s="244"/>
      <c r="D244" s="670"/>
      <c r="E244" s="151"/>
    </row>
    <row r="245" spans="1:5" s="6" customFormat="1">
      <c r="A245" s="669"/>
      <c r="B245" s="244"/>
      <c r="C245" s="244"/>
      <c r="D245" s="670"/>
      <c r="E245" s="151"/>
    </row>
    <row r="246" spans="1:5" s="6" customFormat="1">
      <c r="A246" s="669"/>
      <c r="B246" s="244"/>
      <c r="C246" s="244"/>
      <c r="D246" s="670"/>
      <c r="E246" s="151"/>
    </row>
    <row r="247" spans="1:5" s="6" customFormat="1">
      <c r="A247" s="669"/>
      <c r="B247" s="244"/>
      <c r="C247" s="244"/>
      <c r="D247" s="670"/>
      <c r="E247" s="151"/>
    </row>
    <row r="248" spans="1:5" s="6" customFormat="1">
      <c r="A248" s="669"/>
      <c r="B248" s="244"/>
      <c r="C248" s="244"/>
      <c r="D248" s="670"/>
      <c r="E248" s="151"/>
    </row>
    <row r="249" spans="1:5" s="6" customFormat="1">
      <c r="A249" s="669"/>
      <c r="B249" s="244"/>
      <c r="C249" s="244"/>
      <c r="D249" s="670"/>
      <c r="E249" s="151"/>
    </row>
    <row r="250" spans="1:5" s="6" customFormat="1">
      <c r="A250" s="669"/>
      <c r="B250" s="244"/>
      <c r="C250" s="244"/>
      <c r="D250" s="670"/>
      <c r="E250" s="151"/>
    </row>
    <row r="251" spans="1:5" s="6" customFormat="1">
      <c r="A251" s="669"/>
      <c r="B251" s="244"/>
      <c r="C251" s="244"/>
      <c r="D251" s="670"/>
      <c r="E251" s="151"/>
    </row>
    <row r="252" spans="1:5" s="6" customFormat="1">
      <c r="A252" s="669"/>
      <c r="B252" s="244"/>
      <c r="C252" s="244"/>
      <c r="D252" s="670"/>
      <c r="E252" s="151"/>
    </row>
    <row r="253" spans="1:5" s="6" customFormat="1">
      <c r="A253" s="669"/>
      <c r="B253" s="244"/>
      <c r="C253" s="244"/>
      <c r="D253" s="670"/>
      <c r="E253" s="151"/>
    </row>
    <row r="254" spans="1:5" s="6" customFormat="1">
      <c r="A254" s="669"/>
      <c r="B254" s="244"/>
      <c r="C254" s="244"/>
      <c r="D254" s="670"/>
      <c r="E254" s="151"/>
    </row>
    <row r="255" spans="1:5" s="6" customFormat="1">
      <c r="A255" s="669"/>
      <c r="B255" s="244"/>
      <c r="C255" s="244"/>
      <c r="D255" s="670"/>
      <c r="E255" s="151"/>
    </row>
    <row r="256" spans="1:5" s="6" customFormat="1">
      <c r="A256" s="669"/>
      <c r="B256" s="244"/>
      <c r="C256" s="244"/>
      <c r="D256" s="670"/>
      <c r="E256" s="151"/>
    </row>
    <row r="257" spans="1:5" s="6" customFormat="1">
      <c r="A257" s="669"/>
      <c r="B257" s="244"/>
      <c r="C257" s="244"/>
      <c r="D257" s="670"/>
      <c r="E257" s="151"/>
    </row>
    <row r="258" spans="1:5" s="6" customFormat="1">
      <c r="A258" s="669"/>
      <c r="B258" s="244"/>
      <c r="C258" s="244"/>
      <c r="D258" s="670"/>
      <c r="E258" s="151"/>
    </row>
    <row r="259" spans="1:5" s="6" customFormat="1">
      <c r="A259" s="669"/>
      <c r="B259" s="244"/>
      <c r="C259" s="244"/>
      <c r="D259" s="670"/>
      <c r="E259" s="151"/>
    </row>
    <row r="260" spans="1:5" s="6" customFormat="1">
      <c r="A260" s="669"/>
      <c r="B260" s="244"/>
      <c r="C260" s="244"/>
      <c r="D260" s="670"/>
      <c r="E260" s="151"/>
    </row>
    <row r="261" spans="1:5" s="6" customFormat="1">
      <c r="A261" s="669"/>
      <c r="B261" s="244"/>
      <c r="C261" s="244"/>
      <c r="D261" s="670"/>
      <c r="E261" s="151"/>
    </row>
    <row r="262" spans="1:5" s="6" customFormat="1">
      <c r="A262" s="669"/>
      <c r="B262" s="244"/>
      <c r="C262" s="244"/>
      <c r="D262" s="670"/>
      <c r="E262" s="151"/>
    </row>
    <row r="263" spans="1:5" s="6" customFormat="1">
      <c r="A263" s="669"/>
      <c r="B263" s="244"/>
      <c r="C263" s="244"/>
      <c r="D263" s="670"/>
      <c r="E263" s="151"/>
    </row>
    <row r="264" spans="1:5" s="6" customFormat="1">
      <c r="A264" s="669"/>
      <c r="B264" s="244"/>
      <c r="C264" s="244"/>
      <c r="D264" s="670"/>
      <c r="E264" s="151"/>
    </row>
    <row r="265" spans="1:5" s="6" customFormat="1">
      <c r="A265" s="669"/>
      <c r="B265" s="244"/>
      <c r="C265" s="244"/>
      <c r="D265" s="670"/>
      <c r="E265" s="151"/>
    </row>
    <row r="266" spans="1:5" s="6" customFormat="1">
      <c r="A266" s="669"/>
      <c r="B266" s="244"/>
      <c r="C266" s="244"/>
      <c r="D266" s="670"/>
      <c r="E266" s="151"/>
    </row>
    <row r="267" spans="1:5" s="6" customFormat="1">
      <c r="A267" s="669"/>
      <c r="B267" s="244"/>
      <c r="C267" s="244"/>
      <c r="D267" s="670"/>
      <c r="E267" s="151"/>
    </row>
    <row r="268" spans="1:5" s="6" customFormat="1">
      <c r="A268" s="669"/>
      <c r="B268" s="244"/>
      <c r="C268" s="244"/>
      <c r="D268" s="670"/>
      <c r="E268" s="151"/>
    </row>
    <row r="269" spans="1:5" s="6" customFormat="1">
      <c r="A269" s="669"/>
      <c r="B269" s="244"/>
      <c r="C269" s="244"/>
      <c r="D269" s="670"/>
      <c r="E269" s="151"/>
    </row>
    <row r="270" spans="1:5" s="6" customFormat="1">
      <c r="A270" s="669"/>
      <c r="B270" s="244"/>
      <c r="C270" s="244"/>
      <c r="D270" s="670"/>
      <c r="E270" s="151"/>
    </row>
    <row r="271" spans="1:5" s="6" customFormat="1">
      <c r="A271" s="669"/>
      <c r="B271" s="244"/>
      <c r="C271" s="244"/>
      <c r="D271" s="670"/>
      <c r="E271" s="151"/>
    </row>
    <row r="272" spans="1:5" s="6" customFormat="1">
      <c r="A272" s="669"/>
      <c r="B272" s="244"/>
      <c r="C272" s="244"/>
      <c r="D272" s="670"/>
      <c r="E272" s="151"/>
    </row>
    <row r="273" spans="1:5" s="6" customFormat="1">
      <c r="A273" s="669"/>
      <c r="B273" s="244"/>
      <c r="C273" s="244"/>
      <c r="D273" s="670"/>
      <c r="E273" s="151"/>
    </row>
    <row r="274" spans="1:5" s="6" customFormat="1">
      <c r="A274" s="669"/>
      <c r="B274" s="244"/>
      <c r="C274" s="244"/>
      <c r="D274" s="670"/>
      <c r="E274" s="151"/>
    </row>
    <row r="275" spans="1:5" s="6" customFormat="1">
      <c r="A275" s="669"/>
      <c r="B275" s="244"/>
      <c r="C275" s="244"/>
      <c r="D275" s="670"/>
      <c r="E275" s="151"/>
    </row>
    <row r="276" spans="1:5" s="6" customFormat="1">
      <c r="A276" s="669"/>
      <c r="B276" s="244"/>
      <c r="C276" s="244"/>
      <c r="D276" s="670"/>
      <c r="E276" s="151"/>
    </row>
    <row r="277" spans="1:5" s="6" customFormat="1">
      <c r="A277" s="669"/>
      <c r="B277" s="244"/>
      <c r="C277" s="244"/>
      <c r="D277" s="670"/>
      <c r="E277" s="151"/>
    </row>
    <row r="278" spans="1:5" s="6" customFormat="1">
      <c r="A278" s="669"/>
      <c r="B278" s="244"/>
      <c r="C278" s="244"/>
      <c r="D278" s="670"/>
      <c r="E278" s="151"/>
    </row>
    <row r="279" spans="1:5" s="6" customFormat="1">
      <c r="A279" s="669"/>
      <c r="B279" s="244"/>
      <c r="C279" s="244"/>
      <c r="D279" s="670"/>
      <c r="E279" s="151"/>
    </row>
    <row r="280" spans="1:5" s="6" customFormat="1">
      <c r="A280" s="669"/>
      <c r="B280" s="244"/>
      <c r="C280" s="244"/>
      <c r="D280" s="670"/>
      <c r="E280" s="151"/>
    </row>
    <row r="281" spans="1:5" s="6" customFormat="1">
      <c r="A281" s="669"/>
      <c r="B281" s="244"/>
      <c r="C281" s="244"/>
      <c r="D281" s="670"/>
      <c r="E281" s="151"/>
    </row>
    <row r="282" spans="1:5" s="6" customFormat="1">
      <c r="A282" s="669"/>
      <c r="B282" s="244"/>
      <c r="C282" s="244"/>
      <c r="D282" s="670"/>
      <c r="E282" s="151"/>
    </row>
    <row r="283" spans="1:5" s="6" customFormat="1">
      <c r="A283" s="669"/>
      <c r="B283" s="244"/>
      <c r="C283" s="244"/>
      <c r="D283" s="670"/>
      <c r="E283" s="151"/>
    </row>
    <row r="284" spans="1:5" s="6" customFormat="1">
      <c r="A284" s="669"/>
      <c r="B284" s="244"/>
      <c r="C284" s="244"/>
      <c r="D284" s="670"/>
      <c r="E284" s="151"/>
    </row>
    <row r="285" spans="1:5" s="6" customFormat="1">
      <c r="A285" s="669"/>
      <c r="B285" s="244"/>
      <c r="C285" s="244"/>
      <c r="D285" s="670"/>
      <c r="E285" s="151"/>
    </row>
    <row r="286" spans="1:5" s="6" customFormat="1">
      <c r="A286" s="669"/>
      <c r="B286" s="244"/>
      <c r="C286" s="244"/>
      <c r="D286" s="670"/>
      <c r="E286" s="151"/>
    </row>
    <row r="287" spans="1:5" s="6" customFormat="1">
      <c r="A287" s="669"/>
      <c r="B287" s="244"/>
      <c r="C287" s="244"/>
      <c r="D287" s="670"/>
      <c r="E287" s="151"/>
    </row>
    <row r="288" spans="1:5" s="6" customFormat="1">
      <c r="A288" s="669"/>
      <c r="B288" s="244"/>
      <c r="C288" s="244"/>
      <c r="D288" s="670"/>
      <c r="E288" s="151"/>
    </row>
    <row r="289" spans="1:5" s="6" customFormat="1">
      <c r="A289" s="669"/>
      <c r="B289" s="244"/>
      <c r="C289" s="244"/>
      <c r="D289" s="670"/>
      <c r="E289" s="151"/>
    </row>
    <row r="290" spans="1:5" s="6" customFormat="1">
      <c r="A290" s="669"/>
      <c r="B290" s="244"/>
      <c r="C290" s="244"/>
      <c r="D290" s="670"/>
      <c r="E290" s="151"/>
    </row>
    <row r="291" spans="1:5" s="6" customFormat="1">
      <c r="A291" s="669"/>
      <c r="B291" s="244"/>
      <c r="C291" s="244"/>
      <c r="D291" s="670"/>
      <c r="E291" s="151"/>
    </row>
    <row r="292" spans="1:5" s="6" customFormat="1">
      <c r="A292" s="669"/>
      <c r="B292" s="244"/>
      <c r="C292" s="244"/>
      <c r="D292" s="670"/>
      <c r="E292" s="151"/>
    </row>
    <row r="293" spans="1:5" s="6" customFormat="1">
      <c r="A293" s="669"/>
      <c r="B293" s="244"/>
      <c r="C293" s="244"/>
      <c r="D293" s="670"/>
      <c r="E293" s="151"/>
    </row>
    <row r="294" spans="1:5" s="6" customFormat="1">
      <c r="A294" s="669"/>
      <c r="B294" s="244"/>
      <c r="C294" s="244"/>
      <c r="D294" s="670"/>
      <c r="E294" s="151"/>
    </row>
    <row r="295" spans="1:5" s="6" customFormat="1">
      <c r="A295" s="669"/>
      <c r="B295" s="244"/>
      <c r="C295" s="244"/>
      <c r="D295" s="670"/>
      <c r="E295" s="151"/>
    </row>
    <row r="296" spans="1:5" s="6" customFormat="1">
      <c r="A296" s="669"/>
      <c r="B296" s="244"/>
      <c r="C296" s="244"/>
      <c r="D296" s="670"/>
      <c r="E296" s="151"/>
    </row>
    <row r="297" spans="1:5" s="6" customFormat="1">
      <c r="A297" s="669"/>
      <c r="B297" s="244"/>
      <c r="C297" s="244"/>
      <c r="D297" s="670"/>
      <c r="E297" s="151"/>
    </row>
    <row r="298" spans="1:5" s="6" customFormat="1">
      <c r="A298" s="669"/>
      <c r="B298" s="244"/>
      <c r="C298" s="244"/>
      <c r="D298" s="670"/>
      <c r="E298" s="151"/>
    </row>
    <row r="299" spans="1:5" s="6" customFormat="1">
      <c r="A299" s="669"/>
      <c r="B299" s="244"/>
      <c r="C299" s="244"/>
      <c r="D299" s="670"/>
      <c r="E299" s="151"/>
    </row>
    <row r="300" spans="1:5" s="6" customFormat="1">
      <c r="A300" s="669"/>
      <c r="B300" s="244"/>
      <c r="C300" s="244"/>
      <c r="D300" s="670"/>
      <c r="E300" s="151"/>
    </row>
    <row r="301" spans="1:5" s="6" customFormat="1">
      <c r="A301" s="669"/>
      <c r="B301" s="244"/>
      <c r="C301" s="244"/>
      <c r="D301" s="670"/>
      <c r="E301" s="151"/>
    </row>
    <row r="302" spans="1:5" s="6" customFormat="1">
      <c r="A302" s="669"/>
      <c r="B302" s="244"/>
      <c r="C302" s="244"/>
      <c r="D302" s="670"/>
      <c r="E302" s="151"/>
    </row>
    <row r="303" spans="1:5" s="6" customFormat="1">
      <c r="A303" s="669"/>
      <c r="B303" s="244"/>
      <c r="C303" s="244"/>
      <c r="D303" s="670"/>
      <c r="E303" s="151"/>
    </row>
    <row r="304" spans="1:5" s="6" customFormat="1">
      <c r="A304" s="669"/>
      <c r="B304" s="244"/>
      <c r="C304" s="244"/>
      <c r="D304" s="670"/>
      <c r="E304" s="151"/>
    </row>
    <row r="305" spans="1:5" s="6" customFormat="1">
      <c r="A305" s="669"/>
      <c r="B305" s="244"/>
      <c r="C305" s="244"/>
      <c r="D305" s="670"/>
      <c r="E305" s="151"/>
    </row>
    <row r="306" spans="1:5" s="6" customFormat="1">
      <c r="A306" s="669"/>
      <c r="B306" s="244"/>
      <c r="C306" s="244"/>
      <c r="D306" s="670"/>
      <c r="E306" s="151"/>
    </row>
    <row r="307" spans="1:5" s="6" customFormat="1">
      <c r="A307" s="669"/>
      <c r="B307" s="244"/>
      <c r="C307" s="244"/>
      <c r="D307" s="670"/>
      <c r="E307" s="151"/>
    </row>
    <row r="308" spans="1:5" s="6" customFormat="1">
      <c r="A308" s="669"/>
      <c r="B308" s="244"/>
      <c r="C308" s="244"/>
      <c r="D308" s="670"/>
      <c r="E308" s="151"/>
    </row>
    <row r="309" spans="1:5" s="6" customFormat="1">
      <c r="A309" s="669"/>
      <c r="B309" s="244"/>
      <c r="C309" s="244"/>
      <c r="D309" s="670"/>
      <c r="E309" s="151"/>
    </row>
    <row r="310" spans="1:5" s="6" customFormat="1">
      <c r="A310" s="669"/>
      <c r="B310" s="244"/>
      <c r="C310" s="244"/>
      <c r="D310" s="670"/>
      <c r="E310" s="151"/>
    </row>
    <row r="311" spans="1:5" s="6" customFormat="1">
      <c r="A311" s="669"/>
      <c r="B311" s="244"/>
      <c r="C311" s="244"/>
      <c r="D311" s="670"/>
      <c r="E311" s="151"/>
    </row>
    <row r="312" spans="1:5" s="6" customFormat="1">
      <c r="A312" s="669"/>
      <c r="B312" s="244"/>
      <c r="C312" s="244"/>
      <c r="D312" s="670"/>
      <c r="E312" s="151"/>
    </row>
    <row r="313" spans="1:5" s="6" customFormat="1">
      <c r="A313" s="669"/>
      <c r="B313" s="244"/>
      <c r="C313" s="244"/>
      <c r="D313" s="670"/>
      <c r="E313" s="151"/>
    </row>
    <row r="314" spans="1:5" s="6" customFormat="1">
      <c r="A314" s="669"/>
      <c r="B314" s="244"/>
      <c r="C314" s="244"/>
      <c r="D314" s="670"/>
      <c r="E314" s="151"/>
    </row>
    <row r="315" spans="1:5" s="6" customFormat="1">
      <c r="A315" s="669"/>
      <c r="B315" s="244"/>
      <c r="C315" s="244"/>
      <c r="D315" s="670"/>
      <c r="E315" s="151"/>
    </row>
    <row r="316" spans="1:5" s="6" customFormat="1">
      <c r="A316" s="669"/>
      <c r="B316" s="244"/>
      <c r="C316" s="244"/>
      <c r="D316" s="670"/>
      <c r="E316" s="151"/>
    </row>
    <row r="317" spans="1:5" s="6" customFormat="1">
      <c r="A317" s="669"/>
      <c r="B317" s="244"/>
      <c r="C317" s="244"/>
      <c r="D317" s="670"/>
      <c r="E317" s="151"/>
    </row>
    <row r="318" spans="1:5" s="6" customFormat="1">
      <c r="A318" s="669"/>
      <c r="B318" s="244"/>
      <c r="C318" s="244"/>
      <c r="D318" s="670"/>
      <c r="E318" s="151"/>
    </row>
    <row r="319" spans="1:5" s="6" customFormat="1">
      <c r="A319" s="669"/>
      <c r="B319" s="244"/>
      <c r="C319" s="244"/>
      <c r="D319" s="670"/>
      <c r="E319" s="151"/>
    </row>
    <row r="320" spans="1:5" s="6" customFormat="1">
      <c r="A320" s="669"/>
      <c r="B320" s="244"/>
      <c r="C320" s="244"/>
      <c r="D320" s="670"/>
      <c r="E320" s="151"/>
    </row>
    <row r="321" spans="1:5" s="6" customFormat="1">
      <c r="A321" s="669"/>
      <c r="B321" s="244"/>
      <c r="C321" s="244"/>
      <c r="D321" s="670"/>
      <c r="E321" s="151"/>
    </row>
    <row r="322" spans="1:5" s="6" customFormat="1">
      <c r="A322" s="669"/>
      <c r="B322" s="244"/>
      <c r="C322" s="244"/>
      <c r="D322" s="670"/>
      <c r="E322" s="151"/>
    </row>
    <row r="323" spans="1:5" s="6" customFormat="1">
      <c r="A323" s="669"/>
      <c r="B323" s="244"/>
      <c r="C323" s="244"/>
      <c r="D323" s="670"/>
      <c r="E323" s="151"/>
    </row>
    <row r="324" spans="1:5" s="6" customFormat="1">
      <c r="A324" s="669"/>
      <c r="B324" s="244"/>
      <c r="C324" s="244"/>
      <c r="D324" s="670"/>
      <c r="E324" s="151"/>
    </row>
    <row r="325" spans="1:5" s="6" customFormat="1">
      <c r="A325" s="669"/>
      <c r="B325" s="244"/>
      <c r="C325" s="244"/>
      <c r="D325" s="670"/>
      <c r="E325" s="151"/>
    </row>
    <row r="326" spans="1:5" s="6" customFormat="1">
      <c r="A326" s="669"/>
      <c r="B326" s="244"/>
      <c r="C326" s="244"/>
      <c r="D326" s="670"/>
      <c r="E326" s="151"/>
    </row>
    <row r="327" spans="1:5" s="6" customFormat="1">
      <c r="A327" s="669"/>
      <c r="B327" s="244"/>
      <c r="C327" s="244"/>
      <c r="D327" s="670"/>
      <c r="E327" s="151"/>
    </row>
    <row r="328" spans="1:5" s="6" customFormat="1">
      <c r="A328" s="669"/>
      <c r="B328" s="244"/>
      <c r="C328" s="244"/>
      <c r="D328" s="670"/>
      <c r="E328" s="151"/>
    </row>
    <row r="329" spans="1:5" s="6" customFormat="1">
      <c r="A329" s="669"/>
      <c r="B329" s="244"/>
      <c r="C329" s="244"/>
      <c r="D329" s="670"/>
      <c r="E329" s="151"/>
    </row>
    <row r="330" spans="1:5" s="6" customFormat="1">
      <c r="A330" s="669"/>
      <c r="B330" s="244"/>
      <c r="C330" s="244"/>
      <c r="D330" s="670"/>
      <c r="E330" s="151"/>
    </row>
    <row r="331" spans="1:5" s="6" customFormat="1">
      <c r="A331" s="669"/>
      <c r="B331" s="244"/>
      <c r="C331" s="244"/>
      <c r="D331" s="670"/>
      <c r="E331" s="151"/>
    </row>
    <row r="332" spans="1:5" s="6" customFormat="1">
      <c r="A332" s="669"/>
      <c r="B332" s="244"/>
      <c r="C332" s="244"/>
      <c r="D332" s="670"/>
      <c r="E332" s="151"/>
    </row>
    <row r="333" spans="1:5" s="6" customFormat="1">
      <c r="A333" s="669"/>
      <c r="B333" s="244"/>
      <c r="C333" s="244"/>
      <c r="D333" s="670"/>
      <c r="E333" s="151"/>
    </row>
    <row r="334" spans="1:5" s="6" customFormat="1">
      <c r="A334" s="669"/>
      <c r="B334" s="244"/>
      <c r="C334" s="244"/>
      <c r="D334" s="670"/>
      <c r="E334" s="151"/>
    </row>
    <row r="335" spans="1:5" s="6" customFormat="1">
      <c r="A335" s="669"/>
      <c r="B335" s="244"/>
      <c r="C335" s="244"/>
      <c r="D335" s="670"/>
      <c r="E335" s="151"/>
    </row>
    <row r="336" spans="1:5" s="6" customFormat="1">
      <c r="A336" s="669"/>
      <c r="B336" s="244"/>
      <c r="C336" s="244"/>
      <c r="D336" s="670"/>
      <c r="E336" s="151"/>
    </row>
    <row r="337" spans="1:5" s="6" customFormat="1">
      <c r="A337" s="669"/>
      <c r="B337" s="244"/>
      <c r="C337" s="244"/>
      <c r="D337" s="670"/>
      <c r="E337" s="151"/>
    </row>
    <row r="338" spans="1:5" s="6" customFormat="1">
      <c r="A338" s="669"/>
      <c r="B338" s="244"/>
      <c r="C338" s="244"/>
      <c r="D338" s="670"/>
      <c r="E338" s="151"/>
    </row>
    <row r="339" spans="1:5" s="6" customFormat="1">
      <c r="A339" s="669"/>
      <c r="B339" s="244"/>
      <c r="C339" s="244"/>
      <c r="D339" s="670"/>
      <c r="E339" s="151"/>
    </row>
    <row r="340" spans="1:5" s="6" customFormat="1">
      <c r="A340" s="669"/>
      <c r="B340" s="244"/>
      <c r="C340" s="244"/>
      <c r="D340" s="670"/>
      <c r="E340" s="151"/>
    </row>
    <row r="341" spans="1:5" s="6" customFormat="1">
      <c r="A341" s="669"/>
      <c r="B341" s="244"/>
      <c r="C341" s="244"/>
      <c r="D341" s="670"/>
      <c r="E341" s="151"/>
    </row>
    <row r="342" spans="1:5" s="6" customFormat="1">
      <c r="A342" s="669"/>
      <c r="B342" s="244"/>
      <c r="C342" s="244"/>
      <c r="D342" s="670"/>
      <c r="E342" s="151"/>
    </row>
    <row r="343" spans="1:5" s="6" customFormat="1">
      <c r="A343" s="669"/>
      <c r="B343" s="244"/>
      <c r="C343" s="244"/>
      <c r="D343" s="670"/>
      <c r="E343" s="151"/>
    </row>
    <row r="344" spans="1:5" s="6" customFormat="1">
      <c r="A344" s="669"/>
      <c r="B344" s="244"/>
      <c r="C344" s="244"/>
      <c r="D344" s="670"/>
      <c r="E344" s="151"/>
    </row>
    <row r="345" spans="1:5" s="6" customFormat="1">
      <c r="A345" s="669"/>
      <c r="B345" s="244"/>
      <c r="C345" s="244"/>
      <c r="D345" s="670"/>
      <c r="E345" s="151"/>
    </row>
    <row r="346" spans="1:5" s="6" customFormat="1">
      <c r="A346" s="669"/>
      <c r="B346" s="244"/>
      <c r="C346" s="244"/>
      <c r="D346" s="670"/>
      <c r="E346" s="151"/>
    </row>
    <row r="347" spans="1:5" s="6" customFormat="1">
      <c r="A347" s="669"/>
      <c r="B347" s="244"/>
      <c r="C347" s="244"/>
      <c r="D347" s="670"/>
      <c r="E347" s="151"/>
    </row>
    <row r="348" spans="1:5" s="6" customFormat="1">
      <c r="A348" s="669"/>
      <c r="B348" s="244"/>
      <c r="C348" s="244"/>
      <c r="D348" s="670"/>
      <c r="E348" s="151"/>
    </row>
    <row r="349" spans="1:5" s="6" customFormat="1">
      <c r="A349" s="669"/>
      <c r="B349" s="244"/>
      <c r="C349" s="244"/>
      <c r="D349" s="670"/>
      <c r="E349" s="151"/>
    </row>
    <row r="350" spans="1:5" s="6" customFormat="1">
      <c r="A350" s="669"/>
      <c r="B350" s="244"/>
      <c r="C350" s="244"/>
      <c r="D350" s="670"/>
      <c r="E350" s="151"/>
    </row>
    <row r="351" spans="1:5" s="6" customFormat="1">
      <c r="A351" s="669"/>
      <c r="B351" s="244"/>
      <c r="C351" s="244"/>
      <c r="D351" s="670"/>
      <c r="E351" s="151"/>
    </row>
    <row r="352" spans="1:5" s="6" customFormat="1">
      <c r="A352" s="669"/>
      <c r="B352" s="244"/>
      <c r="C352" s="244"/>
      <c r="D352" s="670"/>
      <c r="E352" s="151"/>
    </row>
    <row r="353" spans="1:5" s="6" customFormat="1">
      <c r="A353" s="669"/>
      <c r="B353" s="244"/>
      <c r="C353" s="244"/>
      <c r="D353" s="670"/>
      <c r="E353" s="151"/>
    </row>
    <row r="354" spans="1:5" s="6" customFormat="1">
      <c r="A354" s="669"/>
      <c r="B354" s="244"/>
      <c r="C354" s="244"/>
      <c r="D354" s="670"/>
      <c r="E354" s="151"/>
    </row>
    <row r="355" spans="1:5" s="6" customFormat="1">
      <c r="A355" s="669"/>
      <c r="B355" s="244"/>
      <c r="C355" s="244"/>
      <c r="D355" s="670"/>
      <c r="E355" s="151"/>
    </row>
    <row r="356" spans="1:5" s="6" customFormat="1">
      <c r="A356" s="669"/>
      <c r="B356" s="244"/>
      <c r="C356" s="244"/>
      <c r="D356" s="670"/>
      <c r="E356" s="151"/>
    </row>
    <row r="357" spans="1:5" s="6" customFormat="1">
      <c r="A357" s="669"/>
      <c r="B357" s="244"/>
      <c r="C357" s="244"/>
      <c r="D357" s="670"/>
      <c r="E357" s="151"/>
    </row>
    <row r="358" spans="1:5" s="6" customFormat="1">
      <c r="A358" s="669"/>
      <c r="B358" s="244"/>
      <c r="C358" s="244"/>
      <c r="D358" s="670"/>
      <c r="E358" s="151"/>
    </row>
    <row r="359" spans="1:5" s="6" customFormat="1">
      <c r="A359" s="669"/>
      <c r="B359" s="244"/>
      <c r="C359" s="244"/>
      <c r="D359" s="670"/>
      <c r="E359" s="151"/>
    </row>
    <row r="360" spans="1:5" s="6" customFormat="1">
      <c r="A360" s="669"/>
      <c r="B360" s="244"/>
      <c r="C360" s="244"/>
      <c r="D360" s="670"/>
      <c r="E360" s="151"/>
    </row>
    <row r="361" spans="1:5" s="6" customFormat="1">
      <c r="A361" s="669"/>
      <c r="B361" s="244"/>
      <c r="C361" s="244"/>
      <c r="D361" s="670"/>
      <c r="E361" s="151"/>
    </row>
    <row r="362" spans="1:5" s="6" customFormat="1">
      <c r="A362" s="669"/>
      <c r="B362" s="244"/>
      <c r="C362" s="244"/>
      <c r="D362" s="670"/>
      <c r="E362" s="151"/>
    </row>
    <row r="363" spans="1:5" s="6" customFormat="1">
      <c r="A363" s="669"/>
      <c r="B363" s="244"/>
      <c r="C363" s="244"/>
      <c r="D363" s="670"/>
      <c r="E363" s="151"/>
    </row>
    <row r="364" spans="1:5" s="6" customFormat="1">
      <c r="A364" s="669"/>
      <c r="B364" s="244"/>
      <c r="C364" s="244"/>
      <c r="D364" s="670"/>
      <c r="E364" s="151"/>
    </row>
    <row r="365" spans="1:5" s="6" customFormat="1">
      <c r="A365" s="669"/>
      <c r="B365" s="244"/>
      <c r="C365" s="244"/>
      <c r="D365" s="670"/>
      <c r="E365" s="151"/>
    </row>
    <row r="366" spans="1:5" s="6" customFormat="1">
      <c r="A366" s="669"/>
      <c r="B366" s="244"/>
      <c r="C366" s="244"/>
      <c r="D366" s="670"/>
      <c r="E366" s="151"/>
    </row>
    <row r="367" spans="1:5" s="6" customFormat="1">
      <c r="A367" s="669"/>
      <c r="B367" s="244"/>
      <c r="C367" s="244"/>
      <c r="D367" s="670"/>
      <c r="E367" s="151"/>
    </row>
    <row r="368" spans="1:5" s="6" customFormat="1">
      <c r="A368" s="669"/>
      <c r="B368" s="244"/>
      <c r="C368" s="244"/>
      <c r="D368" s="670"/>
      <c r="E368" s="151"/>
    </row>
    <row r="369" spans="1:5" s="6" customFormat="1">
      <c r="A369" s="669"/>
      <c r="B369" s="244"/>
      <c r="C369" s="244"/>
      <c r="D369" s="670"/>
      <c r="E369" s="151"/>
    </row>
    <row r="370" spans="1:5" s="6" customFormat="1">
      <c r="A370" s="669"/>
      <c r="B370" s="244"/>
      <c r="C370" s="244"/>
      <c r="D370" s="670"/>
      <c r="E370" s="151"/>
    </row>
    <row r="371" spans="1:5" s="6" customFormat="1">
      <c r="A371" s="669"/>
      <c r="B371" s="244"/>
      <c r="C371" s="244"/>
      <c r="D371" s="670"/>
      <c r="E371" s="151"/>
    </row>
    <row r="372" spans="1:5" s="6" customFormat="1">
      <c r="A372" s="669"/>
      <c r="B372" s="244"/>
      <c r="C372" s="244"/>
      <c r="D372" s="670"/>
      <c r="E372" s="151"/>
    </row>
    <row r="373" spans="1:5" s="6" customFormat="1">
      <c r="A373" s="669"/>
      <c r="B373" s="244"/>
      <c r="C373" s="244"/>
      <c r="D373" s="670"/>
      <c r="E373" s="151"/>
    </row>
    <row r="374" spans="1:5" s="6" customFormat="1">
      <c r="A374" s="669"/>
      <c r="B374" s="244"/>
      <c r="C374" s="244"/>
      <c r="D374" s="670"/>
      <c r="E374" s="151"/>
    </row>
    <row r="375" spans="1:5" s="6" customFormat="1">
      <c r="A375" s="669"/>
      <c r="B375" s="244"/>
      <c r="C375" s="244"/>
      <c r="D375" s="670"/>
      <c r="E375" s="151"/>
    </row>
    <row r="376" spans="1:5" s="6" customFormat="1">
      <c r="A376" s="669"/>
      <c r="B376" s="244"/>
      <c r="C376" s="244"/>
      <c r="D376" s="670"/>
      <c r="E376" s="151"/>
    </row>
    <row r="377" spans="1:5" s="6" customFormat="1">
      <c r="A377" s="669"/>
      <c r="B377" s="244"/>
      <c r="C377" s="244"/>
      <c r="D377" s="670"/>
      <c r="E377" s="151"/>
    </row>
    <row r="378" spans="1:5" s="6" customFormat="1">
      <c r="A378" s="669"/>
      <c r="B378" s="244"/>
      <c r="C378" s="244"/>
      <c r="D378" s="670"/>
      <c r="E378" s="151"/>
    </row>
    <row r="379" spans="1:5" s="6" customFormat="1">
      <c r="A379" s="669"/>
      <c r="B379" s="244"/>
      <c r="C379" s="244"/>
      <c r="D379" s="670"/>
      <c r="E379" s="151"/>
    </row>
    <row r="380" spans="1:5" s="6" customFormat="1">
      <c r="A380" s="669"/>
      <c r="B380" s="244"/>
      <c r="C380" s="244"/>
      <c r="D380" s="670"/>
      <c r="E380" s="151"/>
    </row>
    <row r="381" spans="1:5" s="6" customFormat="1">
      <c r="A381" s="669"/>
      <c r="B381" s="244"/>
      <c r="C381" s="244"/>
      <c r="D381" s="670"/>
      <c r="E381" s="151"/>
    </row>
    <row r="382" spans="1:5" s="6" customFormat="1">
      <c r="A382" s="669"/>
      <c r="B382" s="244"/>
      <c r="C382" s="244"/>
      <c r="D382" s="670"/>
      <c r="E382" s="151"/>
    </row>
    <row r="383" spans="1:5" s="6" customFormat="1">
      <c r="A383" s="669"/>
      <c r="B383" s="244"/>
      <c r="C383" s="244"/>
      <c r="D383" s="670"/>
      <c r="E383" s="151"/>
    </row>
    <row r="384" spans="1:5" s="6" customFormat="1">
      <c r="A384" s="669"/>
      <c r="B384" s="244"/>
      <c r="C384" s="244"/>
      <c r="D384" s="670"/>
      <c r="E384" s="151"/>
    </row>
    <row r="385" spans="1:5" s="6" customFormat="1">
      <c r="A385" s="669"/>
      <c r="B385" s="244"/>
      <c r="C385" s="244"/>
      <c r="D385" s="670"/>
      <c r="E385" s="151"/>
    </row>
    <row r="386" spans="1:5" s="6" customFormat="1">
      <c r="A386" s="669"/>
      <c r="B386" s="244"/>
      <c r="C386" s="244"/>
      <c r="D386" s="670"/>
      <c r="E386" s="151"/>
    </row>
    <row r="387" spans="1:5" s="6" customFormat="1">
      <c r="A387" s="669"/>
      <c r="B387" s="244"/>
      <c r="C387" s="244"/>
      <c r="D387" s="670"/>
      <c r="E387" s="151"/>
    </row>
    <row r="388" spans="1:5" s="6" customFormat="1">
      <c r="A388" s="669"/>
      <c r="B388" s="244"/>
      <c r="C388" s="244"/>
      <c r="D388" s="670"/>
      <c r="E388" s="151"/>
    </row>
    <row r="389" spans="1:5" s="6" customFormat="1">
      <c r="A389" s="669"/>
      <c r="B389" s="244"/>
      <c r="C389" s="244"/>
      <c r="D389" s="670"/>
      <c r="E389" s="151"/>
    </row>
    <row r="390" spans="1:5" s="6" customFormat="1">
      <c r="A390" s="669"/>
      <c r="B390" s="244"/>
      <c r="C390" s="244"/>
      <c r="D390" s="670"/>
      <c r="E390" s="151"/>
    </row>
    <row r="391" spans="1:5" s="6" customFormat="1">
      <c r="A391" s="669"/>
      <c r="B391" s="244"/>
      <c r="C391" s="244"/>
      <c r="D391" s="670"/>
      <c r="E391" s="151"/>
    </row>
    <row r="392" spans="1:5" s="6" customFormat="1">
      <c r="A392" s="669"/>
      <c r="B392" s="244"/>
      <c r="C392" s="244"/>
      <c r="D392" s="670"/>
      <c r="E392" s="151"/>
    </row>
    <row r="393" spans="1:5" s="6" customFormat="1">
      <c r="A393" s="669"/>
      <c r="B393" s="244"/>
      <c r="C393" s="244"/>
      <c r="D393" s="670"/>
      <c r="E393" s="151"/>
    </row>
    <row r="394" spans="1:5" s="6" customFormat="1">
      <c r="A394" s="669"/>
      <c r="B394" s="244"/>
      <c r="C394" s="244"/>
      <c r="D394" s="670"/>
      <c r="E394" s="151"/>
    </row>
    <row r="395" spans="1:5" s="6" customFormat="1">
      <c r="A395" s="669"/>
      <c r="B395" s="244"/>
      <c r="C395" s="244"/>
      <c r="D395" s="670"/>
      <c r="E395" s="151"/>
    </row>
    <row r="396" spans="1:5" s="6" customFormat="1">
      <c r="A396" s="669"/>
      <c r="B396" s="244"/>
      <c r="C396" s="244"/>
      <c r="D396" s="670"/>
      <c r="E396" s="151"/>
    </row>
    <row r="397" spans="1:5" s="6" customFormat="1">
      <c r="A397" s="669"/>
      <c r="B397" s="244"/>
      <c r="C397" s="244"/>
      <c r="D397" s="670"/>
      <c r="E397" s="151"/>
    </row>
    <row r="398" spans="1:5" s="6" customFormat="1">
      <c r="A398" s="669"/>
      <c r="B398" s="244"/>
      <c r="C398" s="244"/>
      <c r="D398" s="670"/>
      <c r="E398" s="151"/>
    </row>
    <row r="399" spans="1:5" s="6" customFormat="1">
      <c r="A399" s="669"/>
      <c r="B399" s="244"/>
      <c r="C399" s="244"/>
      <c r="D399" s="670"/>
      <c r="E399" s="151"/>
    </row>
    <row r="400" spans="1:5" s="6" customFormat="1">
      <c r="A400" s="669"/>
      <c r="B400" s="244"/>
      <c r="C400" s="244"/>
      <c r="D400" s="670"/>
      <c r="E400" s="151"/>
    </row>
    <row r="401" spans="1:5" s="6" customFormat="1">
      <c r="A401" s="669"/>
      <c r="B401" s="244"/>
      <c r="C401" s="244"/>
      <c r="D401" s="670"/>
      <c r="E401" s="151"/>
    </row>
    <row r="402" spans="1:5" s="6" customFormat="1">
      <c r="A402" s="669"/>
      <c r="B402" s="244"/>
      <c r="C402" s="244"/>
      <c r="D402" s="670"/>
      <c r="E402" s="151"/>
    </row>
    <row r="403" spans="1:5" s="6" customFormat="1">
      <c r="A403" s="669"/>
      <c r="B403" s="244"/>
      <c r="C403" s="244"/>
      <c r="D403" s="670"/>
      <c r="E403" s="151"/>
    </row>
    <row r="404" spans="1:5" s="6" customFormat="1">
      <c r="A404" s="669"/>
      <c r="B404" s="244"/>
      <c r="C404" s="244"/>
      <c r="D404" s="670"/>
      <c r="E404" s="151"/>
    </row>
    <row r="405" spans="1:5" s="6" customFormat="1">
      <c r="A405" s="669"/>
      <c r="B405" s="244"/>
      <c r="C405" s="244"/>
      <c r="D405" s="670"/>
      <c r="E405" s="151"/>
    </row>
    <row r="406" spans="1:5" s="6" customFormat="1">
      <c r="A406" s="669"/>
      <c r="B406" s="244"/>
      <c r="C406" s="244"/>
      <c r="D406" s="670"/>
      <c r="E406" s="151"/>
    </row>
    <row r="407" spans="1:5" s="6" customFormat="1">
      <c r="A407" s="669"/>
      <c r="B407" s="244"/>
      <c r="C407" s="244"/>
      <c r="D407" s="670"/>
      <c r="E407" s="151"/>
    </row>
    <row r="408" spans="1:5" s="6" customFormat="1">
      <c r="A408" s="669"/>
      <c r="B408" s="244"/>
      <c r="C408" s="244"/>
      <c r="D408" s="670"/>
      <c r="E408" s="151"/>
    </row>
    <row r="409" spans="1:5" s="6" customFormat="1">
      <c r="A409" s="669"/>
      <c r="B409" s="244"/>
      <c r="C409" s="244"/>
      <c r="D409" s="670"/>
      <c r="E409" s="151"/>
    </row>
    <row r="410" spans="1:5" s="6" customFormat="1">
      <c r="A410" s="669"/>
      <c r="B410" s="244"/>
      <c r="C410" s="244"/>
      <c r="D410" s="670"/>
      <c r="E410" s="151"/>
    </row>
    <row r="411" spans="1:5" s="6" customFormat="1">
      <c r="A411" s="669"/>
      <c r="B411" s="244"/>
      <c r="C411" s="244"/>
      <c r="D411" s="670"/>
      <c r="E411" s="151"/>
    </row>
    <row r="412" spans="1:5" s="6" customFormat="1">
      <c r="A412" s="669"/>
      <c r="B412" s="244"/>
      <c r="C412" s="244"/>
      <c r="D412" s="670"/>
      <c r="E412" s="151"/>
    </row>
    <row r="413" spans="1:5" s="6" customFormat="1">
      <c r="A413" s="669"/>
      <c r="B413" s="244"/>
      <c r="C413" s="244"/>
      <c r="D413" s="670"/>
      <c r="E413" s="151"/>
    </row>
    <row r="414" spans="1:5" s="6" customFormat="1">
      <c r="A414" s="669"/>
      <c r="B414" s="244"/>
      <c r="C414" s="244"/>
      <c r="D414" s="670"/>
      <c r="E414" s="151"/>
    </row>
    <row r="415" spans="1:5" s="6" customFormat="1">
      <c r="A415" s="669"/>
      <c r="B415" s="244"/>
      <c r="C415" s="244"/>
      <c r="D415" s="670"/>
      <c r="E415" s="151"/>
    </row>
    <row r="416" spans="1:5" s="6" customFormat="1">
      <c r="A416" s="669"/>
      <c r="B416" s="244"/>
      <c r="C416" s="244"/>
      <c r="D416" s="670"/>
      <c r="E416" s="151"/>
    </row>
    <row r="417" spans="1:5" s="6" customFormat="1">
      <c r="A417" s="669"/>
      <c r="B417" s="244"/>
      <c r="C417" s="244"/>
      <c r="D417" s="670"/>
      <c r="E417" s="151"/>
    </row>
    <row r="418" spans="1:5" s="6" customFormat="1">
      <c r="A418" s="669"/>
      <c r="B418" s="244"/>
      <c r="C418" s="244"/>
      <c r="D418" s="670"/>
      <c r="E418" s="151"/>
    </row>
    <row r="419" spans="1:5" s="6" customFormat="1">
      <c r="A419" s="669"/>
      <c r="B419" s="244"/>
      <c r="C419" s="244"/>
      <c r="D419" s="670"/>
      <c r="E419" s="151"/>
    </row>
    <row r="420" spans="1:5" s="6" customFormat="1">
      <c r="A420" s="669"/>
      <c r="B420" s="244"/>
      <c r="C420" s="244"/>
      <c r="D420" s="670"/>
      <c r="E420" s="151"/>
    </row>
    <row r="421" spans="1:5" s="6" customFormat="1">
      <c r="A421" s="669"/>
      <c r="B421" s="244"/>
      <c r="C421" s="244"/>
      <c r="D421" s="670"/>
      <c r="E421" s="151"/>
    </row>
    <row r="422" spans="1:5" s="6" customFormat="1">
      <c r="A422" s="669"/>
      <c r="B422" s="244"/>
      <c r="C422" s="244"/>
      <c r="D422" s="670"/>
      <c r="E422" s="151"/>
    </row>
    <row r="423" spans="1:5" s="6" customFormat="1">
      <c r="A423" s="669"/>
      <c r="B423" s="244"/>
      <c r="C423" s="244"/>
      <c r="D423" s="670"/>
      <c r="E423" s="151"/>
    </row>
    <row r="424" spans="1:5" s="6" customFormat="1">
      <c r="A424" s="669"/>
      <c r="B424" s="244"/>
      <c r="C424" s="244"/>
      <c r="D424" s="670"/>
      <c r="E424" s="151"/>
    </row>
    <row r="425" spans="1:5" s="6" customFormat="1">
      <c r="A425" s="669"/>
      <c r="B425" s="244"/>
      <c r="C425" s="244"/>
      <c r="D425" s="670"/>
      <c r="E425" s="151"/>
    </row>
    <row r="426" spans="1:5" s="6" customFormat="1">
      <c r="A426" s="669"/>
      <c r="B426" s="244"/>
      <c r="C426" s="244"/>
      <c r="D426" s="670"/>
      <c r="E426" s="151"/>
    </row>
    <row r="427" spans="1:5" s="6" customFormat="1">
      <c r="A427" s="669"/>
      <c r="B427" s="244"/>
      <c r="C427" s="244"/>
      <c r="D427" s="670"/>
      <c r="E427" s="151"/>
    </row>
    <row r="428" spans="1:5" s="6" customFormat="1">
      <c r="A428" s="669"/>
      <c r="B428" s="244"/>
      <c r="C428" s="244"/>
      <c r="D428" s="670"/>
      <c r="E428" s="151"/>
    </row>
    <row r="429" spans="1:5" s="6" customFormat="1">
      <c r="A429" s="669"/>
      <c r="B429" s="244"/>
      <c r="C429" s="244"/>
      <c r="D429" s="670"/>
      <c r="E429" s="151"/>
    </row>
    <row r="430" spans="1:5" s="6" customFormat="1">
      <c r="A430" s="669"/>
      <c r="B430" s="244"/>
      <c r="C430" s="244"/>
      <c r="D430" s="670"/>
      <c r="E430" s="151"/>
    </row>
    <row r="431" spans="1:5" s="6" customFormat="1">
      <c r="A431" s="669"/>
      <c r="B431" s="244"/>
      <c r="C431" s="244"/>
      <c r="D431" s="670"/>
      <c r="E431" s="151"/>
    </row>
    <row r="432" spans="1:5" s="6" customFormat="1">
      <c r="A432" s="669"/>
      <c r="B432" s="244"/>
      <c r="C432" s="244"/>
      <c r="D432" s="670"/>
      <c r="E432" s="151"/>
    </row>
    <row r="433" spans="1:5" s="6" customFormat="1">
      <c r="A433" s="669"/>
      <c r="B433" s="244"/>
      <c r="C433" s="244"/>
      <c r="D433" s="670"/>
      <c r="E433" s="151"/>
    </row>
    <row r="434" spans="1:5" s="6" customFormat="1">
      <c r="A434" s="669"/>
      <c r="B434" s="244"/>
      <c r="C434" s="244"/>
      <c r="D434" s="670"/>
      <c r="E434" s="151"/>
    </row>
    <row r="435" spans="1:5" s="6" customFormat="1">
      <c r="A435" s="669"/>
      <c r="B435" s="244"/>
      <c r="C435" s="244"/>
      <c r="D435" s="670"/>
      <c r="E435" s="151"/>
    </row>
    <row r="436" spans="1:5" s="6" customFormat="1">
      <c r="A436" s="669"/>
      <c r="B436" s="244"/>
      <c r="C436" s="244"/>
      <c r="D436" s="670"/>
      <c r="E436" s="151"/>
    </row>
    <row r="437" spans="1:5" s="6" customFormat="1">
      <c r="A437" s="669"/>
      <c r="B437" s="244"/>
      <c r="C437" s="244"/>
      <c r="D437" s="670"/>
      <c r="E437" s="151"/>
    </row>
    <row r="438" spans="1:5" s="6" customFormat="1">
      <c r="A438" s="669"/>
      <c r="B438" s="244"/>
      <c r="C438" s="244"/>
      <c r="D438" s="670"/>
      <c r="E438" s="151"/>
    </row>
    <row r="439" spans="1:5" s="6" customFormat="1">
      <c r="A439" s="669"/>
      <c r="B439" s="244"/>
      <c r="C439" s="244"/>
      <c r="D439" s="670"/>
      <c r="E439" s="151"/>
    </row>
    <row r="440" spans="1:5" s="6" customFormat="1">
      <c r="A440" s="669"/>
      <c r="B440" s="244"/>
      <c r="C440" s="244"/>
      <c r="D440" s="670"/>
      <c r="E440" s="151"/>
    </row>
    <row r="441" spans="1:5" s="6" customFormat="1">
      <c r="A441" s="669"/>
      <c r="B441" s="244"/>
      <c r="C441" s="244"/>
      <c r="D441" s="670"/>
      <c r="E441" s="151"/>
    </row>
    <row r="442" spans="1:5" s="6" customFormat="1">
      <c r="A442" s="669"/>
      <c r="B442" s="244"/>
      <c r="C442" s="244"/>
      <c r="D442" s="670"/>
      <c r="E442" s="151"/>
    </row>
    <row r="443" spans="1:5" s="6" customFormat="1">
      <c r="A443" s="669"/>
      <c r="B443" s="244"/>
      <c r="C443" s="244"/>
      <c r="D443" s="670"/>
      <c r="E443" s="151"/>
    </row>
    <row r="444" spans="1:5" s="6" customFormat="1">
      <c r="A444" s="669"/>
      <c r="B444" s="244"/>
      <c r="C444" s="244"/>
      <c r="D444" s="670"/>
      <c r="E444" s="151"/>
    </row>
    <row r="445" spans="1:5" s="6" customFormat="1">
      <c r="A445" s="669"/>
      <c r="B445" s="244"/>
      <c r="C445" s="244"/>
      <c r="D445" s="670"/>
      <c r="E445" s="151"/>
    </row>
    <row r="446" spans="1:5" s="6" customFormat="1">
      <c r="A446" s="669"/>
      <c r="B446" s="244"/>
      <c r="C446" s="244"/>
      <c r="D446" s="670"/>
      <c r="E446" s="151"/>
    </row>
    <row r="447" spans="1:5" s="6" customFormat="1">
      <c r="A447" s="669"/>
      <c r="B447" s="244"/>
      <c r="C447" s="244"/>
      <c r="D447" s="670"/>
      <c r="E447" s="151"/>
    </row>
    <row r="448" spans="1:5" s="6" customFormat="1">
      <c r="A448" s="669"/>
      <c r="B448" s="244"/>
      <c r="C448" s="244"/>
      <c r="D448" s="670"/>
      <c r="E448" s="151"/>
    </row>
    <row r="449" spans="1:5" s="6" customFormat="1">
      <c r="A449" s="669"/>
      <c r="B449" s="244"/>
      <c r="C449" s="244"/>
      <c r="D449" s="670"/>
      <c r="E449" s="151"/>
    </row>
    <row r="450" spans="1:5" s="6" customFormat="1">
      <c r="A450" s="669"/>
      <c r="B450" s="244"/>
      <c r="C450" s="244"/>
      <c r="D450" s="670"/>
      <c r="E450" s="151"/>
    </row>
    <row r="451" spans="1:5" s="6" customFormat="1">
      <c r="A451" s="669"/>
      <c r="B451" s="244"/>
      <c r="C451" s="244"/>
      <c r="D451" s="670"/>
      <c r="E451" s="151"/>
    </row>
    <row r="452" spans="1:5" s="6" customFormat="1">
      <c r="A452" s="669"/>
      <c r="B452" s="244"/>
      <c r="C452" s="244"/>
      <c r="D452" s="670"/>
      <c r="E452" s="151"/>
    </row>
    <row r="453" spans="1:5" s="6" customFormat="1">
      <c r="A453" s="669"/>
      <c r="B453" s="244"/>
      <c r="C453" s="244"/>
      <c r="D453" s="670"/>
      <c r="E453" s="151"/>
    </row>
    <row r="454" spans="1:5" s="6" customFormat="1">
      <c r="A454" s="669"/>
      <c r="B454" s="244"/>
      <c r="C454" s="244"/>
      <c r="D454" s="670"/>
      <c r="E454" s="151"/>
    </row>
    <row r="455" spans="1:5" s="6" customFormat="1">
      <c r="A455" s="669"/>
      <c r="B455" s="244"/>
      <c r="C455" s="244"/>
      <c r="D455" s="670"/>
      <c r="E455" s="151"/>
    </row>
    <row r="456" spans="1:5" s="6" customFormat="1">
      <c r="A456" s="669"/>
      <c r="B456" s="244"/>
      <c r="C456" s="244"/>
      <c r="D456" s="670"/>
      <c r="E456" s="151"/>
    </row>
    <row r="457" spans="1:5" s="6" customFormat="1">
      <c r="A457" s="669"/>
      <c r="B457" s="244"/>
      <c r="C457" s="244"/>
      <c r="D457" s="670"/>
      <c r="E457" s="151"/>
    </row>
    <row r="458" spans="1:5" s="6" customFormat="1">
      <c r="A458" s="669"/>
      <c r="B458" s="244"/>
      <c r="C458" s="244"/>
      <c r="D458" s="670"/>
      <c r="E458" s="151"/>
    </row>
    <row r="459" spans="1:5" s="6" customFormat="1">
      <c r="A459" s="669"/>
      <c r="B459" s="244"/>
      <c r="C459" s="244"/>
      <c r="D459" s="670"/>
      <c r="E459" s="151"/>
    </row>
    <row r="460" spans="1:5" s="6" customFormat="1">
      <c r="A460" s="669"/>
      <c r="B460" s="244"/>
      <c r="C460" s="244"/>
      <c r="D460" s="670"/>
      <c r="E460" s="151"/>
    </row>
    <row r="461" spans="1:5" s="6" customFormat="1">
      <c r="A461" s="669"/>
      <c r="B461" s="244"/>
      <c r="C461" s="244"/>
      <c r="D461" s="670"/>
      <c r="E461" s="151"/>
    </row>
    <row r="462" spans="1:5" s="6" customFormat="1">
      <c r="A462" s="669"/>
      <c r="B462" s="244"/>
      <c r="C462" s="244"/>
      <c r="D462" s="670"/>
      <c r="E462" s="151"/>
    </row>
    <row r="463" spans="1:5" s="6" customFormat="1">
      <c r="A463" s="669"/>
      <c r="B463" s="244"/>
      <c r="C463" s="244"/>
      <c r="D463" s="670"/>
      <c r="E463" s="151"/>
    </row>
    <row r="464" spans="1:5" s="6" customFormat="1">
      <c r="A464" s="669"/>
      <c r="B464" s="244"/>
      <c r="C464" s="244"/>
      <c r="D464" s="670"/>
      <c r="E464" s="151"/>
    </row>
    <row r="465" spans="1:5" s="6" customFormat="1">
      <c r="A465" s="669"/>
      <c r="B465" s="244"/>
      <c r="C465" s="244"/>
      <c r="D465" s="670"/>
      <c r="E465" s="151"/>
    </row>
    <row r="466" spans="1:5" s="6" customFormat="1">
      <c r="A466" s="669"/>
      <c r="B466" s="244"/>
      <c r="C466" s="244"/>
      <c r="D466" s="670"/>
      <c r="E466" s="151"/>
    </row>
    <row r="467" spans="1:5" s="6" customFormat="1">
      <c r="A467" s="669"/>
      <c r="B467" s="244"/>
      <c r="C467" s="244"/>
      <c r="D467" s="670"/>
      <c r="E467" s="151"/>
    </row>
    <row r="468" spans="1:5" s="6" customFormat="1">
      <c r="A468" s="669"/>
      <c r="B468" s="244"/>
      <c r="C468" s="244"/>
      <c r="D468" s="670"/>
      <c r="E468" s="151"/>
    </row>
    <row r="469" spans="1:5" s="6" customFormat="1">
      <c r="A469" s="669"/>
      <c r="B469" s="244"/>
      <c r="C469" s="244"/>
      <c r="D469" s="670"/>
      <c r="E469" s="151"/>
    </row>
    <row r="470" spans="1:5" s="6" customFormat="1">
      <c r="A470" s="669"/>
      <c r="B470" s="244"/>
      <c r="C470" s="244"/>
      <c r="D470" s="670"/>
      <c r="E470" s="151"/>
    </row>
    <row r="471" spans="1:5" s="6" customFormat="1">
      <c r="A471" s="669"/>
      <c r="B471" s="244"/>
      <c r="C471" s="244"/>
      <c r="D471" s="670"/>
      <c r="E471" s="151"/>
    </row>
    <row r="472" spans="1:5" s="6" customFormat="1">
      <c r="A472" s="669"/>
      <c r="B472" s="244"/>
      <c r="C472" s="244"/>
      <c r="D472" s="670"/>
      <c r="E472" s="151"/>
    </row>
    <row r="473" spans="1:5" s="6" customFormat="1">
      <c r="A473" s="669"/>
      <c r="B473" s="244"/>
      <c r="C473" s="244"/>
      <c r="D473" s="670"/>
      <c r="E473" s="151"/>
    </row>
    <row r="474" spans="1:5" s="6" customFormat="1">
      <c r="A474" s="669"/>
      <c r="B474" s="244"/>
      <c r="C474" s="244"/>
      <c r="D474" s="670"/>
      <c r="E474" s="151"/>
    </row>
    <row r="475" spans="1:5" s="6" customFormat="1">
      <c r="A475" s="669"/>
      <c r="B475" s="244"/>
      <c r="C475" s="244"/>
      <c r="D475" s="670"/>
      <c r="E475" s="151"/>
    </row>
    <row r="476" spans="1:5" s="6" customFormat="1">
      <c r="A476" s="669"/>
      <c r="B476" s="244"/>
      <c r="C476" s="244"/>
      <c r="D476" s="670"/>
      <c r="E476" s="151"/>
    </row>
    <row r="477" spans="1:5" s="6" customFormat="1">
      <c r="A477" s="669"/>
      <c r="B477" s="244"/>
      <c r="C477" s="244"/>
      <c r="D477" s="670"/>
      <c r="E477" s="151"/>
    </row>
    <row r="478" spans="1:5" s="6" customFormat="1">
      <c r="A478" s="669"/>
      <c r="B478" s="244"/>
      <c r="C478" s="244"/>
      <c r="D478" s="670"/>
      <c r="E478" s="151"/>
    </row>
    <row r="479" spans="1:5" s="6" customFormat="1">
      <c r="A479" s="669"/>
      <c r="B479" s="244"/>
      <c r="C479" s="244"/>
      <c r="D479" s="670"/>
      <c r="E479" s="151"/>
    </row>
    <row r="480" spans="1:5" s="6" customFormat="1">
      <c r="A480" s="669"/>
      <c r="B480" s="244"/>
      <c r="C480" s="244"/>
      <c r="D480" s="670"/>
      <c r="E480" s="151"/>
    </row>
    <row r="481" spans="1:5" s="6" customFormat="1">
      <c r="A481" s="669"/>
      <c r="B481" s="244"/>
      <c r="C481" s="244"/>
      <c r="D481" s="670"/>
      <c r="E481" s="151"/>
    </row>
    <row r="482" spans="1:5" s="6" customFormat="1">
      <c r="A482" s="669"/>
      <c r="B482" s="244"/>
      <c r="C482" s="244"/>
      <c r="D482" s="670"/>
      <c r="E482" s="151"/>
    </row>
    <row r="483" spans="1:5" s="6" customFormat="1">
      <c r="A483" s="669"/>
      <c r="B483" s="244"/>
      <c r="C483" s="244"/>
      <c r="D483" s="670"/>
      <c r="E483" s="151"/>
    </row>
    <row r="484" spans="1:5" s="6" customFormat="1">
      <c r="A484" s="669"/>
      <c r="B484" s="244"/>
      <c r="C484" s="244"/>
      <c r="D484" s="670"/>
      <c r="E484" s="151"/>
    </row>
    <row r="485" spans="1:5" s="6" customFormat="1">
      <c r="A485" s="669"/>
      <c r="B485" s="244"/>
      <c r="C485" s="244"/>
      <c r="D485" s="670"/>
      <c r="E485" s="151"/>
    </row>
    <row r="486" spans="1:5" s="6" customFormat="1">
      <c r="A486" s="669"/>
      <c r="B486" s="244"/>
      <c r="C486" s="244"/>
      <c r="D486" s="670"/>
      <c r="E486" s="151"/>
    </row>
    <row r="487" spans="1:5" s="6" customFormat="1">
      <c r="A487" s="669"/>
      <c r="B487" s="244"/>
      <c r="C487" s="244"/>
      <c r="D487" s="670"/>
      <c r="E487" s="151"/>
    </row>
    <row r="488" spans="1:5" s="6" customFormat="1">
      <c r="A488" s="669"/>
      <c r="B488" s="244"/>
      <c r="C488" s="244"/>
      <c r="D488" s="670"/>
      <c r="E488" s="151"/>
    </row>
    <row r="489" spans="1:5" s="6" customFormat="1">
      <c r="A489" s="669"/>
      <c r="B489" s="244"/>
      <c r="C489" s="244"/>
      <c r="D489" s="670"/>
      <c r="E489" s="151"/>
    </row>
    <row r="490" spans="1:5" s="6" customFormat="1">
      <c r="A490" s="669"/>
      <c r="B490" s="244"/>
      <c r="C490" s="244"/>
      <c r="D490" s="670"/>
      <c r="E490" s="151"/>
    </row>
    <row r="491" spans="1:5" s="6" customFormat="1">
      <c r="A491" s="669"/>
      <c r="B491" s="244"/>
      <c r="C491" s="244"/>
      <c r="D491" s="670"/>
      <c r="E491" s="151"/>
    </row>
    <row r="492" spans="1:5" s="6" customFormat="1">
      <c r="A492" s="669"/>
      <c r="B492" s="244"/>
      <c r="C492" s="244"/>
      <c r="D492" s="670"/>
      <c r="E492" s="151"/>
    </row>
    <row r="493" spans="1:5" s="6" customFormat="1">
      <c r="A493" s="669"/>
      <c r="B493" s="244"/>
      <c r="C493" s="244"/>
      <c r="D493" s="670"/>
      <c r="E493" s="151"/>
    </row>
    <row r="494" spans="1:5" s="6" customFormat="1">
      <c r="A494" s="669"/>
      <c r="B494" s="244"/>
      <c r="C494" s="244"/>
      <c r="D494" s="670"/>
      <c r="E494" s="151"/>
    </row>
    <row r="495" spans="1:5" s="6" customFormat="1">
      <c r="A495" s="669"/>
      <c r="B495" s="244"/>
      <c r="C495" s="244"/>
      <c r="D495" s="670"/>
      <c r="E495" s="151"/>
    </row>
    <row r="496" spans="1:5" s="6" customFormat="1">
      <c r="A496" s="669"/>
      <c r="B496" s="244"/>
      <c r="C496" s="244"/>
      <c r="D496" s="670"/>
      <c r="E496" s="151"/>
    </row>
    <row r="497" spans="1:5" s="6" customFormat="1">
      <c r="A497" s="669"/>
      <c r="B497" s="244"/>
      <c r="C497" s="244"/>
      <c r="D497" s="670"/>
      <c r="E497" s="151"/>
    </row>
    <row r="498" spans="1:5" s="6" customFormat="1">
      <c r="A498" s="669"/>
      <c r="B498" s="244"/>
      <c r="C498" s="244"/>
      <c r="D498" s="670"/>
      <c r="E498" s="151"/>
    </row>
    <row r="499" spans="1:5" s="6" customFormat="1">
      <c r="A499" s="669"/>
      <c r="B499" s="244"/>
      <c r="C499" s="244"/>
      <c r="D499" s="670"/>
      <c r="E499" s="151"/>
    </row>
    <row r="500" spans="1:5" s="6" customFormat="1">
      <c r="A500" s="669"/>
      <c r="B500" s="244"/>
      <c r="C500" s="244"/>
      <c r="D500" s="670"/>
      <c r="E500" s="151"/>
    </row>
    <row r="501" spans="1:5" s="6" customFormat="1">
      <c r="A501" s="669"/>
      <c r="B501" s="244"/>
      <c r="C501" s="244"/>
      <c r="D501" s="670"/>
      <c r="E501" s="151"/>
    </row>
    <row r="502" spans="1:5" s="6" customFormat="1">
      <c r="A502" s="669"/>
      <c r="B502" s="244"/>
      <c r="C502" s="244"/>
      <c r="D502" s="670"/>
      <c r="E502" s="151"/>
    </row>
    <row r="503" spans="1:5" s="6" customFormat="1">
      <c r="A503" s="669"/>
      <c r="B503" s="244"/>
      <c r="C503" s="244"/>
      <c r="D503" s="670"/>
      <c r="E503" s="151"/>
    </row>
    <row r="504" spans="1:5" s="6" customFormat="1">
      <c r="A504" s="669"/>
      <c r="B504" s="244"/>
      <c r="C504" s="244"/>
      <c r="D504" s="670"/>
      <c r="E504" s="151"/>
    </row>
    <row r="505" spans="1:5" s="6" customFormat="1">
      <c r="A505" s="669"/>
      <c r="B505" s="244"/>
      <c r="C505" s="244"/>
      <c r="D505" s="670"/>
      <c r="E505" s="151"/>
    </row>
    <row r="506" spans="1:5" s="6" customFormat="1">
      <c r="A506" s="669"/>
      <c r="B506" s="244"/>
      <c r="C506" s="244"/>
      <c r="D506" s="670"/>
      <c r="E506" s="151"/>
    </row>
    <row r="507" spans="1:5" s="6" customFormat="1">
      <c r="A507" s="669"/>
      <c r="B507" s="244"/>
      <c r="C507" s="244"/>
      <c r="D507" s="670"/>
      <c r="E507" s="151"/>
    </row>
    <row r="508" spans="1:5" s="6" customFormat="1">
      <c r="A508" s="669"/>
      <c r="B508" s="244"/>
      <c r="C508" s="244"/>
      <c r="D508" s="670"/>
      <c r="E508" s="151"/>
    </row>
    <row r="509" spans="1:5" s="6" customFormat="1">
      <c r="A509" s="669"/>
      <c r="B509" s="244"/>
      <c r="C509" s="244"/>
      <c r="D509" s="670"/>
      <c r="E509" s="151"/>
    </row>
    <row r="510" spans="1:5" s="6" customFormat="1">
      <c r="A510" s="669"/>
      <c r="B510" s="244"/>
      <c r="C510" s="244"/>
      <c r="D510" s="670"/>
      <c r="E510" s="151"/>
    </row>
    <row r="511" spans="1:5" s="6" customFormat="1">
      <c r="A511" s="669"/>
      <c r="B511" s="244"/>
      <c r="C511" s="244"/>
      <c r="D511" s="670"/>
      <c r="E511" s="151"/>
    </row>
    <row r="512" spans="1:5" s="6" customFormat="1">
      <c r="A512" s="669"/>
      <c r="B512" s="244"/>
      <c r="C512" s="244"/>
      <c r="D512" s="670"/>
      <c r="E512" s="151"/>
    </row>
    <row r="513" spans="1:5" s="6" customFormat="1">
      <c r="A513" s="669"/>
      <c r="B513" s="244"/>
      <c r="C513" s="244"/>
      <c r="D513" s="670"/>
      <c r="E513" s="151"/>
    </row>
    <row r="514" spans="1:5" s="6" customFormat="1">
      <c r="A514" s="669"/>
      <c r="B514" s="244"/>
      <c r="C514" s="244"/>
      <c r="D514" s="670"/>
      <c r="E514" s="151"/>
    </row>
    <row r="515" spans="1:5" s="6" customFormat="1">
      <c r="A515" s="669"/>
      <c r="B515" s="244"/>
      <c r="C515" s="244"/>
      <c r="D515" s="670"/>
      <c r="E515" s="151"/>
    </row>
    <row r="516" spans="1:5" s="6" customFormat="1">
      <c r="A516" s="669"/>
      <c r="B516" s="244"/>
      <c r="C516" s="244"/>
      <c r="D516" s="670"/>
      <c r="E516" s="151"/>
    </row>
    <row r="517" spans="1:5" s="6" customFormat="1">
      <c r="A517" s="669"/>
      <c r="B517" s="244"/>
      <c r="C517" s="244"/>
      <c r="D517" s="670"/>
      <c r="E517" s="151"/>
    </row>
    <row r="518" spans="1:5" s="6" customFormat="1">
      <c r="A518" s="669"/>
      <c r="B518" s="244"/>
      <c r="C518" s="244"/>
      <c r="D518" s="670"/>
      <c r="E518" s="151"/>
    </row>
    <row r="519" spans="1:5" s="6" customFormat="1">
      <c r="A519" s="669"/>
      <c r="B519" s="244"/>
      <c r="C519" s="244"/>
      <c r="D519" s="670"/>
      <c r="E519" s="151"/>
    </row>
    <row r="520" spans="1:5" s="6" customFormat="1">
      <c r="A520" s="669"/>
      <c r="B520" s="244"/>
      <c r="C520" s="244"/>
      <c r="D520" s="670"/>
      <c r="E520" s="151"/>
    </row>
    <row r="521" spans="1:5" s="6" customFormat="1">
      <c r="A521" s="669"/>
      <c r="B521" s="244"/>
      <c r="C521" s="244"/>
      <c r="D521" s="670"/>
      <c r="E521" s="151"/>
    </row>
    <row r="522" spans="1:5" s="6" customFormat="1">
      <c r="A522" s="669"/>
      <c r="B522" s="244"/>
      <c r="C522" s="244"/>
      <c r="D522" s="670"/>
      <c r="E522" s="151"/>
    </row>
    <row r="523" spans="1:5" s="6" customFormat="1">
      <c r="A523" s="669"/>
      <c r="B523" s="244"/>
      <c r="C523" s="244"/>
      <c r="D523" s="670"/>
      <c r="E523" s="151"/>
    </row>
    <row r="524" spans="1:5" s="6" customFormat="1">
      <c r="A524" s="669"/>
      <c r="B524" s="244"/>
      <c r="C524" s="244"/>
      <c r="D524" s="670"/>
      <c r="E524" s="151"/>
    </row>
    <row r="525" spans="1:5" s="6" customFormat="1">
      <c r="A525" s="669"/>
      <c r="B525" s="244"/>
      <c r="C525" s="244"/>
      <c r="D525" s="670"/>
      <c r="E525" s="151"/>
    </row>
    <row r="526" spans="1:5" s="6" customFormat="1">
      <c r="A526" s="669"/>
      <c r="B526" s="244"/>
      <c r="C526" s="244"/>
      <c r="D526" s="670"/>
      <c r="E526" s="151"/>
    </row>
    <row r="527" spans="1:5" s="6" customFormat="1">
      <c r="A527" s="669"/>
      <c r="B527" s="244"/>
      <c r="C527" s="244"/>
      <c r="D527" s="670"/>
      <c r="E527" s="151"/>
    </row>
    <row r="528" spans="1:5" s="6" customFormat="1">
      <c r="A528" s="669"/>
      <c r="B528" s="244"/>
      <c r="C528" s="244"/>
      <c r="D528" s="670"/>
      <c r="E528" s="151"/>
    </row>
    <row r="529" spans="1:5" s="6" customFormat="1">
      <c r="A529" s="669"/>
      <c r="B529" s="244"/>
      <c r="C529" s="244"/>
      <c r="D529" s="670"/>
      <c r="E529" s="151"/>
    </row>
    <row r="530" spans="1:5" s="6" customFormat="1">
      <c r="A530" s="669"/>
      <c r="B530" s="244"/>
      <c r="C530" s="244"/>
      <c r="D530" s="670"/>
      <c r="E530" s="151"/>
    </row>
    <row r="531" spans="1:5" s="6" customFormat="1">
      <c r="A531" s="669"/>
      <c r="B531" s="244"/>
      <c r="C531" s="244"/>
      <c r="D531" s="670"/>
      <c r="E531" s="151"/>
    </row>
    <row r="532" spans="1:5" s="6" customFormat="1">
      <c r="A532" s="669"/>
      <c r="B532" s="244"/>
      <c r="C532" s="244"/>
      <c r="D532" s="670"/>
      <c r="E532" s="151"/>
    </row>
    <row r="533" spans="1:5" s="6" customFormat="1">
      <c r="A533" s="669"/>
      <c r="B533" s="244"/>
      <c r="C533" s="244"/>
      <c r="D533" s="670"/>
      <c r="E533" s="151"/>
    </row>
    <row r="534" spans="1:5" s="6" customFormat="1">
      <c r="A534" s="669"/>
      <c r="B534" s="244"/>
      <c r="C534" s="244"/>
      <c r="D534" s="670"/>
      <c r="E534" s="151"/>
    </row>
    <row r="535" spans="1:5" s="6" customFormat="1">
      <c r="A535" s="669"/>
      <c r="B535" s="244"/>
      <c r="C535" s="244"/>
      <c r="D535" s="670"/>
      <c r="E535" s="151"/>
    </row>
    <row r="536" spans="1:5" s="6" customFormat="1">
      <c r="A536" s="669"/>
      <c r="B536" s="244"/>
      <c r="C536" s="244"/>
      <c r="D536" s="670"/>
      <c r="E536" s="151"/>
    </row>
    <row r="537" spans="1:5" s="6" customFormat="1">
      <c r="A537" s="669"/>
      <c r="B537" s="244"/>
      <c r="C537" s="244"/>
      <c r="D537" s="670"/>
      <c r="E537" s="151"/>
    </row>
    <row r="538" spans="1:5" s="6" customFormat="1">
      <c r="A538" s="669"/>
      <c r="B538" s="244"/>
      <c r="C538" s="244"/>
      <c r="D538" s="670"/>
      <c r="E538" s="151"/>
    </row>
    <row r="539" spans="1:5" s="6" customFormat="1">
      <c r="A539" s="669"/>
      <c r="B539" s="244"/>
      <c r="C539" s="244"/>
      <c r="D539" s="670"/>
      <c r="E539" s="151"/>
    </row>
    <row r="540" spans="1:5" s="6" customFormat="1">
      <c r="A540" s="669"/>
      <c r="B540" s="244"/>
      <c r="C540" s="244"/>
      <c r="D540" s="670"/>
      <c r="E540" s="151"/>
    </row>
    <row r="541" spans="1:5" s="6" customFormat="1">
      <c r="A541" s="669"/>
      <c r="B541" s="244"/>
      <c r="C541" s="244"/>
      <c r="D541" s="670"/>
      <c r="E541" s="151"/>
    </row>
    <row r="542" spans="1:5" s="6" customFormat="1">
      <c r="A542" s="669"/>
      <c r="B542" s="244"/>
      <c r="C542" s="244"/>
      <c r="D542" s="670"/>
      <c r="E542" s="151"/>
    </row>
    <row r="543" spans="1:5" s="6" customFormat="1">
      <c r="A543" s="669"/>
      <c r="B543" s="244"/>
      <c r="C543" s="244"/>
      <c r="D543" s="670"/>
      <c r="E543" s="151"/>
    </row>
    <row r="544" spans="1:5" s="6" customFormat="1">
      <c r="A544" s="669"/>
      <c r="B544" s="244"/>
      <c r="C544" s="244"/>
      <c r="D544" s="670"/>
      <c r="E544" s="151"/>
    </row>
    <row r="545" spans="1:5" s="6" customFormat="1">
      <c r="A545" s="669"/>
      <c r="B545" s="244"/>
      <c r="C545" s="244"/>
      <c r="D545" s="670"/>
      <c r="E545" s="151"/>
    </row>
    <row r="546" spans="1:5" s="6" customFormat="1">
      <c r="A546" s="669"/>
      <c r="B546" s="244"/>
      <c r="C546" s="244"/>
      <c r="D546" s="670"/>
      <c r="E546" s="151"/>
    </row>
    <row r="547" spans="1:5" s="6" customFormat="1">
      <c r="A547" s="669"/>
      <c r="B547" s="244"/>
      <c r="C547" s="244"/>
      <c r="D547" s="670"/>
      <c r="E547" s="151"/>
    </row>
    <row r="548" spans="1:5" s="6" customFormat="1">
      <c r="A548" s="669"/>
      <c r="B548" s="244"/>
      <c r="C548" s="244"/>
      <c r="D548" s="670"/>
      <c r="E548" s="151"/>
    </row>
    <row r="549" spans="1:5" s="6" customFormat="1">
      <c r="A549" s="669"/>
      <c r="B549" s="244"/>
      <c r="C549" s="244"/>
      <c r="D549" s="670"/>
      <c r="E549" s="151"/>
    </row>
    <row r="550" spans="1:5" s="6" customFormat="1">
      <c r="A550" s="669"/>
      <c r="B550" s="244"/>
      <c r="C550" s="244"/>
      <c r="D550" s="670"/>
      <c r="E550" s="151"/>
    </row>
    <row r="551" spans="1:5" s="6" customFormat="1">
      <c r="A551" s="669"/>
      <c r="B551" s="244"/>
      <c r="C551" s="244"/>
      <c r="D551" s="670"/>
      <c r="E551" s="151"/>
    </row>
    <row r="552" spans="1:5" s="6" customFormat="1">
      <c r="A552" s="669"/>
      <c r="B552" s="244"/>
      <c r="C552" s="244"/>
      <c r="D552" s="670"/>
      <c r="E552" s="151"/>
    </row>
    <row r="553" spans="1:5" s="6" customFormat="1">
      <c r="A553" s="669"/>
      <c r="B553" s="244"/>
      <c r="C553" s="244"/>
      <c r="D553" s="670"/>
      <c r="E553" s="151"/>
    </row>
    <row r="554" spans="1:5" s="6" customFormat="1">
      <c r="A554" s="669"/>
      <c r="B554" s="244"/>
      <c r="C554" s="244"/>
      <c r="D554" s="670"/>
      <c r="E554" s="151"/>
    </row>
    <row r="555" spans="1:5" s="6" customFormat="1">
      <c r="A555" s="669"/>
      <c r="B555" s="244"/>
      <c r="C555" s="244"/>
      <c r="D555" s="670"/>
      <c r="E555" s="151"/>
    </row>
    <row r="556" spans="1:5" s="6" customFormat="1">
      <c r="A556" s="669"/>
      <c r="B556" s="244"/>
      <c r="C556" s="244"/>
      <c r="D556" s="670"/>
      <c r="E556" s="151"/>
    </row>
    <row r="557" spans="1:5" s="6" customFormat="1">
      <c r="A557" s="669"/>
      <c r="B557" s="244"/>
      <c r="C557" s="244"/>
      <c r="D557" s="670"/>
      <c r="E557" s="151"/>
    </row>
    <row r="558" spans="1:5" s="6" customFormat="1">
      <c r="A558" s="669"/>
      <c r="B558" s="244"/>
      <c r="C558" s="244"/>
      <c r="D558" s="670"/>
      <c r="E558" s="151"/>
    </row>
    <row r="559" spans="1:5" s="6" customFormat="1">
      <c r="A559" s="669"/>
      <c r="B559" s="244"/>
      <c r="C559" s="244"/>
      <c r="D559" s="670"/>
      <c r="E559" s="151"/>
    </row>
    <row r="560" spans="1:5" s="6" customFormat="1">
      <c r="A560" s="669"/>
      <c r="B560" s="244"/>
      <c r="C560" s="244"/>
      <c r="D560" s="670"/>
      <c r="E560" s="151"/>
    </row>
    <row r="561" spans="1:5" s="6" customFormat="1">
      <c r="A561" s="669"/>
      <c r="B561" s="244"/>
      <c r="C561" s="244"/>
      <c r="D561" s="670"/>
      <c r="E561" s="151"/>
    </row>
    <row r="562" spans="1:5" s="6" customFormat="1">
      <c r="A562" s="669"/>
      <c r="B562" s="244"/>
      <c r="C562" s="244"/>
      <c r="D562" s="670"/>
      <c r="E562" s="151"/>
    </row>
    <row r="563" spans="1:5" s="6" customFormat="1">
      <c r="A563" s="669"/>
      <c r="B563" s="244"/>
      <c r="C563" s="244"/>
      <c r="D563" s="670"/>
      <c r="E563" s="151"/>
    </row>
    <row r="564" spans="1:5" s="6" customFormat="1">
      <c r="A564" s="669"/>
      <c r="B564" s="244"/>
      <c r="C564" s="244"/>
      <c r="D564" s="670"/>
      <c r="E564" s="151"/>
    </row>
    <row r="565" spans="1:5" s="6" customFormat="1">
      <c r="A565" s="669"/>
      <c r="B565" s="244"/>
      <c r="C565" s="244"/>
      <c r="D565" s="670"/>
      <c r="E565" s="151"/>
    </row>
    <row r="566" spans="1:5" s="6" customFormat="1">
      <c r="A566" s="669"/>
      <c r="B566" s="244"/>
      <c r="C566" s="244"/>
      <c r="D566" s="670"/>
      <c r="E566" s="151"/>
    </row>
    <row r="567" spans="1:5" s="6" customFormat="1">
      <c r="A567" s="669"/>
      <c r="B567" s="244"/>
      <c r="C567" s="244"/>
      <c r="D567" s="670"/>
      <c r="E567" s="151"/>
    </row>
    <row r="568" spans="1:5" s="6" customFormat="1">
      <c r="A568" s="669"/>
      <c r="B568" s="244"/>
      <c r="C568" s="244"/>
      <c r="D568" s="670"/>
      <c r="E568" s="151"/>
    </row>
    <row r="569" spans="1:5" s="6" customFormat="1">
      <c r="A569" s="669"/>
      <c r="B569" s="244"/>
      <c r="C569" s="244"/>
      <c r="D569" s="670"/>
      <c r="E569" s="151"/>
    </row>
    <row r="570" spans="1:5" s="6" customFormat="1">
      <c r="A570" s="669"/>
      <c r="B570" s="244"/>
      <c r="C570" s="244"/>
      <c r="D570" s="670"/>
      <c r="E570" s="151"/>
    </row>
    <row r="571" spans="1:5" s="6" customFormat="1">
      <c r="A571" s="669"/>
      <c r="B571" s="244"/>
      <c r="C571" s="244"/>
      <c r="D571" s="670"/>
      <c r="E571" s="151"/>
    </row>
    <row r="572" spans="1:5" s="6" customFormat="1">
      <c r="A572" s="669"/>
      <c r="B572" s="244"/>
      <c r="C572" s="244"/>
      <c r="D572" s="670"/>
      <c r="E572" s="151"/>
    </row>
    <row r="573" spans="1:5" s="6" customFormat="1">
      <c r="A573" s="669"/>
      <c r="B573" s="244"/>
      <c r="C573" s="244"/>
      <c r="D573" s="670"/>
      <c r="E573" s="151"/>
    </row>
    <row r="574" spans="1:5" s="6" customFormat="1">
      <c r="A574" s="669"/>
      <c r="B574" s="244"/>
      <c r="C574" s="244"/>
      <c r="D574" s="670"/>
      <c r="E574" s="151"/>
    </row>
    <row r="575" spans="1:5" s="6" customFormat="1">
      <c r="A575" s="669"/>
      <c r="B575" s="244"/>
      <c r="C575" s="244"/>
      <c r="D575" s="670"/>
      <c r="E575" s="151"/>
    </row>
    <row r="576" spans="1:5" s="6" customFormat="1">
      <c r="A576" s="669"/>
      <c r="B576" s="244"/>
      <c r="C576" s="244"/>
      <c r="D576" s="670"/>
      <c r="E576" s="151"/>
    </row>
    <row r="577" spans="1:5" s="6" customFormat="1">
      <c r="A577" s="669"/>
      <c r="B577" s="244"/>
      <c r="C577" s="244"/>
      <c r="D577" s="670"/>
      <c r="E577" s="151"/>
    </row>
    <row r="578" spans="1:5" s="6" customFormat="1">
      <c r="A578" s="669"/>
      <c r="B578" s="244"/>
      <c r="C578" s="244"/>
      <c r="D578" s="670"/>
      <c r="E578" s="151"/>
    </row>
    <row r="579" spans="1:5" s="6" customFormat="1">
      <c r="A579" s="669"/>
      <c r="B579" s="244"/>
      <c r="C579" s="244"/>
      <c r="D579" s="670"/>
      <c r="E579" s="151"/>
    </row>
    <row r="580" spans="1:5" s="6" customFormat="1">
      <c r="A580" s="669"/>
      <c r="B580" s="244"/>
      <c r="C580" s="244"/>
      <c r="D580" s="670"/>
      <c r="E580" s="151"/>
    </row>
    <row r="581" spans="1:5" s="6" customFormat="1">
      <c r="A581" s="669"/>
      <c r="B581" s="244"/>
      <c r="C581" s="244"/>
      <c r="D581" s="670"/>
      <c r="E581" s="151"/>
    </row>
    <row r="582" spans="1:5" s="6" customFormat="1">
      <c r="A582" s="669"/>
      <c r="B582" s="244"/>
      <c r="C582" s="244"/>
      <c r="D582" s="670"/>
      <c r="E582" s="151"/>
    </row>
    <row r="583" spans="1:5" s="6" customFormat="1">
      <c r="A583" s="669"/>
      <c r="B583" s="244"/>
      <c r="C583" s="244"/>
      <c r="D583" s="670"/>
      <c r="E583" s="151"/>
    </row>
    <row r="584" spans="1:5" s="6" customFormat="1">
      <c r="A584" s="669"/>
      <c r="B584" s="244"/>
      <c r="C584" s="244"/>
      <c r="D584" s="670"/>
      <c r="E584" s="151"/>
    </row>
    <row r="585" spans="1:5" s="6" customFormat="1">
      <c r="A585" s="669"/>
      <c r="B585" s="244"/>
      <c r="C585" s="244"/>
      <c r="D585" s="670"/>
      <c r="E585" s="151"/>
    </row>
    <row r="586" spans="1:5" s="6" customFormat="1">
      <c r="A586" s="669"/>
      <c r="B586" s="244"/>
      <c r="C586" s="244"/>
      <c r="D586" s="670"/>
      <c r="E586" s="151"/>
    </row>
    <row r="587" spans="1:5" s="6" customFormat="1">
      <c r="A587" s="669"/>
      <c r="B587" s="244"/>
      <c r="C587" s="244"/>
      <c r="D587" s="670"/>
      <c r="E587" s="151"/>
    </row>
    <row r="588" spans="1:5" s="6" customFormat="1">
      <c r="A588" s="669"/>
      <c r="B588" s="244"/>
      <c r="C588" s="244"/>
      <c r="D588" s="670"/>
      <c r="E588" s="151"/>
    </row>
    <row r="589" spans="1:5" s="6" customFormat="1">
      <c r="A589" s="669"/>
      <c r="B589" s="244"/>
      <c r="C589" s="244"/>
      <c r="D589" s="670"/>
      <c r="E589" s="151"/>
    </row>
    <row r="590" spans="1:5" s="6" customFormat="1">
      <c r="A590" s="669"/>
      <c r="B590" s="244"/>
      <c r="C590" s="244"/>
      <c r="D590" s="670"/>
      <c r="E590" s="151"/>
    </row>
    <row r="591" spans="1:5" s="6" customFormat="1">
      <c r="A591" s="669"/>
      <c r="B591" s="244"/>
      <c r="C591" s="244"/>
      <c r="D591" s="670"/>
      <c r="E591" s="151"/>
    </row>
    <row r="592" spans="1:5" s="6" customFormat="1">
      <c r="A592" s="669"/>
      <c r="B592" s="244"/>
      <c r="C592" s="244"/>
      <c r="D592" s="670"/>
      <c r="E592" s="151"/>
    </row>
    <row r="593" spans="1:5" s="6" customFormat="1">
      <c r="A593" s="669"/>
      <c r="B593" s="244"/>
      <c r="C593" s="244"/>
      <c r="D593" s="670"/>
      <c r="E593" s="151"/>
    </row>
    <row r="594" spans="1:5" s="6" customFormat="1">
      <c r="A594" s="669"/>
      <c r="B594" s="244"/>
      <c r="C594" s="244"/>
      <c r="D594" s="670"/>
      <c r="E594" s="151"/>
    </row>
    <row r="595" spans="1:5" s="6" customFormat="1">
      <c r="A595" s="669"/>
      <c r="B595" s="244"/>
      <c r="C595" s="244"/>
      <c r="D595" s="670"/>
      <c r="E595" s="151"/>
    </row>
    <row r="596" spans="1:5" s="6" customFormat="1">
      <c r="A596" s="669"/>
      <c r="B596" s="244"/>
      <c r="C596" s="244"/>
      <c r="D596" s="670"/>
      <c r="E596" s="151"/>
    </row>
    <row r="597" spans="1:5" s="6" customFormat="1">
      <c r="A597" s="669"/>
      <c r="B597" s="244"/>
      <c r="C597" s="244"/>
      <c r="D597" s="670"/>
      <c r="E597" s="151"/>
    </row>
    <row r="598" spans="1:5" s="6" customFormat="1">
      <c r="A598" s="669"/>
      <c r="B598" s="244"/>
      <c r="C598" s="244"/>
      <c r="D598" s="670"/>
      <c r="E598" s="151"/>
    </row>
    <row r="599" spans="1:5" s="6" customFormat="1">
      <c r="A599" s="669"/>
      <c r="B599" s="244"/>
      <c r="C599" s="244"/>
      <c r="D599" s="670"/>
      <c r="E599" s="151"/>
    </row>
    <row r="600" spans="1:5" s="6" customFormat="1">
      <c r="A600" s="669"/>
      <c r="B600" s="244"/>
      <c r="C600" s="244"/>
      <c r="D600" s="670"/>
      <c r="E600" s="151"/>
    </row>
    <row r="601" spans="1:5" s="6" customFormat="1">
      <c r="A601" s="669"/>
      <c r="B601" s="244"/>
      <c r="C601" s="244"/>
      <c r="D601" s="670"/>
      <c r="E601" s="151"/>
    </row>
    <row r="602" spans="1:5" s="6" customFormat="1">
      <c r="A602" s="669"/>
      <c r="B602" s="244"/>
      <c r="C602" s="244"/>
      <c r="D602" s="670"/>
      <c r="E602" s="151"/>
    </row>
    <row r="603" spans="1:5" s="6" customFormat="1">
      <c r="A603" s="669"/>
      <c r="B603" s="244"/>
      <c r="C603" s="244"/>
      <c r="D603" s="670"/>
      <c r="E603" s="151"/>
    </row>
    <row r="604" spans="1:5" s="6" customFormat="1">
      <c r="A604" s="669"/>
      <c r="B604" s="244"/>
      <c r="C604" s="244"/>
      <c r="D604" s="670"/>
      <c r="E604" s="151"/>
    </row>
    <row r="605" spans="1:5" s="6" customFormat="1">
      <c r="A605" s="669"/>
      <c r="B605" s="244"/>
      <c r="C605" s="244"/>
      <c r="D605" s="670"/>
      <c r="E605" s="151"/>
    </row>
    <row r="606" spans="1:5" s="6" customFormat="1">
      <c r="A606" s="669"/>
      <c r="B606" s="244"/>
      <c r="C606" s="244"/>
      <c r="D606" s="670"/>
      <c r="E606" s="151"/>
    </row>
    <row r="607" spans="1:5" s="6" customFormat="1">
      <c r="A607" s="669"/>
      <c r="B607" s="244"/>
      <c r="C607" s="244"/>
      <c r="D607" s="670"/>
      <c r="E607" s="151"/>
    </row>
    <row r="608" spans="1:5" s="6" customFormat="1">
      <c r="A608" s="669"/>
      <c r="B608" s="244"/>
      <c r="C608" s="244"/>
      <c r="D608" s="670"/>
      <c r="E608" s="151"/>
    </row>
    <row r="609" spans="1:5" s="6" customFormat="1">
      <c r="A609" s="669"/>
      <c r="B609" s="244"/>
      <c r="C609" s="244"/>
      <c r="D609" s="670"/>
      <c r="E609" s="151"/>
    </row>
    <row r="610" spans="1:5" s="6" customFormat="1">
      <c r="A610" s="669"/>
      <c r="B610" s="244"/>
      <c r="C610" s="244"/>
      <c r="D610" s="670"/>
      <c r="E610" s="151"/>
    </row>
    <row r="611" spans="1:5" s="6" customFormat="1">
      <c r="A611" s="669"/>
      <c r="B611" s="244"/>
      <c r="C611" s="244"/>
      <c r="D611" s="670"/>
      <c r="E611" s="151"/>
    </row>
    <row r="612" spans="1:5" s="6" customFormat="1">
      <c r="A612" s="669"/>
      <c r="B612" s="244"/>
      <c r="C612" s="244"/>
      <c r="D612" s="670"/>
      <c r="E612" s="151"/>
    </row>
    <row r="613" spans="1:5" s="6" customFormat="1">
      <c r="A613" s="669"/>
      <c r="B613" s="244"/>
      <c r="C613" s="244"/>
      <c r="D613" s="670"/>
      <c r="E613" s="151"/>
    </row>
    <row r="614" spans="1:5" s="6" customFormat="1">
      <c r="A614" s="669"/>
      <c r="B614" s="244"/>
      <c r="C614" s="244"/>
      <c r="D614" s="670"/>
      <c r="E614" s="151"/>
    </row>
    <row r="615" spans="1:5" s="6" customFormat="1">
      <c r="A615" s="669"/>
      <c r="B615" s="244"/>
      <c r="C615" s="244"/>
      <c r="D615" s="670"/>
      <c r="E615" s="151"/>
    </row>
    <row r="616" spans="1:5" s="6" customFormat="1">
      <c r="A616" s="669"/>
      <c r="B616" s="244"/>
      <c r="C616" s="244"/>
      <c r="D616" s="670"/>
      <c r="E616" s="151"/>
    </row>
    <row r="617" spans="1:5" s="6" customFormat="1">
      <c r="A617" s="669"/>
      <c r="B617" s="244"/>
      <c r="C617" s="244"/>
      <c r="D617" s="670"/>
      <c r="E617" s="151"/>
    </row>
    <row r="618" spans="1:5" s="6" customFormat="1">
      <c r="A618" s="669"/>
      <c r="B618" s="244"/>
      <c r="C618" s="244"/>
      <c r="D618" s="670"/>
      <c r="E618" s="151"/>
    </row>
    <row r="619" spans="1:5" s="6" customFormat="1">
      <c r="A619" s="669"/>
      <c r="B619" s="244"/>
      <c r="C619" s="244"/>
      <c r="D619" s="670"/>
      <c r="E619" s="151"/>
    </row>
    <row r="620" spans="1:5" s="6" customFormat="1">
      <c r="A620" s="669"/>
      <c r="B620" s="244"/>
      <c r="C620" s="244"/>
      <c r="D620" s="670"/>
      <c r="E620" s="151"/>
    </row>
    <row r="621" spans="1:5" s="6" customFormat="1">
      <c r="A621" s="669"/>
      <c r="B621" s="244"/>
      <c r="C621" s="244"/>
      <c r="D621" s="670"/>
      <c r="E621" s="151"/>
    </row>
    <row r="622" spans="1:5" s="6" customFormat="1">
      <c r="A622" s="669"/>
      <c r="B622" s="244"/>
      <c r="C622" s="244"/>
      <c r="D622" s="670"/>
      <c r="E622" s="151"/>
    </row>
    <row r="623" spans="1:5" s="6" customFormat="1">
      <c r="A623" s="669"/>
      <c r="B623" s="244"/>
      <c r="C623" s="244"/>
      <c r="D623" s="670"/>
      <c r="E623" s="151"/>
    </row>
    <row r="624" spans="1:5" s="6" customFormat="1">
      <c r="A624" s="669"/>
      <c r="B624" s="244"/>
      <c r="C624" s="244"/>
      <c r="D624" s="670"/>
      <c r="E624" s="151"/>
    </row>
    <row r="625" spans="1:5" s="6" customFormat="1">
      <c r="A625" s="669"/>
      <c r="B625" s="244"/>
      <c r="C625" s="244"/>
      <c r="D625" s="670"/>
      <c r="E625" s="151"/>
    </row>
    <row r="626" spans="1:5" s="6" customFormat="1">
      <c r="A626" s="669"/>
      <c r="B626" s="244"/>
      <c r="C626" s="244"/>
      <c r="D626" s="670"/>
      <c r="E626" s="151"/>
    </row>
    <row r="627" spans="1:5" s="6" customFormat="1">
      <c r="A627" s="669"/>
      <c r="B627" s="244"/>
      <c r="C627" s="244"/>
      <c r="D627" s="670"/>
      <c r="E627" s="151"/>
    </row>
    <row r="628" spans="1:5" s="6" customFormat="1">
      <c r="A628" s="669"/>
      <c r="B628" s="244"/>
      <c r="C628" s="244"/>
      <c r="D628" s="670"/>
      <c r="E628" s="151"/>
    </row>
    <row r="629" spans="1:5" s="6" customFormat="1">
      <c r="A629" s="669"/>
      <c r="B629" s="244"/>
      <c r="C629" s="244"/>
      <c r="D629" s="670"/>
      <c r="E629" s="151"/>
    </row>
    <row r="630" spans="1:5" s="6" customFormat="1">
      <c r="A630" s="669"/>
      <c r="B630" s="244"/>
      <c r="C630" s="244"/>
      <c r="D630" s="670"/>
      <c r="E630" s="151"/>
    </row>
    <row r="631" spans="1:5" s="6" customFormat="1">
      <c r="A631" s="669"/>
      <c r="B631" s="244"/>
      <c r="C631" s="244"/>
      <c r="D631" s="670"/>
      <c r="E631" s="151"/>
    </row>
    <row r="632" spans="1:5" s="6" customFormat="1">
      <c r="A632" s="669"/>
      <c r="B632" s="244"/>
      <c r="C632" s="244"/>
      <c r="D632" s="670"/>
      <c r="E632" s="151"/>
    </row>
    <row r="633" spans="1:5" s="6" customFormat="1">
      <c r="A633" s="669"/>
      <c r="B633" s="244"/>
      <c r="C633" s="244"/>
      <c r="D633" s="670"/>
      <c r="E633" s="151"/>
    </row>
    <row r="634" spans="1:5" s="6" customFormat="1">
      <c r="A634" s="669"/>
      <c r="B634" s="244"/>
      <c r="C634" s="244"/>
      <c r="D634" s="670"/>
      <c r="E634" s="151"/>
    </row>
    <row r="635" spans="1:5" s="6" customFormat="1">
      <c r="A635" s="669"/>
      <c r="B635" s="244"/>
      <c r="C635" s="244"/>
      <c r="D635" s="670"/>
      <c r="E635" s="151"/>
    </row>
    <row r="636" spans="1:5" s="6" customFormat="1">
      <c r="A636" s="669"/>
      <c r="B636" s="244"/>
      <c r="C636" s="244"/>
      <c r="D636" s="670"/>
      <c r="E636" s="151"/>
    </row>
    <row r="637" spans="1:5" s="6" customFormat="1">
      <c r="A637" s="669"/>
      <c r="B637" s="244"/>
      <c r="C637" s="244"/>
      <c r="D637" s="670"/>
      <c r="E637" s="151"/>
    </row>
    <row r="638" spans="1:5" s="6" customFormat="1">
      <c r="A638" s="669"/>
      <c r="B638" s="244"/>
      <c r="C638" s="244"/>
      <c r="D638" s="670"/>
      <c r="E638" s="151"/>
    </row>
    <row r="639" spans="1:5" s="6" customFormat="1">
      <c r="A639" s="669"/>
      <c r="B639" s="244"/>
      <c r="C639" s="244"/>
      <c r="D639" s="670"/>
      <c r="E639" s="151"/>
    </row>
    <row r="640" spans="1:5" s="6" customFormat="1">
      <c r="A640" s="669"/>
      <c r="B640" s="244"/>
      <c r="C640" s="244"/>
      <c r="D640" s="670"/>
      <c r="E640" s="151"/>
    </row>
    <row r="641" spans="1:5" s="6" customFormat="1">
      <c r="A641" s="669"/>
      <c r="B641" s="244"/>
      <c r="C641" s="244"/>
      <c r="D641" s="670"/>
      <c r="E641" s="151"/>
    </row>
    <row r="642" spans="1:5" s="6" customFormat="1">
      <c r="A642" s="669"/>
      <c r="B642" s="244"/>
      <c r="C642" s="244"/>
      <c r="D642" s="670"/>
      <c r="E642" s="151"/>
    </row>
    <row r="643" spans="1:5" s="6" customFormat="1">
      <c r="A643" s="669"/>
      <c r="B643" s="244"/>
      <c r="C643" s="244"/>
      <c r="D643" s="670"/>
      <c r="E643" s="151"/>
    </row>
    <row r="644" spans="1:5" s="6" customFormat="1">
      <c r="A644" s="669"/>
      <c r="B644" s="244"/>
      <c r="C644" s="244"/>
      <c r="D644" s="670"/>
      <c r="E644" s="151"/>
    </row>
    <row r="645" spans="1:5" s="6" customFormat="1">
      <c r="A645" s="669"/>
      <c r="B645" s="244"/>
      <c r="C645" s="244"/>
      <c r="D645" s="670"/>
      <c r="E645" s="151"/>
    </row>
    <row r="646" spans="1:5" s="6" customFormat="1">
      <c r="A646" s="669"/>
      <c r="B646" s="244"/>
      <c r="C646" s="244"/>
      <c r="D646" s="670"/>
      <c r="E646" s="151"/>
    </row>
    <row r="647" spans="1:5" s="6" customFormat="1">
      <c r="A647" s="669"/>
      <c r="B647" s="244"/>
      <c r="C647" s="244"/>
      <c r="D647" s="670"/>
      <c r="E647" s="151"/>
    </row>
    <row r="648" spans="1:5" s="6" customFormat="1">
      <c r="A648" s="669"/>
      <c r="B648" s="244"/>
      <c r="C648" s="244"/>
      <c r="D648" s="670"/>
      <c r="E648" s="151"/>
    </row>
    <row r="649" spans="1:5" s="6" customFormat="1">
      <c r="A649" s="669"/>
      <c r="B649" s="244"/>
      <c r="C649" s="244"/>
      <c r="D649" s="670"/>
      <c r="E649" s="151"/>
    </row>
    <row r="650" spans="1:5" s="6" customFormat="1">
      <c r="A650" s="669"/>
      <c r="B650" s="244"/>
      <c r="C650" s="244"/>
      <c r="D650" s="670"/>
      <c r="E650" s="151"/>
    </row>
    <row r="651" spans="1:5" s="6" customFormat="1">
      <c r="A651" s="669"/>
      <c r="B651" s="244"/>
      <c r="C651" s="244"/>
      <c r="D651" s="670"/>
      <c r="E651" s="151"/>
    </row>
    <row r="652" spans="1:5" s="6" customFormat="1">
      <c r="A652" s="669"/>
      <c r="B652" s="244"/>
      <c r="C652" s="244"/>
      <c r="D652" s="670"/>
      <c r="E652" s="151"/>
    </row>
    <row r="653" spans="1:5" s="6" customFormat="1">
      <c r="A653" s="669"/>
      <c r="B653" s="244"/>
      <c r="C653" s="244"/>
      <c r="D653" s="670"/>
      <c r="E653" s="151"/>
    </row>
    <row r="654" spans="1:5" s="6" customFormat="1">
      <c r="A654" s="669"/>
      <c r="B654" s="244"/>
      <c r="C654" s="244"/>
      <c r="D654" s="670"/>
      <c r="E654" s="151"/>
    </row>
    <row r="655" spans="1:5" s="6" customFormat="1">
      <c r="A655" s="669"/>
      <c r="B655" s="244"/>
      <c r="C655" s="244"/>
      <c r="D655" s="670"/>
      <c r="E655" s="151"/>
    </row>
    <row r="656" spans="1:5" s="6" customFormat="1">
      <c r="A656" s="669"/>
      <c r="B656" s="244"/>
      <c r="C656" s="244"/>
      <c r="D656" s="670"/>
      <c r="E656" s="151"/>
    </row>
    <row r="657" spans="1:5" s="6" customFormat="1">
      <c r="A657" s="669"/>
      <c r="B657" s="244"/>
      <c r="C657" s="244"/>
      <c r="D657" s="670"/>
      <c r="E657" s="151"/>
    </row>
    <row r="658" spans="1:5" s="6" customFormat="1">
      <c r="A658" s="669"/>
      <c r="B658" s="244"/>
      <c r="C658" s="244"/>
      <c r="D658" s="670"/>
      <c r="E658" s="151"/>
    </row>
    <row r="659" spans="1:5" s="6" customFormat="1">
      <c r="A659" s="669"/>
      <c r="B659" s="244"/>
      <c r="C659" s="244"/>
      <c r="D659" s="670"/>
      <c r="E659" s="151"/>
    </row>
    <row r="660" spans="1:5" s="6" customFormat="1">
      <c r="A660" s="669"/>
      <c r="B660" s="244"/>
      <c r="C660" s="244"/>
      <c r="D660" s="670"/>
      <c r="E660" s="151"/>
    </row>
    <row r="661" spans="1:5" s="6" customFormat="1">
      <c r="A661" s="669"/>
      <c r="B661" s="244"/>
      <c r="C661" s="244"/>
      <c r="D661" s="670"/>
      <c r="E661" s="151"/>
    </row>
    <row r="662" spans="1:5" s="6" customFormat="1">
      <c r="A662" s="669"/>
      <c r="B662" s="244"/>
      <c r="C662" s="244"/>
      <c r="D662" s="670"/>
      <c r="E662" s="151"/>
    </row>
    <row r="663" spans="1:5" s="6" customFormat="1">
      <c r="A663" s="669"/>
      <c r="B663" s="244"/>
      <c r="C663" s="244"/>
      <c r="D663" s="670"/>
      <c r="E663" s="151"/>
    </row>
    <row r="664" spans="1:5" s="6" customFormat="1">
      <c r="A664" s="669"/>
      <c r="B664" s="244"/>
      <c r="C664" s="244"/>
      <c r="D664" s="670"/>
      <c r="E664" s="151"/>
    </row>
    <row r="665" spans="1:5" s="6" customFormat="1">
      <c r="A665" s="669"/>
      <c r="B665" s="244"/>
      <c r="C665" s="244"/>
      <c r="D665" s="670"/>
      <c r="E665" s="151"/>
    </row>
    <row r="666" spans="1:5" s="6" customFormat="1">
      <c r="A666" s="669"/>
      <c r="B666" s="244"/>
      <c r="C666" s="244"/>
      <c r="D666" s="670"/>
      <c r="E666" s="151"/>
    </row>
    <row r="667" spans="1:5" s="6" customFormat="1">
      <c r="A667" s="669"/>
      <c r="B667" s="244"/>
      <c r="C667" s="244"/>
      <c r="D667" s="670"/>
      <c r="E667" s="151"/>
    </row>
    <row r="668" spans="1:5" s="6" customFormat="1">
      <c r="A668" s="669"/>
      <c r="B668" s="244"/>
      <c r="C668" s="244"/>
      <c r="D668" s="670"/>
      <c r="E668" s="151"/>
    </row>
    <row r="669" spans="1:5" s="6" customFormat="1">
      <c r="A669" s="669"/>
      <c r="B669" s="244"/>
      <c r="C669" s="244"/>
      <c r="D669" s="670"/>
      <c r="E669" s="151"/>
    </row>
    <row r="670" spans="1:5" s="6" customFormat="1">
      <c r="A670" s="669"/>
      <c r="B670" s="244"/>
      <c r="C670" s="244"/>
      <c r="D670" s="670"/>
      <c r="E670" s="151"/>
    </row>
    <row r="671" spans="1:5" s="6" customFormat="1">
      <c r="A671" s="669"/>
      <c r="B671" s="244"/>
      <c r="C671" s="244"/>
      <c r="D671" s="670"/>
      <c r="E671" s="151"/>
    </row>
    <row r="672" spans="1:5" s="6" customFormat="1">
      <c r="A672" s="669"/>
      <c r="B672" s="244"/>
      <c r="C672" s="244"/>
      <c r="D672" s="670"/>
      <c r="E672" s="151"/>
    </row>
    <row r="673" spans="1:5" s="6" customFormat="1">
      <c r="A673" s="669"/>
      <c r="B673" s="244"/>
      <c r="C673" s="244"/>
      <c r="D673" s="670"/>
      <c r="E673" s="151"/>
    </row>
    <row r="674" spans="1:5" s="6" customFormat="1">
      <c r="A674" s="669"/>
      <c r="B674" s="244"/>
      <c r="C674" s="244"/>
      <c r="D674" s="670"/>
      <c r="E674" s="151"/>
    </row>
    <row r="675" spans="1:5" s="6" customFormat="1">
      <c r="A675" s="669"/>
      <c r="B675" s="244"/>
      <c r="C675" s="244"/>
      <c r="D675" s="670"/>
      <c r="E675" s="151"/>
    </row>
    <row r="676" spans="1:5" s="6" customFormat="1">
      <c r="A676" s="669"/>
      <c r="B676" s="244"/>
      <c r="C676" s="244"/>
      <c r="D676" s="670"/>
      <c r="E676" s="151"/>
    </row>
    <row r="677" spans="1:5" s="6" customFormat="1">
      <c r="A677" s="669"/>
      <c r="B677" s="244"/>
      <c r="C677" s="244"/>
      <c r="D677" s="670"/>
      <c r="E677" s="151"/>
    </row>
    <row r="678" spans="1:5" s="6" customFormat="1">
      <c r="A678" s="669"/>
      <c r="B678" s="244"/>
      <c r="C678" s="244"/>
      <c r="D678" s="670"/>
      <c r="E678" s="151"/>
    </row>
    <row r="679" spans="1:5" s="6" customFormat="1">
      <c r="A679" s="669"/>
      <c r="B679" s="244"/>
      <c r="C679" s="244"/>
      <c r="D679" s="670"/>
      <c r="E679" s="151"/>
    </row>
    <row r="680" spans="1:5" s="6" customFormat="1">
      <c r="A680" s="669"/>
      <c r="B680" s="244"/>
      <c r="C680" s="244"/>
      <c r="D680" s="670"/>
      <c r="E680" s="151"/>
    </row>
    <row r="681" spans="1:5" s="6" customFormat="1">
      <c r="A681" s="669"/>
      <c r="B681" s="244"/>
      <c r="C681" s="244"/>
      <c r="D681" s="670"/>
      <c r="E681" s="151"/>
    </row>
    <row r="682" spans="1:5" s="6" customFormat="1">
      <c r="A682" s="669"/>
      <c r="B682" s="244"/>
      <c r="C682" s="244"/>
      <c r="D682" s="670"/>
      <c r="E682" s="151"/>
    </row>
    <row r="683" spans="1:5" s="6" customFormat="1">
      <c r="A683" s="669"/>
      <c r="B683" s="244"/>
      <c r="C683" s="244"/>
      <c r="D683" s="670"/>
      <c r="E683" s="151"/>
    </row>
    <row r="684" spans="1:5" s="6" customFormat="1">
      <c r="A684" s="669"/>
      <c r="B684" s="244"/>
      <c r="C684" s="244"/>
      <c r="D684" s="670"/>
      <c r="E684" s="151"/>
    </row>
    <row r="685" spans="1:5" s="6" customFormat="1">
      <c r="A685" s="669"/>
      <c r="B685" s="244"/>
      <c r="C685" s="244"/>
      <c r="D685" s="670"/>
      <c r="E685" s="151"/>
    </row>
    <row r="686" spans="1:5" s="6" customFormat="1">
      <c r="A686" s="669"/>
      <c r="B686" s="244"/>
      <c r="C686" s="244"/>
      <c r="D686" s="670"/>
      <c r="E686" s="151"/>
    </row>
    <row r="687" spans="1:5" s="6" customFormat="1">
      <c r="A687" s="669"/>
      <c r="B687" s="244"/>
      <c r="C687" s="244"/>
      <c r="D687" s="670"/>
      <c r="E687" s="151"/>
    </row>
    <row r="688" spans="1:5" s="6" customFormat="1">
      <c r="A688" s="669"/>
      <c r="B688" s="244"/>
      <c r="C688" s="244"/>
      <c r="D688" s="670"/>
      <c r="E688" s="151"/>
    </row>
    <row r="689" spans="1:5" s="6" customFormat="1">
      <c r="A689" s="669"/>
      <c r="B689" s="244"/>
      <c r="C689" s="244"/>
      <c r="D689" s="670"/>
      <c r="E689" s="151"/>
    </row>
    <row r="690" spans="1:5" s="6" customFormat="1">
      <c r="A690" s="669"/>
      <c r="B690" s="244"/>
      <c r="C690" s="244"/>
      <c r="D690" s="670"/>
      <c r="E690" s="151"/>
    </row>
    <row r="691" spans="1:5" s="6" customFormat="1">
      <c r="A691" s="669"/>
      <c r="B691" s="244"/>
      <c r="C691" s="244"/>
      <c r="D691" s="670"/>
      <c r="E691" s="151"/>
    </row>
    <row r="692" spans="1:5" s="6" customFormat="1">
      <c r="A692" s="669"/>
      <c r="B692" s="244"/>
      <c r="C692" s="244"/>
      <c r="D692" s="670"/>
      <c r="E692" s="151"/>
    </row>
    <row r="693" spans="1:5" s="6" customFormat="1">
      <c r="A693" s="669"/>
      <c r="B693" s="244"/>
      <c r="C693" s="244"/>
      <c r="D693" s="670"/>
      <c r="E693" s="151"/>
    </row>
    <row r="694" spans="1:5" s="6" customFormat="1">
      <c r="A694" s="669"/>
      <c r="B694" s="244"/>
      <c r="C694" s="244"/>
      <c r="D694" s="670"/>
      <c r="E694" s="151"/>
    </row>
    <row r="695" spans="1:5" s="6" customFormat="1">
      <c r="A695" s="669"/>
      <c r="B695" s="244"/>
      <c r="C695" s="244"/>
      <c r="D695" s="670"/>
      <c r="E695" s="151"/>
    </row>
    <row r="696" spans="1:5" s="6" customFormat="1">
      <c r="A696" s="669"/>
      <c r="B696" s="244"/>
      <c r="C696" s="244"/>
      <c r="D696" s="670"/>
      <c r="E696" s="151"/>
    </row>
    <row r="697" spans="1:5" s="6" customFormat="1">
      <c r="A697" s="669"/>
      <c r="B697" s="244"/>
      <c r="C697" s="244"/>
      <c r="D697" s="670"/>
      <c r="E697" s="151"/>
    </row>
    <row r="698" spans="1:5" s="6" customFormat="1">
      <c r="A698" s="669"/>
      <c r="B698" s="244"/>
      <c r="C698" s="244"/>
      <c r="D698" s="670"/>
      <c r="E698" s="151"/>
    </row>
    <row r="699" spans="1:5" s="6" customFormat="1">
      <c r="A699" s="669"/>
      <c r="B699" s="244"/>
      <c r="C699" s="244"/>
      <c r="D699" s="670"/>
      <c r="E699" s="151"/>
    </row>
    <row r="700" spans="1:5" s="6" customFormat="1">
      <c r="A700" s="669"/>
      <c r="B700" s="244"/>
      <c r="C700" s="244"/>
      <c r="D700" s="670"/>
      <c r="E700" s="151"/>
    </row>
    <row r="701" spans="1:5" s="6" customFormat="1">
      <c r="A701" s="669"/>
      <c r="B701" s="244"/>
      <c r="C701" s="244"/>
      <c r="D701" s="670"/>
      <c r="E701" s="151"/>
    </row>
    <row r="702" spans="1:5" s="6" customFormat="1">
      <c r="A702" s="669"/>
      <c r="B702" s="244"/>
      <c r="C702" s="244"/>
      <c r="D702" s="670"/>
      <c r="E702" s="151"/>
    </row>
    <row r="703" spans="1:5" s="6" customFormat="1">
      <c r="A703" s="669"/>
      <c r="B703" s="244"/>
      <c r="C703" s="244"/>
      <c r="D703" s="670"/>
      <c r="E703" s="151"/>
    </row>
    <row r="704" spans="1:5" s="6" customFormat="1">
      <c r="A704" s="669"/>
      <c r="B704" s="244"/>
      <c r="C704" s="244"/>
      <c r="D704" s="670"/>
      <c r="E704" s="151"/>
    </row>
    <row r="705" spans="1:5" s="6" customFormat="1">
      <c r="A705" s="669"/>
      <c r="B705" s="244"/>
      <c r="C705" s="244"/>
      <c r="D705" s="670"/>
      <c r="E705" s="151"/>
    </row>
    <row r="706" spans="1:5" s="6" customFormat="1">
      <c r="A706" s="669"/>
      <c r="B706" s="244"/>
      <c r="C706" s="244"/>
      <c r="D706" s="670"/>
      <c r="E706" s="151"/>
    </row>
    <row r="707" spans="1:5" s="6" customFormat="1">
      <c r="A707" s="669"/>
      <c r="B707" s="244"/>
      <c r="C707" s="244"/>
      <c r="D707" s="670"/>
      <c r="E707" s="151"/>
    </row>
    <row r="708" spans="1:5" s="6" customFormat="1">
      <c r="A708" s="669"/>
      <c r="B708" s="244"/>
      <c r="C708" s="244"/>
      <c r="D708" s="670"/>
      <c r="E708" s="151"/>
    </row>
    <row r="709" spans="1:5" s="6" customFormat="1">
      <c r="A709" s="669"/>
      <c r="B709" s="244"/>
      <c r="C709" s="244"/>
      <c r="D709" s="670"/>
      <c r="E709" s="151"/>
    </row>
    <row r="710" spans="1:5" s="6" customFormat="1">
      <c r="A710" s="669"/>
      <c r="B710" s="244"/>
      <c r="C710" s="244"/>
      <c r="D710" s="670"/>
      <c r="E710" s="151"/>
    </row>
    <row r="711" spans="1:5" s="6" customFormat="1">
      <c r="A711" s="669"/>
      <c r="B711" s="244"/>
      <c r="C711" s="244"/>
      <c r="D711" s="670"/>
      <c r="E711" s="151"/>
    </row>
    <row r="712" spans="1:5" s="6" customFormat="1">
      <c r="A712" s="669"/>
      <c r="B712" s="244"/>
      <c r="C712" s="244"/>
      <c r="D712" s="670"/>
      <c r="E712" s="151"/>
    </row>
    <row r="713" spans="1:5" s="6" customFormat="1">
      <c r="A713" s="669"/>
      <c r="B713" s="244"/>
      <c r="C713" s="244"/>
      <c r="D713" s="670"/>
      <c r="E713" s="151"/>
    </row>
    <row r="714" spans="1:5" s="6" customFormat="1">
      <c r="A714" s="669"/>
      <c r="B714" s="244"/>
      <c r="C714" s="244"/>
      <c r="D714" s="670"/>
      <c r="E714" s="151"/>
    </row>
    <row r="715" spans="1:5" s="6" customFormat="1">
      <c r="A715" s="669"/>
      <c r="B715" s="244"/>
      <c r="C715" s="244"/>
      <c r="D715" s="670"/>
      <c r="E715" s="151"/>
    </row>
    <row r="716" spans="1:5" s="6" customFormat="1">
      <c r="A716" s="669"/>
      <c r="B716" s="244"/>
      <c r="C716" s="244"/>
      <c r="D716" s="670"/>
      <c r="E716" s="151"/>
    </row>
    <row r="717" spans="1:5" s="6" customFormat="1">
      <c r="A717" s="669"/>
      <c r="B717" s="244"/>
      <c r="C717" s="244"/>
      <c r="D717" s="670"/>
      <c r="E717" s="151"/>
    </row>
    <row r="718" spans="1:5" s="6" customFormat="1">
      <c r="A718" s="669"/>
      <c r="B718" s="244"/>
      <c r="C718" s="244"/>
      <c r="D718" s="670"/>
      <c r="E718" s="151"/>
    </row>
    <row r="719" spans="1:5" s="6" customFormat="1">
      <c r="A719" s="669"/>
      <c r="B719" s="244"/>
      <c r="C719" s="244"/>
      <c r="D719" s="670"/>
      <c r="E719" s="151"/>
    </row>
    <row r="720" spans="1:5" s="6" customFormat="1">
      <c r="A720" s="669"/>
      <c r="B720" s="244"/>
      <c r="C720" s="244"/>
      <c r="D720" s="670"/>
      <c r="E720" s="151"/>
    </row>
    <row r="721" spans="1:5" s="6" customFormat="1">
      <c r="A721" s="669"/>
      <c r="B721" s="244"/>
      <c r="C721" s="244"/>
      <c r="D721" s="670"/>
      <c r="E721" s="151"/>
    </row>
    <row r="722" spans="1:5" s="6" customFormat="1">
      <c r="A722" s="669"/>
      <c r="B722" s="244"/>
      <c r="C722" s="244"/>
      <c r="D722" s="670"/>
      <c r="E722" s="151"/>
    </row>
    <row r="723" spans="1:5" s="6" customFormat="1">
      <c r="A723" s="669"/>
      <c r="B723" s="244"/>
      <c r="C723" s="244"/>
      <c r="D723" s="670"/>
      <c r="E723" s="151"/>
    </row>
    <row r="724" spans="1:5" s="6" customFormat="1">
      <c r="A724" s="669"/>
      <c r="B724" s="244"/>
      <c r="C724" s="244"/>
      <c r="D724" s="670"/>
      <c r="E724" s="151"/>
    </row>
    <row r="725" spans="1:5" s="6" customFormat="1">
      <c r="A725" s="669"/>
      <c r="B725" s="244"/>
      <c r="C725" s="244"/>
      <c r="D725" s="670"/>
      <c r="E725" s="151"/>
    </row>
    <row r="726" spans="1:5" s="6" customFormat="1">
      <c r="A726" s="669"/>
      <c r="B726" s="244"/>
      <c r="C726" s="244"/>
      <c r="D726" s="670"/>
      <c r="E726" s="151"/>
    </row>
    <row r="727" spans="1:5" s="6" customFormat="1">
      <c r="A727" s="669"/>
      <c r="B727" s="244"/>
      <c r="C727" s="244"/>
      <c r="D727" s="670"/>
      <c r="E727" s="151"/>
    </row>
    <row r="728" spans="1:5" s="6" customFormat="1">
      <c r="A728" s="669"/>
      <c r="B728" s="244"/>
      <c r="C728" s="244"/>
      <c r="D728" s="670"/>
      <c r="E728" s="151"/>
    </row>
    <row r="729" spans="1:5" s="6" customFormat="1">
      <c r="A729" s="669"/>
      <c r="B729" s="244"/>
      <c r="C729" s="244"/>
      <c r="D729" s="670"/>
      <c r="E729" s="151"/>
    </row>
    <row r="730" spans="1:5" s="6" customFormat="1">
      <c r="A730" s="669"/>
      <c r="B730" s="244"/>
      <c r="C730" s="244"/>
      <c r="D730" s="670"/>
      <c r="E730" s="151"/>
    </row>
    <row r="731" spans="1:5" s="6" customFormat="1">
      <c r="A731" s="669"/>
      <c r="B731" s="244"/>
      <c r="C731" s="244"/>
      <c r="D731" s="670"/>
      <c r="E731" s="151"/>
    </row>
    <row r="732" spans="1:5" s="6" customFormat="1">
      <c r="A732" s="669"/>
      <c r="B732" s="244"/>
      <c r="C732" s="244"/>
      <c r="D732" s="670"/>
      <c r="E732" s="151"/>
    </row>
    <row r="733" spans="1:5" s="6" customFormat="1">
      <c r="A733" s="669"/>
      <c r="B733" s="244"/>
      <c r="C733" s="244"/>
      <c r="D733" s="670"/>
      <c r="E733" s="151"/>
    </row>
    <row r="734" spans="1:5" s="6" customFormat="1">
      <c r="A734" s="669"/>
      <c r="B734" s="244"/>
      <c r="C734" s="244"/>
      <c r="D734" s="670"/>
      <c r="E734" s="151"/>
    </row>
    <row r="735" spans="1:5" s="6" customFormat="1">
      <c r="A735" s="669"/>
      <c r="B735" s="244"/>
      <c r="C735" s="244"/>
      <c r="D735" s="670"/>
      <c r="E735" s="151"/>
    </row>
    <row r="736" spans="1:5" s="6" customFormat="1">
      <c r="A736" s="669"/>
      <c r="B736" s="244"/>
      <c r="C736" s="244"/>
      <c r="D736" s="670"/>
      <c r="E736" s="151"/>
    </row>
    <row r="737" spans="1:5" s="6" customFormat="1">
      <c r="A737" s="669"/>
      <c r="B737" s="244"/>
      <c r="C737" s="244"/>
      <c r="D737" s="670"/>
      <c r="E737" s="151"/>
    </row>
    <row r="738" spans="1:5" s="6" customFormat="1">
      <c r="A738" s="669"/>
      <c r="B738" s="244"/>
      <c r="C738" s="244"/>
      <c r="D738" s="670"/>
      <c r="E738" s="151"/>
    </row>
    <row r="739" spans="1:5" s="6" customFormat="1">
      <c r="A739" s="669"/>
      <c r="B739" s="244"/>
      <c r="C739" s="244"/>
      <c r="D739" s="670"/>
      <c r="E739" s="151"/>
    </row>
    <row r="740" spans="1:5" s="6" customFormat="1">
      <c r="A740" s="669"/>
      <c r="B740" s="244"/>
      <c r="C740" s="244"/>
      <c r="D740" s="670"/>
      <c r="E740" s="151"/>
    </row>
    <row r="741" spans="1:5" s="6" customFormat="1">
      <c r="A741" s="669"/>
      <c r="B741" s="244"/>
      <c r="C741" s="244"/>
      <c r="D741" s="670"/>
      <c r="E741" s="151"/>
    </row>
    <row r="742" spans="1:5" s="6" customFormat="1">
      <c r="A742" s="669"/>
      <c r="B742" s="244"/>
      <c r="C742" s="244"/>
      <c r="D742" s="670"/>
      <c r="E742" s="151"/>
    </row>
    <row r="743" spans="1:5" s="6" customFormat="1">
      <c r="A743" s="669"/>
      <c r="B743" s="244"/>
      <c r="C743" s="244"/>
      <c r="D743" s="670"/>
      <c r="E743" s="151"/>
    </row>
    <row r="744" spans="1:5" s="6" customFormat="1">
      <c r="A744" s="669"/>
      <c r="B744" s="244"/>
      <c r="C744" s="244"/>
      <c r="D744" s="670"/>
      <c r="E744" s="151"/>
    </row>
    <row r="745" spans="1:5" s="6" customFormat="1">
      <c r="A745" s="669"/>
      <c r="B745" s="244"/>
      <c r="C745" s="244"/>
      <c r="D745" s="670"/>
      <c r="E745" s="151"/>
    </row>
    <row r="746" spans="1:5" s="6" customFormat="1">
      <c r="A746" s="402"/>
      <c r="B746" s="601"/>
      <c r="C746" s="260"/>
      <c r="D746" s="24"/>
      <c r="E746" s="151"/>
    </row>
    <row r="747" spans="1:5">
      <c r="A747" s="417"/>
      <c r="B747" s="601"/>
      <c r="C747" s="260"/>
      <c r="D747" s="24"/>
      <c r="E747" s="151"/>
    </row>
    <row r="748" spans="1:5">
      <c r="A748" s="403"/>
      <c r="B748" s="601"/>
      <c r="C748" s="260"/>
      <c r="D748" s="24"/>
      <c r="E748" s="151"/>
    </row>
    <row r="749" spans="1:5">
      <c r="A749" s="685"/>
      <c r="B749" s="241"/>
      <c r="C749" s="155"/>
      <c r="D749" s="316"/>
      <c r="E749" s="151"/>
    </row>
    <row r="750" spans="1:5">
      <c r="A750" s="685"/>
      <c r="B750" s="362"/>
      <c r="C750" s="204"/>
      <c r="D750" s="363"/>
      <c r="E750" s="151"/>
    </row>
    <row r="751" spans="1:5">
      <c r="A751" s="685"/>
      <c r="B751" s="362"/>
      <c r="C751" s="204"/>
      <c r="D751" s="363"/>
      <c r="E751" s="151"/>
    </row>
    <row r="752" spans="1:5">
      <c r="A752" s="685"/>
      <c r="B752" s="241"/>
      <c r="C752" s="155"/>
      <c r="D752" s="316"/>
      <c r="E752" s="151"/>
    </row>
    <row r="753" spans="1:5">
      <c r="A753" s="685"/>
      <c r="B753" s="362"/>
      <c r="C753" s="204"/>
      <c r="D753" s="363"/>
      <c r="E753" s="151"/>
    </row>
    <row r="754" spans="1:5" s="6" customFormat="1">
      <c r="A754" s="685"/>
      <c r="B754" s="362"/>
      <c r="C754" s="204"/>
      <c r="D754" s="363"/>
      <c r="E754" s="151"/>
    </row>
    <row r="755" spans="1:5">
      <c r="A755" s="403"/>
      <c r="B755" s="601"/>
      <c r="C755" s="260"/>
      <c r="D755" s="24"/>
      <c r="E755" s="151"/>
    </row>
    <row r="756" spans="1:5">
      <c r="A756" s="403"/>
      <c r="B756" s="315"/>
      <c r="C756" s="263"/>
      <c r="D756" s="23"/>
      <c r="E756" s="151"/>
    </row>
    <row r="757" spans="1:5">
      <c r="A757" s="685"/>
      <c r="B757" s="601"/>
      <c r="C757" s="260"/>
      <c r="D757" s="316"/>
      <c r="E757" s="671"/>
    </row>
    <row r="758" spans="1:5">
      <c r="A758" s="685"/>
      <c r="B758" s="362"/>
      <c r="C758" s="204"/>
      <c r="D758" s="363"/>
      <c r="E758" s="671"/>
    </row>
    <row r="759" spans="1:5">
      <c r="A759" s="686"/>
      <c r="B759" s="315"/>
      <c r="C759" s="203"/>
      <c r="D759" s="659"/>
      <c r="E759" s="671"/>
    </row>
    <row r="760" spans="1:5">
      <c r="A760" s="514"/>
      <c r="B760" s="315"/>
      <c r="C760" s="191"/>
      <c r="D760" s="24"/>
      <c r="E760" s="671"/>
    </row>
    <row r="761" spans="1:5">
      <c r="A761" s="514"/>
      <c r="B761" s="601"/>
      <c r="C761" s="260"/>
      <c r="D761" s="76"/>
      <c r="E761" s="671"/>
    </row>
    <row r="762" spans="1:5">
      <c r="A762" s="687"/>
      <c r="B762" s="315"/>
      <c r="C762" s="203"/>
      <c r="D762" s="202"/>
      <c r="E762" s="671"/>
    </row>
    <row r="763" spans="1:5">
      <c r="A763" s="687"/>
      <c r="B763" s="601"/>
      <c r="C763" s="260"/>
      <c r="D763" s="24"/>
      <c r="E763" s="671"/>
    </row>
    <row r="764" spans="1:5">
      <c r="A764" s="687"/>
      <c r="B764" s="18"/>
      <c r="C764" s="600"/>
      <c r="D764" s="596"/>
      <c r="E764" s="671"/>
    </row>
    <row r="765" spans="1:5">
      <c r="A765" s="687"/>
      <c r="B765" s="328"/>
      <c r="C765" s="203"/>
      <c r="D765" s="596"/>
      <c r="E765" s="671"/>
    </row>
    <row r="766" spans="1:5">
      <c r="A766" s="687"/>
      <c r="B766" s="18"/>
      <c r="C766" s="203"/>
      <c r="D766" s="596"/>
      <c r="E766" s="671"/>
    </row>
    <row r="767" spans="1:5">
      <c r="A767" s="687"/>
      <c r="B767" s="18"/>
      <c r="C767" s="203"/>
      <c r="D767" s="596"/>
      <c r="E767" s="671"/>
    </row>
    <row r="768" spans="1:5">
      <c r="A768" s="687"/>
      <c r="B768" s="328"/>
      <c r="C768" s="203"/>
      <c r="D768" s="202"/>
      <c r="E768" s="671"/>
    </row>
    <row r="769" spans="1:5">
      <c r="A769" s="687"/>
      <c r="B769" s="328"/>
      <c r="C769" s="203"/>
      <c r="D769" s="202"/>
      <c r="E769" s="671"/>
    </row>
    <row r="770" spans="1:5">
      <c r="A770" s="687"/>
      <c r="B770" s="18"/>
      <c r="C770" s="203"/>
      <c r="D770" s="202"/>
      <c r="E770" s="671"/>
    </row>
    <row r="771" spans="1:5">
      <c r="A771" s="687"/>
      <c r="B771" s="18"/>
      <c r="C771" s="600"/>
      <c r="D771" s="596"/>
      <c r="E771" s="671"/>
    </row>
    <row r="772" spans="1:5">
      <c r="A772" s="687"/>
      <c r="B772" s="39"/>
      <c r="C772" s="204"/>
      <c r="D772" s="325"/>
      <c r="E772" s="671"/>
    </row>
    <row r="773" spans="1:5">
      <c r="A773" s="652"/>
      <c r="B773" s="315"/>
      <c r="C773" s="204"/>
      <c r="D773" s="316"/>
      <c r="E773" s="671"/>
    </row>
    <row r="774" spans="1:5">
      <c r="A774" s="599"/>
      <c r="B774" s="92"/>
      <c r="C774" s="93"/>
      <c r="D774" s="46"/>
      <c r="E774" s="671"/>
    </row>
    <row r="775" spans="1:5">
      <c r="A775" s="599"/>
      <c r="B775" s="92"/>
      <c r="C775" s="93"/>
      <c r="D775" s="46"/>
      <c r="E775" s="671"/>
    </row>
    <row r="776" spans="1:5">
      <c r="A776" s="514"/>
      <c r="B776" s="601"/>
      <c r="C776" s="600"/>
      <c r="D776" s="24"/>
      <c r="E776" s="671"/>
    </row>
    <row r="777" spans="1:5">
      <c r="A777" s="514"/>
      <c r="B777" s="18"/>
      <c r="C777" s="600"/>
      <c r="D777" s="596"/>
      <c r="E777" s="671"/>
    </row>
    <row r="778" spans="1:5">
      <c r="A778" s="514"/>
      <c r="B778" s="601"/>
      <c r="C778" s="600"/>
      <c r="D778" s="24"/>
      <c r="E778" s="671"/>
    </row>
    <row r="779" spans="1:5">
      <c r="A779" s="514"/>
      <c r="B779" s="18"/>
      <c r="C779" s="600"/>
      <c r="D779" s="596"/>
      <c r="E779" s="671"/>
    </row>
    <row r="780" spans="1:5">
      <c r="A780" s="514"/>
      <c r="B780" s="18"/>
      <c r="C780" s="203"/>
      <c r="D780" s="202"/>
      <c r="E780" s="671"/>
    </row>
    <row r="781" spans="1:5">
      <c r="A781" s="514"/>
      <c r="B781" s="18"/>
      <c r="C781" s="203"/>
      <c r="D781" s="596"/>
      <c r="E781" s="671"/>
    </row>
    <row r="782" spans="1:5">
      <c r="A782" s="514"/>
      <c r="B782" s="18"/>
      <c r="C782" s="203"/>
      <c r="D782" s="672"/>
      <c r="E782" s="671"/>
    </row>
    <row r="783" spans="1:5">
      <c r="A783" s="514"/>
      <c r="B783" s="18"/>
      <c r="C783" s="203"/>
      <c r="D783" s="202"/>
      <c r="E783" s="671"/>
    </row>
    <row r="784" spans="1:5">
      <c r="A784" s="514"/>
      <c r="B784" s="18"/>
      <c r="C784" s="600"/>
      <c r="D784" s="596"/>
      <c r="E784" s="671"/>
    </row>
    <row r="785" spans="1:5">
      <c r="A785" s="688"/>
      <c r="B785" s="315"/>
      <c r="C785" s="260"/>
      <c r="D785" s="24"/>
      <c r="E785" s="671"/>
    </row>
    <row r="786" spans="1:5">
      <c r="A786" s="689"/>
      <c r="B786" s="601"/>
      <c r="C786" s="600"/>
      <c r="D786" s="24"/>
      <c r="E786" s="671"/>
    </row>
    <row r="787" spans="1:5">
      <c r="A787" s="689"/>
      <c r="B787" s="328"/>
      <c r="C787" s="203"/>
      <c r="D787" s="202"/>
      <c r="E787" s="671"/>
    </row>
    <row r="788" spans="1:5">
      <c r="A788" s="689"/>
      <c r="B788" s="18"/>
      <c r="C788" s="203"/>
      <c r="D788" s="202"/>
      <c r="E788" s="671"/>
    </row>
    <row r="789" spans="1:5">
      <c r="A789" s="689"/>
      <c r="B789" s="328"/>
      <c r="C789" s="203"/>
      <c r="D789" s="202"/>
      <c r="E789" s="671"/>
    </row>
    <row r="790" spans="1:5">
      <c r="A790" s="689"/>
      <c r="B790" s="328"/>
      <c r="C790" s="203"/>
      <c r="D790" s="202"/>
      <c r="E790" s="671"/>
    </row>
    <row r="791" spans="1:5">
      <c r="A791" s="689"/>
      <c r="B791" s="328"/>
      <c r="C791" s="203"/>
      <c r="D791" s="23"/>
      <c r="E791" s="671"/>
    </row>
    <row r="792" spans="1:5">
      <c r="A792" s="689"/>
      <c r="B792" s="328"/>
      <c r="C792" s="203"/>
      <c r="D792" s="202"/>
      <c r="E792" s="671"/>
    </row>
    <row r="793" spans="1:5">
      <c r="A793" s="689"/>
      <c r="B793" s="18"/>
      <c r="C793" s="203"/>
      <c r="D793" s="202"/>
      <c r="E793" s="671"/>
    </row>
    <row r="794" spans="1:5">
      <c r="A794" s="689"/>
      <c r="B794" s="18"/>
      <c r="C794" s="203"/>
      <c r="D794" s="202"/>
      <c r="E794" s="671"/>
    </row>
    <row r="795" spans="1:5">
      <c r="A795" s="689"/>
      <c r="B795" s="328"/>
      <c r="C795" s="203"/>
      <c r="D795" s="202"/>
      <c r="E795" s="671"/>
    </row>
    <row r="796" spans="1:5">
      <c r="A796" s="689"/>
      <c r="B796" s="18"/>
      <c r="C796" s="260"/>
      <c r="D796" s="24"/>
      <c r="E796" s="671"/>
    </row>
    <row r="797" spans="1:5">
      <c r="A797" s="689"/>
      <c r="B797" s="18"/>
      <c r="C797" s="600"/>
      <c r="D797" s="596"/>
      <c r="E797" s="671"/>
    </row>
    <row r="798" spans="1:5">
      <c r="A798" s="689"/>
      <c r="B798" s="18"/>
      <c r="C798" s="600"/>
      <c r="D798" s="596"/>
      <c r="E798" s="671"/>
    </row>
    <row r="799" spans="1:5">
      <c r="A799" s="600"/>
      <c r="B799" s="601"/>
      <c r="C799" s="600"/>
      <c r="D799" s="24"/>
      <c r="E799" s="671"/>
    </row>
    <row r="800" spans="1:5">
      <c r="A800" s="404"/>
      <c r="B800" s="259"/>
      <c r="C800" s="29"/>
      <c r="D800" s="35"/>
      <c r="E800" s="671"/>
    </row>
    <row r="801" spans="1:5">
      <c r="A801" s="404"/>
      <c r="B801" s="56"/>
      <c r="C801" s="29"/>
      <c r="D801" s="35"/>
      <c r="E801" s="671"/>
    </row>
    <row r="802" spans="1:5">
      <c r="A802" s="599"/>
      <c r="B802" s="601"/>
      <c r="C802" s="260"/>
      <c r="D802" s="24"/>
      <c r="E802" s="671"/>
    </row>
    <row r="803" spans="1:5">
      <c r="A803" s="599"/>
      <c r="B803" s="601"/>
      <c r="C803" s="260"/>
      <c r="D803" s="24"/>
      <c r="E803" s="671"/>
    </row>
    <row r="804" spans="1:5">
      <c r="A804" s="514"/>
      <c r="B804" s="601"/>
      <c r="C804" s="260"/>
      <c r="D804" s="24"/>
      <c r="E804" s="671"/>
    </row>
    <row r="805" spans="1:5">
      <c r="A805" s="514"/>
      <c r="B805" s="384"/>
      <c r="C805" s="600"/>
      <c r="D805" s="292"/>
      <c r="E805" s="671"/>
    </row>
    <row r="806" spans="1:5">
      <c r="A806" s="690"/>
      <c r="B806" s="34"/>
      <c r="C806" s="598"/>
      <c r="D806" s="33"/>
      <c r="E806" s="671"/>
    </row>
    <row r="807" spans="1:5">
      <c r="A807" s="690"/>
      <c r="B807" s="34"/>
      <c r="C807" s="29"/>
      <c r="D807" s="35"/>
      <c r="E807" s="671"/>
    </row>
    <row r="808" spans="1:5">
      <c r="A808" s="690"/>
      <c r="B808" s="18"/>
      <c r="C808" s="600"/>
      <c r="D808" s="596"/>
      <c r="E808" s="671"/>
    </row>
    <row r="809" spans="1:5">
      <c r="A809" s="690"/>
      <c r="B809" s="18"/>
      <c r="C809" s="600"/>
      <c r="D809" s="596"/>
      <c r="E809" s="671"/>
    </row>
    <row r="810" spans="1:5">
      <c r="A810" s="690"/>
      <c r="B810" s="36"/>
      <c r="C810" s="598"/>
      <c r="D810" s="33"/>
      <c r="E810" s="671"/>
    </row>
    <row r="811" spans="1:5">
      <c r="A811" s="690"/>
      <c r="B811" s="36"/>
      <c r="C811" s="598"/>
      <c r="D811" s="33"/>
      <c r="E811" s="671"/>
    </row>
    <row r="812" spans="1:5">
      <c r="A812" s="690"/>
      <c r="B812" s="31"/>
      <c r="C812" s="598"/>
      <c r="D812" s="33"/>
      <c r="E812" s="671"/>
    </row>
    <row r="813" spans="1:5">
      <c r="A813" s="404"/>
      <c r="B813" s="34"/>
      <c r="C813" s="29"/>
      <c r="D813" s="35"/>
      <c r="E813" s="671"/>
    </row>
    <row r="814" spans="1:5">
      <c r="A814" s="686"/>
      <c r="B814" s="681"/>
      <c r="C814" s="203"/>
      <c r="D814" s="659"/>
      <c r="E814" s="671"/>
    </row>
    <row r="815" spans="1:5">
      <c r="A815" s="691"/>
      <c r="B815" s="98"/>
      <c r="C815" s="260"/>
      <c r="D815" s="76"/>
      <c r="E815" s="671"/>
    </row>
    <row r="816" spans="1:5">
      <c r="A816" s="691"/>
      <c r="B816" s="601"/>
      <c r="C816" s="260"/>
      <c r="D816" s="76"/>
      <c r="E816" s="671"/>
    </row>
    <row r="817" spans="1:5">
      <c r="A817" s="669"/>
      <c r="B817" s="244"/>
      <c r="C817" s="244"/>
      <c r="D817" s="670"/>
      <c r="E817" s="671"/>
    </row>
    <row r="818" spans="1:5">
      <c r="A818" s="673"/>
      <c r="B818" s="56"/>
      <c r="C818" s="260"/>
      <c r="D818" s="283"/>
      <c r="E818" s="671"/>
    </row>
    <row r="819" spans="1:5">
      <c r="A819" s="404"/>
      <c r="B819" s="56"/>
      <c r="C819" s="260"/>
      <c r="D819" s="283"/>
      <c r="E819" s="671"/>
    </row>
    <row r="820" spans="1:5">
      <c r="A820" s="404"/>
      <c r="B820" s="56"/>
      <c r="C820" s="29"/>
      <c r="D820" s="35"/>
      <c r="E820" s="671"/>
    </row>
    <row r="821" spans="1:5">
      <c r="A821" s="599"/>
      <c r="B821" s="99"/>
      <c r="C821" s="191"/>
      <c r="D821" s="24"/>
      <c r="E821" s="671"/>
    </row>
    <row r="822" spans="1:5">
      <c r="A822" s="599"/>
      <c r="B822" s="601"/>
      <c r="C822" s="260"/>
      <c r="D822" s="24"/>
      <c r="E822" s="671"/>
    </row>
    <row r="823" spans="1:5">
      <c r="A823" s="599"/>
      <c r="B823" s="601"/>
      <c r="C823" s="260"/>
      <c r="D823" s="35"/>
      <c r="E823" s="671"/>
    </row>
    <row r="824" spans="1:5">
      <c r="A824" s="403"/>
      <c r="B824" s="315"/>
      <c r="C824" s="263"/>
      <c r="D824" s="23"/>
      <c r="E824" s="671"/>
    </row>
    <row r="825" spans="1:5">
      <c r="A825" s="514"/>
      <c r="B825" s="601"/>
      <c r="C825" s="260"/>
      <c r="D825" s="35"/>
      <c r="E825" s="671"/>
    </row>
    <row r="826" spans="1:5">
      <c r="A826" s="514"/>
      <c r="B826" s="601"/>
      <c r="C826" s="260"/>
      <c r="D826" s="35"/>
      <c r="E826" s="671"/>
    </row>
    <row r="827" spans="1:5">
      <c r="A827" s="514"/>
      <c r="B827" s="384"/>
      <c r="C827" s="600"/>
      <c r="D827" s="292"/>
      <c r="E827" s="671"/>
    </row>
    <row r="828" spans="1:5">
      <c r="A828" s="690"/>
      <c r="B828" s="601"/>
      <c r="C828" s="260"/>
      <c r="D828" s="283"/>
      <c r="E828" s="671"/>
    </row>
    <row r="829" spans="1:5">
      <c r="A829" s="690"/>
      <c r="B829" s="601"/>
      <c r="C829" s="260"/>
      <c r="D829" s="283"/>
      <c r="E829" s="671"/>
    </row>
    <row r="830" spans="1:5">
      <c r="A830" s="404"/>
      <c r="B830" s="27"/>
      <c r="C830" s="600"/>
      <c r="D830" s="284"/>
      <c r="E830" s="671"/>
    </row>
    <row r="831" spans="1:5">
      <c r="A831" s="674"/>
      <c r="B831" s="259"/>
      <c r="C831" s="260"/>
      <c r="D831" s="35"/>
      <c r="E831" s="671"/>
    </row>
    <row r="832" spans="1:5">
      <c r="A832" s="599"/>
      <c r="B832" s="56"/>
      <c r="C832" s="260"/>
      <c r="D832" s="24"/>
      <c r="E832" s="671"/>
    </row>
    <row r="833" spans="1:5">
      <c r="A833" s="691"/>
      <c r="B833" s="98"/>
      <c r="C833" s="260"/>
      <c r="D833" s="76"/>
      <c r="E833" s="671"/>
    </row>
    <row r="834" spans="1:5">
      <c r="A834" s="691"/>
      <c r="B834" s="601"/>
      <c r="C834" s="260"/>
      <c r="D834" s="76"/>
      <c r="E834" s="671"/>
    </row>
    <row r="835" spans="1:5">
      <c r="A835" s="417"/>
      <c r="B835" s="56"/>
      <c r="C835" s="260"/>
      <c r="D835" s="24"/>
      <c r="E835" s="671"/>
    </row>
    <row r="836" spans="1:5">
      <c r="A836" s="599"/>
      <c r="B836" s="56"/>
      <c r="C836" s="260"/>
      <c r="D836" s="24"/>
      <c r="E836" s="671"/>
    </row>
    <row r="837" spans="1:5">
      <c r="A837" s="404"/>
      <c r="B837" s="259"/>
      <c r="C837" s="29"/>
      <c r="D837" s="35"/>
      <c r="E837" s="671"/>
    </row>
    <row r="838" spans="1:5">
      <c r="A838" s="692"/>
      <c r="B838" s="34"/>
      <c r="C838" s="29"/>
      <c r="D838" s="35"/>
      <c r="E838" s="671"/>
    </row>
    <row r="839" spans="1:5">
      <c r="A839" s="599"/>
      <c r="B839" s="99"/>
      <c r="C839" s="191"/>
      <c r="D839" s="24"/>
      <c r="E839" s="671"/>
    </row>
    <row r="840" spans="1:5">
      <c r="A840" s="599"/>
      <c r="B840" s="601"/>
      <c r="C840" s="260"/>
      <c r="D840" s="24"/>
      <c r="E840" s="671"/>
    </row>
    <row r="841" spans="1:5">
      <c r="A841" s="599"/>
      <c r="B841" s="601"/>
      <c r="C841" s="260"/>
      <c r="D841" s="35"/>
      <c r="E841" s="671"/>
    </row>
    <row r="842" spans="1:5">
      <c r="A842" s="403"/>
      <c r="B842" s="315"/>
      <c r="C842" s="263"/>
      <c r="D842" s="23"/>
      <c r="E842" s="671"/>
    </row>
    <row r="843" spans="1:5">
      <c r="A843" s="514"/>
      <c r="B843" s="601"/>
      <c r="C843" s="260"/>
      <c r="D843" s="35"/>
      <c r="E843" s="671"/>
    </row>
    <row r="844" spans="1:5">
      <c r="A844" s="514"/>
      <c r="B844" s="601"/>
      <c r="C844" s="260"/>
      <c r="D844" s="35"/>
      <c r="E844" s="671"/>
    </row>
    <row r="845" spans="1:5">
      <c r="A845" s="514"/>
      <c r="B845" s="384"/>
      <c r="C845" s="600"/>
      <c r="D845" s="292"/>
      <c r="E845" s="671"/>
    </row>
    <row r="846" spans="1:5">
      <c r="A846" s="599"/>
      <c r="B846" s="92"/>
      <c r="C846" s="624"/>
      <c r="D846" s="46"/>
      <c r="E846" s="671"/>
    </row>
    <row r="847" spans="1:5">
      <c r="A847" s="669"/>
      <c r="B847" s="244"/>
      <c r="C847" s="244"/>
      <c r="D847" s="670"/>
      <c r="E847" s="671"/>
    </row>
    <row r="848" spans="1:5">
      <c r="A848" s="404"/>
      <c r="B848" s="259"/>
      <c r="C848" s="600"/>
      <c r="D848" s="284"/>
      <c r="E848" s="671"/>
    </row>
    <row r="849" spans="1:5">
      <c r="A849" s="402"/>
      <c r="B849" s="601"/>
      <c r="C849" s="260"/>
      <c r="D849" s="24"/>
      <c r="E849" s="671"/>
    </row>
    <row r="850" spans="1:5">
      <c r="A850" s="417"/>
      <c r="B850" s="601"/>
      <c r="C850" s="260"/>
      <c r="D850" s="24"/>
      <c r="E850" s="671"/>
    </row>
    <row r="851" spans="1:5">
      <c r="A851" s="403"/>
      <c r="B851" s="601"/>
      <c r="C851" s="260"/>
      <c r="D851" s="24"/>
      <c r="E851" s="671"/>
    </row>
    <row r="852" spans="1:5">
      <c r="A852" s="685"/>
      <c r="B852" s="241"/>
      <c r="C852" s="155"/>
      <c r="D852" s="316"/>
      <c r="E852" s="671"/>
    </row>
    <row r="853" spans="1:5">
      <c r="A853" s="685"/>
      <c r="B853" s="362"/>
      <c r="C853" s="204"/>
      <c r="D853" s="363"/>
      <c r="E853" s="671"/>
    </row>
    <row r="854" spans="1:5">
      <c r="A854" s="685"/>
      <c r="B854" s="362"/>
      <c r="C854" s="204"/>
      <c r="D854" s="363"/>
      <c r="E854" s="671"/>
    </row>
    <row r="855" spans="1:5">
      <c r="A855" s="403"/>
      <c r="B855" s="601"/>
      <c r="C855" s="260"/>
      <c r="D855" s="24"/>
      <c r="E855" s="671"/>
    </row>
    <row r="856" spans="1:5">
      <c r="A856" s="403"/>
      <c r="B856" s="601"/>
      <c r="C856" s="260"/>
      <c r="D856" s="24"/>
      <c r="E856" s="671"/>
    </row>
    <row r="857" spans="1:5">
      <c r="A857" s="403"/>
      <c r="B857" s="315"/>
      <c r="C857" s="263"/>
      <c r="D857" s="23"/>
      <c r="E857" s="671"/>
    </row>
    <row r="858" spans="1:5">
      <c r="A858" s="685"/>
      <c r="B858" s="601"/>
      <c r="C858" s="260"/>
      <c r="D858" s="316"/>
      <c r="E858" s="671"/>
    </row>
    <row r="859" spans="1:5">
      <c r="A859" s="685"/>
      <c r="B859" s="362"/>
      <c r="C859" s="204"/>
      <c r="D859" s="363"/>
      <c r="E859" s="671"/>
    </row>
    <row r="860" spans="1:5">
      <c r="A860" s="686"/>
      <c r="B860" s="315"/>
      <c r="C860" s="203"/>
      <c r="D860" s="659"/>
      <c r="E860" s="671"/>
    </row>
    <row r="861" spans="1:5">
      <c r="A861" s="514"/>
      <c r="B861" s="315"/>
      <c r="C861" s="191"/>
      <c r="D861" s="24"/>
      <c r="E861" s="671"/>
    </row>
    <row r="862" spans="1:5">
      <c r="A862" s="514"/>
      <c r="B862" s="601"/>
      <c r="C862" s="260"/>
      <c r="D862" s="76"/>
      <c r="E862" s="671"/>
    </row>
    <row r="863" spans="1:5">
      <c r="A863" s="404"/>
      <c r="B863" s="259"/>
      <c r="C863" s="600"/>
      <c r="D863" s="284"/>
      <c r="E863" s="671"/>
    </row>
    <row r="864" spans="1:5">
      <c r="A864" s="417"/>
      <c r="B864" s="601"/>
      <c r="C864" s="260"/>
      <c r="D864" s="24"/>
      <c r="E864" s="671"/>
    </row>
    <row r="865" spans="1:5">
      <c r="A865" s="403"/>
      <c r="B865" s="601"/>
      <c r="C865" s="260"/>
      <c r="D865" s="24"/>
      <c r="E865" s="671"/>
    </row>
    <row r="866" spans="1:5">
      <c r="A866" s="685"/>
      <c r="B866" s="241"/>
      <c r="C866" s="155"/>
      <c r="D866" s="316"/>
      <c r="E866" s="671"/>
    </row>
    <row r="867" spans="1:5">
      <c r="A867" s="685"/>
      <c r="B867" s="362"/>
      <c r="C867" s="204"/>
      <c r="D867" s="363"/>
      <c r="E867" s="671"/>
    </row>
    <row r="868" spans="1:5">
      <c r="A868" s="685"/>
      <c r="B868" s="362"/>
      <c r="C868" s="204"/>
      <c r="D868" s="363"/>
      <c r="E868" s="671"/>
    </row>
    <row r="869" spans="1:5">
      <c r="A869" s="404"/>
      <c r="B869" s="308"/>
      <c r="C869" s="309"/>
      <c r="D869" s="283"/>
      <c r="E869" s="671"/>
    </row>
    <row r="870" spans="1:5">
      <c r="A870" s="691"/>
      <c r="B870" s="98"/>
      <c r="C870" s="260"/>
      <c r="D870" s="76"/>
      <c r="E870" s="671"/>
    </row>
    <row r="871" spans="1:5">
      <c r="A871" s="691"/>
      <c r="B871" s="601"/>
      <c r="C871" s="260"/>
      <c r="D871" s="76"/>
      <c r="E871" s="671"/>
    </row>
    <row r="872" spans="1:5">
      <c r="A872" s="514"/>
      <c r="B872" s="56"/>
      <c r="C872" s="260"/>
      <c r="D872" s="151"/>
      <c r="E872" s="671"/>
    </row>
    <row r="873" spans="1:5">
      <c r="A873" s="514"/>
      <c r="B873" s="98"/>
      <c r="C873" s="260"/>
      <c r="D873" s="281"/>
      <c r="E873" s="671"/>
    </row>
    <row r="874" spans="1:5">
      <c r="A874" s="514"/>
      <c r="B874" s="99"/>
      <c r="C874" s="260"/>
      <c r="D874" s="281"/>
      <c r="E874" s="671"/>
    </row>
    <row r="875" spans="1:5">
      <c r="A875" s="675"/>
      <c r="B875" s="151"/>
      <c r="C875" s="675"/>
      <c r="D875" s="675"/>
      <c r="E875" s="671"/>
    </row>
    <row r="876" spans="1:5">
      <c r="A876" s="676"/>
      <c r="B876" s="677"/>
      <c r="C876" s="678"/>
      <c r="D876" s="679"/>
      <c r="E876" s="671"/>
    </row>
    <row r="877" spans="1:5">
      <c r="A877" s="678"/>
      <c r="B877" s="677"/>
      <c r="C877" s="678"/>
      <c r="D877" s="679"/>
      <c r="E877" s="671"/>
    </row>
    <row r="878" spans="1:5">
      <c r="A878" s="689"/>
      <c r="B878" s="56"/>
      <c r="C878" s="260"/>
      <c r="D878" s="24"/>
      <c r="E878" s="671"/>
    </row>
    <row r="879" spans="1:5">
      <c r="A879" s="689"/>
      <c r="B879" s="56"/>
      <c r="C879" s="260"/>
      <c r="D879" s="24"/>
      <c r="E879" s="671"/>
    </row>
    <row r="880" spans="1:5">
      <c r="A880" s="686"/>
      <c r="B880" s="257"/>
      <c r="C880" s="260"/>
      <c r="D880" s="23"/>
      <c r="E880" s="671"/>
    </row>
    <row r="881" spans="1:5">
      <c r="A881" s="120"/>
      <c r="B881" s="118"/>
      <c r="C881" s="117"/>
      <c r="D881" s="179"/>
      <c r="E881" s="671"/>
    </row>
    <row r="882" spans="1:5">
      <c r="A882" s="651"/>
      <c r="B882" s="314"/>
      <c r="C882" s="114"/>
      <c r="D882" s="178"/>
      <c r="E882" s="671"/>
    </row>
    <row r="883" spans="1:5">
      <c r="A883" s="624"/>
      <c r="B883" s="92"/>
      <c r="C883" s="93"/>
      <c r="D883" s="46"/>
      <c r="E883" s="671"/>
    </row>
    <row r="884" spans="1:5">
      <c r="A884" s="52"/>
      <c r="B884" s="127"/>
      <c r="C884" s="126"/>
      <c r="D884" s="180"/>
      <c r="E884" s="671"/>
    </row>
    <row r="885" spans="1:5">
      <c r="A885" s="52"/>
      <c r="B885" s="101"/>
      <c r="C885" s="52"/>
      <c r="D885" s="54"/>
      <c r="E885" s="671"/>
    </row>
    <row r="886" spans="1:5">
      <c r="A886" s="599"/>
      <c r="B886" s="257"/>
      <c r="C886" s="244"/>
      <c r="D886" s="23"/>
      <c r="E886" s="671"/>
    </row>
    <row r="887" spans="1:5">
      <c r="A887" s="599"/>
      <c r="B887" s="99"/>
      <c r="C887" s="191"/>
      <c r="D887" s="24"/>
      <c r="E887" s="671"/>
    </row>
    <row r="888" spans="1:5">
      <c r="A888" s="599"/>
      <c r="B888" s="601"/>
      <c r="C888" s="260"/>
      <c r="D888" s="24"/>
      <c r="E888" s="671"/>
    </row>
    <row r="889" spans="1:5">
      <c r="A889" s="599"/>
      <c r="B889" s="601"/>
      <c r="C889" s="260"/>
      <c r="D889" s="35"/>
      <c r="E889" s="671"/>
    </row>
    <row r="890" spans="1:5">
      <c r="A890" s="651"/>
      <c r="B890" s="101"/>
      <c r="C890" s="114"/>
      <c r="D890" s="178"/>
      <c r="E890" s="671"/>
    </row>
    <row r="891" spans="1:5">
      <c r="A891" s="693"/>
      <c r="B891" s="315"/>
      <c r="C891" s="52"/>
      <c r="D891" s="54"/>
      <c r="E891" s="671"/>
    </row>
    <row r="892" spans="1:5">
      <c r="A892" s="693"/>
      <c r="B892" s="601"/>
      <c r="C892" s="260"/>
      <c r="D892" s="24"/>
      <c r="E892" s="671"/>
    </row>
    <row r="893" spans="1:5">
      <c r="A893" s="693"/>
      <c r="B893" s="18"/>
      <c r="C893" s="600"/>
      <c r="D893" s="596"/>
      <c r="E893" s="671"/>
    </row>
    <row r="894" spans="1:5">
      <c r="A894" s="693"/>
      <c r="B894" s="328"/>
      <c r="C894" s="203"/>
      <c r="D894" s="596"/>
      <c r="E894" s="671"/>
    </row>
    <row r="895" spans="1:5">
      <c r="A895" s="652"/>
      <c r="B895" s="315"/>
      <c r="C895" s="204"/>
      <c r="D895" s="316"/>
      <c r="E895" s="671"/>
    </row>
    <row r="896" spans="1:5">
      <c r="A896" s="678"/>
      <c r="B896" s="677"/>
      <c r="C896" s="678"/>
      <c r="D896" s="679"/>
      <c r="E896" s="671"/>
    </row>
    <row r="897" spans="1:5">
      <c r="A897" s="514"/>
      <c r="B897" s="56"/>
      <c r="C897" s="600"/>
      <c r="D897" s="24"/>
      <c r="E897" s="671"/>
    </row>
    <row r="898" spans="1:5">
      <c r="A898" s="514"/>
      <c r="B898" s="56"/>
      <c r="C898" s="260"/>
      <c r="D898" s="24"/>
      <c r="E898" s="671"/>
    </row>
    <row r="899" spans="1:5">
      <c r="A899" s="689"/>
      <c r="B899" s="680"/>
      <c r="C899" s="600"/>
      <c r="D899" s="24"/>
      <c r="E899" s="671"/>
    </row>
    <row r="900" spans="1:5">
      <c r="A900" s="689"/>
      <c r="B900" s="27"/>
      <c r="C900" s="52"/>
      <c r="D900" s="596"/>
      <c r="E900" s="671"/>
    </row>
    <row r="901" spans="1:5">
      <c r="A901" s="689"/>
      <c r="B901" s="27"/>
      <c r="C901" s="52"/>
      <c r="D901" s="596"/>
      <c r="E901" s="671"/>
    </row>
    <row r="902" spans="1:5">
      <c r="A902" s="689"/>
      <c r="B902" s="27"/>
      <c r="C902" s="52"/>
      <c r="D902" s="596"/>
      <c r="E902" s="671"/>
    </row>
    <row r="903" spans="1:5">
      <c r="A903" s="514"/>
      <c r="B903" s="681"/>
      <c r="C903" s="260"/>
      <c r="D903" s="180"/>
      <c r="E903" s="671"/>
    </row>
    <row r="904" spans="1:5">
      <c r="A904" s="514"/>
      <c r="B904" s="85"/>
      <c r="C904" s="600"/>
      <c r="D904" s="54"/>
      <c r="E904" s="671"/>
    </row>
    <row r="905" spans="1:5">
      <c r="A905" s="514"/>
      <c r="B905" s="85"/>
      <c r="C905" s="600"/>
      <c r="D905" s="54"/>
      <c r="E905" s="671"/>
    </row>
    <row r="906" spans="1:5">
      <c r="A906" s="514"/>
      <c r="B906" s="85"/>
      <c r="C906" s="600"/>
      <c r="D906" s="54"/>
      <c r="E906" s="671"/>
    </row>
    <row r="907" spans="1:5">
      <c r="A907" s="514"/>
      <c r="B907" s="85"/>
      <c r="C907" s="600"/>
      <c r="D907" s="54"/>
      <c r="E907" s="671"/>
    </row>
    <row r="908" spans="1:5">
      <c r="A908" s="514"/>
      <c r="B908" s="85"/>
      <c r="C908" s="600"/>
      <c r="D908" s="54"/>
      <c r="E908" s="671"/>
    </row>
    <row r="909" spans="1:5">
      <c r="A909" s="514"/>
      <c r="B909" s="85"/>
      <c r="C909" s="600"/>
      <c r="D909" s="54"/>
      <c r="E909" s="671"/>
    </row>
    <row r="910" spans="1:5">
      <c r="A910" s="514"/>
      <c r="B910" s="85"/>
      <c r="C910" s="600"/>
      <c r="D910" s="54"/>
      <c r="E910" s="671"/>
    </row>
    <row r="911" spans="1:5">
      <c r="A911" s="514"/>
      <c r="B911" s="85"/>
      <c r="C911" s="600"/>
      <c r="D911" s="54"/>
      <c r="E911" s="671"/>
    </row>
    <row r="912" spans="1:5">
      <c r="A912" s="514"/>
      <c r="B912" s="85"/>
      <c r="C912" s="600"/>
      <c r="D912" s="54"/>
      <c r="E912" s="671"/>
    </row>
    <row r="913" spans="1:5">
      <c r="A913" s="514"/>
      <c r="B913" s="85"/>
      <c r="C913" s="103"/>
      <c r="D913" s="103"/>
      <c r="E913" s="671"/>
    </row>
    <row r="914" spans="1:5">
      <c r="A914" s="600"/>
      <c r="B914" s="259"/>
      <c r="C914" s="600"/>
      <c r="D914" s="57"/>
      <c r="E914" s="671"/>
    </row>
    <row r="915" spans="1:5">
      <c r="A915" s="139"/>
      <c r="B915" s="34"/>
      <c r="C915" s="63"/>
      <c r="D915" s="35"/>
      <c r="E915" s="671"/>
    </row>
    <row r="916" spans="1:5">
      <c r="A916" s="139"/>
      <c r="B916" s="36"/>
      <c r="C916" s="63"/>
      <c r="D916" s="33"/>
      <c r="E916" s="671"/>
    </row>
    <row r="917" spans="1:5">
      <c r="A917" s="139"/>
      <c r="B917" s="34"/>
      <c r="C917" s="60"/>
      <c r="D917" s="35"/>
      <c r="E917" s="671"/>
    </row>
    <row r="918" spans="1:5">
      <c r="A918" s="139"/>
      <c r="B918" s="36"/>
      <c r="C918" s="63"/>
      <c r="D918" s="33"/>
      <c r="E918" s="671"/>
    </row>
    <row r="919" spans="1:5">
      <c r="A919" s="139"/>
      <c r="B919" s="34"/>
      <c r="C919" s="63"/>
      <c r="D919" s="35"/>
      <c r="E919" s="671"/>
    </row>
    <row r="920" spans="1:5">
      <c r="A920" s="139"/>
      <c r="B920" s="36"/>
      <c r="C920" s="63"/>
      <c r="D920" s="35"/>
      <c r="E920" s="671"/>
    </row>
    <row r="921" spans="1:5">
      <c r="A921" s="598"/>
      <c r="B921" s="308"/>
      <c r="C921" s="63"/>
      <c r="D921" s="35"/>
      <c r="E921" s="671"/>
    </row>
    <row r="922" spans="1:5">
      <c r="A922" s="605"/>
      <c r="B922" s="606"/>
      <c r="C922" s="605"/>
      <c r="D922" s="605"/>
      <c r="E922" s="671"/>
    </row>
    <row r="923" spans="1:5">
      <c r="A923" s="600"/>
      <c r="B923" s="56"/>
      <c r="C923" s="260"/>
      <c r="D923" s="596"/>
      <c r="E923" s="671"/>
    </row>
    <row r="924" spans="1:5">
      <c r="A924" s="600"/>
      <c r="B924" s="56"/>
      <c r="C924" s="260"/>
      <c r="D924" s="596"/>
      <c r="E924" s="671"/>
    </row>
    <row r="925" spans="1:5">
      <c r="A925" s="600"/>
      <c r="B925" s="56"/>
      <c r="C925" s="260"/>
      <c r="D925" s="596"/>
      <c r="E925" s="671"/>
    </row>
    <row r="926" spans="1:5">
      <c r="A926" s="600"/>
      <c r="B926" s="682"/>
      <c r="C926" s="260"/>
      <c r="D926" s="683"/>
      <c r="E926" s="671"/>
    </row>
    <row r="927" spans="1:5">
      <c r="A927" s="600"/>
      <c r="B927" s="682"/>
      <c r="C927" s="260"/>
      <c r="D927" s="683"/>
      <c r="E927" s="671"/>
    </row>
    <row r="928" spans="1:5">
      <c r="A928" s="600"/>
      <c r="B928" s="380"/>
      <c r="C928" s="260"/>
      <c r="D928" s="683"/>
      <c r="E928" s="671"/>
    </row>
    <row r="929" spans="1:5">
      <c r="A929" s="600"/>
      <c r="B929" s="380"/>
      <c r="C929" s="260"/>
      <c r="D929" s="683"/>
      <c r="E929" s="671"/>
    </row>
    <row r="930" spans="1:5">
      <c r="A930" s="600"/>
      <c r="B930" s="380"/>
      <c r="C930" s="260"/>
      <c r="D930" s="683"/>
      <c r="E930" s="671"/>
    </row>
    <row r="931" spans="1:5">
      <c r="A931" s="600"/>
      <c r="B931" s="380"/>
      <c r="C931" s="260"/>
      <c r="D931" s="683"/>
      <c r="E931" s="671"/>
    </row>
    <row r="932" spans="1:5">
      <c r="A932" s="600"/>
      <c r="B932" s="380"/>
      <c r="C932" s="260"/>
      <c r="D932" s="683"/>
      <c r="E932" s="671"/>
    </row>
    <row r="933" spans="1:5">
      <c r="A933" s="600"/>
      <c r="B933" s="380"/>
      <c r="C933" s="260"/>
      <c r="D933" s="683"/>
      <c r="E933" s="671"/>
    </row>
    <row r="934" spans="1:5">
      <c r="A934" s="600"/>
      <c r="B934" s="684"/>
      <c r="C934" s="260"/>
      <c r="D934" s="594"/>
      <c r="E934" s="671"/>
    </row>
    <row r="936" spans="1:5">
      <c r="B936" s="96" t="s">
        <v>176</v>
      </c>
    </row>
  </sheetData>
  <mergeCells count="2">
    <mergeCell ref="A1:E1"/>
    <mergeCell ref="A3:E3"/>
  </mergeCells>
  <conditionalFormatting sqref="C869">
    <cfRule type="cellIs" dxfId="3" priority="4" stopIfTrue="1" operator="equal">
      <formula>8223.307275</formula>
    </cfRule>
  </conditionalFormatting>
  <conditionalFormatting sqref="B869">
    <cfRule type="cellIs" dxfId="2" priority="3" stopIfTrue="1" operator="equal">
      <formula>8223.307275</formula>
    </cfRule>
  </conditionalFormatting>
  <pageMargins left="0.70866141732283472" right="0.31496062992125984" top="1.74" bottom="0.56999999999999995" header="1.53" footer="0.32"/>
  <pageSetup paperSize="9" scale="85" orientation="portrait" r:id="rId1"/>
  <headerFooter>
    <oddHeader xml:space="preserve">&amp;R&amp;P--&amp;N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R204"/>
  <sheetViews>
    <sheetView zoomScale="80" zoomScaleNormal="80" workbookViewId="0">
      <selection sqref="A1:R1"/>
    </sheetView>
  </sheetViews>
  <sheetFormatPr defaultColWidth="9.140625" defaultRowHeight="15"/>
  <cols>
    <col min="1" max="1" width="6" style="5" customWidth="1"/>
    <col min="2" max="2" width="72" style="5" customWidth="1"/>
    <col min="3" max="3" width="8.7109375" style="5" customWidth="1"/>
    <col min="4" max="4" width="11.7109375" style="7" customWidth="1"/>
    <col min="5" max="5" width="7.28515625" style="5" customWidth="1"/>
    <col min="6" max="12" width="7.28515625" style="3" customWidth="1"/>
    <col min="13" max="18" width="3.85546875" style="3" hidden="1" customWidth="1"/>
    <col min="19" max="16384" width="9.140625" style="3"/>
  </cols>
  <sheetData>
    <row r="1" spans="1:18" s="5" customFormat="1" ht="59.25" customHeight="1">
      <c r="A1" s="1229" t="str">
        <f>krebsiti!A3</f>
        <v>q.Tbilisi municipalitetis sofel diRomSi, wminda giorgis ubanSi, daviT
aRmaSeneblis II Sesaxvevisa da irodion surgulaZis quCebis kveTasTan arsebul
miwis nakveTze (s/k: 01.72.14.064.360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</row>
    <row r="2" spans="1:18" s="5" customFormat="1" ht="17.45" customHeight="1">
      <c r="A2" s="1230" t="s">
        <v>10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</row>
    <row r="3" spans="1:18" s="5" customFormat="1">
      <c r="D3" s="7"/>
    </row>
    <row r="4" spans="1:18" s="5" customFormat="1" ht="23.25" customHeight="1">
      <c r="A4" s="1103" t="s">
        <v>0</v>
      </c>
      <c r="B4" s="1103" t="s">
        <v>1</v>
      </c>
      <c r="C4" s="1103" t="s">
        <v>2</v>
      </c>
      <c r="D4" s="1231" t="s">
        <v>3</v>
      </c>
      <c r="E4" s="1231" t="s">
        <v>136</v>
      </c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</row>
    <row r="5" spans="1:18" s="5" customFormat="1" ht="24" customHeight="1">
      <c r="A5" s="1103"/>
      <c r="B5" s="1103"/>
      <c r="C5" s="1103"/>
      <c r="D5" s="1231"/>
      <c r="E5" s="1232" t="s">
        <v>14</v>
      </c>
      <c r="F5" s="1233"/>
      <c r="G5" s="1232" t="s">
        <v>83</v>
      </c>
      <c r="H5" s="1233"/>
      <c r="I5" s="1232" t="s">
        <v>137</v>
      </c>
      <c r="J5" s="1233"/>
      <c r="K5" s="1232" t="s">
        <v>15</v>
      </c>
      <c r="L5" s="1233"/>
      <c r="M5" s="1232" t="s">
        <v>138</v>
      </c>
      <c r="N5" s="1233"/>
      <c r="O5" s="1232" t="s">
        <v>16</v>
      </c>
      <c r="P5" s="1233"/>
      <c r="Q5" s="1232" t="s">
        <v>17</v>
      </c>
      <c r="R5" s="1233"/>
    </row>
    <row r="6" spans="1:18" s="5" customFormat="1">
      <c r="A6" s="668"/>
      <c r="B6" s="606"/>
      <c r="C6" s="605"/>
      <c r="D6" s="607"/>
      <c r="E6" s="15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5" customFormat="1" ht="15.75">
      <c r="A7" s="599"/>
      <c r="B7" s="259"/>
      <c r="C7" s="260"/>
      <c r="D7" s="151"/>
      <c r="E7" s="15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5" customFormat="1" ht="15.75">
      <c r="A8" s="599"/>
      <c r="B8" s="56"/>
      <c r="C8" s="260"/>
      <c r="D8" s="151"/>
      <c r="E8" s="15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5" customFormat="1" ht="15.75">
      <c r="A9" s="599"/>
      <c r="B9" s="56"/>
      <c r="C9" s="260"/>
      <c r="D9" s="151"/>
      <c r="E9" s="15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5" customFormat="1" ht="15.75">
      <c r="A10" s="514"/>
      <c r="B10" s="56"/>
      <c r="C10" s="260"/>
      <c r="D10" s="151"/>
      <c r="E10" s="15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5" customFormat="1" ht="15.75">
      <c r="A11" s="514"/>
      <c r="B11" s="98"/>
      <c r="C11" s="260"/>
      <c r="D11" s="281"/>
      <c r="E11" s="15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5" customFormat="1" ht="15.75">
      <c r="A12" s="514"/>
      <c r="B12" s="99"/>
      <c r="C12" s="260"/>
      <c r="D12" s="281"/>
      <c r="E12" s="15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5" customFormat="1" ht="15.75">
      <c r="A13" s="669"/>
      <c r="B13" s="244"/>
      <c r="C13" s="244"/>
      <c r="D13" s="670"/>
      <c r="E13" s="15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5" customFormat="1" ht="15.75">
      <c r="A14" s="402"/>
      <c r="B14" s="601"/>
      <c r="C14" s="260"/>
      <c r="D14" s="24"/>
      <c r="E14" s="15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5" customFormat="1" ht="15.75">
      <c r="A15" s="417"/>
      <c r="B15" s="601"/>
      <c r="C15" s="260"/>
      <c r="D15" s="24"/>
      <c r="E15" s="15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5" customFormat="1" ht="15.75">
      <c r="A16" s="403"/>
      <c r="B16" s="601"/>
      <c r="C16" s="260"/>
      <c r="D16" s="24"/>
      <c r="E16" s="15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5" customFormat="1" ht="15.75">
      <c r="A17" s="685"/>
      <c r="B17" s="241"/>
      <c r="C17" s="155"/>
      <c r="D17" s="316"/>
      <c r="E17" s="15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5" customFormat="1" ht="15.75">
      <c r="A18" s="685"/>
      <c r="B18" s="362"/>
      <c r="C18" s="204"/>
      <c r="D18" s="363"/>
      <c r="E18" s="15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5" customFormat="1" ht="15.75">
      <c r="A19" s="685"/>
      <c r="B19" s="362"/>
      <c r="C19" s="204"/>
      <c r="D19" s="363"/>
      <c r="E19" s="15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5" customFormat="1" ht="15.75">
      <c r="A20" s="685"/>
      <c r="B20" s="241"/>
      <c r="C20" s="155"/>
      <c r="D20" s="316"/>
      <c r="E20" s="15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5" customFormat="1" ht="15.75">
      <c r="A21" s="685"/>
      <c r="B21" s="362"/>
      <c r="C21" s="204"/>
      <c r="D21" s="363"/>
      <c r="E21" s="15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5" customFormat="1" ht="15.75">
      <c r="A22" s="685"/>
      <c r="B22" s="362"/>
      <c r="C22" s="204"/>
      <c r="D22" s="363"/>
      <c r="E22" s="15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5" customFormat="1" ht="15.75">
      <c r="A23" s="403"/>
      <c r="B23" s="601"/>
      <c r="C23" s="260"/>
      <c r="D23" s="24"/>
      <c r="E23" s="15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5" customFormat="1" ht="15.75">
      <c r="A24" s="403"/>
      <c r="B24" s="315"/>
      <c r="C24" s="263"/>
      <c r="D24" s="23"/>
      <c r="E24" s="15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5" customFormat="1" ht="16.5">
      <c r="A25" s="685"/>
      <c r="B25" s="601"/>
      <c r="C25" s="260"/>
      <c r="D25" s="316"/>
      <c r="E25" s="67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5" customFormat="1" ht="16.5">
      <c r="A26" s="685"/>
      <c r="B26" s="362"/>
      <c r="C26" s="204"/>
      <c r="D26" s="363"/>
      <c r="E26" s="67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5" customFormat="1" ht="16.5">
      <c r="A27" s="686"/>
      <c r="B27" s="315"/>
      <c r="C27" s="203"/>
      <c r="D27" s="659"/>
      <c r="E27" s="67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5" customFormat="1" ht="16.5">
      <c r="A28" s="514"/>
      <c r="B28" s="315"/>
      <c r="C28" s="191"/>
      <c r="D28" s="24"/>
      <c r="E28" s="67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5" customFormat="1" ht="16.5">
      <c r="A29" s="514"/>
      <c r="B29" s="601"/>
      <c r="C29" s="260"/>
      <c r="D29" s="76"/>
      <c r="E29" s="67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5" customFormat="1" ht="16.5">
      <c r="A30" s="687"/>
      <c r="B30" s="315"/>
      <c r="C30" s="203"/>
      <c r="D30" s="202"/>
      <c r="E30" s="67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5" customFormat="1" ht="16.5">
      <c r="A31" s="687"/>
      <c r="B31" s="601"/>
      <c r="C31" s="260"/>
      <c r="D31" s="24"/>
      <c r="E31" s="67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5" customFormat="1" ht="16.5">
      <c r="A32" s="687"/>
      <c r="B32" s="18"/>
      <c r="C32" s="600"/>
      <c r="D32" s="596"/>
      <c r="E32" s="67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5" customFormat="1" ht="16.5">
      <c r="A33" s="687"/>
      <c r="B33" s="328"/>
      <c r="C33" s="203"/>
      <c r="D33" s="596"/>
      <c r="E33" s="67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5" customFormat="1" ht="16.5">
      <c r="A34" s="687"/>
      <c r="B34" s="18"/>
      <c r="C34" s="203"/>
      <c r="D34" s="596"/>
      <c r="E34" s="67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5" customFormat="1" ht="16.5">
      <c r="A35" s="687"/>
      <c r="B35" s="18"/>
      <c r="C35" s="203"/>
      <c r="D35" s="596"/>
      <c r="E35" s="67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5" customFormat="1" ht="16.5">
      <c r="A36" s="687"/>
      <c r="B36" s="328"/>
      <c r="C36" s="203"/>
      <c r="D36" s="202"/>
      <c r="E36" s="67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5" customFormat="1" ht="16.5">
      <c r="A37" s="687"/>
      <c r="B37" s="328"/>
      <c r="C37" s="203"/>
      <c r="D37" s="202"/>
      <c r="E37" s="67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5" customFormat="1" ht="16.5">
      <c r="A38" s="687"/>
      <c r="B38" s="18"/>
      <c r="C38" s="203"/>
      <c r="D38" s="202"/>
      <c r="E38" s="67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5" customFormat="1" ht="16.5">
      <c r="A39" s="687"/>
      <c r="B39" s="18"/>
      <c r="C39" s="600"/>
      <c r="D39" s="596"/>
      <c r="E39" s="67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5" customFormat="1" ht="16.5">
      <c r="A40" s="687"/>
      <c r="B40" s="39"/>
      <c r="C40" s="204"/>
      <c r="D40" s="325"/>
      <c r="E40" s="67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5" customFormat="1" ht="16.5">
      <c r="A41" s="652"/>
      <c r="B41" s="315"/>
      <c r="C41" s="204"/>
      <c r="D41" s="316"/>
      <c r="E41" s="67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5" customFormat="1" ht="16.5">
      <c r="A42" s="599"/>
      <c r="B42" s="92"/>
      <c r="C42" s="93"/>
      <c r="D42" s="46"/>
      <c r="E42" s="67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" customFormat="1" ht="16.5">
      <c r="A43" s="599"/>
      <c r="B43" s="92"/>
      <c r="C43" s="93"/>
      <c r="D43" s="46"/>
      <c r="E43" s="67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5" customFormat="1" ht="16.5">
      <c r="A44" s="514"/>
      <c r="B44" s="601"/>
      <c r="C44" s="600"/>
      <c r="D44" s="24"/>
      <c r="E44" s="67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5" customFormat="1" ht="16.5">
      <c r="A45" s="514"/>
      <c r="B45" s="18"/>
      <c r="C45" s="600"/>
      <c r="D45" s="596"/>
      <c r="E45" s="67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5" customFormat="1" ht="16.5">
      <c r="A46" s="514"/>
      <c r="B46" s="601"/>
      <c r="C46" s="600"/>
      <c r="D46" s="24"/>
      <c r="E46" s="67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5" customFormat="1" ht="16.5">
      <c r="A47" s="514"/>
      <c r="B47" s="18"/>
      <c r="C47" s="600"/>
      <c r="D47" s="596"/>
      <c r="E47" s="67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5" customFormat="1" ht="16.5">
      <c r="A48" s="514"/>
      <c r="B48" s="18"/>
      <c r="C48" s="203"/>
      <c r="D48" s="202"/>
      <c r="E48" s="67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5" customFormat="1" ht="16.5">
      <c r="A49" s="514"/>
      <c r="B49" s="18"/>
      <c r="C49" s="203"/>
      <c r="D49" s="596"/>
      <c r="E49" s="67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5" customFormat="1" ht="16.5">
      <c r="A50" s="514"/>
      <c r="B50" s="18"/>
      <c r="C50" s="203"/>
      <c r="D50" s="672"/>
      <c r="E50" s="67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5" customFormat="1" ht="16.5">
      <c r="A51" s="514"/>
      <c r="B51" s="18"/>
      <c r="C51" s="203"/>
      <c r="D51" s="202"/>
      <c r="E51" s="67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5" customFormat="1" ht="16.5">
      <c r="A52" s="514"/>
      <c r="B52" s="18"/>
      <c r="C52" s="600"/>
      <c r="D52" s="596"/>
      <c r="E52" s="67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s="5" customFormat="1" ht="16.5">
      <c r="A53" s="688"/>
      <c r="B53" s="315"/>
      <c r="C53" s="260"/>
      <c r="D53" s="24"/>
      <c r="E53" s="67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5" customFormat="1" ht="16.5">
      <c r="A54" s="689"/>
      <c r="B54" s="601"/>
      <c r="C54" s="600"/>
      <c r="D54" s="24"/>
      <c r="E54" s="67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s="5" customFormat="1" ht="16.5">
      <c r="A55" s="689"/>
      <c r="B55" s="328"/>
      <c r="C55" s="203"/>
      <c r="D55" s="202"/>
      <c r="E55" s="67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5" customFormat="1" ht="16.5">
      <c r="A56" s="689"/>
      <c r="B56" s="18"/>
      <c r="C56" s="203"/>
      <c r="D56" s="202"/>
      <c r="E56" s="67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5" customFormat="1" ht="16.5">
      <c r="A57" s="689"/>
      <c r="B57" s="328"/>
      <c r="C57" s="203"/>
      <c r="D57" s="202"/>
      <c r="E57" s="671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5" customFormat="1" ht="16.5">
      <c r="A58" s="689"/>
      <c r="B58" s="328"/>
      <c r="C58" s="203"/>
      <c r="D58" s="202"/>
      <c r="E58" s="67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5" customFormat="1" ht="16.5">
      <c r="A59" s="689"/>
      <c r="B59" s="328"/>
      <c r="C59" s="203"/>
      <c r="D59" s="23"/>
      <c r="E59" s="67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5" customFormat="1" ht="16.5">
      <c r="A60" s="689"/>
      <c r="B60" s="328"/>
      <c r="C60" s="203"/>
      <c r="D60" s="202"/>
      <c r="E60" s="67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5" customFormat="1" ht="16.5">
      <c r="A61" s="689"/>
      <c r="B61" s="18"/>
      <c r="C61" s="203"/>
      <c r="D61" s="202"/>
      <c r="E61" s="67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5" customFormat="1" ht="16.5">
      <c r="A62" s="689"/>
      <c r="B62" s="18"/>
      <c r="C62" s="203"/>
      <c r="D62" s="202"/>
      <c r="E62" s="67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5" customFormat="1" ht="16.5">
      <c r="A63" s="689"/>
      <c r="B63" s="328"/>
      <c r="C63" s="203"/>
      <c r="D63" s="202"/>
      <c r="E63" s="671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5" customFormat="1" ht="16.5">
      <c r="A64" s="689"/>
      <c r="B64" s="18"/>
      <c r="C64" s="260"/>
      <c r="D64" s="24"/>
      <c r="E64" s="67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s="5" customFormat="1" ht="16.5">
      <c r="A65" s="689"/>
      <c r="B65" s="18"/>
      <c r="C65" s="600"/>
      <c r="D65" s="596"/>
      <c r="E65" s="67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5" customFormat="1" ht="16.5">
      <c r="A66" s="689"/>
      <c r="B66" s="18"/>
      <c r="C66" s="600"/>
      <c r="D66" s="596"/>
      <c r="E66" s="67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5" customFormat="1" ht="16.5">
      <c r="A67" s="600"/>
      <c r="B67" s="601"/>
      <c r="C67" s="600"/>
      <c r="D67" s="24"/>
      <c r="E67" s="67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5" customFormat="1" ht="16.5">
      <c r="A68" s="404"/>
      <c r="B68" s="259"/>
      <c r="C68" s="29"/>
      <c r="D68" s="35"/>
      <c r="E68" s="67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5" customFormat="1" ht="16.5">
      <c r="A69" s="404"/>
      <c r="B69" s="56"/>
      <c r="C69" s="29"/>
      <c r="D69" s="35"/>
      <c r="E69" s="67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5" customFormat="1" ht="16.5">
      <c r="A70" s="599"/>
      <c r="B70" s="601"/>
      <c r="C70" s="260"/>
      <c r="D70" s="24"/>
      <c r="E70" s="67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5" customFormat="1" ht="16.5">
      <c r="A71" s="599"/>
      <c r="B71" s="601"/>
      <c r="C71" s="260"/>
      <c r="D71" s="24"/>
      <c r="E71" s="67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5" customFormat="1" ht="16.5">
      <c r="A72" s="514"/>
      <c r="B72" s="601"/>
      <c r="C72" s="260"/>
      <c r="D72" s="24"/>
      <c r="E72" s="67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s="5" customFormat="1" ht="16.5">
      <c r="A73" s="514"/>
      <c r="B73" s="384"/>
      <c r="C73" s="600"/>
      <c r="D73" s="292"/>
      <c r="E73" s="67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5" customFormat="1" ht="16.5">
      <c r="A74" s="690"/>
      <c r="B74" s="34"/>
      <c r="C74" s="598"/>
      <c r="D74" s="33"/>
      <c r="E74" s="67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s="5" customFormat="1" ht="16.5">
      <c r="A75" s="690"/>
      <c r="B75" s="34"/>
      <c r="C75" s="29"/>
      <c r="D75" s="35"/>
      <c r="E75" s="67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5" customFormat="1" ht="16.5">
      <c r="A76" s="690"/>
      <c r="B76" s="18"/>
      <c r="C76" s="600"/>
      <c r="D76" s="596"/>
      <c r="E76" s="67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s="5" customFormat="1" ht="16.5">
      <c r="A77" s="690"/>
      <c r="B77" s="18"/>
      <c r="C77" s="600"/>
      <c r="D77" s="596"/>
      <c r="E77" s="67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5" customFormat="1" ht="16.5">
      <c r="A78" s="690"/>
      <c r="B78" s="36"/>
      <c r="C78" s="598"/>
      <c r="D78" s="33"/>
      <c r="E78" s="67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5" customFormat="1" ht="16.5">
      <c r="A79" s="690"/>
      <c r="B79" s="36"/>
      <c r="C79" s="598"/>
      <c r="D79" s="33"/>
      <c r="E79" s="671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s="5" customFormat="1" ht="16.5">
      <c r="A80" s="690"/>
      <c r="B80" s="31"/>
      <c r="C80" s="598"/>
      <c r="D80" s="33"/>
      <c r="E80" s="67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s="5" customFormat="1" ht="16.5">
      <c r="A81" s="404"/>
      <c r="B81" s="34"/>
      <c r="C81" s="29"/>
      <c r="D81" s="35"/>
      <c r="E81" s="67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5" customFormat="1" ht="16.5">
      <c r="A82" s="686"/>
      <c r="B82" s="681"/>
      <c r="C82" s="203"/>
      <c r="D82" s="659"/>
      <c r="E82" s="67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s="5" customFormat="1" ht="16.5">
      <c r="A83" s="691"/>
      <c r="B83" s="98"/>
      <c r="C83" s="260"/>
      <c r="D83" s="76"/>
      <c r="E83" s="67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5" customFormat="1" ht="16.5">
      <c r="A84" s="691"/>
      <c r="B84" s="601"/>
      <c r="C84" s="260"/>
      <c r="D84" s="76"/>
      <c r="E84" s="67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5" customFormat="1" ht="16.5">
      <c r="A85" s="669"/>
      <c r="B85" s="244"/>
      <c r="C85" s="244"/>
      <c r="D85" s="670"/>
      <c r="E85" s="67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5" customFormat="1" ht="16.5">
      <c r="A86" s="673"/>
      <c r="B86" s="56"/>
      <c r="C86" s="260"/>
      <c r="D86" s="283"/>
      <c r="E86" s="67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5" customFormat="1" ht="16.5">
      <c r="A87" s="404"/>
      <c r="B87" s="56"/>
      <c r="C87" s="260"/>
      <c r="D87" s="283"/>
      <c r="E87" s="67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5" customFormat="1" ht="16.5">
      <c r="A88" s="404"/>
      <c r="B88" s="56"/>
      <c r="C88" s="29"/>
      <c r="D88" s="35"/>
      <c r="E88" s="671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5" customFormat="1" ht="16.5">
      <c r="A89" s="599"/>
      <c r="B89" s="99"/>
      <c r="C89" s="191"/>
      <c r="D89" s="24"/>
      <c r="E89" s="671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5" customFormat="1" ht="16.5">
      <c r="A90" s="599"/>
      <c r="B90" s="601"/>
      <c r="C90" s="260"/>
      <c r="D90" s="24"/>
      <c r="E90" s="67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s="5" customFormat="1" ht="16.5">
      <c r="A91" s="599"/>
      <c r="B91" s="601"/>
      <c r="C91" s="260"/>
      <c r="D91" s="35"/>
      <c r="E91" s="671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5" customFormat="1" ht="16.5">
      <c r="A92" s="403"/>
      <c r="B92" s="315"/>
      <c r="C92" s="263"/>
      <c r="D92" s="23"/>
      <c r="E92" s="67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5" customFormat="1" ht="16.5">
      <c r="A93" s="514"/>
      <c r="B93" s="601"/>
      <c r="C93" s="260"/>
      <c r="D93" s="35"/>
      <c r="E93" s="67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5" customFormat="1" ht="16.5">
      <c r="A94" s="514"/>
      <c r="B94" s="601"/>
      <c r="C94" s="260"/>
      <c r="D94" s="35"/>
      <c r="E94" s="67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5" customFormat="1" ht="16.5">
      <c r="A95" s="514"/>
      <c r="B95" s="384"/>
      <c r="C95" s="600"/>
      <c r="D95" s="292"/>
      <c r="E95" s="671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5" customFormat="1" ht="16.5">
      <c r="A96" s="690"/>
      <c r="B96" s="601"/>
      <c r="C96" s="260"/>
      <c r="D96" s="283"/>
      <c r="E96" s="671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5" customFormat="1" ht="16.5">
      <c r="A97" s="690"/>
      <c r="B97" s="601"/>
      <c r="C97" s="260"/>
      <c r="D97" s="283"/>
      <c r="E97" s="67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5" customFormat="1" ht="16.5">
      <c r="A98" s="404"/>
      <c r="B98" s="27"/>
      <c r="C98" s="600"/>
      <c r="D98" s="284"/>
      <c r="E98" s="67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5" customFormat="1" ht="16.5">
      <c r="A99" s="674"/>
      <c r="B99" s="259"/>
      <c r="C99" s="260"/>
      <c r="D99" s="35"/>
      <c r="E99" s="67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5" customFormat="1" ht="16.5">
      <c r="A100" s="599"/>
      <c r="B100" s="56"/>
      <c r="C100" s="260"/>
      <c r="D100" s="24"/>
      <c r="E100" s="671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5" customFormat="1" ht="16.5">
      <c r="A101" s="691"/>
      <c r="B101" s="98"/>
      <c r="C101" s="260"/>
      <c r="D101" s="76"/>
      <c r="E101" s="671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5" customFormat="1" ht="16.5">
      <c r="A102" s="691"/>
      <c r="B102" s="601"/>
      <c r="C102" s="260"/>
      <c r="D102" s="76"/>
      <c r="E102" s="671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5" customFormat="1" ht="16.5">
      <c r="A103" s="417"/>
      <c r="B103" s="56"/>
      <c r="C103" s="260"/>
      <c r="D103" s="24"/>
      <c r="E103" s="671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5" customFormat="1" ht="16.5">
      <c r="A104" s="599"/>
      <c r="B104" s="56"/>
      <c r="C104" s="260"/>
      <c r="D104" s="24"/>
      <c r="E104" s="67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5" customFormat="1" ht="16.5">
      <c r="A105" s="404"/>
      <c r="B105" s="259"/>
      <c r="C105" s="29"/>
      <c r="D105" s="35"/>
      <c r="E105" s="67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5" customFormat="1" ht="16.5">
      <c r="A106" s="692"/>
      <c r="B106" s="34"/>
      <c r="C106" s="29"/>
      <c r="D106" s="35"/>
      <c r="E106" s="67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5" customFormat="1" ht="16.5">
      <c r="A107" s="599"/>
      <c r="B107" s="99"/>
      <c r="C107" s="191"/>
      <c r="D107" s="24"/>
      <c r="E107" s="67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5" customFormat="1" ht="16.5">
      <c r="A108" s="599"/>
      <c r="B108" s="601"/>
      <c r="C108" s="260"/>
      <c r="D108" s="24"/>
      <c r="E108" s="67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5" customFormat="1" ht="16.5">
      <c r="A109" s="599"/>
      <c r="B109" s="601"/>
      <c r="C109" s="260"/>
      <c r="D109" s="35"/>
      <c r="E109" s="671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5" customFormat="1" ht="16.5">
      <c r="A110" s="403"/>
      <c r="B110" s="315"/>
      <c r="C110" s="263"/>
      <c r="D110" s="23"/>
      <c r="E110" s="671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5" customFormat="1" ht="16.5">
      <c r="A111" s="514"/>
      <c r="B111" s="601"/>
      <c r="C111" s="260"/>
      <c r="D111" s="35"/>
      <c r="E111" s="671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5" customFormat="1" ht="16.5">
      <c r="A112" s="514"/>
      <c r="B112" s="601"/>
      <c r="C112" s="260"/>
      <c r="D112" s="35"/>
      <c r="E112" s="67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5" customFormat="1" ht="16.5">
      <c r="A113" s="514"/>
      <c r="B113" s="384"/>
      <c r="C113" s="600"/>
      <c r="D113" s="292"/>
      <c r="E113" s="671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5" customFormat="1" ht="16.5">
      <c r="A114" s="599"/>
      <c r="B114" s="92"/>
      <c r="C114" s="624"/>
      <c r="D114" s="46"/>
      <c r="E114" s="671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5" customFormat="1" ht="16.5">
      <c r="A115" s="669"/>
      <c r="B115" s="244"/>
      <c r="C115" s="244"/>
      <c r="D115" s="670"/>
      <c r="E115" s="671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5" customFormat="1" ht="16.5">
      <c r="A116" s="404"/>
      <c r="B116" s="259"/>
      <c r="C116" s="600"/>
      <c r="D116" s="284"/>
      <c r="E116" s="67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5" customFormat="1" ht="16.5">
      <c r="A117" s="402"/>
      <c r="B117" s="601"/>
      <c r="C117" s="260"/>
      <c r="D117" s="24"/>
      <c r="E117" s="671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5" customFormat="1" ht="16.5">
      <c r="A118" s="417"/>
      <c r="B118" s="601"/>
      <c r="C118" s="260"/>
      <c r="D118" s="24"/>
      <c r="E118" s="671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5" customFormat="1" ht="16.5">
      <c r="A119" s="403"/>
      <c r="B119" s="601"/>
      <c r="C119" s="260"/>
      <c r="D119" s="24"/>
      <c r="E119" s="671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5" customFormat="1" ht="16.5">
      <c r="A120" s="685"/>
      <c r="B120" s="241"/>
      <c r="C120" s="155"/>
      <c r="D120" s="316"/>
      <c r="E120" s="671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5" customFormat="1" ht="16.5">
      <c r="A121" s="685"/>
      <c r="B121" s="362"/>
      <c r="C121" s="204"/>
      <c r="D121" s="363"/>
      <c r="E121" s="67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5" customFormat="1" ht="16.5">
      <c r="A122" s="685"/>
      <c r="B122" s="362"/>
      <c r="C122" s="204"/>
      <c r="D122" s="363"/>
      <c r="E122" s="67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5" customFormat="1" ht="16.5">
      <c r="A123" s="403"/>
      <c r="B123" s="601"/>
      <c r="C123" s="260"/>
      <c r="D123" s="24"/>
      <c r="E123" s="67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5" customFormat="1" ht="16.5">
      <c r="A124" s="403"/>
      <c r="B124" s="601"/>
      <c r="C124" s="260"/>
      <c r="D124" s="24"/>
      <c r="E124" s="67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5" customFormat="1" ht="16.5">
      <c r="A125" s="403"/>
      <c r="B125" s="315"/>
      <c r="C125" s="263"/>
      <c r="D125" s="23"/>
      <c r="E125" s="671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5" customFormat="1" ht="16.5">
      <c r="A126" s="685"/>
      <c r="B126" s="601"/>
      <c r="C126" s="260"/>
      <c r="D126" s="316"/>
      <c r="E126" s="671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5" customFormat="1" ht="16.5">
      <c r="A127" s="685"/>
      <c r="B127" s="362"/>
      <c r="C127" s="204"/>
      <c r="D127" s="363"/>
      <c r="E127" s="67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5" customFormat="1" ht="16.5">
      <c r="A128" s="686"/>
      <c r="B128" s="315"/>
      <c r="C128" s="203"/>
      <c r="D128" s="659"/>
      <c r="E128" s="671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5" customFormat="1" ht="16.5">
      <c r="A129" s="514"/>
      <c r="B129" s="315"/>
      <c r="C129" s="191"/>
      <c r="D129" s="24"/>
      <c r="E129" s="671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5" customFormat="1" ht="16.5">
      <c r="A130" s="514"/>
      <c r="B130" s="601"/>
      <c r="C130" s="260"/>
      <c r="D130" s="76"/>
      <c r="E130" s="671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5" customFormat="1" ht="16.5">
      <c r="A131" s="404"/>
      <c r="B131" s="259"/>
      <c r="C131" s="600"/>
      <c r="D131" s="284"/>
      <c r="E131" s="671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5" customFormat="1" ht="16.5">
      <c r="A132" s="417"/>
      <c r="B132" s="601"/>
      <c r="C132" s="260"/>
      <c r="D132" s="24"/>
      <c r="E132" s="67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5" customFormat="1" ht="16.5">
      <c r="A133" s="403"/>
      <c r="B133" s="601"/>
      <c r="C133" s="260"/>
      <c r="D133" s="24"/>
      <c r="E133" s="67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s="5" customFormat="1" ht="16.5">
      <c r="A134" s="685"/>
      <c r="B134" s="241"/>
      <c r="C134" s="155"/>
      <c r="D134" s="316"/>
      <c r="E134" s="67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s="5" customFormat="1" ht="16.5">
      <c r="A135" s="685"/>
      <c r="B135" s="362"/>
      <c r="C135" s="204"/>
      <c r="D135" s="363"/>
      <c r="E135" s="67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s="5" customFormat="1" ht="16.5">
      <c r="A136" s="685"/>
      <c r="B136" s="362"/>
      <c r="C136" s="204"/>
      <c r="D136" s="363"/>
      <c r="E136" s="67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s="5" customFormat="1" ht="16.5">
      <c r="A137" s="404"/>
      <c r="B137" s="308"/>
      <c r="C137" s="309"/>
      <c r="D137" s="283"/>
      <c r="E137" s="671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s="5" customFormat="1" ht="16.5">
      <c r="A138" s="691"/>
      <c r="B138" s="98"/>
      <c r="C138" s="260"/>
      <c r="D138" s="76"/>
      <c r="E138" s="671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s="5" customFormat="1" ht="16.5">
      <c r="A139" s="691"/>
      <c r="B139" s="601"/>
      <c r="C139" s="260"/>
      <c r="D139" s="76"/>
      <c r="E139" s="671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s="5" customFormat="1" ht="16.5">
      <c r="A140" s="514"/>
      <c r="B140" s="56"/>
      <c r="C140" s="260"/>
      <c r="D140" s="151"/>
      <c r="E140" s="671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s="5" customFormat="1" ht="16.5">
      <c r="A141" s="514"/>
      <c r="B141" s="98"/>
      <c r="C141" s="260"/>
      <c r="D141" s="281"/>
      <c r="E141" s="67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s="5" customFormat="1" ht="16.5">
      <c r="A142" s="514"/>
      <c r="B142" s="99"/>
      <c r="C142" s="260"/>
      <c r="D142" s="281"/>
      <c r="E142" s="67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s="5" customFormat="1" ht="16.5">
      <c r="A143" s="675"/>
      <c r="B143" s="151"/>
      <c r="C143" s="675"/>
      <c r="D143" s="675"/>
      <c r="E143" s="67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s="5" customFormat="1" ht="16.5">
      <c r="A144" s="676"/>
      <c r="B144" s="677"/>
      <c r="C144" s="678"/>
      <c r="D144" s="679"/>
      <c r="E144" s="67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s="5" customFormat="1" ht="16.5">
      <c r="A145" s="678"/>
      <c r="B145" s="677"/>
      <c r="C145" s="678"/>
      <c r="D145" s="679"/>
      <c r="E145" s="67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s="5" customFormat="1" ht="16.5">
      <c r="A146" s="689"/>
      <c r="B146" s="56"/>
      <c r="C146" s="260"/>
      <c r="D146" s="24"/>
      <c r="E146" s="671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s="5" customFormat="1" ht="16.5">
      <c r="A147" s="689"/>
      <c r="B147" s="56"/>
      <c r="C147" s="260"/>
      <c r="D147" s="24"/>
      <c r="E147" s="671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s="5" customFormat="1" ht="16.5">
      <c r="A148" s="686"/>
      <c r="B148" s="257"/>
      <c r="C148" s="260"/>
      <c r="D148" s="23"/>
      <c r="E148" s="67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s="5" customFormat="1" ht="16.5">
      <c r="A149" s="120"/>
      <c r="B149" s="118"/>
      <c r="C149" s="117"/>
      <c r="D149" s="179"/>
      <c r="E149" s="671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s="5" customFormat="1" ht="16.5">
      <c r="A150" s="651"/>
      <c r="B150" s="314"/>
      <c r="C150" s="114"/>
      <c r="D150" s="178"/>
      <c r="E150" s="67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s="5" customFormat="1" ht="16.5">
      <c r="A151" s="624"/>
      <c r="B151" s="92"/>
      <c r="C151" s="93"/>
      <c r="D151" s="46"/>
      <c r="E151" s="671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s="5" customFormat="1" ht="16.5">
      <c r="A152" s="52"/>
      <c r="B152" s="127"/>
      <c r="C152" s="126"/>
      <c r="D152" s="180"/>
      <c r="E152" s="671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s="5" customFormat="1" ht="16.5">
      <c r="A153" s="52"/>
      <c r="B153" s="101"/>
      <c r="C153" s="52"/>
      <c r="D153" s="54"/>
      <c r="E153" s="671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s="5" customFormat="1" ht="16.5">
      <c r="A154" s="599"/>
      <c r="B154" s="257"/>
      <c r="C154" s="244"/>
      <c r="D154" s="23"/>
      <c r="E154" s="671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s="5" customFormat="1" ht="16.5">
      <c r="A155" s="599"/>
      <c r="B155" s="99"/>
      <c r="C155" s="191"/>
      <c r="D155" s="24"/>
      <c r="E155" s="671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s="5" customFormat="1" ht="16.5">
      <c r="A156" s="599"/>
      <c r="B156" s="601"/>
      <c r="C156" s="260"/>
      <c r="D156" s="24"/>
      <c r="E156" s="67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s="5" customFormat="1" ht="16.5">
      <c r="A157" s="599"/>
      <c r="B157" s="601"/>
      <c r="C157" s="260"/>
      <c r="D157" s="35"/>
      <c r="E157" s="671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s="5" customFormat="1" ht="16.5">
      <c r="A158" s="651"/>
      <c r="B158" s="101"/>
      <c r="C158" s="114"/>
      <c r="D158" s="178"/>
      <c r="E158" s="67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s="5" customFormat="1" ht="16.5">
      <c r="A159" s="693"/>
      <c r="B159" s="315"/>
      <c r="C159" s="52"/>
      <c r="D159" s="54"/>
      <c r="E159" s="671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s="5" customFormat="1" ht="16.5">
      <c r="A160" s="693"/>
      <c r="B160" s="601"/>
      <c r="C160" s="260"/>
      <c r="D160" s="24"/>
      <c r="E160" s="671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s="5" customFormat="1" ht="16.5">
      <c r="A161" s="693"/>
      <c r="B161" s="18"/>
      <c r="C161" s="600"/>
      <c r="D161" s="596"/>
      <c r="E161" s="67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s="5" customFormat="1" ht="16.5">
      <c r="A162" s="693"/>
      <c r="B162" s="328"/>
      <c r="C162" s="203"/>
      <c r="D162" s="596"/>
      <c r="E162" s="671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s="5" customFormat="1" ht="16.5">
      <c r="A163" s="652"/>
      <c r="B163" s="315"/>
      <c r="C163" s="204"/>
      <c r="D163" s="316"/>
      <c r="E163" s="671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s="5" customFormat="1" ht="16.5">
      <c r="A164" s="678"/>
      <c r="B164" s="677"/>
      <c r="C164" s="678"/>
      <c r="D164" s="679"/>
      <c r="E164" s="671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s="5" customFormat="1" ht="16.5">
      <c r="A165" s="514"/>
      <c r="B165" s="56"/>
      <c r="C165" s="600"/>
      <c r="D165" s="24"/>
      <c r="E165" s="671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s="5" customFormat="1" ht="16.5">
      <c r="A166" s="514"/>
      <c r="B166" s="56"/>
      <c r="C166" s="260"/>
      <c r="D166" s="24"/>
      <c r="E166" s="671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s="5" customFormat="1" ht="16.5">
      <c r="A167" s="689"/>
      <c r="B167" s="680"/>
      <c r="C167" s="600"/>
      <c r="D167" s="24"/>
      <c r="E167" s="671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s="5" customFormat="1" ht="16.5">
      <c r="A168" s="689"/>
      <c r="B168" s="27"/>
      <c r="C168" s="52"/>
      <c r="D168" s="596"/>
      <c r="E168" s="671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s="5" customFormat="1" ht="16.5">
      <c r="A169" s="689"/>
      <c r="B169" s="27"/>
      <c r="C169" s="52"/>
      <c r="D169" s="596"/>
      <c r="E169" s="67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s="5" customFormat="1" ht="16.5">
      <c r="A170" s="689"/>
      <c r="B170" s="27"/>
      <c r="C170" s="52"/>
      <c r="D170" s="596"/>
      <c r="E170" s="67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s="5" customFormat="1" ht="16.5">
      <c r="A171" s="514"/>
      <c r="B171" s="681"/>
      <c r="C171" s="260"/>
      <c r="D171" s="180"/>
      <c r="E171" s="67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s="5" customFormat="1" ht="16.5">
      <c r="A172" s="514"/>
      <c r="B172" s="85"/>
      <c r="C172" s="600"/>
      <c r="D172" s="54"/>
      <c r="E172" s="67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s="5" customFormat="1" ht="16.5">
      <c r="A173" s="514"/>
      <c r="B173" s="85"/>
      <c r="C173" s="600"/>
      <c r="D173" s="54"/>
      <c r="E173" s="671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s="5" customFormat="1" ht="16.5">
      <c r="A174" s="514"/>
      <c r="B174" s="85"/>
      <c r="C174" s="600"/>
      <c r="D174" s="54"/>
      <c r="E174" s="671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s="5" customFormat="1" ht="16.5">
      <c r="A175" s="514"/>
      <c r="B175" s="85"/>
      <c r="C175" s="600"/>
      <c r="D175" s="54"/>
      <c r="E175" s="671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s="5" customFormat="1" ht="16.5">
      <c r="A176" s="514"/>
      <c r="B176" s="85"/>
      <c r="C176" s="600"/>
      <c r="D176" s="54"/>
      <c r="E176" s="671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s="5" customFormat="1" ht="16.5">
      <c r="A177" s="514"/>
      <c r="B177" s="85"/>
      <c r="C177" s="600"/>
      <c r="D177" s="54"/>
      <c r="E177" s="671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s="5" customFormat="1" ht="16.5">
      <c r="A178" s="514"/>
      <c r="B178" s="85"/>
      <c r="C178" s="600"/>
      <c r="D178" s="54"/>
      <c r="E178" s="671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s="5" customFormat="1" ht="16.5">
      <c r="A179" s="514"/>
      <c r="B179" s="85"/>
      <c r="C179" s="600"/>
      <c r="D179" s="54"/>
      <c r="E179" s="671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s="5" customFormat="1" ht="16.5">
      <c r="A180" s="514"/>
      <c r="B180" s="85"/>
      <c r="C180" s="600"/>
      <c r="D180" s="54"/>
      <c r="E180" s="671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s="5" customFormat="1" ht="16.5">
      <c r="A181" s="514"/>
      <c r="B181" s="85"/>
      <c r="C181" s="103"/>
      <c r="D181" s="103"/>
      <c r="E181" s="671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s="5" customFormat="1" ht="16.5">
      <c r="A182" s="600"/>
      <c r="B182" s="259"/>
      <c r="C182" s="600"/>
      <c r="D182" s="57"/>
      <c r="E182" s="671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s="5" customFormat="1" ht="16.5">
      <c r="A183" s="139"/>
      <c r="B183" s="34"/>
      <c r="C183" s="63"/>
      <c r="D183" s="35"/>
      <c r="E183" s="671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s="5" customFormat="1" ht="16.5">
      <c r="A184" s="139"/>
      <c r="B184" s="36"/>
      <c r="C184" s="63"/>
      <c r="D184" s="33"/>
      <c r="E184" s="671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s="5" customFormat="1" ht="16.5">
      <c r="A185" s="139"/>
      <c r="B185" s="34"/>
      <c r="C185" s="60"/>
      <c r="D185" s="35"/>
      <c r="E185" s="671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s="5" customFormat="1" ht="16.5">
      <c r="A186" s="139"/>
      <c r="B186" s="36"/>
      <c r="C186" s="63"/>
      <c r="D186" s="33"/>
      <c r="E186" s="671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s="5" customFormat="1" ht="16.5">
      <c r="A187" s="139"/>
      <c r="B187" s="34"/>
      <c r="C187" s="63"/>
      <c r="D187" s="35"/>
      <c r="E187" s="671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s="5" customFormat="1" ht="16.5">
      <c r="A188" s="139"/>
      <c r="B188" s="36"/>
      <c r="C188" s="63"/>
      <c r="D188" s="35"/>
      <c r="E188" s="671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s="5" customFormat="1" ht="16.5">
      <c r="A189" s="598"/>
      <c r="B189" s="308"/>
      <c r="C189" s="63"/>
      <c r="D189" s="35"/>
      <c r="E189" s="671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s="5" customFormat="1" ht="16.5">
      <c r="A190" s="605"/>
      <c r="B190" s="606"/>
      <c r="C190" s="605"/>
      <c r="D190" s="605"/>
      <c r="E190" s="671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s="5" customFormat="1" ht="16.5">
      <c r="A191" s="600"/>
      <c r="B191" s="56"/>
      <c r="C191" s="260"/>
      <c r="D191" s="596"/>
      <c r="E191" s="671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s="5" customFormat="1" ht="16.5">
      <c r="A192" s="600"/>
      <c r="B192" s="56"/>
      <c r="C192" s="260"/>
      <c r="D192" s="596"/>
      <c r="E192" s="671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s="190" customFormat="1" ht="16.5">
      <c r="A193" s="600"/>
      <c r="B193" s="56"/>
      <c r="C193" s="260"/>
      <c r="D193" s="596"/>
      <c r="E193" s="671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s="5" customFormat="1" ht="16.5">
      <c r="A194" s="600"/>
      <c r="B194" s="682"/>
      <c r="C194" s="260"/>
      <c r="D194" s="683"/>
      <c r="E194" s="671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s="5" customFormat="1" ht="16.5">
      <c r="A195" s="600"/>
      <c r="B195" s="682"/>
      <c r="C195" s="260"/>
      <c r="D195" s="683"/>
      <c r="E195" s="671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s="5" customFormat="1" ht="16.5">
      <c r="A196" s="600"/>
      <c r="B196" s="380"/>
      <c r="C196" s="260"/>
      <c r="D196" s="683"/>
      <c r="E196" s="671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s="5" customFormat="1" ht="16.5">
      <c r="A197" s="600"/>
      <c r="B197" s="380"/>
      <c r="C197" s="260"/>
      <c r="D197" s="683"/>
      <c r="E197" s="671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s="5" customFormat="1" ht="16.5">
      <c r="A198" s="600"/>
      <c r="B198" s="380"/>
      <c r="C198" s="260"/>
      <c r="D198" s="683"/>
      <c r="E198" s="671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s="5" customFormat="1" ht="16.5">
      <c r="A199" s="600"/>
      <c r="B199" s="380"/>
      <c r="C199" s="260"/>
      <c r="D199" s="683"/>
      <c r="E199" s="671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s="5" customFormat="1" ht="16.5">
      <c r="A200" s="600"/>
      <c r="B200" s="380"/>
      <c r="C200" s="260"/>
      <c r="D200" s="683"/>
      <c r="E200" s="671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s="5" customFormat="1" ht="16.5">
      <c r="A201" s="600"/>
      <c r="B201" s="380"/>
      <c r="C201" s="260"/>
      <c r="D201" s="683"/>
      <c r="E201" s="671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s="5" customFormat="1" ht="16.5">
      <c r="A202" s="600"/>
      <c r="B202" s="684"/>
      <c r="C202" s="260"/>
      <c r="D202" s="594"/>
      <c r="E202" s="671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4" spans="1:18" ht="15.75">
      <c r="B204" s="96" t="s">
        <v>176</v>
      </c>
    </row>
  </sheetData>
  <mergeCells count="14">
    <mergeCell ref="A1:R1"/>
    <mergeCell ref="A2:R2"/>
    <mergeCell ref="A4:A5"/>
    <mergeCell ref="B4:B5"/>
    <mergeCell ref="C4:C5"/>
    <mergeCell ref="D4:D5"/>
    <mergeCell ref="E4:R4"/>
    <mergeCell ref="E5:F5"/>
    <mergeCell ref="G5:H5"/>
    <mergeCell ref="I5:J5"/>
    <mergeCell ref="K5:L5"/>
    <mergeCell ref="M5:N5"/>
    <mergeCell ref="O5:P5"/>
    <mergeCell ref="Q5:R5"/>
  </mergeCells>
  <conditionalFormatting sqref="B137">
    <cfRule type="cellIs" dxfId="1" priority="1" stopIfTrue="1" operator="equal">
      <formula>8223.307275</formula>
    </cfRule>
  </conditionalFormatting>
  <conditionalFormatting sqref="C137">
    <cfRule type="cellIs" dxfId="0" priority="2" stopIfTrue="1" operator="equal">
      <formula>8223.307275</formula>
    </cfRule>
  </conditionalFormatting>
  <pageMargins left="0.94488188976377963" right="0.11811023622047245" top="0.47244094488188981" bottom="0.19685039370078741" header="0.39370078740157483" footer="0.15748031496062992"/>
  <pageSetup paperSize="9" scale="85" orientation="landscape" r:id="rId1"/>
  <headerFooter>
    <oddHeader>&amp;R&amp;N--&amp;P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krebsiti</vt:lpstr>
      <vt:lpstr>#1</vt:lpstr>
      <vt:lpstr>#2</vt:lpstr>
      <vt:lpstr>#3</vt:lpstr>
      <vt:lpstr>#4</vt:lpstr>
      <vt:lpstr>moc.uwy.</vt:lpstr>
      <vt:lpstr>kal. gr.</vt:lpstr>
      <vt:lpstr>'#1'!Print_Area</vt:lpstr>
      <vt:lpstr>'#2'!Print_Area</vt:lpstr>
      <vt:lpstr>'#3'!Print_Area</vt:lpstr>
      <vt:lpstr>'#4'!Print_Area</vt:lpstr>
      <vt:lpstr>'kal. gr.'!Print_Area</vt:lpstr>
      <vt:lpstr>krebsiti!Print_Area</vt:lpstr>
      <vt:lpstr>'#1'!Print_Titles</vt:lpstr>
      <vt:lpstr>'#2'!Print_Titles</vt:lpstr>
      <vt:lpstr>'kal. gr.'!Print_Titles</vt:lpstr>
      <vt:lpstr>krebsiti!Print_Titles</vt:lpstr>
      <vt:lpstr>moc.uwy.!Print_Titles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2021-12-31T06:32:52Z</dcterms:modified>
</cp:coreProperties>
</file>