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80" tabRatio="891" activeTab="1"/>
  </bookViews>
  <sheets>
    <sheet name="gan.barat" sheetId="2" r:id="rId1"/>
    <sheet name="B" sheetId="114" r:id="rId2"/>
    <sheet name="B-1" sheetId="1" r:id="rId3"/>
    <sheet name="B-1.1" sheetId="12" r:id="rId4"/>
    <sheet name="B-1.1.1" sheetId="22" r:id="rId5"/>
    <sheet name="B-1.1.2" sheetId="23" r:id="rId6"/>
    <sheet name="B-2" sheetId="113" r:id="rId7"/>
    <sheet name="B-2.1" sheetId="233" r:id="rId8"/>
    <sheet name="B-2.1.1" sheetId="234" r:id="rId9"/>
    <sheet name="B-2.1.2." sheetId="235" r:id="rId10"/>
    <sheet name="B-3" sheetId="186" r:id="rId11"/>
  </sheets>
  <definedNames>
    <definedName name="_xlnm._FilterDatabase" localSheetId="4" hidden="1">'B-1.1.1'!$A$6:$M$39</definedName>
    <definedName name="_xlnm._FilterDatabase" localSheetId="5" hidden="1">'B-1.1.2'!$A$6:$M$26</definedName>
    <definedName name="_xlnm._FilterDatabase" localSheetId="8" hidden="1">'B-2.1.1'!$A$8:$EL$95</definedName>
    <definedName name="_xlnm._FilterDatabase" localSheetId="9" hidden="1">'B-2.1.2.'!$A$8:$EX$65</definedName>
    <definedName name="_xlnm._FilterDatabase" localSheetId="10" hidden="1">'B-3'!$A$7:$M$54</definedName>
    <definedName name="_xlnm.Print_Titles" localSheetId="4">'B-1.1.1'!$6:$8</definedName>
    <definedName name="_xlnm.Print_Titles" localSheetId="5">'B-1.1.2'!$6:$8</definedName>
    <definedName name="_xlnm.Print_Titles" localSheetId="10">'B-3'!$5:$7</definedName>
    <definedName name="_xlnm.Print_Area" localSheetId="1">B!$A$1:$J$19</definedName>
    <definedName name="_xlnm.Print_Area" localSheetId="2">'B-1'!$A$1:$J$15</definedName>
    <definedName name="_xlnm.Print_Area" localSheetId="3">'B-1.1'!$A$1:$J$17</definedName>
    <definedName name="_xlnm.Print_Area" localSheetId="4">'B-1.1.1'!$A$1:$M$43</definedName>
    <definedName name="_xlnm.Print_Area" localSheetId="5">'B-1.1.2'!$A$1:$M$30</definedName>
    <definedName name="_xlnm.Print_Area" localSheetId="6">'B-2'!$A$1:$J$14</definedName>
    <definedName name="_xlnm.Print_Area" localSheetId="7">'B-2.1'!$A$1:$I$14</definedName>
    <definedName name="_xlnm.Print_Area" localSheetId="8">'B-2.1.1'!$A$1:$M$99</definedName>
    <definedName name="_xlnm.Print_Area" localSheetId="9">'B-2.1.2.'!$A$1:$M$68</definedName>
    <definedName name="_xlnm.Print_Area" localSheetId="10">'B-3'!$A$1:$M$58</definedName>
    <definedName name="_xlnm.Print_Area" localSheetId="0">gan.barat!$A$1:$M$24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234" l="1"/>
  <c r="E33" i="234"/>
  <c r="E32" i="234"/>
  <c r="E22" i="234"/>
  <c r="E19" i="234"/>
  <c r="E18" i="234"/>
  <c r="E17" i="234"/>
  <c r="F9" i="22" l="1"/>
  <c r="F15" i="23"/>
  <c r="F11" i="186" l="1"/>
  <c r="F26" i="235" l="1"/>
  <c r="F52" i="235" l="1"/>
  <c r="F45" i="235"/>
  <c r="F43" i="235"/>
  <c r="F32" i="235"/>
  <c r="F30" i="235"/>
  <c r="E51" i="235"/>
  <c r="E50" i="235"/>
  <c r="E49" i="235"/>
  <c r="E48" i="235"/>
  <c r="E47" i="235"/>
  <c r="E46" i="235"/>
  <c r="F46" i="235" s="1"/>
  <c r="E38" i="235"/>
  <c r="E37" i="235"/>
  <c r="E36" i="235"/>
  <c r="E35" i="235"/>
  <c r="E34" i="235"/>
  <c r="E33" i="235"/>
  <c r="F28" i="235"/>
  <c r="F24" i="235"/>
  <c r="F22" i="235"/>
  <c r="F21" i="235"/>
  <c r="F25" i="235"/>
  <c r="F19" i="235"/>
  <c r="F18" i="235"/>
  <c r="F16" i="235"/>
  <c r="F15" i="235"/>
  <c r="F36" i="235" l="1"/>
  <c r="F39" i="235"/>
  <c r="F40" i="235" s="1"/>
  <c r="F37" i="235"/>
  <c r="F38" i="235"/>
  <c r="F47" i="235"/>
  <c r="F49" i="235"/>
  <c r="F50" i="235"/>
  <c r="F51" i="235"/>
  <c r="F41" i="235"/>
  <c r="F44" i="235"/>
  <c r="F34" i="235"/>
  <c r="F33" i="235"/>
  <c r="F31" i="235"/>
  <c r="F27" i="235"/>
  <c r="F24" i="22"/>
  <c r="E25" i="22"/>
  <c r="F48" i="235" l="1"/>
  <c r="F35" i="235"/>
  <c r="F25" i="22"/>
  <c r="A3" i="186" l="1"/>
  <c r="G2" i="186"/>
  <c r="F43" i="186" l="1"/>
  <c r="E47" i="186"/>
  <c r="E46" i="186"/>
  <c r="E45" i="186"/>
  <c r="E44" i="186"/>
  <c r="E19" i="23" l="1"/>
  <c r="E18" i="23"/>
  <c r="E16" i="23"/>
  <c r="E14" i="23"/>
  <c r="E11" i="23"/>
  <c r="E10" i="23"/>
  <c r="H2" i="235" l="1"/>
  <c r="A1" i="235"/>
  <c r="F2" i="233"/>
  <c r="F58" i="235"/>
  <c r="F57" i="235"/>
  <c r="F56" i="235"/>
  <c r="F53" i="235"/>
  <c r="F13" i="235"/>
  <c r="F12" i="235"/>
  <c r="F11" i="235"/>
  <c r="F10" i="235"/>
  <c r="A3" i="235"/>
  <c r="E79" i="234"/>
  <c r="E52" i="234"/>
  <c r="E15" i="234"/>
  <c r="A3" i="234"/>
  <c r="G2" i="234"/>
  <c r="F26" i="22" l="1"/>
  <c r="F14" i="22"/>
  <c r="E13" i="23" l="1"/>
  <c r="E27" i="22" l="1"/>
  <c r="A1" i="186" l="1"/>
  <c r="F47" i="186"/>
  <c r="F42" i="186"/>
  <c r="F41" i="186"/>
  <c r="F32" i="186"/>
  <c r="E28" i="186"/>
  <c r="E24" i="186"/>
  <c r="E23" i="186"/>
  <c r="F30" i="186"/>
  <c r="F23" i="186" l="1"/>
  <c r="F9" i="186"/>
  <c r="F24" i="186"/>
  <c r="F16" i="186"/>
  <c r="F14" i="186"/>
  <c r="F15" i="186"/>
  <c r="F13" i="186"/>
  <c r="F25" i="186"/>
  <c r="F44" i="186"/>
  <c r="F28" i="186"/>
  <c r="F29" i="186"/>
  <c r="F46" i="186"/>
  <c r="F20" i="186"/>
  <c r="F18" i="186"/>
  <c r="F21" i="186"/>
  <c r="F45" i="186"/>
  <c r="F19" i="186" l="1"/>
  <c r="I10" i="114" l="1"/>
  <c r="I9" i="113" l="1"/>
  <c r="A3" i="113" l="1"/>
  <c r="F2" i="113"/>
  <c r="E11" i="22" l="1"/>
  <c r="E10" i="22"/>
  <c r="F2" i="1" l="1"/>
  <c r="F27" i="22" l="1"/>
  <c r="F12" i="22"/>
  <c r="F17" i="22"/>
  <c r="F28" i="22" l="1"/>
  <c r="F19" i="22"/>
  <c r="F31" i="22" s="1"/>
  <c r="F32" i="22" s="1"/>
  <c r="E30" i="22" l="1"/>
  <c r="C14" i="114" l="1"/>
  <c r="C12" i="114"/>
  <c r="F2" i="12" l="1"/>
  <c r="B3" i="12"/>
  <c r="G2" i="23"/>
  <c r="G2" i="22"/>
  <c r="A3" i="23"/>
  <c r="E29" i="22" l="1"/>
  <c r="E23" i="22" l="1"/>
  <c r="E22" i="22"/>
  <c r="E21" i="22"/>
  <c r="E20" i="22"/>
  <c r="E16" i="22"/>
  <c r="E15" i="22"/>
  <c r="E18" i="22" l="1"/>
  <c r="E13" i="22"/>
  <c r="A3" i="22"/>
  <c r="F14" i="23" l="1"/>
  <c r="F10" i="23"/>
  <c r="F11" i="23"/>
  <c r="F13" i="23"/>
  <c r="F19" i="23" l="1"/>
  <c r="F18" i="23"/>
  <c r="F16" i="23"/>
  <c r="F29" i="22" l="1"/>
  <c r="F30" i="22"/>
  <c r="F20" i="22" l="1"/>
  <c r="F21" i="22"/>
  <c r="F23" i="22"/>
  <c r="F22" i="22"/>
  <c r="F18" i="22"/>
  <c r="F13" i="22"/>
  <c r="F15" i="22" l="1"/>
  <c r="F16" i="22"/>
  <c r="I10" i="12" l="1"/>
  <c r="F10" i="22"/>
  <c r="F11" i="22"/>
  <c r="I9" i="12" l="1"/>
  <c r="I11" i="12" s="1"/>
  <c r="I9" i="1" l="1"/>
  <c r="I10" i="113" l="1"/>
  <c r="I9" i="114" l="1"/>
  <c r="I10" i="1"/>
  <c r="I8" i="114" l="1"/>
  <c r="I11" i="114" l="1"/>
  <c r="I12" i="114" s="1"/>
  <c r="I13" i="114" s="1"/>
  <c r="I14" i="114" s="1"/>
  <c r="I15" i="114" s="1"/>
</calcChain>
</file>

<file path=xl/sharedStrings.xml><?xml version="1.0" encoding="utf-8"?>
<sst xmlns="http://schemas.openxmlformats.org/spreadsheetml/2006/main" count="741" uniqueCount="321">
  <si>
    <t>ხარჯთაღრიცხვის დასახელება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</si>
  <si>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</si>
  <si>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</si>
  <si>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</si>
  <si>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 ხარჯები</t>
  </si>
  <si>
    <t>სულ</t>
  </si>
  <si>
    <t>ხელფასი (ათ. ლარი)</t>
  </si>
  <si>
    <t>ხარჯთაღრიცხვა N</t>
  </si>
  <si>
    <t>სახარჯთაღრიცხვო ღირებუება (ათასი ლარი)</t>
  </si>
  <si>
    <t>ჯამი</t>
  </si>
  <si>
    <t>განმარტებითი ბარათი</t>
  </si>
  <si>
    <t xml:space="preserve">ხარჯთაღრიცხვა შედგენილია საქართველოს ეკონომიკისა და მდგრადი განვითარების სამინისტროს ბრძანება N 1-1/251-ის (2011 წ. 18 თებერვლის) და 1984 წლის სამშენებლო ნორმების საფუძველზე </t>
  </si>
  <si>
    <t>ხარჯთაღრიცხვაში გათვალისწინებულია</t>
  </si>
  <si>
    <t>ზედნადები ხარჯები</t>
  </si>
  <si>
    <t xml:space="preserve">სამშენებლო სამუშაოებზე </t>
  </si>
  <si>
    <t xml:space="preserve">ბურღვით და ბურღვა აფეთქებით სამუშაოებზე </t>
  </si>
  <si>
    <t xml:space="preserve">ლითონკონსტრუქციების სამუშაოებზე </t>
  </si>
  <si>
    <t xml:space="preserve">ელექტრო-სამონტაჟო სამუშაოებზე </t>
  </si>
  <si>
    <t>შიდა სანტექნიკური სამუშაოებზე</t>
  </si>
  <si>
    <t>სუსტი დენის ქსელის სამუშაოებზე</t>
  </si>
  <si>
    <t>დანადგარების და მოწყობილობების სამუშაოებზე</t>
  </si>
  <si>
    <t>რადიო-სატელევიზიო, ვიდეომეთვალყურეობისა და ელექტრონული მოწყობილობების მონტაჟის სამუშაოებზე</t>
  </si>
  <si>
    <t>გაუთვალისწინებელი ხარჯი</t>
  </si>
  <si>
    <t>დამატებითი ღირებულების გადასახადი დღგ.</t>
  </si>
  <si>
    <t>სახარჯთაღრიცხვო დოკუმენტაცია საბაზრო ურთიერთობათა პირობებში განსაზღვრავს მშენებლობის წინასწარ ღირებულებას და არ წარმოადგენს გადახდის საშუალებას</t>
  </si>
  <si>
    <t>ანგარიშწორება ხდება ფაქტიური დანახარჯების მიხედვით, სათანადო დოკუმენტაციის წარდგენით</t>
  </si>
  <si>
    <t>B-1</t>
  </si>
  <si>
    <t>B-1.1</t>
  </si>
  <si>
    <t>kac/sT</t>
  </si>
  <si>
    <t>man/sT</t>
  </si>
  <si>
    <t>m3</t>
  </si>
  <si>
    <t>lari</t>
  </si>
  <si>
    <t>1-31-3</t>
  </si>
  <si>
    <t>N</t>
  </si>
  <si>
    <t>შიფრი</t>
  </si>
  <si>
    <t>სამუშაოს დასახელება</t>
  </si>
  <si>
    <t>განზომილება</t>
  </si>
  <si>
    <t>ნორმა</t>
  </si>
  <si>
    <t>რაოდენობა</t>
  </si>
  <si>
    <t>მასალები</t>
  </si>
  <si>
    <t>ხელფასი</t>
  </si>
  <si>
    <t>მანქანა მექანიზმები</t>
  </si>
  <si>
    <t>ერთ.ფასი</t>
  </si>
  <si>
    <t>(ლარი)</t>
  </si>
  <si>
    <t>შრ. დანახარჯი</t>
  </si>
  <si>
    <t>სხვა მანქანები</t>
  </si>
  <si>
    <t>მიწის სამუშაოები</t>
  </si>
  <si>
    <t>ღორღი</t>
  </si>
  <si>
    <t>1-80-3</t>
  </si>
  <si>
    <t>შრომის დანახარჯი</t>
  </si>
  <si>
    <t>მ3</t>
  </si>
  <si>
    <t>სხვა მასალა</t>
  </si>
  <si>
    <t>ტ</t>
  </si>
  <si>
    <t xml:space="preserve">მასალის ტრანსპორტირება </t>
  </si>
  <si>
    <t>ზედნადები ხარჯი</t>
  </si>
  <si>
    <t>გეგმიური დაგროება</t>
  </si>
  <si>
    <t>სულ ჯამი</t>
  </si>
  <si>
    <t>კრებსითი ხარჯთაღრიცხვა #</t>
  </si>
  <si>
    <t xml:space="preserve">ლოკალური ხარჯთაღრიცხვა # </t>
  </si>
  <si>
    <t>IV კატ. გრუნტის დამუშავება ექსკავატორით ჩამჩით 0.5მ3  ადგილზე დაყრით</t>
  </si>
  <si>
    <t xml:space="preserve">ექსკავატორი ჩამჩის მოც. 0,5-მ3, </t>
  </si>
  <si>
    <t>IV გრუნტის დამუშავება ხელით მექანიზმის შემდეგ</t>
  </si>
  <si>
    <t>გრუნტის დატვირთვა ექსკავატორით ავტოთვითმცლელზე</t>
  </si>
  <si>
    <t>ექსკავატორი 0.5მ3</t>
  </si>
  <si>
    <t>ბულდოზერი 80 ცხ.ძ</t>
  </si>
  <si>
    <t>გრუნტის დატკეპნა პნევმოსატკეპნით</t>
  </si>
  <si>
    <t>კაც/სთ</t>
  </si>
  <si>
    <t>მან/სთ</t>
  </si>
  <si>
    <t>მ/სთ</t>
  </si>
  <si>
    <t>მანქ/სთ</t>
  </si>
  <si>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</si>
  <si>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</si>
  <si>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</si>
  <si>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</si>
  <si>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</si>
  <si>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</si>
  <si>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</si>
  <si>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</si>
  <si>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</si>
  <si>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</si>
  <si>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1-80-4</t>
  </si>
  <si>
    <t>III კატ გრუნტის დამუშავება ხელით მექანიზმის შემდეგ</t>
  </si>
  <si>
    <t>1-11-16</t>
  </si>
  <si>
    <t>1-22-16</t>
  </si>
  <si>
    <t>7</t>
  </si>
  <si>
    <t>1-118-11</t>
  </si>
  <si>
    <t>Sromis danaxarji</t>
  </si>
  <si>
    <t>manqanebi</t>
  </si>
  <si>
    <t>resursebi</t>
  </si>
  <si>
    <t>sxva masala</t>
  </si>
  <si>
    <t>wyali</t>
  </si>
  <si>
    <t>m</t>
  </si>
  <si>
    <t>22-20-2</t>
  </si>
  <si>
    <t>SromiTi resursebi</t>
  </si>
  <si>
    <t>sxva manqanebi</t>
  </si>
  <si>
    <t>c</t>
  </si>
  <si>
    <t>k/sT</t>
  </si>
  <si>
    <t>t</t>
  </si>
  <si>
    <t>sxva masalebi</t>
  </si>
  <si>
    <t>l</t>
  </si>
  <si>
    <t>kg</t>
  </si>
  <si>
    <t>პნევმოსატკეპნი მოძრავ კომპრესორზე</t>
  </si>
  <si>
    <t>B-1.1.1</t>
  </si>
  <si>
    <t>B-1.1.2</t>
  </si>
  <si>
    <t>Sromis danaxarjebi</t>
  </si>
  <si>
    <t xml:space="preserve">sxva manqana </t>
  </si>
  <si>
    <t xml:space="preserve"> </t>
  </si>
  <si>
    <t>ც</t>
  </si>
  <si>
    <t>22-29-4</t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</si>
  <si>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</si>
  <si>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</si>
  <si>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</si>
  <si>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</si>
  <si>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</si>
  <si>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</si>
  <si>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</si>
  <si>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</si>
  <si>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#</t>
  </si>
  <si>
    <t>jami</t>
  </si>
  <si>
    <t>6-1-1</t>
  </si>
  <si>
    <t>manq/sT</t>
  </si>
  <si>
    <t>m2</t>
  </si>
  <si>
    <t>B-2</t>
  </si>
  <si>
    <t>zeTovani saRebavi</t>
  </si>
  <si>
    <t>grZ.m.</t>
  </si>
  <si>
    <t>pr</t>
  </si>
  <si>
    <t>22-22-5</t>
  </si>
  <si>
    <t xml:space="preserve">1-80-7 </t>
  </si>
  <si>
    <t xml:space="preserve">III kategoriis gruntis damuSaveba xeliT 40*40*60sm </t>
  </si>
  <si>
    <t xml:space="preserve">III kategoriis gruntis damuSaveba xeliT lenturi saZirkvlisTvis </t>
  </si>
  <si>
    <t xml:space="preserve">betonis saZirkvlis mowyoba SemoRobvis boZebisTvis m-150 mowtoba  40X40X60 sm </t>
  </si>
  <si>
    <t>betoni m-150</t>
  </si>
  <si>
    <t>betonis saZirkvlis da zeZirkvlis mowyoba SemoRobvis boZebisTvis m-150 mowtoba</t>
  </si>
  <si>
    <t>7-21-4.</t>
  </si>
  <si>
    <t>Robis mowyoba, daWimuli mavTulbadis segmentebiT</t>
  </si>
  <si>
    <t>amwe 10t TviTmavali</t>
  </si>
  <si>
    <t>glinula d-6 mm</t>
  </si>
  <si>
    <t>samontaJo detalebi</t>
  </si>
  <si>
    <t>7-22-8</t>
  </si>
  <si>
    <t>WiSkarisa da kutikaris damzadeba da montaJi</t>
  </si>
  <si>
    <t xml:space="preserve"> Sromis danaxarji </t>
  </si>
  <si>
    <t>kuTxovana 45X45X4</t>
  </si>
  <si>
    <t>armatura</t>
  </si>
  <si>
    <t>saketi</t>
  </si>
  <si>
    <t>anjama</t>
  </si>
  <si>
    <t xml:space="preserve">sxva manqanebi </t>
  </si>
  <si>
    <t xml:space="preserve">sxva masalebi  </t>
  </si>
  <si>
    <t xml:space="preserve">15-164-8          </t>
  </si>
  <si>
    <t xml:space="preserve">liTonis Robis SeRebva zeTis saRebaviT </t>
  </si>
  <si>
    <t>6-31-5</t>
  </si>
  <si>
    <t>6-31-6</t>
  </si>
  <si>
    <t>III კატ. გრუნტის დამუშავება ექსკავატორით ჩამჩით 0.5 მ3  ადგილზე დაყრით</t>
  </si>
  <si>
    <t>B-2.1.1</t>
  </si>
  <si>
    <t>B-2.1.2</t>
  </si>
  <si>
    <t>B-3</t>
  </si>
  <si>
    <t>liTonis d 76 mm სამკაპის (fasonuri detalebis) შეძენა და მონტაჟი</t>
  </si>
  <si>
    <t>liTonis d 76 mm მუხლი (fasonuri detalebis) 90 გრადუსიანი შეძენა და მონტაჟი</t>
  </si>
  <si>
    <t>liTonis 76 მმ მუხლის antikoroziuli izoliaciiT zeTovani saRebaviT (sasurvelia ლურჯი feri)</t>
  </si>
  <si>
    <t xml:space="preserve">წყალმომარაგების მაგისტრალური მილსადენი და  გამანაწილებელი ქსელი </t>
  </si>
  <si>
    <t>1-11-.15</t>
  </si>
  <si>
    <t>gv.11-43</t>
  </si>
  <si>
    <t>სამკაპი 76X76X76 მმ</t>
  </si>
  <si>
    <t>მუხლი 90 გრად. 76X76 მმ</t>
  </si>
  <si>
    <t xml:space="preserve">1-80-3 </t>
  </si>
  <si>
    <t>liTonis kvadratuli mili 60X60X3 mm</t>
  </si>
  <si>
    <t>გვ.11-37</t>
  </si>
  <si>
    <t>olifa</t>
  </si>
  <si>
    <t>13-15-6</t>
  </si>
  <si>
    <t>gamxsneli</t>
  </si>
  <si>
    <t>kg.</t>
  </si>
  <si>
    <t>ლითონის ბადე დ=3,0 მმ უჯრედის ზომით 50X50 მმ</t>
  </si>
  <si>
    <t>liTonis mili 60.3/4 მმ</t>
  </si>
  <si>
    <t>furclovana 2,5 მმ</t>
  </si>
  <si>
    <t>15-164-7</t>
  </si>
  <si>
    <t>B-2.1</t>
  </si>
  <si>
    <t>zeTovani saRebavis gamxsneli</t>
  </si>
  <si>
    <t>B</t>
  </si>
  <si>
    <t>გვ.41-61</t>
  </si>
  <si>
    <t>ერთეული ფასები შედგენილია 2020 წლის I კვარტლის სამშენებლო რესურსების ფასების მიხედვით და დღევანდელი საბაზრო ფასებით იმ მასალებზე რომლებიც არ არის სამშენებლო რეხურსების ფასების კრებულში და ხელფასებზე.</t>
  </si>
  <si>
    <t xml:space="preserve">არსებული გრუნტით თხრილის შევსება ბულდოზერით  80ცხ.ძ/. </t>
  </si>
  <si>
    <t>წყალმომარაგების მაგისტრალური მილი</t>
  </si>
  <si>
    <t xml:space="preserve"> N</t>
  </si>
  <si>
    <t>sasmeli wylis rezervuari  V=25.0 m3</t>
  </si>
  <si>
    <t>sasmeli wylis rezervuari  ტექნოლოგია</t>
  </si>
  <si>
    <t>ss daw</t>
  </si>
  <si>
    <t>samuSaos dasaxeleba</t>
  </si>
  <si>
    <t>ganz.</t>
  </si>
  <si>
    <t>raod</t>
  </si>
  <si>
    <t>masala</t>
  </si>
  <si>
    <t>xelfasi</t>
  </si>
  <si>
    <t>meqanizmi</t>
  </si>
  <si>
    <t>norm. erT.</t>
  </si>
  <si>
    <t>erT. Ffasi</t>
  </si>
  <si>
    <t>IV kat. gruntis damuSaveba eqskavatoriT cicx. tevadobiT 0.5 m3 gruntis adgilze dayriT</t>
  </si>
  <si>
    <t xml:space="preserve">eqskavatori CamCis moc. 0,5-m3, </t>
  </si>
  <si>
    <t xml:space="preserve">1-80-4 </t>
  </si>
  <si>
    <t>IV kat. gruntis damuSaveba xeliT</t>
  </si>
  <si>
    <t>1-31-6;16</t>
  </si>
  <si>
    <t>III kat. gruntis ukuCa-yra da gadaadgileba adgilze gaSliT buldozeriT 30 m-ze</t>
  </si>
  <si>
    <t>buldozeri 130 cx.Z. (5.13+2X2.04)=9,21</t>
  </si>
  <si>
    <t>betonis momzadeba saZirkvlis qveS</t>
  </si>
  <si>
    <t>6-1-19</t>
  </si>
  <si>
    <t xml:space="preserve">monoliTuri rkina betonis saZirkvlis mowyoba </t>
  </si>
  <si>
    <t>armatura a-III</t>
  </si>
  <si>
    <t>yalibis fari</t>
  </si>
  <si>
    <t>9-21-1</t>
  </si>
  <si>
    <t>kac.sT</t>
  </si>
  <si>
    <t>14-52</t>
  </si>
  <si>
    <t>amwe muxluxa 25t</t>
  </si>
  <si>
    <t>samontaJo konstruqciebi</t>
  </si>
  <si>
    <t>eleqtrodi</t>
  </si>
  <si>
    <t>26-4-3</t>
  </si>
  <si>
    <t>wylis rezervuaris Tboizolacia minabambiT sisqiT 5 sm.</t>
  </si>
  <si>
    <t xml:space="preserve">minabamba folgiani </t>
  </si>
  <si>
    <t>srf 1,9-3</t>
  </si>
  <si>
    <t>moqsovili liTonis bade #10-12 (mavTuli Ø1.2mm. bijiT 10mm.)</t>
  </si>
  <si>
    <t>26-11-6</t>
  </si>
  <si>
    <t>kac. sT</t>
  </si>
  <si>
    <t>moTuTiebuli loiTonis samontaJo elementebi</t>
  </si>
  <si>
    <t>rezervuaris gamocda wyalgauvalobaze</t>
  </si>
  <si>
    <t>kiriani qlori</t>
  </si>
  <si>
    <t>liTonis konstruqciebis mogruntva</t>
  </si>
  <si>
    <t>antikoroziuli sagrunti</t>
  </si>
  <si>
    <t>13-18-18</t>
  </si>
  <si>
    <t>liTonis konstruqciebis da milebis SeRebva antikoroziuli saRebaviT</t>
  </si>
  <si>
    <t xml:space="preserve">antikoroziuli saRebavi "suriki"        </t>
  </si>
  <si>
    <t>satransporto xarjebi 5%</t>
  </si>
  <si>
    <t>zednadebi xarjebi 10%</t>
  </si>
  <si>
    <t>jami:</t>
  </si>
  <si>
    <t>gegmiuri dagroveba 8%</t>
  </si>
  <si>
    <t>sul:</t>
  </si>
  <si>
    <t>16-8-3</t>
  </si>
  <si>
    <t>grZ/m</t>
  </si>
  <si>
    <t xml:space="preserve">SromiTi resursebi </t>
  </si>
  <si>
    <t>sxvadasxva manqanebi</t>
  </si>
  <si>
    <t>gr. mM</t>
  </si>
  <si>
    <t>sxvadasxva masalebi</t>
  </si>
  <si>
    <t xml:space="preserve">foladis wyalsadenis  milebis Tboizolacia                   </t>
  </si>
  <si>
    <t>minabamba folgiani</t>
  </si>
  <si>
    <t>რეზერუარის შემოღობვა</t>
  </si>
  <si>
    <t>რეზერვუარი</t>
  </si>
  <si>
    <r>
      <t xml:space="preserve">miltuCi WanWikiT (flaneci) paroniti </t>
    </r>
    <r>
      <rPr>
        <sz val="9"/>
        <color theme="1"/>
        <rFont val="Arial"/>
        <family val="2"/>
        <charset val="204"/>
      </rPr>
      <t>d</t>
    </r>
    <r>
      <rPr>
        <sz val="9"/>
        <color theme="1"/>
        <rFont val="AcadNusx"/>
      </rPr>
      <t>=80 მმ</t>
    </r>
  </si>
  <si>
    <r>
      <t>რეზერვუარები 25 მ</t>
    </r>
    <r>
      <rPr>
        <vertAlign val="superscript"/>
        <sz val="9"/>
        <rFont val="Sylfaen"/>
        <family val="1"/>
        <charset val="204"/>
      </rPr>
      <t>3</t>
    </r>
  </si>
  <si>
    <r>
      <t>xarjTaRricxvis</t>
    </r>
    <r>
      <rPr>
        <b/>
        <sz val="9"/>
        <rFont val="Academiuri Normaluri"/>
      </rPr>
      <t xml:space="preserve"> N</t>
    </r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</si>
  <si>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</si>
  <si>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</si>
  <si>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</si>
  <si>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2</t>
    </r>
  </si>
  <si>
    <t>milebis gamorecxva da dezinfeqcia d-75 mm</t>
  </si>
  <si>
    <t>22-8-3.</t>
  </si>
  <si>
    <t>წყალსადენის მაგისტრალური მილსადენის მოწყობა</t>
  </si>
  <si>
    <t xml:space="preserve">Tujis urduli d=65 mm montaJi </t>
  </si>
  <si>
    <r>
      <t>Tujis urduli d=65 mm</t>
    </r>
    <r>
      <rPr>
        <sz val="9"/>
        <color theme="1"/>
        <rFont val="არიალ"/>
        <charset val="204"/>
      </rPr>
      <t xml:space="preserve"> PN-10</t>
    </r>
  </si>
  <si>
    <t>22-24-2.</t>
  </si>
  <si>
    <t>rezervuarze damcavi fenis mowyoba Txel rulovani moTuTiebuli liToniT</t>
  </si>
  <si>
    <t>rezervuaris dezimfeqcia sasmeli wylisTvis</t>
  </si>
  <si>
    <r>
      <t xml:space="preserve">foladis el. SeduRebis milebis mowyoba  </t>
    </r>
    <r>
      <rPr>
        <b/>
        <sz val="9"/>
        <rFont val="Symbol"/>
        <family val="1"/>
        <charset val="2"/>
      </rPr>
      <t>Æ 76</t>
    </r>
    <r>
      <rPr>
        <b/>
        <sz val="9"/>
        <rFont val="AcadNusx"/>
      </rPr>
      <t xml:space="preserve"> მმ </t>
    </r>
    <r>
      <rPr>
        <sz val="12"/>
        <rFont val="Symbol"/>
        <family val="1"/>
        <charset val="2"/>
      </rPr>
      <t/>
    </r>
  </si>
  <si>
    <r>
      <t xml:space="preserve">foladis el. SeduRebis mili </t>
    </r>
    <r>
      <rPr>
        <sz val="9"/>
        <rFont val="Symbol"/>
        <family val="1"/>
        <charset val="2"/>
      </rPr>
      <t xml:space="preserve">Æ 76 </t>
    </r>
    <r>
      <rPr>
        <sz val="9"/>
        <rFont val="AcadNusx"/>
      </rPr>
      <t xml:space="preserve">X4 </t>
    </r>
  </si>
  <si>
    <t>liTonis 76 მმ სამკაპის antikoroziuli izoliaciiT zeTovani saRebaviT (sasurvelia lurji feri)</t>
  </si>
  <si>
    <t>6</t>
  </si>
  <si>
    <t>1-81-3</t>
  </si>
  <si>
    <t>ამოღებული გრუნტის გაცრა და მილის შეფუთვა დატკეპნით. მილის ქვეშ და ზემოთ დამცავი საფარის 10+20 სმ. შესაქმნელად</t>
  </si>
  <si>
    <t>8-3-2,</t>
  </si>
  <si>
    <t>RorRi</t>
  </si>
  <si>
    <t xml:space="preserve">RorRis fenilis mowyoba rezervuaris ZirSi </t>
  </si>
  <si>
    <t>miltuCi WanWikiT (flaneci) da paronitis შეძენა და მონტაჟი დ=80 მმ</t>
  </si>
  <si>
    <t>ზედმეტი გრუნტის გატანა საშუალოდ 1-კმ-ზე</t>
  </si>
  <si>
    <t>xis Camoganili ficari 40-60 mm</t>
  </si>
  <si>
    <t>gv.47-24</t>
  </si>
  <si>
    <t>gv.39-14</t>
  </si>
  <si>
    <t>gv.39-32</t>
  </si>
  <si>
    <t>gv.62-616</t>
  </si>
  <si>
    <t>gv.54-163</t>
  </si>
  <si>
    <t>gv.58-379</t>
  </si>
  <si>
    <t>გვ.56-271</t>
  </si>
  <si>
    <t>გვ.32-234</t>
  </si>
  <si>
    <t>გვ.34-336</t>
  </si>
  <si>
    <t>გვ.130-44</t>
  </si>
  <si>
    <t>გვ.15-75</t>
  </si>
  <si>
    <t>გვ.1-28</t>
  </si>
  <si>
    <t>გვ.7-54</t>
  </si>
  <si>
    <t>გვ.5-16</t>
  </si>
  <si>
    <t>გვ.3-57</t>
  </si>
  <si>
    <t>გვ.1-30</t>
  </si>
  <si>
    <t>გვ.50-164</t>
  </si>
  <si>
    <t>გვ.50-158</t>
  </si>
  <si>
    <t>გვ.132-126</t>
  </si>
  <si>
    <t>გვ.32-247</t>
  </si>
  <si>
    <t>გვ.133-141</t>
  </si>
  <si>
    <t>გვ.138-344 გვ.131-113</t>
  </si>
  <si>
    <t>გვ.139-1</t>
  </si>
  <si>
    <t>გვ.18-71</t>
  </si>
  <si>
    <t>betoni В-20</t>
  </si>
  <si>
    <t>betoni В-7,5 მ-100</t>
  </si>
  <si>
    <t>ვიცი ა</t>
  </si>
  <si>
    <t>გვ.48-76</t>
  </si>
  <si>
    <t>gv.9-24</t>
  </si>
  <si>
    <t>moTuTiebuli Txelfurclovani liToni sisqiT 0.8 mm.</t>
  </si>
  <si>
    <t>gv.37-456</t>
  </si>
  <si>
    <t>gv.8-94</t>
  </si>
  <si>
    <t>gv.6-5</t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</si>
  <si>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</rPr>
      <t xml:space="preserve">-75 mm-mde hidravlikuri SemowmebiT </t>
    </r>
    <r>
      <rPr>
        <b/>
        <sz val="9"/>
        <rFont val="Calibri"/>
        <family val="2"/>
      </rPr>
      <t>PN-10 SDR 17 PN100</t>
    </r>
  </si>
  <si>
    <r>
      <t xml:space="preserve">mili </t>
    </r>
    <r>
      <rPr>
        <sz val="9"/>
        <rFont val="Calibri"/>
        <family val="2"/>
      </rPr>
      <t xml:space="preserve">PN10 SDR17 PE100 d=75 </t>
    </r>
    <r>
      <rPr>
        <sz val="9"/>
        <rFont val="AcadMtavr"/>
      </rPr>
      <t>mm</t>
    </r>
  </si>
  <si>
    <t>2,4</t>
  </si>
  <si>
    <t>42-14-2</t>
  </si>
  <si>
    <t>gabionis yuTebis montaJi (2X1X1);</t>
  </si>
  <si>
    <t>amwe tvirTamweobiT 16 tn-mde</t>
  </si>
  <si>
    <t>materialuri resursebi</t>
  </si>
  <si>
    <t>gabionis yuTi (2X1X1)</t>
  </si>
  <si>
    <t>6-11-10</t>
  </si>
  <si>
    <t>gabionebis Sesakravi mavTuli d=2.2mm</t>
  </si>
  <si>
    <t>tn</t>
  </si>
  <si>
    <t>muSa-mSeneblebis Sromis danaxarji</t>
  </si>
  <si>
    <t>memanqaneebis Sromis danaxarji</t>
  </si>
  <si>
    <t>mavTuli</t>
  </si>
  <si>
    <t>42-4-1</t>
  </si>
  <si>
    <t>qvis Cawyoba gabionebSi xeliT saS. 150mm</t>
  </si>
  <si>
    <t>qva zomiT saS. 15 sm</t>
  </si>
  <si>
    <t>გვ.127-57</t>
  </si>
  <si>
    <r>
      <t xml:space="preserve">liTonis avzis </t>
    </r>
    <r>
      <rPr>
        <b/>
        <sz val="9"/>
        <rFont val="Arial"/>
        <family val="2"/>
        <charset val="204"/>
      </rPr>
      <t>W</t>
    </r>
    <r>
      <rPr>
        <b/>
        <sz val="9"/>
        <rFont val="AcadNusx"/>
      </rPr>
      <t>=25m</t>
    </r>
    <r>
      <rPr>
        <b/>
        <vertAlign val="superscript"/>
        <sz val="9"/>
        <rFont val="AcadNusx"/>
      </rPr>
      <t>3</t>
    </r>
    <r>
      <rPr>
        <b/>
        <sz val="9"/>
        <rFont val="AcadNusx"/>
      </rPr>
      <t xml:space="preserve"> montaJi </t>
    </r>
  </si>
  <si>
    <t xml:space="preserve"> rezervuari (cisterna) V= 25m3 sasmeli wylis liTonis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</si>
</sst>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-* #,##0.00\ _₾_-;\-* #,##0.00\ _₾_-;_-* &quot;-&quot;??\ _₾_-;_-@_-"/>
    <numFmt numFmtId="166" formatCode="_-* #,##0.00\ _L_a_r_i_-;\-* #,##0.00\ _L_a_r_i_-;_-* &quot;-&quot;??\ _L_a_r_i_-;_-@_-"/>
    <numFmt numFmtId="167" formatCode="_-* #,##0.00_р_._-;\-* #,##0.00_р_._-;_-* &quot;-&quot;??_р_._-;_-@_-"/>
    <numFmt numFmtId="168" formatCode="0.0%"/>
    <numFmt numFmtId="169" formatCode="0.000"/>
    <numFmt numFmtId="170" formatCode="_(* #,##0.0_);_(* \(#,##0.0\);_(* &quot;-&quot;??_);_(@_)"/>
    <numFmt numFmtId="171" formatCode="_-* #,##0.000_р_._-;\-* #,##0.000_р_._-;_-* &quot;-&quot;???_р_._-;_-@_-"/>
    <numFmt numFmtId="172" formatCode="0.0"/>
    <numFmt numFmtId="173" formatCode="0.0000"/>
    <numFmt numFmtId="174" formatCode="_-* #,##0_р_._-;\-* #,##0_р_._-;_-* &quot;-&quot;??_р_._-;_-@_-"/>
    <numFmt numFmtId="175" formatCode="_-* #,##0.000_р_._-;\-* #,##0.000_р_._-;_-* &quot;-&quot;??_р_._-;_-@_-"/>
    <numFmt numFmtId="176" formatCode="0.00;[Red]0.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Sylfaen"/>
      <family val="1"/>
      <charset val="204"/>
    </font>
    <font>
      <sz val="12"/>
      <name val="Sylfaen"/>
      <family val="1"/>
      <charset val="204"/>
    </font>
    <font>
      <b/>
      <sz val="14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0"/>
      <name val="Arial Cyr"/>
      <charset val="1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theme="1"/>
      <name val="Sylfaen"/>
      <family val="1"/>
      <charset val="204"/>
    </font>
    <font>
      <sz val="9"/>
      <color theme="1"/>
      <name val="AcadNusx"/>
    </font>
    <font>
      <b/>
      <sz val="9"/>
      <name val="AcadNusx"/>
    </font>
    <font>
      <sz val="9"/>
      <name val="AcadNusx"/>
    </font>
    <font>
      <b/>
      <sz val="9"/>
      <name val="Symbol"/>
      <family val="1"/>
      <charset val="2"/>
    </font>
    <font>
      <sz val="12"/>
      <name val="Symbol"/>
      <family val="1"/>
      <charset val="2"/>
    </font>
    <font>
      <sz val="9"/>
      <name val="Symbol"/>
      <family val="1"/>
      <charset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Sylfaen"/>
      <family val="1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sz val="9"/>
      <color theme="1"/>
      <name val="AcadNusx"/>
    </font>
    <font>
      <b/>
      <u/>
      <sz val="9"/>
      <name val="Sylfae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AcadMtavr"/>
    </font>
    <font>
      <i/>
      <sz val="9"/>
      <color theme="1"/>
      <name val="AcadNusx"/>
    </font>
    <font>
      <sz val="9"/>
      <color theme="1"/>
      <name val="არიალ"/>
      <charset val="204"/>
    </font>
    <font>
      <vertAlign val="superscript"/>
      <sz val="9"/>
      <name val="Sylfaen"/>
      <family val="1"/>
      <charset val="204"/>
    </font>
    <font>
      <b/>
      <sz val="9"/>
      <name val="Academiuri Normaluri"/>
    </font>
    <font>
      <b/>
      <vertAlign val="superscript"/>
      <sz val="9"/>
      <name val="AcadNusx"/>
    </font>
    <font>
      <vertAlign val="superscript"/>
      <sz val="9"/>
      <name val="AcadNusx"/>
    </font>
    <font>
      <i/>
      <sz val="9"/>
      <name val="AcadNusx"/>
    </font>
    <font>
      <sz val="9"/>
      <color rgb="FFFF0000"/>
      <name val="AcadNusx"/>
    </font>
    <font>
      <b/>
      <sz val="10"/>
      <name val="Sylfaen"/>
      <family val="1"/>
      <charset val="204"/>
    </font>
    <font>
      <b/>
      <sz val="10"/>
      <name val="AcadNusx"/>
    </font>
    <font>
      <b/>
      <sz val="8"/>
      <name val="AcadNusx"/>
    </font>
    <font>
      <sz val="10"/>
      <name val="Sylfaen"/>
      <family val="1"/>
      <charset val="204"/>
    </font>
    <font>
      <sz val="10"/>
      <name val="AcadNusx"/>
    </font>
    <font>
      <sz val="8"/>
      <name val="AcadNusx"/>
    </font>
    <font>
      <sz val="9"/>
      <name val="AcadMtavr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12"/>
      <name val="AcadNusx"/>
    </font>
    <font>
      <sz val="12"/>
      <name val="AcadNusx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8" fillId="0" borderId="0" applyFont="0" applyFill="0" applyBorder="0" applyAlignment="0" applyProtection="0"/>
    <xf numFmtId="0" fontId="13" fillId="0" borderId="0"/>
    <xf numFmtId="0" fontId="6" fillId="0" borderId="0"/>
    <xf numFmtId="0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8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164" fontId="6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14" fillId="0" borderId="0"/>
    <xf numFmtId="0" fontId="16" fillId="0" borderId="0"/>
    <xf numFmtId="0" fontId="14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7" fillId="0" borderId="0"/>
    <xf numFmtId="9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</cellStyleXfs>
  <cellXfs count="496">
    <xf numFmtId="0" fontId="0" fillId="0" borderId="0" xfId="0"/>
    <xf numFmtId="0" fontId="10" fillId="0" borderId="0" xfId="2" applyFont="1" applyFill="1"/>
    <xf numFmtId="0" fontId="10" fillId="0" borderId="0" xfId="2" applyFont="1" applyFill="1" applyAlignment="1"/>
    <xf numFmtId="0" fontId="11" fillId="0" borderId="0" xfId="2" applyFont="1" applyFill="1"/>
    <xf numFmtId="0" fontId="10" fillId="0" borderId="0" xfId="4" applyFont="1" applyFill="1"/>
    <xf numFmtId="0" fontId="10" fillId="0" borderId="0" xfId="4" applyFont="1" applyFill="1" applyAlignment="1">
      <alignment horizontal="left" vertical="center" wrapText="1"/>
    </xf>
    <xf numFmtId="0" fontId="10" fillId="0" borderId="0" xfId="5" applyFont="1" applyFill="1"/>
    <xf numFmtId="0" fontId="10" fillId="0" borderId="0" xfId="4" applyFont="1" applyFill="1" applyAlignment="1">
      <alignment vertical="center" wrapText="1"/>
    </xf>
    <xf numFmtId="9" fontId="10" fillId="0" borderId="0" xfId="2" applyNumberFormat="1" applyFont="1" applyFill="1" applyAlignment="1"/>
    <xf numFmtId="9" fontId="10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168" fontId="10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left" wrapText="1"/>
    </xf>
    <xf numFmtId="0" fontId="10" fillId="0" borderId="0" xfId="2" applyFont="1" applyFill="1" applyAlignment="1">
      <alignment vertical="center" wrapText="1"/>
    </xf>
    <xf numFmtId="0" fontId="10" fillId="0" borderId="0" xfId="5" applyFont="1" applyFill="1" applyAlignment="1">
      <alignment vertical="center"/>
    </xf>
    <xf numFmtId="0" fontId="9" fillId="0" borderId="0" xfId="2" applyFont="1" applyFill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176" fontId="22" fillId="0" borderId="1" xfId="7" applyNumberFormat="1" applyFont="1" applyFill="1" applyBorder="1" applyAlignment="1">
      <alignment horizontal="center" vertical="center" wrapText="1"/>
    </xf>
    <xf numFmtId="0" fontId="23" fillId="0" borderId="1" xfId="42" applyNumberFormat="1" applyFont="1" applyFill="1" applyBorder="1" applyAlignment="1">
      <alignment horizontal="center" vertical="center"/>
    </xf>
    <xf numFmtId="169" fontId="23" fillId="0" borderId="1" xfId="42" applyNumberFormat="1" applyFont="1" applyFill="1" applyBorder="1" applyAlignment="1">
      <alignment horizontal="center" vertical="center"/>
    </xf>
    <xf numFmtId="0" fontId="22" fillId="0" borderId="1" xfId="42" applyNumberFormat="1" applyFont="1" applyFill="1" applyBorder="1" applyAlignment="1">
      <alignment horizontal="center" vertical="center"/>
    </xf>
    <xf numFmtId="49" fontId="22" fillId="0" borderId="1" xfId="42" applyNumberFormat="1" applyFont="1" applyFill="1" applyBorder="1" applyAlignment="1">
      <alignment horizontal="center" vertical="top" wrapText="1"/>
    </xf>
    <xf numFmtId="0" fontId="22" fillId="0" borderId="1" xfId="42" applyFont="1" applyFill="1" applyBorder="1" applyAlignment="1">
      <alignment horizontal="left" vertical="top" wrapText="1"/>
    </xf>
    <xf numFmtId="2" fontId="22" fillId="0" borderId="1" xfId="42" applyNumberFormat="1" applyFont="1" applyFill="1" applyBorder="1" applyAlignment="1">
      <alignment horizontal="center" vertical="center"/>
    </xf>
    <xf numFmtId="0" fontId="22" fillId="0" borderId="0" xfId="42" applyNumberFormat="1" applyFont="1" applyFill="1" applyAlignment="1">
      <alignment vertical="center"/>
    </xf>
    <xf numFmtId="49" fontId="23" fillId="0" borderId="1" xfId="42" applyNumberFormat="1" applyFont="1" applyFill="1" applyBorder="1" applyAlignment="1">
      <alignment horizontal="center" vertical="center"/>
    </xf>
    <xf numFmtId="0" fontId="23" fillId="0" borderId="1" xfId="42" applyFont="1" applyFill="1" applyBorder="1" applyAlignment="1">
      <alignment horizontal="left" vertical="top" wrapText="1"/>
    </xf>
    <xf numFmtId="0" fontId="23" fillId="0" borderId="1" xfId="42" applyFont="1" applyFill="1" applyBorder="1" applyAlignment="1">
      <alignment horizontal="center" vertical="top"/>
    </xf>
    <xf numFmtId="2" fontId="23" fillId="0" borderId="1" xfId="42" applyNumberFormat="1" applyFont="1" applyFill="1" applyBorder="1" applyAlignment="1">
      <alignment horizontal="center" vertical="center"/>
    </xf>
    <xf numFmtId="0" fontId="23" fillId="0" borderId="0" xfId="42" applyNumberFormat="1" applyFont="1" applyFill="1" applyAlignment="1">
      <alignment vertical="center"/>
    </xf>
    <xf numFmtId="0" fontId="23" fillId="0" borderId="1" xfId="7" applyFont="1" applyFill="1" applyBorder="1" applyAlignment="1">
      <alignment horizontal="center" vertical="center" wrapText="1"/>
    </xf>
    <xf numFmtId="49" fontId="22" fillId="0" borderId="1" xfId="7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wrapText="1"/>
    </xf>
    <xf numFmtId="0" fontId="23" fillId="0" borderId="1" xfId="7" applyFont="1" applyFill="1" applyBorder="1" applyAlignment="1">
      <alignment horizontal="center" vertical="center"/>
    </xf>
    <xf numFmtId="49" fontId="23" fillId="0" borderId="1" xfId="7" applyNumberFormat="1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vertical="center" wrapText="1"/>
    </xf>
    <xf numFmtId="2" fontId="23" fillId="0" borderId="1" xfId="7" applyNumberFormat="1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wrapText="1"/>
    </xf>
    <xf numFmtId="49" fontId="22" fillId="0" borderId="1" xfId="42" applyNumberFormat="1" applyFont="1" applyFill="1" applyBorder="1" applyAlignment="1">
      <alignment horizontal="center" vertical="center" wrapText="1"/>
    </xf>
    <xf numFmtId="2" fontId="22" fillId="0" borderId="1" xfId="42" applyNumberFormat="1" applyFont="1" applyFill="1" applyBorder="1" applyAlignment="1">
      <alignment horizontal="center" vertical="top" wrapText="1"/>
    </xf>
    <xf numFmtId="2" fontId="23" fillId="0" borderId="1" xfId="42" applyNumberFormat="1" applyFont="1" applyFill="1" applyBorder="1" applyAlignment="1">
      <alignment horizontal="center" vertical="top" wrapText="1"/>
    </xf>
    <xf numFmtId="0" fontId="29" fillId="0" borderId="0" xfId="0" applyFont="1"/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2" fontId="29" fillId="0" borderId="0" xfId="0" applyNumberFormat="1" applyFont="1"/>
    <xf numFmtId="0" fontId="31" fillId="0" borderId="4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1" fillId="0" borderId="4" xfId="0" applyFont="1" applyFill="1" applyBorder="1" applyAlignment="1">
      <alignment horizontal="left" vertical="center" wrapText="1"/>
    </xf>
    <xf numFmtId="9" fontId="31" fillId="0" borderId="6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31" fillId="0" borderId="0" xfId="3" applyFont="1" applyFill="1" applyAlignment="1">
      <alignment vertical="center" wrapText="1"/>
    </xf>
    <xf numFmtId="2" fontId="31" fillId="0" borderId="0" xfId="0" applyNumberFormat="1" applyFont="1" applyFill="1" applyAlignment="1">
      <alignment horizontal="center" vertical="center" wrapText="1"/>
    </xf>
    <xf numFmtId="167" fontId="31" fillId="0" borderId="0" xfId="0" applyNumberFormat="1" applyFont="1" applyFill="1" applyAlignment="1">
      <alignment vertical="center" wrapText="1"/>
    </xf>
    <xf numFmtId="167" fontId="31" fillId="0" borderId="0" xfId="0" applyNumberFormat="1" applyFont="1" applyFill="1" applyAlignment="1">
      <alignment horizontal="left" vertical="center" wrapText="1"/>
    </xf>
    <xf numFmtId="2" fontId="31" fillId="0" borderId="0" xfId="0" applyNumberFormat="1" applyFont="1" applyFill="1" applyAlignment="1">
      <alignment horizontal="center" vertical="center"/>
    </xf>
    <xf numFmtId="164" fontId="31" fillId="0" borderId="0" xfId="0" applyNumberFormat="1" applyFont="1" applyFill="1" applyAlignment="1">
      <alignment vertical="center"/>
    </xf>
    <xf numFmtId="0" fontId="31" fillId="0" borderId="0" xfId="0" applyFont="1" applyFill="1"/>
    <xf numFmtId="0" fontId="30" fillId="0" borderId="0" xfId="0" applyFont="1" applyFill="1"/>
    <xf numFmtId="2" fontId="30" fillId="0" borderId="0" xfId="0" applyNumberFormat="1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 applyAlignment="1"/>
    <xf numFmtId="0" fontId="29" fillId="0" borderId="9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165" fontId="31" fillId="0" borderId="0" xfId="1" applyFont="1" applyFill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23" fillId="0" borderId="0" xfId="7" applyFont="1" applyFill="1"/>
    <xf numFmtId="0" fontId="30" fillId="0" borderId="0" xfId="40" applyFont="1" applyFill="1" applyAlignment="1">
      <alignment vertical="center" shrinkToFit="1"/>
    </xf>
    <xf numFmtId="0" fontId="22" fillId="0" borderId="0" xfId="7" applyFont="1" applyFill="1"/>
    <xf numFmtId="0" fontId="22" fillId="0" borderId="1" xfId="42" applyFont="1" applyFill="1" applyBorder="1" applyAlignment="1">
      <alignment horizontal="center" vertical="center" wrapText="1"/>
    </xf>
    <xf numFmtId="0" fontId="27" fillId="0" borderId="0" xfId="7" applyFont="1" applyFill="1"/>
    <xf numFmtId="0" fontId="23" fillId="0" borderId="1" xfId="42" applyFont="1" applyFill="1" applyBorder="1" applyAlignment="1">
      <alignment vertical="center" wrapText="1"/>
    </xf>
    <xf numFmtId="0" fontId="23" fillId="0" borderId="1" xfId="42" applyFont="1" applyFill="1" applyBorder="1" applyAlignment="1">
      <alignment horizontal="center" vertical="center"/>
    </xf>
    <xf numFmtId="49" fontId="32" fillId="0" borderId="1" xfId="42" applyNumberFormat="1" applyFont="1" applyFill="1" applyBorder="1" applyAlignment="1">
      <alignment horizontal="center" vertical="center" wrapText="1"/>
    </xf>
    <xf numFmtId="2" fontId="23" fillId="0" borderId="1" xfId="42" applyNumberFormat="1" applyFont="1" applyFill="1" applyBorder="1" applyAlignment="1">
      <alignment horizontal="center" vertical="center" wrapText="1"/>
    </xf>
    <xf numFmtId="0" fontId="23" fillId="0" borderId="0" xfId="7" applyFont="1" applyFill="1" applyAlignment="1">
      <alignment vertical="center"/>
    </xf>
    <xf numFmtId="2" fontId="21" fillId="0" borderId="1" xfId="7" applyNumberFormat="1" applyFont="1" applyFill="1" applyBorder="1" applyAlignment="1">
      <alignment horizontal="center" vertical="center" wrapText="1"/>
    </xf>
    <xf numFmtId="2" fontId="21" fillId="0" borderId="1" xfId="7" applyNumberFormat="1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vertical="center" wrapText="1"/>
    </xf>
    <xf numFmtId="0" fontId="23" fillId="0" borderId="1" xfId="40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 wrapText="1"/>
    </xf>
    <xf numFmtId="2" fontId="23" fillId="0" borderId="1" xfId="7" applyNumberFormat="1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vertical="center" wrapText="1"/>
    </xf>
    <xf numFmtId="0" fontId="22" fillId="0" borderId="1" xfId="42" applyFont="1" applyFill="1" applyBorder="1" applyAlignment="1">
      <alignment horizontal="left" vertical="center" wrapText="1"/>
    </xf>
    <xf numFmtId="0" fontId="23" fillId="0" borderId="1" xfId="42" applyFont="1" applyFill="1" applyBorder="1" applyAlignment="1">
      <alignment horizontal="left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2" fillId="0" borderId="0" xfId="42" applyFont="1" applyFill="1"/>
    <xf numFmtId="172" fontId="21" fillId="0" borderId="1" xfId="7" applyNumberFormat="1" applyFont="1" applyFill="1" applyBorder="1" applyAlignment="1">
      <alignment horizontal="center" vertical="center"/>
    </xf>
    <xf numFmtId="0" fontId="20" fillId="0" borderId="1" xfId="17" applyFont="1" applyFill="1" applyBorder="1" applyAlignment="1">
      <alignment horizontal="center" vertical="center"/>
    </xf>
    <xf numFmtId="49" fontId="32" fillId="0" borderId="1" xfId="22" applyNumberFormat="1" applyFont="1" applyFill="1" applyBorder="1" applyAlignment="1">
      <alignment horizontal="center" vertical="center" wrapText="1"/>
    </xf>
    <xf numFmtId="0" fontId="32" fillId="0" borderId="1" xfId="23" applyNumberFormat="1" applyFont="1" applyFill="1" applyBorder="1" applyAlignment="1">
      <alignment horizontal="left" vertical="center" wrapText="1"/>
    </xf>
    <xf numFmtId="0" fontId="32" fillId="0" borderId="1" xfId="22" applyFont="1" applyFill="1" applyBorder="1" applyAlignment="1">
      <alignment horizontal="center" vertical="center"/>
    </xf>
    <xf numFmtId="2" fontId="32" fillId="0" borderId="1" xfId="22" applyNumberFormat="1" applyFont="1" applyFill="1" applyBorder="1" applyAlignment="1">
      <alignment horizontal="center" vertical="center"/>
    </xf>
    <xf numFmtId="0" fontId="21" fillId="0" borderId="1" xfId="22" applyFont="1" applyFill="1" applyBorder="1" applyAlignment="1">
      <alignment horizontal="center" vertical="center"/>
    </xf>
    <xf numFmtId="2" fontId="21" fillId="0" borderId="1" xfId="22" applyNumberFormat="1" applyFont="1" applyFill="1" applyBorder="1" applyAlignment="1">
      <alignment horizontal="center" vertical="center"/>
    </xf>
    <xf numFmtId="0" fontId="21" fillId="0" borderId="1" xfId="22" applyFont="1" applyFill="1" applyBorder="1" applyAlignment="1">
      <alignment vertical="center"/>
    </xf>
    <xf numFmtId="0" fontId="20" fillId="0" borderId="1" xfId="17" applyFont="1" applyFill="1" applyBorder="1" applyAlignment="1">
      <alignment horizontal="center" vertical="center" wrapText="1"/>
    </xf>
    <xf numFmtId="0" fontId="21" fillId="0" borderId="1" xfId="22" applyFont="1" applyFill="1" applyBorder="1" applyAlignment="1">
      <alignment vertical="center" wrapText="1"/>
    </xf>
    <xf numFmtId="2" fontId="21" fillId="0" borderId="1" xfId="22" applyNumberFormat="1" applyFont="1" applyFill="1" applyBorder="1" applyAlignment="1">
      <alignment vertical="center"/>
    </xf>
    <xf numFmtId="173" fontId="21" fillId="0" borderId="1" xfId="22" applyNumberFormat="1" applyFont="1" applyFill="1" applyBorder="1" applyAlignment="1">
      <alignment horizontal="center" vertical="center"/>
    </xf>
    <xf numFmtId="169" fontId="21" fillId="0" borderId="1" xfId="22" applyNumberFormat="1" applyFont="1" applyFill="1" applyBorder="1" applyAlignment="1">
      <alignment horizontal="center" vertical="center"/>
    </xf>
    <xf numFmtId="0" fontId="32" fillId="0" borderId="1" xfId="22" applyFont="1" applyFill="1" applyBorder="1" applyAlignment="1">
      <alignment horizontal="left" vertical="center" wrapText="1"/>
    </xf>
    <xf numFmtId="169" fontId="32" fillId="0" borderId="1" xfId="22" applyNumberFormat="1" applyFont="1" applyFill="1" applyBorder="1" applyAlignment="1">
      <alignment horizontal="center" vertical="center"/>
    </xf>
    <xf numFmtId="2" fontId="21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 applyAlignment="1">
      <alignment horizontal="left" vertical="center" wrapText="1"/>
    </xf>
    <xf numFmtId="1" fontId="21" fillId="0" borderId="1" xfId="22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32" fillId="0" borderId="1" xfId="2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165" fontId="20" fillId="0" borderId="0" xfId="1" applyFont="1"/>
    <xf numFmtId="2" fontId="30" fillId="0" borderId="1" xfId="1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4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top" wrapText="1"/>
    </xf>
    <xf numFmtId="0" fontId="21" fillId="0" borderId="1" xfId="3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left" vertical="top" wrapText="1"/>
    </xf>
    <xf numFmtId="2" fontId="36" fillId="0" borderId="1" xfId="0" applyNumberFormat="1" applyFont="1" applyFill="1" applyBorder="1" applyAlignment="1">
      <alignment horizontal="left" vertical="top" wrapText="1"/>
    </xf>
    <xf numFmtId="0" fontId="32" fillId="0" borderId="1" xfId="0" quotePrefix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23" fillId="0" borderId="0" xfId="42" applyFont="1" applyFill="1" applyAlignment="1">
      <alignment vertical="center"/>
    </xf>
    <xf numFmtId="0" fontId="23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center" wrapText="1"/>
    </xf>
    <xf numFmtId="0" fontId="22" fillId="0" borderId="0" xfId="42" applyFont="1" applyFill="1" applyBorder="1" applyAlignment="1">
      <alignment vertical="center"/>
    </xf>
    <xf numFmtId="0" fontId="22" fillId="0" borderId="0" xfId="42" applyFont="1" applyFill="1" applyAlignment="1">
      <alignment vertical="center"/>
    </xf>
    <xf numFmtId="0" fontId="22" fillId="0" borderId="1" xfId="42" applyFont="1" applyFill="1" applyBorder="1" applyAlignment="1">
      <alignment horizontal="center" vertical="center"/>
    </xf>
    <xf numFmtId="0" fontId="22" fillId="0" borderId="1" xfId="42" applyNumberFormat="1" applyFont="1" applyFill="1" applyBorder="1" applyAlignment="1">
      <alignment horizontal="center" vertical="center" wrapText="1"/>
    </xf>
    <xf numFmtId="0" fontId="22" fillId="0" borderId="1" xfId="219" applyNumberFormat="1" applyFont="1" applyFill="1" applyBorder="1" applyAlignment="1">
      <alignment horizontal="center" vertical="center" wrapText="1"/>
    </xf>
    <xf numFmtId="49" fontId="27" fillId="0" borderId="1" xfId="42" applyNumberFormat="1" applyFont="1" applyFill="1" applyBorder="1" applyAlignment="1">
      <alignment horizontal="center" vertical="center"/>
    </xf>
    <xf numFmtId="164" fontId="23" fillId="0" borderId="1" xfId="219" applyFont="1" applyFill="1" applyBorder="1" applyAlignment="1">
      <alignment horizontal="center" vertical="center"/>
    </xf>
    <xf numFmtId="164" fontId="23" fillId="0" borderId="1" xfId="219" applyFont="1" applyFill="1" applyBorder="1" applyAlignment="1">
      <alignment horizontal="center" vertical="center" wrapText="1"/>
    </xf>
    <xf numFmtId="164" fontId="23" fillId="0" borderId="1" xfId="219" applyFont="1" applyFill="1" applyBorder="1" applyAlignment="1">
      <alignment horizontal="left" vertical="center" wrapText="1"/>
    </xf>
    <xf numFmtId="164" fontId="22" fillId="0" borderId="1" xfId="219" applyFont="1" applyFill="1" applyBorder="1" applyAlignment="1">
      <alignment horizontal="center" vertical="center" wrapText="1"/>
    </xf>
    <xf numFmtId="0" fontId="22" fillId="0" borderId="0" xfId="42" applyFont="1" applyFill="1" applyBorder="1"/>
    <xf numFmtId="0" fontId="23" fillId="0" borderId="0" xfId="42" applyFont="1" applyFill="1"/>
    <xf numFmtId="0" fontId="23" fillId="0" borderId="0" xfId="42" applyFont="1" applyFill="1" applyBorder="1"/>
    <xf numFmtId="2" fontId="22" fillId="0" borderId="0" xfId="42" applyNumberFormat="1" applyFont="1" applyFill="1" applyBorder="1" applyAlignment="1">
      <alignment horizont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right"/>
    </xf>
    <xf numFmtId="166" fontId="23" fillId="0" borderId="0" xfId="42" applyNumberFormat="1" applyFont="1" applyFill="1"/>
    <xf numFmtId="0" fontId="23" fillId="0" borderId="0" xfId="42" applyFont="1" applyFill="1" applyBorder="1" applyAlignment="1">
      <alignment horizontal="left" vertical="center" wrapText="1"/>
    </xf>
    <xf numFmtId="0" fontId="23" fillId="0" borderId="0" xfId="42" applyNumberFormat="1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vertical="center" wrapText="1"/>
    </xf>
    <xf numFmtId="174" fontId="23" fillId="0" borderId="0" xfId="219" applyNumberFormat="1" applyFont="1" applyFill="1" applyBorder="1" applyAlignment="1">
      <alignment horizontal="center" vertical="center" wrapText="1"/>
    </xf>
    <xf numFmtId="0" fontId="23" fillId="0" borderId="0" xfId="219" applyNumberFormat="1" applyFont="1" applyFill="1" applyBorder="1" applyAlignment="1">
      <alignment horizontal="center" vertical="center" wrapText="1"/>
    </xf>
    <xf numFmtId="174" fontId="23" fillId="0" borderId="0" xfId="219" applyNumberFormat="1" applyFont="1" applyFill="1" applyBorder="1" applyAlignment="1">
      <alignment vertical="center" wrapText="1"/>
    </xf>
    <xf numFmtId="174" fontId="23" fillId="0" borderId="0" xfId="219" applyNumberFormat="1" applyFont="1" applyFill="1" applyBorder="1" applyAlignment="1">
      <alignment horizontal="left" vertical="center" wrapText="1"/>
    </xf>
    <xf numFmtId="174" fontId="23" fillId="0" borderId="0" xfId="219" applyNumberFormat="1" applyFont="1" applyFill="1" applyBorder="1" applyAlignment="1">
      <alignment vertical="center"/>
    </xf>
    <xf numFmtId="167" fontId="23" fillId="0" borderId="0" xfId="219" applyNumberFormat="1" applyFont="1" applyFill="1" applyBorder="1" applyAlignment="1">
      <alignment horizontal="center" vertical="center" wrapText="1"/>
    </xf>
    <xf numFmtId="167" fontId="23" fillId="0" borderId="0" xfId="219" applyNumberFormat="1" applyFont="1" applyFill="1" applyBorder="1" applyAlignment="1">
      <alignment vertical="center" wrapText="1"/>
    </xf>
    <xf numFmtId="167" fontId="23" fillId="0" borderId="0" xfId="219" applyNumberFormat="1" applyFont="1" applyFill="1" applyBorder="1" applyAlignment="1">
      <alignment horizontal="left" vertical="center" wrapText="1"/>
    </xf>
    <xf numFmtId="167" fontId="23" fillId="0" borderId="0" xfId="219" applyNumberFormat="1" applyFont="1" applyFill="1" applyBorder="1" applyAlignment="1">
      <alignment vertical="center"/>
    </xf>
    <xf numFmtId="10" fontId="23" fillId="0" borderId="0" xfId="42" applyNumberFormat="1" applyFont="1" applyFill="1" applyBorder="1" applyAlignment="1">
      <alignment vertical="center"/>
    </xf>
    <xf numFmtId="9" fontId="23" fillId="0" borderId="0" xfId="42" applyNumberFormat="1" applyFont="1" applyFill="1" applyBorder="1" applyAlignment="1">
      <alignment vertical="center"/>
    </xf>
    <xf numFmtId="0" fontId="23" fillId="0" borderId="0" xfId="42" applyFont="1" applyFill="1" applyAlignment="1">
      <alignment horizontal="center" vertical="center" wrapText="1"/>
    </xf>
    <xf numFmtId="0" fontId="23" fillId="0" borderId="0" xfId="42" applyNumberFormat="1" applyFont="1" applyFill="1" applyAlignment="1">
      <alignment horizontal="center" vertical="center" wrapText="1"/>
    </xf>
    <xf numFmtId="0" fontId="23" fillId="0" borderId="0" xfId="42" applyFont="1" applyFill="1" applyAlignment="1">
      <alignment vertical="center" wrapText="1"/>
    </xf>
    <xf numFmtId="0" fontId="23" fillId="0" borderId="0" xfId="42" applyFont="1" applyFill="1" applyAlignment="1">
      <alignment horizontal="left" vertical="center" wrapText="1"/>
    </xf>
    <xf numFmtId="49" fontId="30" fillId="0" borderId="0" xfId="40" applyNumberFormat="1" applyFont="1" applyFill="1" applyAlignment="1">
      <alignment vertical="center" shrinkToFit="1"/>
    </xf>
    <xf numFmtId="0" fontId="22" fillId="0" borderId="0" xfId="40" applyFont="1" applyFill="1" applyAlignment="1">
      <alignment horizontal="center" vertical="center" shrinkToFit="1"/>
    </xf>
    <xf numFmtId="0" fontId="22" fillId="0" borderId="0" xfId="7" applyFont="1" applyFill="1" applyAlignment="1">
      <alignment vertical="center"/>
    </xf>
    <xf numFmtId="172" fontId="22" fillId="0" borderId="1" xfId="7" applyNumberFormat="1" applyFont="1" applyFill="1" applyBorder="1" applyAlignment="1">
      <alignment horizontal="center" vertical="center" wrapText="1"/>
    </xf>
    <xf numFmtId="169" fontId="22" fillId="0" borderId="1" xfId="7" applyNumberFormat="1" applyFont="1" applyFill="1" applyBorder="1" applyAlignment="1">
      <alignment horizontal="center" vertical="center" wrapText="1"/>
    </xf>
    <xf numFmtId="49" fontId="22" fillId="0" borderId="1" xfId="7" applyNumberFormat="1" applyFont="1" applyFill="1" applyBorder="1" applyAlignment="1">
      <alignment horizontal="center" vertical="center"/>
    </xf>
    <xf numFmtId="1" fontId="22" fillId="0" borderId="1" xfId="7" applyNumberFormat="1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vertical="center"/>
    </xf>
    <xf numFmtId="0" fontId="22" fillId="0" borderId="1" xfId="14" applyFont="1" applyFill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center" vertical="center"/>
    </xf>
    <xf numFmtId="2" fontId="22" fillId="0" borderId="1" xfId="14" applyNumberFormat="1" applyFont="1" applyFill="1" applyBorder="1" applyAlignment="1">
      <alignment horizontal="center" vertical="center"/>
    </xf>
    <xf numFmtId="172" fontId="22" fillId="0" borderId="1" xfId="14" applyNumberFormat="1" applyFont="1" applyFill="1" applyBorder="1" applyAlignment="1">
      <alignment horizontal="center" vertical="center"/>
    </xf>
    <xf numFmtId="0" fontId="23" fillId="0" borderId="1" xfId="14" applyFont="1" applyFill="1" applyBorder="1" applyAlignment="1">
      <alignment vertical="center" wrapText="1"/>
    </xf>
    <xf numFmtId="0" fontId="23" fillId="0" borderId="1" xfId="14" applyFont="1" applyFill="1" applyBorder="1" applyAlignment="1">
      <alignment horizontal="center" vertical="center"/>
    </xf>
    <xf numFmtId="2" fontId="23" fillId="0" borderId="1" xfId="14" applyNumberFormat="1" applyFont="1" applyFill="1" applyBorder="1" applyAlignment="1">
      <alignment horizontal="center" vertical="center"/>
    </xf>
    <xf numFmtId="172" fontId="23" fillId="0" borderId="1" xfId="14" applyNumberFormat="1" applyFont="1" applyFill="1" applyBorder="1" applyAlignment="1">
      <alignment horizontal="center" vertical="center"/>
    </xf>
    <xf numFmtId="0" fontId="23" fillId="0" borderId="1" xfId="14" applyFont="1" applyFill="1" applyBorder="1" applyAlignment="1">
      <alignment horizontal="center" vertical="center" wrapText="1"/>
    </xf>
    <xf numFmtId="172" fontId="23" fillId="0" borderId="1" xfId="7" applyNumberFormat="1" applyFont="1" applyFill="1" applyBorder="1" applyAlignment="1">
      <alignment horizontal="center" vertical="center"/>
    </xf>
    <xf numFmtId="0" fontId="27" fillId="0" borderId="0" xfId="7" applyFont="1" applyFill="1" applyAlignment="1">
      <alignment vertical="center"/>
    </xf>
    <xf numFmtId="172" fontId="22" fillId="0" borderId="1" xfId="7" applyNumberFormat="1" applyFont="1" applyFill="1" applyBorder="1" applyAlignment="1">
      <alignment horizontal="center" vertical="center"/>
    </xf>
    <xf numFmtId="0" fontId="28" fillId="0" borderId="0" xfId="27" applyFont="1" applyFill="1" applyAlignment="1">
      <alignment horizontal="center" vertical="center"/>
    </xf>
    <xf numFmtId="2" fontId="23" fillId="0" borderId="1" xfId="10" applyNumberFormat="1" applyFont="1" applyFill="1" applyBorder="1" applyAlignment="1">
      <alignment horizontal="center" vertical="center"/>
    </xf>
    <xf numFmtId="0" fontId="23" fillId="0" borderId="1" xfId="10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horizontal="left" vertical="center" wrapText="1"/>
    </xf>
    <xf numFmtId="0" fontId="23" fillId="0" borderId="1" xfId="7" applyFont="1" applyFill="1" applyBorder="1" applyAlignment="1">
      <alignment vertical="center"/>
    </xf>
    <xf numFmtId="49" fontId="22" fillId="0" borderId="1" xfId="42" applyNumberFormat="1" applyFont="1" applyFill="1" applyBorder="1" applyAlignment="1">
      <alignment horizontal="center" vertical="center"/>
    </xf>
    <xf numFmtId="0" fontId="22" fillId="0" borderId="1" xfId="42" applyNumberFormat="1" applyFont="1" applyFill="1" applyBorder="1" applyAlignment="1">
      <alignment horizontal="left" vertical="center" wrapText="1"/>
    </xf>
    <xf numFmtId="0" fontId="23" fillId="0" borderId="1" xfId="42" applyNumberFormat="1" applyFont="1" applyFill="1" applyBorder="1" applyAlignment="1">
      <alignment horizontal="left" vertical="center" wrapText="1"/>
    </xf>
    <xf numFmtId="0" fontId="23" fillId="0" borderId="1" xfId="42" applyNumberFormat="1" applyFont="1" applyFill="1" applyBorder="1" applyAlignment="1">
      <alignment horizontal="left" vertical="center"/>
    </xf>
    <xf numFmtId="0" fontId="22" fillId="0" borderId="1" xfId="42" applyNumberFormat="1" applyFont="1" applyFill="1" applyBorder="1" applyAlignment="1">
      <alignment vertical="center" wrapText="1"/>
    </xf>
    <xf numFmtId="0" fontId="22" fillId="0" borderId="1" xfId="7" applyFont="1" applyFill="1" applyBorder="1" applyAlignment="1">
      <alignment horizontal="center"/>
    </xf>
    <xf numFmtId="2" fontId="22" fillId="0" borderId="1" xfId="7" applyNumberFormat="1" applyFont="1" applyFill="1" applyBorder="1" applyAlignment="1">
      <alignment horizontal="center"/>
    </xf>
    <xf numFmtId="2" fontId="22" fillId="0" borderId="1" xfId="7" applyNumberFormat="1" applyFont="1" applyFill="1" applyBorder="1" applyAlignment="1"/>
    <xf numFmtId="0" fontId="22" fillId="0" borderId="0" xfId="7" applyFont="1" applyFill="1" applyBorder="1" applyAlignment="1">
      <alignment vertical="center" wrapText="1"/>
    </xf>
    <xf numFmtId="0" fontId="23" fillId="0" borderId="1" xfId="7" applyFont="1" applyFill="1" applyBorder="1" applyAlignment="1">
      <alignment horizontal="center"/>
    </xf>
    <xf numFmtId="2" fontId="23" fillId="0" borderId="1" xfId="7" applyNumberFormat="1" applyFont="1" applyFill="1" applyBorder="1" applyAlignment="1">
      <alignment horizontal="center"/>
    </xf>
    <xf numFmtId="172" fontId="23" fillId="0" borderId="1" xfId="7" applyNumberFormat="1" applyFont="1" applyFill="1" applyBorder="1" applyAlignment="1">
      <alignment horizontal="center"/>
    </xf>
    <xf numFmtId="169" fontId="23" fillId="0" borderId="1" xfId="7" applyNumberFormat="1" applyFont="1" applyFill="1" applyBorder="1" applyAlignment="1">
      <alignment horizontal="center"/>
    </xf>
    <xf numFmtId="0" fontId="23" fillId="0" borderId="1" xfId="7" applyFont="1" applyFill="1" applyBorder="1" applyAlignment="1"/>
    <xf numFmtId="0" fontId="23" fillId="0" borderId="0" xfId="7" applyFont="1" applyFill="1" applyBorder="1"/>
    <xf numFmtId="0" fontId="23" fillId="0" borderId="0" xfId="7" applyFont="1" applyFill="1" applyAlignment="1">
      <alignment vertical="center" wrapText="1"/>
    </xf>
    <xf numFmtId="172" fontId="22" fillId="0" borderId="1" xfId="7" applyNumberFormat="1" applyFont="1" applyFill="1" applyBorder="1" applyAlignment="1">
      <alignment horizontal="center"/>
    </xf>
    <xf numFmtId="169" fontId="22" fillId="0" borderId="1" xfId="7" applyNumberFormat="1" applyFont="1" applyFill="1" applyBorder="1" applyAlignment="1">
      <alignment horizontal="center"/>
    </xf>
    <xf numFmtId="0" fontId="22" fillId="0" borderId="1" xfId="7" applyFont="1" applyFill="1" applyBorder="1" applyAlignment="1"/>
    <xf numFmtId="0" fontId="22" fillId="0" borderId="0" xfId="7" applyFont="1" applyFill="1" applyBorder="1"/>
    <xf numFmtId="0" fontId="22" fillId="0" borderId="0" xfId="7" applyFont="1" applyFill="1" applyAlignment="1">
      <alignment vertical="center" wrapText="1"/>
    </xf>
    <xf numFmtId="0" fontId="22" fillId="0" borderId="1" xfId="7" applyFont="1" applyFill="1" applyBorder="1"/>
    <xf numFmtId="172" fontId="22" fillId="0" borderId="1" xfId="7" applyNumberFormat="1" applyFont="1" applyFill="1" applyBorder="1"/>
    <xf numFmtId="0" fontId="28" fillId="0" borderId="1" xfId="7" applyFont="1" applyFill="1" applyBorder="1"/>
    <xf numFmtId="0" fontId="27" fillId="0" borderId="1" xfId="7" applyFont="1" applyFill="1" applyBorder="1" applyAlignment="1">
      <alignment horizontal="center"/>
    </xf>
    <xf numFmtId="0" fontId="27" fillId="0" borderId="1" xfId="7" applyFont="1" applyFill="1" applyBorder="1"/>
    <xf numFmtId="0" fontId="27" fillId="0" borderId="1" xfId="7" applyFont="1" applyFill="1" applyBorder="1" applyAlignment="1"/>
    <xf numFmtId="0" fontId="28" fillId="0" borderId="1" xfId="7" applyFont="1" applyFill="1" applyBorder="1" applyAlignment="1">
      <alignment horizontal="center"/>
    </xf>
    <xf numFmtId="0" fontId="28" fillId="0" borderId="1" xfId="7" applyFont="1" applyFill="1" applyBorder="1" applyAlignment="1"/>
    <xf numFmtId="0" fontId="28" fillId="0" borderId="0" xfId="7" applyFont="1" applyFill="1"/>
    <xf numFmtId="0" fontId="22" fillId="0" borderId="0" xfId="7" applyFont="1" applyFill="1" applyBorder="1" applyAlignment="1">
      <alignment horizontal="left" vertical="center" wrapText="1"/>
    </xf>
    <xf numFmtId="0" fontId="22" fillId="0" borderId="0" xfId="7" applyFont="1" applyFill="1" applyAlignment="1"/>
    <xf numFmtId="0" fontId="27" fillId="0" borderId="0" xfId="7" applyFont="1" applyFill="1" applyAlignment="1">
      <alignment horizontal="center"/>
    </xf>
    <xf numFmtId="0" fontId="27" fillId="0" borderId="0" xfId="7" applyFont="1" applyFill="1" applyAlignment="1"/>
    <xf numFmtId="0" fontId="23" fillId="0" borderId="1" xfId="42" applyFont="1" applyFill="1" applyBorder="1" applyAlignment="1">
      <alignment vertical="top" wrapText="1"/>
    </xf>
    <xf numFmtId="0" fontId="23" fillId="0" borderId="1" xfId="42" applyFont="1" applyFill="1" applyBorder="1" applyAlignment="1">
      <alignment horizontal="center" vertical="top" wrapText="1"/>
    </xf>
    <xf numFmtId="2" fontId="23" fillId="0" borderId="1" xfId="42" applyNumberFormat="1" applyFont="1" applyFill="1" applyBorder="1" applyAlignment="1">
      <alignment horizontal="left" vertical="top" wrapText="1"/>
    </xf>
    <xf numFmtId="2" fontId="42" fillId="0" borderId="1" xfId="42" applyNumberFormat="1" applyFont="1" applyFill="1" applyBorder="1" applyAlignment="1">
      <alignment horizontal="left" vertical="top" wrapText="1"/>
    </xf>
    <xf numFmtId="0" fontId="22" fillId="0" borderId="1" xfId="42" quotePrefix="1" applyFont="1" applyFill="1" applyBorder="1" applyAlignment="1">
      <alignment horizontal="center" vertical="top" wrapText="1"/>
    </xf>
    <xf numFmtId="49" fontId="22" fillId="0" borderId="11" xfId="42" applyNumberFormat="1" applyFont="1" applyFill="1" applyBorder="1" applyAlignment="1">
      <alignment horizontal="left" vertical="top" wrapText="1"/>
    </xf>
    <xf numFmtId="0" fontId="33" fillId="0" borderId="0" xfId="40" applyFont="1" applyFill="1" applyAlignment="1">
      <alignment vertical="center" wrapText="1" shrinkToFit="1"/>
    </xf>
    <xf numFmtId="49" fontId="31" fillId="0" borderId="0" xfId="40" applyNumberFormat="1" applyFont="1" applyFill="1" applyAlignment="1">
      <alignment horizontal="center" vertical="center" shrinkToFit="1"/>
    </xf>
    <xf numFmtId="49" fontId="30" fillId="0" borderId="0" xfId="40" applyNumberFormat="1" applyFont="1" applyFill="1" applyAlignment="1">
      <alignment horizontal="center" vertical="center" shrinkToFit="1"/>
    </xf>
    <xf numFmtId="0" fontId="31" fillId="0" borderId="0" xfId="40" applyFont="1" applyFill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/>
    </xf>
    <xf numFmtId="2" fontId="30" fillId="0" borderId="4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center" vertical="center"/>
    </xf>
    <xf numFmtId="169" fontId="22" fillId="0" borderId="1" xfId="2" applyNumberFormat="1" applyFont="1" applyFill="1" applyBorder="1" applyAlignment="1">
      <alignment horizontal="center" vertical="center" wrapText="1"/>
    </xf>
    <xf numFmtId="2" fontId="22" fillId="0" borderId="1" xfId="2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 vertical="center"/>
    </xf>
    <xf numFmtId="2" fontId="23" fillId="0" borderId="1" xfId="2" applyNumberFormat="1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>
      <alignment horizontal="left" vertical="center" wrapText="1"/>
    </xf>
    <xf numFmtId="2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center" vertical="center" wrapText="1"/>
    </xf>
    <xf numFmtId="2" fontId="23" fillId="0" borderId="1" xfId="2" applyNumberFormat="1" applyFont="1" applyFill="1" applyBorder="1" applyAlignment="1">
      <alignment horizontal="center" vertical="center" wrapText="1"/>
    </xf>
    <xf numFmtId="14" fontId="22" fillId="0" borderId="1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left" vertical="center" wrapText="1"/>
    </xf>
    <xf numFmtId="2" fontId="22" fillId="0" borderId="2" xfId="2" applyNumberFormat="1" applyFont="1" applyFill="1" applyBorder="1" applyAlignment="1">
      <alignment horizontal="center" vertical="center" wrapText="1"/>
    </xf>
    <xf numFmtId="169" fontId="23" fillId="0" borderId="1" xfId="2" applyNumberFormat="1" applyFont="1" applyFill="1" applyBorder="1" applyAlignment="1">
      <alignment horizontal="center" vertical="center" wrapText="1"/>
    </xf>
    <xf numFmtId="173" fontId="23" fillId="0" borderId="1" xfId="2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vertical="center"/>
    </xf>
    <xf numFmtId="0" fontId="23" fillId="0" borderId="2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2" fontId="23" fillId="0" borderId="2" xfId="2" applyNumberFormat="1" applyFont="1" applyFill="1" applyBorder="1" applyAlignment="1">
      <alignment horizontal="center" vertical="center" wrapText="1"/>
    </xf>
    <xf numFmtId="2" fontId="23" fillId="0" borderId="2" xfId="10" applyNumberFormat="1" applyFont="1" applyFill="1" applyBorder="1" applyAlignment="1">
      <alignment horizontal="center" vertical="center"/>
    </xf>
    <xf numFmtId="172" fontId="23" fillId="0" borderId="2" xfId="7" applyNumberFormat="1" applyFont="1" applyFill="1" applyBorder="1" applyAlignment="1">
      <alignment horizontal="center" vertical="center"/>
    </xf>
    <xf numFmtId="0" fontId="23" fillId="0" borderId="2" xfId="7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/>
    </xf>
    <xf numFmtId="0" fontId="22" fillId="0" borderId="1" xfId="27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justify" vertical="center"/>
    </xf>
    <xf numFmtId="0" fontId="23" fillId="0" borderId="1" xfId="27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49" fontId="22" fillId="0" borderId="1" xfId="29" applyNumberFormat="1" applyFont="1" applyFill="1" applyBorder="1" applyAlignment="1">
      <alignment horizontal="center" vertical="center" wrapText="1"/>
    </xf>
    <xf numFmtId="0" fontId="23" fillId="0" borderId="1" xfId="29" applyFont="1" applyFill="1" applyBorder="1" applyAlignment="1">
      <alignment horizontal="center" vertical="center" wrapText="1"/>
    </xf>
    <xf numFmtId="49" fontId="22" fillId="0" borderId="6" xfId="29" applyNumberFormat="1" applyFont="1" applyFill="1" applyBorder="1" applyAlignment="1">
      <alignment horizontal="center" vertical="center" wrapText="1"/>
    </xf>
    <xf numFmtId="2" fontId="23" fillId="0" borderId="6" xfId="2" applyNumberFormat="1" applyFont="1" applyFill="1" applyBorder="1" applyAlignment="1">
      <alignment horizontal="center" vertical="center" wrapText="1"/>
    </xf>
    <xf numFmtId="173" fontId="23" fillId="0" borderId="1" xfId="29" applyNumberFormat="1" applyFont="1" applyFill="1" applyBorder="1" applyAlignment="1">
      <alignment horizontal="center" vertical="center" wrapText="1"/>
    </xf>
    <xf numFmtId="2" fontId="23" fillId="0" borderId="1" xfId="29" applyNumberFormat="1" applyFont="1" applyFill="1" applyBorder="1" applyAlignment="1">
      <alignment horizontal="center" vertical="center" wrapText="1"/>
    </xf>
    <xf numFmtId="175" fontId="22" fillId="0" borderId="1" xfId="37" applyNumberFormat="1" applyFont="1" applyFill="1" applyBorder="1" applyAlignment="1">
      <alignment horizontal="center" vertical="center"/>
    </xf>
    <xf numFmtId="2" fontId="23" fillId="0" borderId="1" xfId="40" applyNumberFormat="1" applyFont="1" applyFill="1" applyBorder="1" applyAlignment="1">
      <alignment horizontal="center" vertical="center"/>
    </xf>
    <xf numFmtId="169" fontId="23" fillId="0" borderId="1" xfId="2" applyNumberFormat="1" applyFont="1" applyFill="1" applyBorder="1" applyAlignment="1">
      <alignment horizontal="center" vertical="center"/>
    </xf>
    <xf numFmtId="0" fontId="23" fillId="0" borderId="1" xfId="40" applyFont="1" applyFill="1" applyBorder="1" applyAlignment="1">
      <alignment vertical="center" wrapText="1"/>
    </xf>
    <xf numFmtId="169" fontId="23" fillId="0" borderId="1" xfId="40" applyNumberFormat="1" applyFont="1" applyFill="1" applyBorder="1" applyAlignment="1">
      <alignment horizontal="center" vertical="center"/>
    </xf>
    <xf numFmtId="0" fontId="22" fillId="0" borderId="1" xfId="4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3" fillId="0" borderId="1" xfId="42" applyFont="1" applyFill="1" applyBorder="1" applyAlignment="1">
      <alignment horizontal="center" vertical="center" wrapText="1"/>
    </xf>
    <xf numFmtId="0" fontId="23" fillId="0" borderId="1" xfId="42" applyFont="1" applyFill="1" applyBorder="1" applyAlignment="1">
      <alignment horizontal="center" vertical="center"/>
    </xf>
    <xf numFmtId="2" fontId="22" fillId="0" borderId="1" xfId="42" applyNumberFormat="1" applyFont="1" applyFill="1" applyBorder="1" applyAlignment="1">
      <alignment horizontal="center" vertical="center" wrapText="1"/>
    </xf>
    <xf numFmtId="49" fontId="44" fillId="0" borderId="1" xfId="2" applyNumberFormat="1" applyFont="1" applyFill="1" applyBorder="1" applyAlignment="1">
      <alignment horizontal="center" vertical="center" wrapText="1"/>
    </xf>
    <xf numFmtId="0" fontId="30" fillId="0" borderId="1" xfId="2" applyNumberFormat="1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vertical="center" wrapText="1"/>
    </xf>
    <xf numFmtId="0" fontId="45" fillId="0" borderId="1" xfId="2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center" vertical="center"/>
    </xf>
    <xf numFmtId="2" fontId="45" fillId="0" borderId="1" xfId="2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vertical="center" wrapText="1"/>
    </xf>
    <xf numFmtId="0" fontId="48" fillId="0" borderId="1" xfId="2" applyFont="1" applyFill="1" applyBorder="1" applyAlignment="1">
      <alignment horizontal="center" vertical="center"/>
    </xf>
    <xf numFmtId="0" fontId="49" fillId="0" borderId="1" xfId="2" applyFont="1" applyFill="1" applyBorder="1" applyAlignment="1">
      <alignment horizontal="center" vertical="center"/>
    </xf>
    <xf numFmtId="2" fontId="48" fillId="0" borderId="1" xfId="2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5" fillId="0" borderId="1" xfId="2" applyFont="1" applyFill="1" applyBorder="1" applyAlignment="1">
      <alignment vertical="center" wrapText="1"/>
    </xf>
    <xf numFmtId="171" fontId="48" fillId="0" borderId="1" xfId="0" applyNumberFormat="1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69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 wrapText="1"/>
    </xf>
    <xf numFmtId="2" fontId="48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56" applyNumberFormat="1" applyFont="1" applyFill="1" applyBorder="1" applyAlignment="1">
      <alignment horizontal="left" vertical="center" wrapText="1"/>
    </xf>
    <xf numFmtId="2" fontId="48" fillId="0" borderId="1" xfId="10" applyNumberFormat="1" applyFont="1" applyFill="1" applyBorder="1" applyAlignment="1">
      <alignment horizontal="center" vertical="center"/>
    </xf>
    <xf numFmtId="2" fontId="48" fillId="0" borderId="1" xfId="7" applyNumberFormat="1" applyFont="1" applyFill="1" applyBorder="1" applyAlignment="1">
      <alignment horizontal="center" vertical="center"/>
    </xf>
    <xf numFmtId="0" fontId="48" fillId="0" borderId="1" xfId="7" applyFont="1" applyFill="1" applyBorder="1" applyAlignment="1">
      <alignment horizontal="center" vertical="center"/>
    </xf>
    <xf numFmtId="0" fontId="48" fillId="0" borderId="1" xfId="10" applyFont="1" applyFill="1" applyBorder="1" applyAlignment="1">
      <alignment horizontal="center" vertical="center"/>
    </xf>
    <xf numFmtId="0" fontId="23" fillId="0" borderId="1" xfId="42" applyNumberFormat="1" applyFont="1" applyFill="1" applyBorder="1" applyAlignment="1">
      <alignment vertical="center" wrapText="1"/>
    </xf>
    <xf numFmtId="0" fontId="43" fillId="0" borderId="0" xfId="42" applyNumberFormat="1" applyFont="1" applyFill="1" applyAlignment="1">
      <alignment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0" fontId="32" fillId="0" borderId="1" xfId="7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2" fillId="0" borderId="1" xfId="42" applyFont="1" applyFill="1" applyBorder="1" applyAlignment="1">
      <alignment horizontal="center" vertical="center" wrapText="1"/>
    </xf>
    <xf numFmtId="0" fontId="22" fillId="0" borderId="0" xfId="40" applyFont="1" applyFill="1" applyAlignment="1">
      <alignment horizontal="center" vertical="center" wrapText="1" shrinkToFit="1"/>
    </xf>
    <xf numFmtId="2" fontId="22" fillId="0" borderId="1" xfId="7" applyNumberFormat="1" applyFont="1" applyFill="1" applyBorder="1" applyAlignment="1">
      <alignment horizontal="center" vertical="center"/>
    </xf>
    <xf numFmtId="4" fontId="21" fillId="0" borderId="1" xfId="4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 wrapText="1"/>
    </xf>
    <xf numFmtId="2" fontId="23" fillId="0" borderId="1" xfId="27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9" fontId="31" fillId="0" borderId="0" xfId="0" applyNumberFormat="1" applyFont="1" applyFill="1"/>
    <xf numFmtId="0" fontId="30" fillId="0" borderId="0" xfId="3" applyFont="1" applyFill="1" applyAlignment="1">
      <alignment vertical="center" shrinkToFit="1"/>
    </xf>
    <xf numFmtId="49" fontId="31" fillId="0" borderId="0" xfId="3" applyNumberFormat="1" applyFont="1" applyFill="1" applyAlignment="1">
      <alignment horizontal="center" vertical="center" shrinkToFit="1"/>
    </xf>
    <xf numFmtId="49" fontId="30" fillId="0" borderId="0" xfId="3" applyNumberFormat="1" applyFont="1" applyFill="1" applyAlignment="1">
      <alignment horizontal="center" vertical="center" shrinkToFit="1"/>
    </xf>
    <xf numFmtId="0" fontId="31" fillId="0" borderId="0" xfId="3" applyFont="1" applyFill="1" applyAlignment="1">
      <alignment horizontal="center" vertical="center" wrapText="1" shrinkToFit="1"/>
    </xf>
    <xf numFmtId="49" fontId="30" fillId="0" borderId="1" xfId="2" applyNumberFormat="1" applyFont="1" applyFill="1" applyBorder="1" applyAlignment="1">
      <alignment horizontal="center" vertical="center" wrapText="1"/>
    </xf>
    <xf numFmtId="14" fontId="30" fillId="0" borderId="1" xfId="2" applyNumberFormat="1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1" fillId="0" borderId="1" xfId="2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164" fontId="23" fillId="0" borderId="1" xfId="6" applyFont="1" applyFill="1" applyBorder="1" applyAlignment="1">
      <alignment horizontal="center" vertical="center" wrapText="1"/>
    </xf>
    <xf numFmtId="170" fontId="23" fillId="0" borderId="1" xfId="6" applyNumberFormat="1" applyFont="1" applyFill="1" applyBorder="1" applyAlignment="1">
      <alignment horizontal="center" vertical="center" wrapText="1"/>
    </xf>
    <xf numFmtId="0" fontId="23" fillId="0" borderId="1" xfId="6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30" fillId="0" borderId="3" xfId="2" applyNumberFormat="1" applyFont="1" applyFill="1" applyBorder="1" applyAlignment="1">
      <alignment horizontal="center" vertical="center" wrapText="1"/>
    </xf>
    <xf numFmtId="0" fontId="30" fillId="0" borderId="0" xfId="3" applyNumberFormat="1" applyFont="1" applyFill="1" applyAlignment="1">
      <alignment horizontal="center" vertical="center" shrinkToFi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 wrapText="1"/>
    </xf>
    <xf numFmtId="0" fontId="30" fillId="0" borderId="1" xfId="0" quotePrefix="1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2" fontId="22" fillId="0" borderId="1" xfId="14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 wrapText="1"/>
    </xf>
    <xf numFmtId="169" fontId="22" fillId="0" borderId="1" xfId="42" applyNumberFormat="1" applyFont="1" applyFill="1" applyBorder="1" applyAlignment="1">
      <alignment horizontal="center" vertical="center" wrapText="1"/>
    </xf>
    <xf numFmtId="172" fontId="23" fillId="0" borderId="1" xfId="10" applyNumberFormat="1" applyFont="1" applyFill="1" applyBorder="1" applyAlignment="1">
      <alignment horizontal="center" vertical="center"/>
    </xf>
    <xf numFmtId="172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5" fillId="2" borderId="13" xfId="99" applyFont="1" applyFill="1" applyBorder="1" applyAlignment="1">
      <alignment horizontal="center" vertical="center"/>
    </xf>
    <xf numFmtId="49" fontId="55" fillId="2" borderId="1" xfId="220" applyNumberFormat="1" applyFont="1" applyFill="1" applyBorder="1" applyAlignment="1">
      <alignment horizontal="center" vertical="center" wrapText="1"/>
    </xf>
    <xf numFmtId="0" fontId="55" fillId="2" borderId="1" xfId="99" applyFont="1" applyFill="1" applyBorder="1" applyAlignment="1">
      <alignment vertical="center" wrapText="1"/>
    </xf>
    <xf numFmtId="0" fontId="55" fillId="2" borderId="1" xfId="99" applyFont="1" applyFill="1" applyBorder="1" applyAlignment="1">
      <alignment horizontal="center" vertical="center" wrapText="1"/>
    </xf>
    <xf numFmtId="2" fontId="55" fillId="2" borderId="1" xfId="99" applyNumberFormat="1" applyFont="1" applyFill="1" applyBorder="1" applyAlignment="1">
      <alignment horizontal="center" vertical="center"/>
    </xf>
    <xf numFmtId="0" fontId="55" fillId="2" borderId="1" xfId="99" applyFont="1" applyFill="1" applyBorder="1" applyAlignment="1">
      <alignment horizontal="center" vertical="center"/>
    </xf>
    <xf numFmtId="2" fontId="55" fillId="2" borderId="14" xfId="220" applyNumberFormat="1" applyFont="1" applyFill="1" applyBorder="1" applyAlignment="1">
      <alignment horizontal="center" vertical="center"/>
    </xf>
    <xf numFmtId="0" fontId="56" fillId="0" borderId="13" xfId="99" applyFont="1" applyBorder="1" applyAlignment="1">
      <alignment horizontal="center" vertical="center"/>
    </xf>
    <xf numFmtId="0" fontId="56" fillId="0" borderId="1" xfId="99" applyFont="1" applyBorder="1" applyAlignment="1">
      <alignment horizontal="center" vertical="center" wrapText="1"/>
    </xf>
    <xf numFmtId="0" fontId="56" fillId="0" borderId="1" xfId="99" applyFont="1" applyBorder="1" applyAlignment="1">
      <alignment vertical="center" wrapText="1"/>
    </xf>
    <xf numFmtId="0" fontId="56" fillId="0" borderId="1" xfId="99" applyFont="1" applyBorder="1" applyAlignment="1">
      <alignment horizontal="center" vertical="center"/>
    </xf>
    <xf numFmtId="2" fontId="56" fillId="0" borderId="1" xfId="99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56" fillId="0" borderId="14" xfId="220" applyNumberFormat="1" applyFont="1" applyBorder="1" applyAlignment="1">
      <alignment horizontal="center" vertical="center"/>
    </xf>
    <xf numFmtId="0" fontId="56" fillId="0" borderId="1" xfId="220" applyFont="1" applyBorder="1" applyAlignment="1">
      <alignment horizontal="left" vertical="center" wrapText="1"/>
    </xf>
    <xf numFmtId="0" fontId="56" fillId="0" borderId="1" xfId="220" applyFont="1" applyBorder="1" applyAlignment="1">
      <alignment horizontal="center" vertical="center"/>
    </xf>
    <xf numFmtId="2" fontId="56" fillId="0" borderId="1" xfId="220" applyNumberFormat="1" applyFont="1" applyBorder="1" applyAlignment="1">
      <alignment horizontal="center" vertical="center"/>
    </xf>
    <xf numFmtId="0" fontId="57" fillId="0" borderId="1" xfId="21" applyFont="1" applyBorder="1" applyAlignment="1">
      <alignment horizontal="center" vertical="center"/>
    </xf>
    <xf numFmtId="0" fontId="56" fillId="0" borderId="13" xfId="99" applyFont="1" applyBorder="1" applyAlignment="1">
      <alignment vertical="center"/>
    </xf>
    <xf numFmtId="0" fontId="56" fillId="0" borderId="1" xfId="99" applyFont="1" applyBorder="1" applyAlignment="1">
      <alignment vertical="center"/>
    </xf>
    <xf numFmtId="2" fontId="48" fillId="0" borderId="2" xfId="0" applyNumberFormat="1" applyFont="1" applyBorder="1" applyAlignment="1">
      <alignment horizontal="center" vertical="center" wrapText="1"/>
    </xf>
    <xf numFmtId="173" fontId="55" fillId="2" borderId="1" xfId="99" applyNumberFormat="1" applyFont="1" applyFill="1" applyBorder="1" applyAlignment="1">
      <alignment horizontal="center" vertical="center"/>
    </xf>
    <xf numFmtId="173" fontId="56" fillId="0" borderId="1" xfId="99" applyNumberFormat="1" applyFont="1" applyBorder="1" applyAlignment="1">
      <alignment horizontal="center" vertical="center"/>
    </xf>
    <xf numFmtId="2" fontId="23" fillId="0" borderId="0" xfId="42" applyNumberFormat="1" applyFont="1" applyFill="1" applyAlignment="1">
      <alignment vertical="center"/>
    </xf>
    <xf numFmtId="0" fontId="10" fillId="0" borderId="0" xfId="2" applyFont="1" applyFill="1" applyAlignment="1">
      <alignment horizontal="left" vertical="center" wrapText="1"/>
    </xf>
    <xf numFmtId="0" fontId="10" fillId="0" borderId="0" xfId="5" applyFont="1" applyFill="1" applyAlignment="1">
      <alignment horizontal="left" vertical="center"/>
    </xf>
    <xf numFmtId="0" fontId="10" fillId="0" borderId="0" xfId="4" applyFont="1" applyFill="1" applyAlignment="1">
      <alignment horizontal="left" vertical="center" wrapText="1"/>
    </xf>
    <xf numFmtId="0" fontId="9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0" fillId="0" borderId="4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1" fillId="0" borderId="12" xfId="0" applyFont="1" applyFill="1" applyBorder="1" applyAlignment="1">
      <alignment horizontal="right" vertical="center"/>
    </xf>
    <xf numFmtId="0" fontId="30" fillId="0" borderId="0" xfId="3" applyFont="1" applyFill="1" applyAlignment="1">
      <alignment horizontal="center" vertical="center" shrinkToFit="1"/>
    </xf>
    <xf numFmtId="0" fontId="30" fillId="0" borderId="0" xfId="3" applyFont="1" applyFill="1" applyAlignment="1">
      <alignment horizontal="right" vertical="center" shrinkToFit="1"/>
    </xf>
    <xf numFmtId="0" fontId="30" fillId="0" borderId="0" xfId="3" applyFont="1" applyFill="1" applyAlignment="1">
      <alignment horizontal="center" vertical="center" wrapText="1" shrinkToFit="1"/>
    </xf>
    <xf numFmtId="0" fontId="33" fillId="0" borderId="0" xfId="3" applyFont="1" applyFill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" xfId="42" applyFont="1" applyFill="1" applyBorder="1" applyAlignment="1">
      <alignment horizontal="center" vertical="center"/>
    </xf>
    <xf numFmtId="0" fontId="22" fillId="0" borderId="1" xfId="42" applyFont="1" applyFill="1" applyBorder="1" applyAlignment="1">
      <alignment horizontal="center" vertical="center" wrapText="1"/>
    </xf>
    <xf numFmtId="0" fontId="22" fillId="0" borderId="1" xfId="42" applyNumberFormat="1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/>
    </xf>
    <xf numFmtId="0" fontId="30" fillId="0" borderId="0" xfId="40" applyFont="1" applyFill="1" applyAlignment="1">
      <alignment horizontal="center" vertical="center" shrinkToFit="1"/>
    </xf>
    <xf numFmtId="0" fontId="30" fillId="0" borderId="0" xfId="40" applyFont="1" applyFill="1" applyAlignment="1">
      <alignment horizontal="right" vertical="center" shrinkToFit="1"/>
    </xf>
    <xf numFmtId="0" fontId="22" fillId="0" borderId="0" xfId="40" applyFont="1" applyFill="1" applyAlignment="1">
      <alignment horizontal="center" vertical="center" wrapText="1" shrinkToFit="1"/>
    </xf>
    <xf numFmtId="0" fontId="33" fillId="0" borderId="0" xfId="40" applyFont="1" applyFill="1" applyAlignment="1">
      <alignment horizontal="center" vertical="center" wrapText="1" shrinkToFit="1"/>
    </xf>
    <xf numFmtId="2" fontId="22" fillId="0" borderId="1" xfId="7" applyNumberFormat="1" applyFont="1" applyFill="1" applyBorder="1" applyAlignment="1">
      <alignment horizontal="center" vertical="center"/>
    </xf>
    <xf numFmtId="49" fontId="22" fillId="0" borderId="2" xfId="7" applyNumberFormat="1" applyFont="1" applyFill="1" applyBorder="1" applyAlignment="1">
      <alignment horizontal="center" vertical="center" textRotation="90"/>
    </xf>
    <xf numFmtId="49" fontId="22" fillId="0" borderId="3" xfId="7" applyNumberFormat="1" applyFont="1" applyFill="1" applyBorder="1" applyAlignment="1">
      <alignment horizontal="center" vertical="center" textRotation="90"/>
    </xf>
    <xf numFmtId="0" fontId="22" fillId="0" borderId="4" xfId="7" applyFont="1" applyFill="1" applyBorder="1" applyAlignment="1">
      <alignment horizontal="center" vertical="center"/>
    </xf>
    <xf numFmtId="0" fontId="22" fillId="0" borderId="6" xfId="7" applyFont="1" applyFill="1" applyBorder="1" applyAlignment="1">
      <alignment horizontal="center" vertical="center"/>
    </xf>
    <xf numFmtId="0" fontId="30" fillId="0" borderId="0" xfId="40" applyFont="1" applyFill="1" applyAlignment="1">
      <alignment horizontal="center" vertical="center" wrapText="1" shrinkToFit="1"/>
    </xf>
  </cellXfs>
  <cellStyles count="221">
    <cellStyle name="Comma 10" xfId="6"/>
    <cellStyle name="Comma 10 2" xfId="61"/>
    <cellStyle name="Comma 10 2 2" xfId="85"/>
    <cellStyle name="Comma 10 2 2 2" xfId="186"/>
    <cellStyle name="Comma 10 2 2 3" xfId="143"/>
    <cellStyle name="Comma 10 2 3" xfId="106"/>
    <cellStyle name="Comma 10 2 3 2" xfId="202"/>
    <cellStyle name="Comma 10 2 3 3" xfId="159"/>
    <cellStyle name="Comma 10 2 4" xfId="172"/>
    <cellStyle name="Comma 10 2 5" xfId="129"/>
    <cellStyle name="Comma 10 3" xfId="8"/>
    <cellStyle name="Comma 10 3 2" xfId="86"/>
    <cellStyle name="Comma 10 3 2 2" xfId="107"/>
    <cellStyle name="Comma 10 3 2 2 2" xfId="203"/>
    <cellStyle name="Comma 10 3 2 2 3" xfId="160"/>
    <cellStyle name="Comma 10 3 2 3" xfId="187"/>
    <cellStyle name="Comma 10 3 2 4" xfId="144"/>
    <cellStyle name="Comma 10 3 3" xfId="78"/>
    <cellStyle name="Comma 10 3 3 2" xfId="180"/>
    <cellStyle name="Comma 10 3 3 3" xfId="137"/>
    <cellStyle name="Comma 10 4" xfId="60"/>
    <cellStyle name="Comma 10 4 2" xfId="171"/>
    <cellStyle name="Comma 10 4 3" xfId="128"/>
    <cellStyle name="Comma 11" xfId="116"/>
    <cellStyle name="Comma 11 2" xfId="211"/>
    <cellStyle name="Comma 11 3" xfId="215"/>
    <cellStyle name="Comma 12" xfId="123"/>
    <cellStyle name="Comma 12 2" xfId="214"/>
    <cellStyle name="Comma 13" xfId="168"/>
    <cellStyle name="Comma 14" xfId="124"/>
    <cellStyle name="Comma 19" xfId="23"/>
    <cellStyle name="Comma 2" xfId="39"/>
    <cellStyle name="Comma 2 2" xfId="37"/>
    <cellStyle name="Comma 2 2 2" xfId="63"/>
    <cellStyle name="Comma 2 2 2 2" xfId="95"/>
    <cellStyle name="Comma 2 2 2 2 2" xfId="191"/>
    <cellStyle name="Comma 2 2 2 2 3" xfId="148"/>
    <cellStyle name="Comma 2 2 2 3" xfId="111"/>
    <cellStyle name="Comma 2 2 2 3 2" xfId="207"/>
    <cellStyle name="Comma 2 2 2 3 3" xfId="164"/>
    <cellStyle name="Comma 2 2 2 4" xfId="174"/>
    <cellStyle name="Comma 2 2 2 5" xfId="131"/>
    <cellStyle name="Comma 2 3" xfId="64"/>
    <cellStyle name="Comma 2 3 2" xfId="15"/>
    <cellStyle name="Comma 2 3 2 2" xfId="90"/>
    <cellStyle name="Comma 2 3 2 2 2" xfId="109"/>
    <cellStyle name="Comma 2 3 2 2 2 2" xfId="205"/>
    <cellStyle name="Comma 2 3 2 2 2 3" xfId="162"/>
    <cellStyle name="Comma 2 3 2 2 3" xfId="189"/>
    <cellStyle name="Comma 2 3 2 2 4" xfId="146"/>
    <cellStyle name="Comma 2 3 2 3" xfId="81"/>
    <cellStyle name="Comma 2 3 2 3 2" xfId="182"/>
    <cellStyle name="Comma 2 3 2 3 3" xfId="139"/>
    <cellStyle name="Comma 2 3 3" xfId="96"/>
    <cellStyle name="Comma 2 3 3 2" xfId="192"/>
    <cellStyle name="Comma 2 3 3 3" xfId="149"/>
    <cellStyle name="Comma 2 3 4" xfId="112"/>
    <cellStyle name="Comma 2 3 4 2" xfId="208"/>
    <cellStyle name="Comma 2 3 4 3" xfId="165"/>
    <cellStyle name="Comma 2 3 5" xfId="175"/>
    <cellStyle name="Comma 2 3 6" xfId="132"/>
    <cellStyle name="Comma 2 4" xfId="24"/>
    <cellStyle name="Comma 2 5" xfId="62"/>
    <cellStyle name="Comma 2 5 2" xfId="173"/>
    <cellStyle name="Comma 2 5 3" xfId="130"/>
    <cellStyle name="Comma 2 6" xfId="82"/>
    <cellStyle name="Comma 2 6 2" xfId="183"/>
    <cellStyle name="Comma 2 6 3" xfId="140"/>
    <cellStyle name="Comma 20" xfId="19"/>
    <cellStyle name="Comma 20 2" xfId="53"/>
    <cellStyle name="Comma 20 2 2" xfId="98"/>
    <cellStyle name="Comma 20 2 2 2" xfId="194"/>
    <cellStyle name="Comma 20 2 2 3" xfId="151"/>
    <cellStyle name="Comma 20 2 3" xfId="114"/>
    <cellStyle name="Comma 20 2 3 2" xfId="210"/>
    <cellStyle name="Comma 20 2 3 3" xfId="167"/>
    <cellStyle name="Comma 20 3" xfId="65"/>
    <cellStyle name="Comma 20 3 2" xfId="91"/>
    <cellStyle name="Comma 20 3 2 2" xfId="190"/>
    <cellStyle name="Comma 20 3 2 3" xfId="147"/>
    <cellStyle name="Comma 20 3 3" xfId="110"/>
    <cellStyle name="Comma 20 3 3 2" xfId="206"/>
    <cellStyle name="Comma 20 3 3 3" xfId="163"/>
    <cellStyle name="Comma 20 3 4" xfId="176"/>
    <cellStyle name="Comma 20 3 5" xfId="133"/>
    <cellStyle name="Comma 3" xfId="66"/>
    <cellStyle name="Comma 3 2" xfId="84"/>
    <cellStyle name="Comma 3 2 2" xfId="185"/>
    <cellStyle name="Comma 3 2 3" xfId="142"/>
    <cellStyle name="Comma 3 3" xfId="105"/>
    <cellStyle name="Comma 3 3 2" xfId="201"/>
    <cellStyle name="Comma 3 3 3" xfId="158"/>
    <cellStyle name="Comma 3 4" xfId="177"/>
    <cellStyle name="Comma 3 5" xfId="134"/>
    <cellStyle name="Comma 4" xfId="67"/>
    <cellStyle name="Comma 5" xfId="12"/>
    <cellStyle name="Comma 5 2" xfId="68"/>
    <cellStyle name="Comma 5 2 2" xfId="88"/>
    <cellStyle name="Comma 5 2 2 2" xfId="188"/>
    <cellStyle name="Comma 5 2 2 3" xfId="145"/>
    <cellStyle name="Comma 5 2 3" xfId="108"/>
    <cellStyle name="Comma 5 2 3 2" xfId="204"/>
    <cellStyle name="Comma 5 2 3 3" xfId="161"/>
    <cellStyle name="Comma 5 2 4" xfId="178"/>
    <cellStyle name="Comma 5 2 5" xfId="135"/>
    <cellStyle name="Comma 5 2 6" xfId="219"/>
    <cellStyle name="Comma 5 3" xfId="80"/>
    <cellStyle name="Comma 5 3 2" xfId="117"/>
    <cellStyle name="Comma 5 3 3" xfId="181"/>
    <cellStyle name="Comma 5 3 4" xfId="138"/>
    <cellStyle name="Comma 5 4" xfId="102"/>
    <cellStyle name="Comma 5 4 2" xfId="198"/>
    <cellStyle name="Comma 5 4 3" xfId="155"/>
    <cellStyle name="Comma 6" xfId="59"/>
    <cellStyle name="Comma 6 2" xfId="118"/>
    <cellStyle name="Comma 6 2 2" xfId="212"/>
    <cellStyle name="Comma 6 2 3" xfId="216"/>
    <cellStyle name="Comma 6 3" xfId="170"/>
    <cellStyle name="Comma 6 4" xfId="127"/>
    <cellStyle name="Comma 7" xfId="77"/>
    <cellStyle name="Comma 7 2" xfId="179"/>
    <cellStyle name="Comma 7 3" xfId="136"/>
    <cellStyle name="Comma 8" xfId="100"/>
    <cellStyle name="Comma 8 2" xfId="196"/>
    <cellStyle name="Comma 8 3" xfId="153"/>
    <cellStyle name="Comma 9" xfId="103"/>
    <cellStyle name="Comma 9 2" xfId="199"/>
    <cellStyle name="Comma 9 3" xfId="156"/>
    <cellStyle name="Normal 10" xfId="7"/>
    <cellStyle name="Normal 11" xfId="51"/>
    <cellStyle name="Normal 12" xfId="99"/>
    <cellStyle name="Normal 12 2" xfId="195"/>
    <cellStyle name="Normal 12 3" xfId="152"/>
    <cellStyle name="Normal 13" xfId="115"/>
    <cellStyle name="Normal 13 2" xfId="126"/>
    <cellStyle name="Normal 13 3 4" xfId="32"/>
    <cellStyle name="Normal 13 5 3" xfId="31"/>
    <cellStyle name="Normal 14" xfId="4"/>
    <cellStyle name="Normal 14 3" xfId="42"/>
    <cellStyle name="Normal 14 3 2" xfId="34"/>
    <cellStyle name="Normal 14 3 2 2" xfId="57"/>
    <cellStyle name="Normal 14 3 2 3" xfId="93"/>
    <cellStyle name="Normal 15" xfId="43"/>
    <cellStyle name="Normal 16_axalqalaqis skola " xfId="5"/>
    <cellStyle name="Normal 2" xfId="2"/>
    <cellStyle name="Normal 2 2" xfId="16"/>
    <cellStyle name="Normal 2 2 2" xfId="69"/>
    <cellStyle name="Normal 2 2_MCXETA yazarma- Copy" xfId="70"/>
    <cellStyle name="Normal 2 3" xfId="44"/>
    <cellStyle name="Normal 2_---SUL--- GORI-HOSPITALI-BOLO" xfId="71"/>
    <cellStyle name="Normal 3" xfId="14"/>
    <cellStyle name="Normal 3 2" xfId="38"/>
    <cellStyle name="Normal 3 3" xfId="45"/>
    <cellStyle name="Normal 3 5" xfId="20"/>
    <cellStyle name="Normal 35 2" xfId="35"/>
    <cellStyle name="Normal 35 2 2" xfId="58"/>
    <cellStyle name="Normal 35 2 3" xfId="94"/>
    <cellStyle name="Normal 37" xfId="52"/>
    <cellStyle name="Normal 37 2" xfId="97"/>
    <cellStyle name="Normal 37 2 2" xfId="113"/>
    <cellStyle name="Normal 37 2 2 2" xfId="209"/>
    <cellStyle name="Normal 37 2 2 3" xfId="166"/>
    <cellStyle name="Normal 37 2 3" xfId="193"/>
    <cellStyle name="Normal 37 2 4" xfId="150"/>
    <cellStyle name="Normal 37 3" xfId="83"/>
    <cellStyle name="Normal 37 3 2" xfId="184"/>
    <cellStyle name="Normal 37 3 3" xfId="141"/>
    <cellStyle name="Normal 37 4" xfId="104"/>
    <cellStyle name="Normal 37 4 2" xfId="200"/>
    <cellStyle name="Normal 37 4 3" xfId="157"/>
    <cellStyle name="Normal 37 5" xfId="122"/>
    <cellStyle name="Normal 37 5 2" xfId="213"/>
    <cellStyle name="Normal 37 6" xfId="169"/>
    <cellStyle name="Normal 37 7" xfId="125"/>
    <cellStyle name="Normal 4" xfId="46"/>
    <cellStyle name="Normal 4 2" xfId="47"/>
    <cellStyle name="Normal 4 3" xfId="72"/>
    <cellStyle name="Normal 49" xfId="33"/>
    <cellStyle name="Normal 5" xfId="21"/>
    <cellStyle name="Normal 5 4 2" xfId="22"/>
    <cellStyle name="Normal 50" xfId="11"/>
    <cellStyle name="Normal 50 2" xfId="56"/>
    <cellStyle name="Normal 51" xfId="9"/>
    <cellStyle name="Normal 51 2" xfId="87"/>
    <cellStyle name="Normal 51 3" xfId="79"/>
    <cellStyle name="Normal 6" xfId="41"/>
    <cellStyle name="Normal 6 2" xfId="73"/>
    <cellStyle name="Normal 7" xfId="48"/>
    <cellStyle name="Normal 7 2" xfId="74"/>
    <cellStyle name="Normal 7 3" xfId="18"/>
    <cellStyle name="Normal 8" xfId="49"/>
    <cellStyle name="Normal 8 2" xfId="75"/>
    <cellStyle name="Normal 9" xfId="50"/>
    <cellStyle name="Normal_gare wyalsadfenigagarini 2 2" xfId="10"/>
    <cellStyle name="Percent 2" xfId="13"/>
    <cellStyle name="Percent 2 2" xfId="54"/>
    <cellStyle name="Percent 2 3" xfId="76"/>
    <cellStyle name="Percent 2 3 2" xfId="89"/>
    <cellStyle name="Percent 3" xfId="101"/>
    <cellStyle name="Percent 3 2" xfId="120"/>
    <cellStyle name="Percent 3 2 2" xfId="218"/>
    <cellStyle name="Percent 3 3" xfId="197"/>
    <cellStyle name="Percent 3 4" xfId="154"/>
    <cellStyle name="Percent 4" xfId="121"/>
    <cellStyle name="Percent 5" xfId="119"/>
    <cellStyle name="Percent 5 2" xfId="217"/>
    <cellStyle name="Style 1" xfId="36"/>
    <cellStyle name="Обычный" xfId="0" builtinId="0"/>
    <cellStyle name="Обычный 2" xfId="27"/>
    <cellStyle name="Обычный 2 2" xfId="25"/>
    <cellStyle name="Обычный 3" xfId="26"/>
    <cellStyle name="Обычный 4" xfId="28"/>
    <cellStyle name="Обычный 4 2" xfId="55"/>
    <cellStyle name="Обычный 4 3" xfId="92"/>
    <cellStyle name="Обычный_Лист1" xfId="3"/>
    <cellStyle name="Обычный_Лист1 2" xfId="17"/>
    <cellStyle name="Обычный_Лист1 3" xfId="40"/>
    <cellStyle name="Обычный_დემონტაჟი" xfId="220"/>
    <cellStyle name="Финансовый" xfId="1" builtinId="3"/>
    <cellStyle name="ჩვეულებრივი 2" xfId="29"/>
    <cellStyle name="ჩვეულებრივი 2 2 2" xfId="30"/>
  </cellStyles>
  <dxfs count="4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view="pageBreakPreview" zoomScale="115" zoomScaleSheetLayoutView="115" workbookViewId="0">
      <selection activeCell="B9" sqref="B9:G9"/>
    </sheetView>
  </sheetViews>
  <sheetFormatPr defaultRowHeight="18"/>
  <cols>
    <col min="1" max="13" width="12.42578125" style="1" customWidth="1"/>
    <col min="14" max="14" width="10" style="1" customWidth="1"/>
    <col min="15" max="256" width="9.140625" style="1"/>
    <col min="257" max="257" width="1.85546875" style="1" customWidth="1"/>
    <col min="258" max="258" width="3.5703125" style="1" customWidth="1"/>
    <col min="259" max="259" width="8.85546875" style="1" customWidth="1"/>
    <col min="260" max="260" width="21" style="1" customWidth="1"/>
    <col min="261" max="261" width="9.140625" style="1"/>
    <col min="262" max="262" width="5.140625" style="1" customWidth="1"/>
    <col min="263" max="263" width="10.7109375" style="1" customWidth="1"/>
    <col min="264" max="264" width="9.5703125" style="1" customWidth="1"/>
    <col min="265" max="265" width="9.140625" style="1"/>
    <col min="266" max="266" width="13.28515625" style="1" customWidth="1"/>
    <col min="267" max="267" width="4.140625" style="1" customWidth="1"/>
    <col min="268" max="268" width="6.85546875" style="1" customWidth="1"/>
    <col min="269" max="269" width="27.85546875" style="1" customWidth="1"/>
    <col min="270" max="270" width="10" style="1" customWidth="1"/>
    <col min="271" max="512" width="9.140625" style="1"/>
    <col min="513" max="513" width="1.85546875" style="1" customWidth="1"/>
    <col min="514" max="514" width="3.5703125" style="1" customWidth="1"/>
    <col min="515" max="515" width="8.85546875" style="1" customWidth="1"/>
    <col min="516" max="516" width="21" style="1" customWidth="1"/>
    <col min="517" max="517" width="9.140625" style="1"/>
    <col min="518" max="518" width="5.140625" style="1" customWidth="1"/>
    <col min="519" max="519" width="10.7109375" style="1" customWidth="1"/>
    <col min="520" max="520" width="9.5703125" style="1" customWidth="1"/>
    <col min="521" max="521" width="9.140625" style="1"/>
    <col min="522" max="522" width="13.28515625" style="1" customWidth="1"/>
    <col min="523" max="523" width="4.140625" style="1" customWidth="1"/>
    <col min="524" max="524" width="6.85546875" style="1" customWidth="1"/>
    <col min="525" max="525" width="27.85546875" style="1" customWidth="1"/>
    <col min="526" max="526" width="10" style="1" customWidth="1"/>
    <col min="527" max="768" width="9.140625" style="1"/>
    <col min="769" max="769" width="1.85546875" style="1" customWidth="1"/>
    <col min="770" max="770" width="3.5703125" style="1" customWidth="1"/>
    <col min="771" max="771" width="8.85546875" style="1" customWidth="1"/>
    <col min="772" max="772" width="21" style="1" customWidth="1"/>
    <col min="773" max="773" width="9.140625" style="1"/>
    <col min="774" max="774" width="5.140625" style="1" customWidth="1"/>
    <col min="775" max="775" width="10.7109375" style="1" customWidth="1"/>
    <col min="776" max="776" width="9.5703125" style="1" customWidth="1"/>
    <col min="777" max="777" width="9.140625" style="1"/>
    <col min="778" max="778" width="13.28515625" style="1" customWidth="1"/>
    <col min="779" max="779" width="4.140625" style="1" customWidth="1"/>
    <col min="780" max="780" width="6.85546875" style="1" customWidth="1"/>
    <col min="781" max="781" width="27.85546875" style="1" customWidth="1"/>
    <col min="782" max="782" width="10" style="1" customWidth="1"/>
    <col min="783" max="1024" width="9.140625" style="1"/>
    <col min="1025" max="1025" width="1.85546875" style="1" customWidth="1"/>
    <col min="1026" max="1026" width="3.5703125" style="1" customWidth="1"/>
    <col min="1027" max="1027" width="8.85546875" style="1" customWidth="1"/>
    <col min="1028" max="1028" width="21" style="1" customWidth="1"/>
    <col min="1029" max="1029" width="9.140625" style="1"/>
    <col min="1030" max="1030" width="5.140625" style="1" customWidth="1"/>
    <col min="1031" max="1031" width="10.7109375" style="1" customWidth="1"/>
    <col min="1032" max="1032" width="9.5703125" style="1" customWidth="1"/>
    <col min="1033" max="1033" width="9.140625" style="1"/>
    <col min="1034" max="1034" width="13.28515625" style="1" customWidth="1"/>
    <col min="1035" max="1035" width="4.140625" style="1" customWidth="1"/>
    <col min="1036" max="1036" width="6.85546875" style="1" customWidth="1"/>
    <col min="1037" max="1037" width="27.85546875" style="1" customWidth="1"/>
    <col min="1038" max="1038" width="10" style="1" customWidth="1"/>
    <col min="1039" max="1280" width="9.140625" style="1"/>
    <col min="1281" max="1281" width="1.85546875" style="1" customWidth="1"/>
    <col min="1282" max="1282" width="3.5703125" style="1" customWidth="1"/>
    <col min="1283" max="1283" width="8.85546875" style="1" customWidth="1"/>
    <col min="1284" max="1284" width="21" style="1" customWidth="1"/>
    <col min="1285" max="1285" width="9.140625" style="1"/>
    <col min="1286" max="1286" width="5.140625" style="1" customWidth="1"/>
    <col min="1287" max="1287" width="10.7109375" style="1" customWidth="1"/>
    <col min="1288" max="1288" width="9.5703125" style="1" customWidth="1"/>
    <col min="1289" max="1289" width="9.140625" style="1"/>
    <col min="1290" max="1290" width="13.28515625" style="1" customWidth="1"/>
    <col min="1291" max="1291" width="4.140625" style="1" customWidth="1"/>
    <col min="1292" max="1292" width="6.85546875" style="1" customWidth="1"/>
    <col min="1293" max="1293" width="27.85546875" style="1" customWidth="1"/>
    <col min="1294" max="1294" width="10" style="1" customWidth="1"/>
    <col min="1295" max="1536" width="9.140625" style="1"/>
    <col min="1537" max="1537" width="1.85546875" style="1" customWidth="1"/>
    <col min="1538" max="1538" width="3.5703125" style="1" customWidth="1"/>
    <col min="1539" max="1539" width="8.85546875" style="1" customWidth="1"/>
    <col min="1540" max="1540" width="21" style="1" customWidth="1"/>
    <col min="1541" max="1541" width="9.140625" style="1"/>
    <col min="1542" max="1542" width="5.140625" style="1" customWidth="1"/>
    <col min="1543" max="1543" width="10.7109375" style="1" customWidth="1"/>
    <col min="1544" max="1544" width="9.5703125" style="1" customWidth="1"/>
    <col min="1545" max="1545" width="9.140625" style="1"/>
    <col min="1546" max="1546" width="13.28515625" style="1" customWidth="1"/>
    <col min="1547" max="1547" width="4.140625" style="1" customWidth="1"/>
    <col min="1548" max="1548" width="6.85546875" style="1" customWidth="1"/>
    <col min="1549" max="1549" width="27.85546875" style="1" customWidth="1"/>
    <col min="1550" max="1550" width="10" style="1" customWidth="1"/>
    <col min="1551" max="1792" width="9.140625" style="1"/>
    <col min="1793" max="1793" width="1.85546875" style="1" customWidth="1"/>
    <col min="1794" max="1794" width="3.5703125" style="1" customWidth="1"/>
    <col min="1795" max="1795" width="8.85546875" style="1" customWidth="1"/>
    <col min="1796" max="1796" width="21" style="1" customWidth="1"/>
    <col min="1797" max="1797" width="9.140625" style="1"/>
    <col min="1798" max="1798" width="5.140625" style="1" customWidth="1"/>
    <col min="1799" max="1799" width="10.7109375" style="1" customWidth="1"/>
    <col min="1800" max="1800" width="9.5703125" style="1" customWidth="1"/>
    <col min="1801" max="1801" width="9.140625" style="1"/>
    <col min="1802" max="1802" width="13.28515625" style="1" customWidth="1"/>
    <col min="1803" max="1803" width="4.140625" style="1" customWidth="1"/>
    <col min="1804" max="1804" width="6.85546875" style="1" customWidth="1"/>
    <col min="1805" max="1805" width="27.85546875" style="1" customWidth="1"/>
    <col min="1806" max="1806" width="10" style="1" customWidth="1"/>
    <col min="1807" max="2048" width="9.140625" style="1"/>
    <col min="2049" max="2049" width="1.85546875" style="1" customWidth="1"/>
    <col min="2050" max="2050" width="3.5703125" style="1" customWidth="1"/>
    <col min="2051" max="2051" width="8.85546875" style="1" customWidth="1"/>
    <col min="2052" max="2052" width="21" style="1" customWidth="1"/>
    <col min="2053" max="2053" width="9.140625" style="1"/>
    <col min="2054" max="2054" width="5.140625" style="1" customWidth="1"/>
    <col min="2055" max="2055" width="10.7109375" style="1" customWidth="1"/>
    <col min="2056" max="2056" width="9.5703125" style="1" customWidth="1"/>
    <col min="2057" max="2057" width="9.140625" style="1"/>
    <col min="2058" max="2058" width="13.28515625" style="1" customWidth="1"/>
    <col min="2059" max="2059" width="4.140625" style="1" customWidth="1"/>
    <col min="2060" max="2060" width="6.85546875" style="1" customWidth="1"/>
    <col min="2061" max="2061" width="27.85546875" style="1" customWidth="1"/>
    <col min="2062" max="2062" width="10" style="1" customWidth="1"/>
    <col min="2063" max="2304" width="9.140625" style="1"/>
    <col min="2305" max="2305" width="1.85546875" style="1" customWidth="1"/>
    <col min="2306" max="2306" width="3.5703125" style="1" customWidth="1"/>
    <col min="2307" max="2307" width="8.85546875" style="1" customWidth="1"/>
    <col min="2308" max="2308" width="21" style="1" customWidth="1"/>
    <col min="2309" max="2309" width="9.140625" style="1"/>
    <col min="2310" max="2310" width="5.140625" style="1" customWidth="1"/>
    <col min="2311" max="2311" width="10.7109375" style="1" customWidth="1"/>
    <col min="2312" max="2312" width="9.5703125" style="1" customWidth="1"/>
    <col min="2313" max="2313" width="9.140625" style="1"/>
    <col min="2314" max="2314" width="13.28515625" style="1" customWidth="1"/>
    <col min="2315" max="2315" width="4.140625" style="1" customWidth="1"/>
    <col min="2316" max="2316" width="6.85546875" style="1" customWidth="1"/>
    <col min="2317" max="2317" width="27.85546875" style="1" customWidth="1"/>
    <col min="2318" max="2318" width="10" style="1" customWidth="1"/>
    <col min="2319" max="2560" width="9.140625" style="1"/>
    <col min="2561" max="2561" width="1.85546875" style="1" customWidth="1"/>
    <col min="2562" max="2562" width="3.5703125" style="1" customWidth="1"/>
    <col min="2563" max="2563" width="8.85546875" style="1" customWidth="1"/>
    <col min="2564" max="2564" width="21" style="1" customWidth="1"/>
    <col min="2565" max="2565" width="9.140625" style="1"/>
    <col min="2566" max="2566" width="5.140625" style="1" customWidth="1"/>
    <col min="2567" max="2567" width="10.7109375" style="1" customWidth="1"/>
    <col min="2568" max="2568" width="9.5703125" style="1" customWidth="1"/>
    <col min="2569" max="2569" width="9.140625" style="1"/>
    <col min="2570" max="2570" width="13.28515625" style="1" customWidth="1"/>
    <col min="2571" max="2571" width="4.140625" style="1" customWidth="1"/>
    <col min="2572" max="2572" width="6.85546875" style="1" customWidth="1"/>
    <col min="2573" max="2573" width="27.85546875" style="1" customWidth="1"/>
    <col min="2574" max="2574" width="10" style="1" customWidth="1"/>
    <col min="2575" max="2816" width="9.140625" style="1"/>
    <col min="2817" max="2817" width="1.85546875" style="1" customWidth="1"/>
    <col min="2818" max="2818" width="3.5703125" style="1" customWidth="1"/>
    <col min="2819" max="2819" width="8.85546875" style="1" customWidth="1"/>
    <col min="2820" max="2820" width="21" style="1" customWidth="1"/>
    <col min="2821" max="2821" width="9.140625" style="1"/>
    <col min="2822" max="2822" width="5.140625" style="1" customWidth="1"/>
    <col min="2823" max="2823" width="10.7109375" style="1" customWidth="1"/>
    <col min="2824" max="2824" width="9.5703125" style="1" customWidth="1"/>
    <col min="2825" max="2825" width="9.140625" style="1"/>
    <col min="2826" max="2826" width="13.28515625" style="1" customWidth="1"/>
    <col min="2827" max="2827" width="4.140625" style="1" customWidth="1"/>
    <col min="2828" max="2828" width="6.85546875" style="1" customWidth="1"/>
    <col min="2829" max="2829" width="27.85546875" style="1" customWidth="1"/>
    <col min="2830" max="2830" width="10" style="1" customWidth="1"/>
    <col min="2831" max="3072" width="9.140625" style="1"/>
    <col min="3073" max="3073" width="1.85546875" style="1" customWidth="1"/>
    <col min="3074" max="3074" width="3.5703125" style="1" customWidth="1"/>
    <col min="3075" max="3075" width="8.85546875" style="1" customWidth="1"/>
    <col min="3076" max="3076" width="21" style="1" customWidth="1"/>
    <col min="3077" max="3077" width="9.140625" style="1"/>
    <col min="3078" max="3078" width="5.140625" style="1" customWidth="1"/>
    <col min="3079" max="3079" width="10.7109375" style="1" customWidth="1"/>
    <col min="3080" max="3080" width="9.5703125" style="1" customWidth="1"/>
    <col min="3081" max="3081" width="9.140625" style="1"/>
    <col min="3082" max="3082" width="13.28515625" style="1" customWidth="1"/>
    <col min="3083" max="3083" width="4.140625" style="1" customWidth="1"/>
    <col min="3084" max="3084" width="6.85546875" style="1" customWidth="1"/>
    <col min="3085" max="3085" width="27.85546875" style="1" customWidth="1"/>
    <col min="3086" max="3086" width="10" style="1" customWidth="1"/>
    <col min="3087" max="3328" width="9.140625" style="1"/>
    <col min="3329" max="3329" width="1.85546875" style="1" customWidth="1"/>
    <col min="3330" max="3330" width="3.5703125" style="1" customWidth="1"/>
    <col min="3331" max="3331" width="8.85546875" style="1" customWidth="1"/>
    <col min="3332" max="3332" width="21" style="1" customWidth="1"/>
    <col min="3333" max="3333" width="9.140625" style="1"/>
    <col min="3334" max="3334" width="5.140625" style="1" customWidth="1"/>
    <col min="3335" max="3335" width="10.7109375" style="1" customWidth="1"/>
    <col min="3336" max="3336" width="9.5703125" style="1" customWidth="1"/>
    <col min="3337" max="3337" width="9.140625" style="1"/>
    <col min="3338" max="3338" width="13.28515625" style="1" customWidth="1"/>
    <col min="3339" max="3339" width="4.140625" style="1" customWidth="1"/>
    <col min="3340" max="3340" width="6.85546875" style="1" customWidth="1"/>
    <col min="3341" max="3341" width="27.85546875" style="1" customWidth="1"/>
    <col min="3342" max="3342" width="10" style="1" customWidth="1"/>
    <col min="3343" max="3584" width="9.140625" style="1"/>
    <col min="3585" max="3585" width="1.85546875" style="1" customWidth="1"/>
    <col min="3586" max="3586" width="3.5703125" style="1" customWidth="1"/>
    <col min="3587" max="3587" width="8.85546875" style="1" customWidth="1"/>
    <col min="3588" max="3588" width="21" style="1" customWidth="1"/>
    <col min="3589" max="3589" width="9.140625" style="1"/>
    <col min="3590" max="3590" width="5.140625" style="1" customWidth="1"/>
    <col min="3591" max="3591" width="10.7109375" style="1" customWidth="1"/>
    <col min="3592" max="3592" width="9.5703125" style="1" customWidth="1"/>
    <col min="3593" max="3593" width="9.140625" style="1"/>
    <col min="3594" max="3594" width="13.28515625" style="1" customWidth="1"/>
    <col min="3595" max="3595" width="4.140625" style="1" customWidth="1"/>
    <col min="3596" max="3596" width="6.85546875" style="1" customWidth="1"/>
    <col min="3597" max="3597" width="27.85546875" style="1" customWidth="1"/>
    <col min="3598" max="3598" width="10" style="1" customWidth="1"/>
    <col min="3599" max="3840" width="9.140625" style="1"/>
    <col min="3841" max="3841" width="1.85546875" style="1" customWidth="1"/>
    <col min="3842" max="3842" width="3.5703125" style="1" customWidth="1"/>
    <col min="3843" max="3843" width="8.85546875" style="1" customWidth="1"/>
    <col min="3844" max="3844" width="21" style="1" customWidth="1"/>
    <col min="3845" max="3845" width="9.140625" style="1"/>
    <col min="3846" max="3846" width="5.140625" style="1" customWidth="1"/>
    <col min="3847" max="3847" width="10.7109375" style="1" customWidth="1"/>
    <col min="3848" max="3848" width="9.5703125" style="1" customWidth="1"/>
    <col min="3849" max="3849" width="9.140625" style="1"/>
    <col min="3850" max="3850" width="13.28515625" style="1" customWidth="1"/>
    <col min="3851" max="3851" width="4.140625" style="1" customWidth="1"/>
    <col min="3852" max="3852" width="6.85546875" style="1" customWidth="1"/>
    <col min="3853" max="3853" width="27.85546875" style="1" customWidth="1"/>
    <col min="3854" max="3854" width="10" style="1" customWidth="1"/>
    <col min="3855" max="4096" width="9.140625" style="1"/>
    <col min="4097" max="4097" width="1.85546875" style="1" customWidth="1"/>
    <col min="4098" max="4098" width="3.5703125" style="1" customWidth="1"/>
    <col min="4099" max="4099" width="8.85546875" style="1" customWidth="1"/>
    <col min="4100" max="4100" width="21" style="1" customWidth="1"/>
    <col min="4101" max="4101" width="9.140625" style="1"/>
    <col min="4102" max="4102" width="5.140625" style="1" customWidth="1"/>
    <col min="4103" max="4103" width="10.7109375" style="1" customWidth="1"/>
    <col min="4104" max="4104" width="9.5703125" style="1" customWidth="1"/>
    <col min="4105" max="4105" width="9.140625" style="1"/>
    <col min="4106" max="4106" width="13.28515625" style="1" customWidth="1"/>
    <col min="4107" max="4107" width="4.140625" style="1" customWidth="1"/>
    <col min="4108" max="4108" width="6.85546875" style="1" customWidth="1"/>
    <col min="4109" max="4109" width="27.85546875" style="1" customWidth="1"/>
    <col min="4110" max="4110" width="10" style="1" customWidth="1"/>
    <col min="4111" max="4352" width="9.140625" style="1"/>
    <col min="4353" max="4353" width="1.85546875" style="1" customWidth="1"/>
    <col min="4354" max="4354" width="3.5703125" style="1" customWidth="1"/>
    <col min="4355" max="4355" width="8.85546875" style="1" customWidth="1"/>
    <col min="4356" max="4356" width="21" style="1" customWidth="1"/>
    <col min="4357" max="4357" width="9.140625" style="1"/>
    <col min="4358" max="4358" width="5.140625" style="1" customWidth="1"/>
    <col min="4359" max="4359" width="10.7109375" style="1" customWidth="1"/>
    <col min="4360" max="4360" width="9.5703125" style="1" customWidth="1"/>
    <col min="4361" max="4361" width="9.140625" style="1"/>
    <col min="4362" max="4362" width="13.28515625" style="1" customWidth="1"/>
    <col min="4363" max="4363" width="4.140625" style="1" customWidth="1"/>
    <col min="4364" max="4364" width="6.85546875" style="1" customWidth="1"/>
    <col min="4365" max="4365" width="27.85546875" style="1" customWidth="1"/>
    <col min="4366" max="4366" width="10" style="1" customWidth="1"/>
    <col min="4367" max="4608" width="9.140625" style="1"/>
    <col min="4609" max="4609" width="1.85546875" style="1" customWidth="1"/>
    <col min="4610" max="4610" width="3.5703125" style="1" customWidth="1"/>
    <col min="4611" max="4611" width="8.85546875" style="1" customWidth="1"/>
    <col min="4612" max="4612" width="21" style="1" customWidth="1"/>
    <col min="4613" max="4613" width="9.140625" style="1"/>
    <col min="4614" max="4614" width="5.140625" style="1" customWidth="1"/>
    <col min="4615" max="4615" width="10.7109375" style="1" customWidth="1"/>
    <col min="4616" max="4616" width="9.5703125" style="1" customWidth="1"/>
    <col min="4617" max="4617" width="9.140625" style="1"/>
    <col min="4618" max="4618" width="13.28515625" style="1" customWidth="1"/>
    <col min="4619" max="4619" width="4.140625" style="1" customWidth="1"/>
    <col min="4620" max="4620" width="6.85546875" style="1" customWidth="1"/>
    <col min="4621" max="4621" width="27.85546875" style="1" customWidth="1"/>
    <col min="4622" max="4622" width="10" style="1" customWidth="1"/>
    <col min="4623" max="4864" width="9.140625" style="1"/>
    <col min="4865" max="4865" width="1.85546875" style="1" customWidth="1"/>
    <col min="4866" max="4866" width="3.5703125" style="1" customWidth="1"/>
    <col min="4867" max="4867" width="8.85546875" style="1" customWidth="1"/>
    <col min="4868" max="4868" width="21" style="1" customWidth="1"/>
    <col min="4869" max="4869" width="9.140625" style="1"/>
    <col min="4870" max="4870" width="5.140625" style="1" customWidth="1"/>
    <col min="4871" max="4871" width="10.7109375" style="1" customWidth="1"/>
    <col min="4872" max="4872" width="9.5703125" style="1" customWidth="1"/>
    <col min="4873" max="4873" width="9.140625" style="1"/>
    <col min="4874" max="4874" width="13.28515625" style="1" customWidth="1"/>
    <col min="4875" max="4875" width="4.140625" style="1" customWidth="1"/>
    <col min="4876" max="4876" width="6.85546875" style="1" customWidth="1"/>
    <col min="4877" max="4877" width="27.85546875" style="1" customWidth="1"/>
    <col min="4878" max="4878" width="10" style="1" customWidth="1"/>
    <col min="4879" max="5120" width="9.140625" style="1"/>
    <col min="5121" max="5121" width="1.85546875" style="1" customWidth="1"/>
    <col min="5122" max="5122" width="3.5703125" style="1" customWidth="1"/>
    <col min="5123" max="5123" width="8.85546875" style="1" customWidth="1"/>
    <col min="5124" max="5124" width="21" style="1" customWidth="1"/>
    <col min="5125" max="5125" width="9.140625" style="1"/>
    <col min="5126" max="5126" width="5.140625" style="1" customWidth="1"/>
    <col min="5127" max="5127" width="10.7109375" style="1" customWidth="1"/>
    <col min="5128" max="5128" width="9.5703125" style="1" customWidth="1"/>
    <col min="5129" max="5129" width="9.140625" style="1"/>
    <col min="5130" max="5130" width="13.28515625" style="1" customWidth="1"/>
    <col min="5131" max="5131" width="4.140625" style="1" customWidth="1"/>
    <col min="5132" max="5132" width="6.85546875" style="1" customWidth="1"/>
    <col min="5133" max="5133" width="27.85546875" style="1" customWidth="1"/>
    <col min="5134" max="5134" width="10" style="1" customWidth="1"/>
    <col min="5135" max="5376" width="9.140625" style="1"/>
    <col min="5377" max="5377" width="1.85546875" style="1" customWidth="1"/>
    <col min="5378" max="5378" width="3.5703125" style="1" customWidth="1"/>
    <col min="5379" max="5379" width="8.85546875" style="1" customWidth="1"/>
    <col min="5380" max="5380" width="21" style="1" customWidth="1"/>
    <col min="5381" max="5381" width="9.140625" style="1"/>
    <col min="5382" max="5382" width="5.140625" style="1" customWidth="1"/>
    <col min="5383" max="5383" width="10.7109375" style="1" customWidth="1"/>
    <col min="5384" max="5384" width="9.5703125" style="1" customWidth="1"/>
    <col min="5385" max="5385" width="9.140625" style="1"/>
    <col min="5386" max="5386" width="13.28515625" style="1" customWidth="1"/>
    <col min="5387" max="5387" width="4.140625" style="1" customWidth="1"/>
    <col min="5388" max="5388" width="6.85546875" style="1" customWidth="1"/>
    <col min="5389" max="5389" width="27.85546875" style="1" customWidth="1"/>
    <col min="5390" max="5390" width="10" style="1" customWidth="1"/>
    <col min="5391" max="5632" width="9.140625" style="1"/>
    <col min="5633" max="5633" width="1.85546875" style="1" customWidth="1"/>
    <col min="5634" max="5634" width="3.5703125" style="1" customWidth="1"/>
    <col min="5635" max="5635" width="8.85546875" style="1" customWidth="1"/>
    <col min="5636" max="5636" width="21" style="1" customWidth="1"/>
    <col min="5637" max="5637" width="9.140625" style="1"/>
    <col min="5638" max="5638" width="5.140625" style="1" customWidth="1"/>
    <col min="5639" max="5639" width="10.7109375" style="1" customWidth="1"/>
    <col min="5640" max="5640" width="9.5703125" style="1" customWidth="1"/>
    <col min="5641" max="5641" width="9.140625" style="1"/>
    <col min="5642" max="5642" width="13.28515625" style="1" customWidth="1"/>
    <col min="5643" max="5643" width="4.140625" style="1" customWidth="1"/>
    <col min="5644" max="5644" width="6.85546875" style="1" customWidth="1"/>
    <col min="5645" max="5645" width="27.85546875" style="1" customWidth="1"/>
    <col min="5646" max="5646" width="10" style="1" customWidth="1"/>
    <col min="5647" max="5888" width="9.140625" style="1"/>
    <col min="5889" max="5889" width="1.85546875" style="1" customWidth="1"/>
    <col min="5890" max="5890" width="3.5703125" style="1" customWidth="1"/>
    <col min="5891" max="5891" width="8.85546875" style="1" customWidth="1"/>
    <col min="5892" max="5892" width="21" style="1" customWidth="1"/>
    <col min="5893" max="5893" width="9.140625" style="1"/>
    <col min="5894" max="5894" width="5.140625" style="1" customWidth="1"/>
    <col min="5895" max="5895" width="10.7109375" style="1" customWidth="1"/>
    <col min="5896" max="5896" width="9.5703125" style="1" customWidth="1"/>
    <col min="5897" max="5897" width="9.140625" style="1"/>
    <col min="5898" max="5898" width="13.28515625" style="1" customWidth="1"/>
    <col min="5899" max="5899" width="4.140625" style="1" customWidth="1"/>
    <col min="5900" max="5900" width="6.85546875" style="1" customWidth="1"/>
    <col min="5901" max="5901" width="27.85546875" style="1" customWidth="1"/>
    <col min="5902" max="5902" width="10" style="1" customWidth="1"/>
    <col min="5903" max="6144" width="9.140625" style="1"/>
    <col min="6145" max="6145" width="1.85546875" style="1" customWidth="1"/>
    <col min="6146" max="6146" width="3.5703125" style="1" customWidth="1"/>
    <col min="6147" max="6147" width="8.85546875" style="1" customWidth="1"/>
    <col min="6148" max="6148" width="21" style="1" customWidth="1"/>
    <col min="6149" max="6149" width="9.140625" style="1"/>
    <col min="6150" max="6150" width="5.140625" style="1" customWidth="1"/>
    <col min="6151" max="6151" width="10.7109375" style="1" customWidth="1"/>
    <col min="6152" max="6152" width="9.5703125" style="1" customWidth="1"/>
    <col min="6153" max="6153" width="9.140625" style="1"/>
    <col min="6154" max="6154" width="13.28515625" style="1" customWidth="1"/>
    <col min="6155" max="6155" width="4.140625" style="1" customWidth="1"/>
    <col min="6156" max="6156" width="6.85546875" style="1" customWidth="1"/>
    <col min="6157" max="6157" width="27.85546875" style="1" customWidth="1"/>
    <col min="6158" max="6158" width="10" style="1" customWidth="1"/>
    <col min="6159" max="6400" width="9.140625" style="1"/>
    <col min="6401" max="6401" width="1.85546875" style="1" customWidth="1"/>
    <col min="6402" max="6402" width="3.5703125" style="1" customWidth="1"/>
    <col min="6403" max="6403" width="8.85546875" style="1" customWidth="1"/>
    <col min="6404" max="6404" width="21" style="1" customWidth="1"/>
    <col min="6405" max="6405" width="9.140625" style="1"/>
    <col min="6406" max="6406" width="5.140625" style="1" customWidth="1"/>
    <col min="6407" max="6407" width="10.7109375" style="1" customWidth="1"/>
    <col min="6408" max="6408" width="9.5703125" style="1" customWidth="1"/>
    <col min="6409" max="6409" width="9.140625" style="1"/>
    <col min="6410" max="6410" width="13.28515625" style="1" customWidth="1"/>
    <col min="6411" max="6411" width="4.140625" style="1" customWidth="1"/>
    <col min="6412" max="6412" width="6.85546875" style="1" customWidth="1"/>
    <col min="6413" max="6413" width="27.85546875" style="1" customWidth="1"/>
    <col min="6414" max="6414" width="10" style="1" customWidth="1"/>
    <col min="6415" max="6656" width="9.140625" style="1"/>
    <col min="6657" max="6657" width="1.85546875" style="1" customWidth="1"/>
    <col min="6658" max="6658" width="3.5703125" style="1" customWidth="1"/>
    <col min="6659" max="6659" width="8.85546875" style="1" customWidth="1"/>
    <col min="6660" max="6660" width="21" style="1" customWidth="1"/>
    <col min="6661" max="6661" width="9.140625" style="1"/>
    <col min="6662" max="6662" width="5.140625" style="1" customWidth="1"/>
    <col min="6663" max="6663" width="10.7109375" style="1" customWidth="1"/>
    <col min="6664" max="6664" width="9.5703125" style="1" customWidth="1"/>
    <col min="6665" max="6665" width="9.140625" style="1"/>
    <col min="6666" max="6666" width="13.28515625" style="1" customWidth="1"/>
    <col min="6667" max="6667" width="4.140625" style="1" customWidth="1"/>
    <col min="6668" max="6668" width="6.85546875" style="1" customWidth="1"/>
    <col min="6669" max="6669" width="27.85546875" style="1" customWidth="1"/>
    <col min="6670" max="6670" width="10" style="1" customWidth="1"/>
    <col min="6671" max="6912" width="9.140625" style="1"/>
    <col min="6913" max="6913" width="1.85546875" style="1" customWidth="1"/>
    <col min="6914" max="6914" width="3.5703125" style="1" customWidth="1"/>
    <col min="6915" max="6915" width="8.85546875" style="1" customWidth="1"/>
    <col min="6916" max="6916" width="21" style="1" customWidth="1"/>
    <col min="6917" max="6917" width="9.140625" style="1"/>
    <col min="6918" max="6918" width="5.140625" style="1" customWidth="1"/>
    <col min="6919" max="6919" width="10.7109375" style="1" customWidth="1"/>
    <col min="6920" max="6920" width="9.5703125" style="1" customWidth="1"/>
    <col min="6921" max="6921" width="9.140625" style="1"/>
    <col min="6922" max="6922" width="13.28515625" style="1" customWidth="1"/>
    <col min="6923" max="6923" width="4.140625" style="1" customWidth="1"/>
    <col min="6924" max="6924" width="6.85546875" style="1" customWidth="1"/>
    <col min="6925" max="6925" width="27.85546875" style="1" customWidth="1"/>
    <col min="6926" max="6926" width="10" style="1" customWidth="1"/>
    <col min="6927" max="7168" width="9.140625" style="1"/>
    <col min="7169" max="7169" width="1.85546875" style="1" customWidth="1"/>
    <col min="7170" max="7170" width="3.5703125" style="1" customWidth="1"/>
    <col min="7171" max="7171" width="8.85546875" style="1" customWidth="1"/>
    <col min="7172" max="7172" width="21" style="1" customWidth="1"/>
    <col min="7173" max="7173" width="9.140625" style="1"/>
    <col min="7174" max="7174" width="5.140625" style="1" customWidth="1"/>
    <col min="7175" max="7175" width="10.7109375" style="1" customWidth="1"/>
    <col min="7176" max="7176" width="9.5703125" style="1" customWidth="1"/>
    <col min="7177" max="7177" width="9.140625" style="1"/>
    <col min="7178" max="7178" width="13.28515625" style="1" customWidth="1"/>
    <col min="7179" max="7179" width="4.140625" style="1" customWidth="1"/>
    <col min="7180" max="7180" width="6.85546875" style="1" customWidth="1"/>
    <col min="7181" max="7181" width="27.85546875" style="1" customWidth="1"/>
    <col min="7182" max="7182" width="10" style="1" customWidth="1"/>
    <col min="7183" max="7424" width="9.140625" style="1"/>
    <col min="7425" max="7425" width="1.85546875" style="1" customWidth="1"/>
    <col min="7426" max="7426" width="3.5703125" style="1" customWidth="1"/>
    <col min="7427" max="7427" width="8.85546875" style="1" customWidth="1"/>
    <col min="7428" max="7428" width="21" style="1" customWidth="1"/>
    <col min="7429" max="7429" width="9.140625" style="1"/>
    <col min="7430" max="7430" width="5.140625" style="1" customWidth="1"/>
    <col min="7431" max="7431" width="10.7109375" style="1" customWidth="1"/>
    <col min="7432" max="7432" width="9.5703125" style="1" customWidth="1"/>
    <col min="7433" max="7433" width="9.140625" style="1"/>
    <col min="7434" max="7434" width="13.28515625" style="1" customWidth="1"/>
    <col min="7435" max="7435" width="4.140625" style="1" customWidth="1"/>
    <col min="7436" max="7436" width="6.85546875" style="1" customWidth="1"/>
    <col min="7437" max="7437" width="27.85546875" style="1" customWidth="1"/>
    <col min="7438" max="7438" width="10" style="1" customWidth="1"/>
    <col min="7439" max="7680" width="9.140625" style="1"/>
    <col min="7681" max="7681" width="1.85546875" style="1" customWidth="1"/>
    <col min="7682" max="7682" width="3.5703125" style="1" customWidth="1"/>
    <col min="7683" max="7683" width="8.85546875" style="1" customWidth="1"/>
    <col min="7684" max="7684" width="21" style="1" customWidth="1"/>
    <col min="7685" max="7685" width="9.140625" style="1"/>
    <col min="7686" max="7686" width="5.140625" style="1" customWidth="1"/>
    <col min="7687" max="7687" width="10.7109375" style="1" customWidth="1"/>
    <col min="7688" max="7688" width="9.5703125" style="1" customWidth="1"/>
    <col min="7689" max="7689" width="9.140625" style="1"/>
    <col min="7690" max="7690" width="13.28515625" style="1" customWidth="1"/>
    <col min="7691" max="7691" width="4.140625" style="1" customWidth="1"/>
    <col min="7692" max="7692" width="6.85546875" style="1" customWidth="1"/>
    <col min="7693" max="7693" width="27.85546875" style="1" customWidth="1"/>
    <col min="7694" max="7694" width="10" style="1" customWidth="1"/>
    <col min="7695" max="7936" width="9.140625" style="1"/>
    <col min="7937" max="7937" width="1.85546875" style="1" customWidth="1"/>
    <col min="7938" max="7938" width="3.5703125" style="1" customWidth="1"/>
    <col min="7939" max="7939" width="8.85546875" style="1" customWidth="1"/>
    <col min="7940" max="7940" width="21" style="1" customWidth="1"/>
    <col min="7941" max="7941" width="9.140625" style="1"/>
    <col min="7942" max="7942" width="5.140625" style="1" customWidth="1"/>
    <col min="7943" max="7943" width="10.7109375" style="1" customWidth="1"/>
    <col min="7944" max="7944" width="9.5703125" style="1" customWidth="1"/>
    <col min="7945" max="7945" width="9.140625" style="1"/>
    <col min="7946" max="7946" width="13.28515625" style="1" customWidth="1"/>
    <col min="7947" max="7947" width="4.140625" style="1" customWidth="1"/>
    <col min="7948" max="7948" width="6.85546875" style="1" customWidth="1"/>
    <col min="7949" max="7949" width="27.85546875" style="1" customWidth="1"/>
    <col min="7950" max="7950" width="10" style="1" customWidth="1"/>
    <col min="7951" max="8192" width="9.140625" style="1"/>
    <col min="8193" max="8193" width="1.85546875" style="1" customWidth="1"/>
    <col min="8194" max="8194" width="3.5703125" style="1" customWidth="1"/>
    <col min="8195" max="8195" width="8.85546875" style="1" customWidth="1"/>
    <col min="8196" max="8196" width="21" style="1" customWidth="1"/>
    <col min="8197" max="8197" width="9.140625" style="1"/>
    <col min="8198" max="8198" width="5.140625" style="1" customWidth="1"/>
    <col min="8199" max="8199" width="10.7109375" style="1" customWidth="1"/>
    <col min="8200" max="8200" width="9.5703125" style="1" customWidth="1"/>
    <col min="8201" max="8201" width="9.140625" style="1"/>
    <col min="8202" max="8202" width="13.28515625" style="1" customWidth="1"/>
    <col min="8203" max="8203" width="4.140625" style="1" customWidth="1"/>
    <col min="8204" max="8204" width="6.85546875" style="1" customWidth="1"/>
    <col min="8205" max="8205" width="27.85546875" style="1" customWidth="1"/>
    <col min="8206" max="8206" width="10" style="1" customWidth="1"/>
    <col min="8207" max="8448" width="9.140625" style="1"/>
    <col min="8449" max="8449" width="1.85546875" style="1" customWidth="1"/>
    <col min="8450" max="8450" width="3.5703125" style="1" customWidth="1"/>
    <col min="8451" max="8451" width="8.85546875" style="1" customWidth="1"/>
    <col min="8452" max="8452" width="21" style="1" customWidth="1"/>
    <col min="8453" max="8453" width="9.140625" style="1"/>
    <col min="8454" max="8454" width="5.140625" style="1" customWidth="1"/>
    <col min="8455" max="8455" width="10.7109375" style="1" customWidth="1"/>
    <col min="8456" max="8456" width="9.5703125" style="1" customWidth="1"/>
    <col min="8457" max="8457" width="9.140625" style="1"/>
    <col min="8458" max="8458" width="13.28515625" style="1" customWidth="1"/>
    <col min="8459" max="8459" width="4.140625" style="1" customWidth="1"/>
    <col min="8460" max="8460" width="6.85546875" style="1" customWidth="1"/>
    <col min="8461" max="8461" width="27.85546875" style="1" customWidth="1"/>
    <col min="8462" max="8462" width="10" style="1" customWidth="1"/>
    <col min="8463" max="8704" width="9.140625" style="1"/>
    <col min="8705" max="8705" width="1.85546875" style="1" customWidth="1"/>
    <col min="8706" max="8706" width="3.5703125" style="1" customWidth="1"/>
    <col min="8707" max="8707" width="8.85546875" style="1" customWidth="1"/>
    <col min="8708" max="8708" width="21" style="1" customWidth="1"/>
    <col min="8709" max="8709" width="9.140625" style="1"/>
    <col min="8710" max="8710" width="5.140625" style="1" customWidth="1"/>
    <col min="8711" max="8711" width="10.7109375" style="1" customWidth="1"/>
    <col min="8712" max="8712" width="9.5703125" style="1" customWidth="1"/>
    <col min="8713" max="8713" width="9.140625" style="1"/>
    <col min="8714" max="8714" width="13.28515625" style="1" customWidth="1"/>
    <col min="8715" max="8715" width="4.140625" style="1" customWidth="1"/>
    <col min="8716" max="8716" width="6.85546875" style="1" customWidth="1"/>
    <col min="8717" max="8717" width="27.85546875" style="1" customWidth="1"/>
    <col min="8718" max="8718" width="10" style="1" customWidth="1"/>
    <col min="8719" max="8960" width="9.140625" style="1"/>
    <col min="8961" max="8961" width="1.85546875" style="1" customWidth="1"/>
    <col min="8962" max="8962" width="3.5703125" style="1" customWidth="1"/>
    <col min="8963" max="8963" width="8.85546875" style="1" customWidth="1"/>
    <col min="8964" max="8964" width="21" style="1" customWidth="1"/>
    <col min="8965" max="8965" width="9.140625" style="1"/>
    <col min="8966" max="8966" width="5.140625" style="1" customWidth="1"/>
    <col min="8967" max="8967" width="10.7109375" style="1" customWidth="1"/>
    <col min="8968" max="8968" width="9.5703125" style="1" customWidth="1"/>
    <col min="8969" max="8969" width="9.140625" style="1"/>
    <col min="8970" max="8970" width="13.28515625" style="1" customWidth="1"/>
    <col min="8971" max="8971" width="4.140625" style="1" customWidth="1"/>
    <col min="8972" max="8972" width="6.85546875" style="1" customWidth="1"/>
    <col min="8973" max="8973" width="27.85546875" style="1" customWidth="1"/>
    <col min="8974" max="8974" width="10" style="1" customWidth="1"/>
    <col min="8975" max="9216" width="9.140625" style="1"/>
    <col min="9217" max="9217" width="1.85546875" style="1" customWidth="1"/>
    <col min="9218" max="9218" width="3.5703125" style="1" customWidth="1"/>
    <col min="9219" max="9219" width="8.85546875" style="1" customWidth="1"/>
    <col min="9220" max="9220" width="21" style="1" customWidth="1"/>
    <col min="9221" max="9221" width="9.140625" style="1"/>
    <col min="9222" max="9222" width="5.140625" style="1" customWidth="1"/>
    <col min="9223" max="9223" width="10.7109375" style="1" customWidth="1"/>
    <col min="9224" max="9224" width="9.5703125" style="1" customWidth="1"/>
    <col min="9225" max="9225" width="9.140625" style="1"/>
    <col min="9226" max="9226" width="13.28515625" style="1" customWidth="1"/>
    <col min="9227" max="9227" width="4.140625" style="1" customWidth="1"/>
    <col min="9228" max="9228" width="6.85546875" style="1" customWidth="1"/>
    <col min="9229" max="9229" width="27.85546875" style="1" customWidth="1"/>
    <col min="9230" max="9230" width="10" style="1" customWidth="1"/>
    <col min="9231" max="9472" width="9.140625" style="1"/>
    <col min="9473" max="9473" width="1.85546875" style="1" customWidth="1"/>
    <col min="9474" max="9474" width="3.5703125" style="1" customWidth="1"/>
    <col min="9475" max="9475" width="8.85546875" style="1" customWidth="1"/>
    <col min="9476" max="9476" width="21" style="1" customWidth="1"/>
    <col min="9477" max="9477" width="9.140625" style="1"/>
    <col min="9478" max="9478" width="5.140625" style="1" customWidth="1"/>
    <col min="9479" max="9479" width="10.7109375" style="1" customWidth="1"/>
    <col min="9480" max="9480" width="9.5703125" style="1" customWidth="1"/>
    <col min="9481" max="9481" width="9.140625" style="1"/>
    <col min="9482" max="9482" width="13.28515625" style="1" customWidth="1"/>
    <col min="9483" max="9483" width="4.140625" style="1" customWidth="1"/>
    <col min="9484" max="9484" width="6.85546875" style="1" customWidth="1"/>
    <col min="9485" max="9485" width="27.85546875" style="1" customWidth="1"/>
    <col min="9486" max="9486" width="10" style="1" customWidth="1"/>
    <col min="9487" max="9728" width="9.140625" style="1"/>
    <col min="9729" max="9729" width="1.85546875" style="1" customWidth="1"/>
    <col min="9730" max="9730" width="3.5703125" style="1" customWidth="1"/>
    <col min="9731" max="9731" width="8.85546875" style="1" customWidth="1"/>
    <col min="9732" max="9732" width="21" style="1" customWidth="1"/>
    <col min="9733" max="9733" width="9.140625" style="1"/>
    <col min="9734" max="9734" width="5.140625" style="1" customWidth="1"/>
    <col min="9735" max="9735" width="10.7109375" style="1" customWidth="1"/>
    <col min="9736" max="9736" width="9.5703125" style="1" customWidth="1"/>
    <col min="9737" max="9737" width="9.140625" style="1"/>
    <col min="9738" max="9738" width="13.28515625" style="1" customWidth="1"/>
    <col min="9739" max="9739" width="4.140625" style="1" customWidth="1"/>
    <col min="9740" max="9740" width="6.85546875" style="1" customWidth="1"/>
    <col min="9741" max="9741" width="27.85546875" style="1" customWidth="1"/>
    <col min="9742" max="9742" width="10" style="1" customWidth="1"/>
    <col min="9743" max="9984" width="9.140625" style="1"/>
    <col min="9985" max="9985" width="1.85546875" style="1" customWidth="1"/>
    <col min="9986" max="9986" width="3.5703125" style="1" customWidth="1"/>
    <col min="9987" max="9987" width="8.85546875" style="1" customWidth="1"/>
    <col min="9988" max="9988" width="21" style="1" customWidth="1"/>
    <col min="9989" max="9989" width="9.140625" style="1"/>
    <col min="9990" max="9990" width="5.140625" style="1" customWidth="1"/>
    <col min="9991" max="9991" width="10.7109375" style="1" customWidth="1"/>
    <col min="9992" max="9992" width="9.5703125" style="1" customWidth="1"/>
    <col min="9993" max="9993" width="9.140625" style="1"/>
    <col min="9994" max="9994" width="13.28515625" style="1" customWidth="1"/>
    <col min="9995" max="9995" width="4.140625" style="1" customWidth="1"/>
    <col min="9996" max="9996" width="6.85546875" style="1" customWidth="1"/>
    <col min="9997" max="9997" width="27.85546875" style="1" customWidth="1"/>
    <col min="9998" max="9998" width="10" style="1" customWidth="1"/>
    <col min="9999" max="10240" width="9.140625" style="1"/>
    <col min="10241" max="10241" width="1.85546875" style="1" customWidth="1"/>
    <col min="10242" max="10242" width="3.5703125" style="1" customWidth="1"/>
    <col min="10243" max="10243" width="8.85546875" style="1" customWidth="1"/>
    <col min="10244" max="10244" width="21" style="1" customWidth="1"/>
    <col min="10245" max="10245" width="9.140625" style="1"/>
    <col min="10246" max="10246" width="5.140625" style="1" customWidth="1"/>
    <col min="10247" max="10247" width="10.7109375" style="1" customWidth="1"/>
    <col min="10248" max="10248" width="9.5703125" style="1" customWidth="1"/>
    <col min="10249" max="10249" width="9.140625" style="1"/>
    <col min="10250" max="10250" width="13.28515625" style="1" customWidth="1"/>
    <col min="10251" max="10251" width="4.140625" style="1" customWidth="1"/>
    <col min="10252" max="10252" width="6.85546875" style="1" customWidth="1"/>
    <col min="10253" max="10253" width="27.85546875" style="1" customWidth="1"/>
    <col min="10254" max="10254" width="10" style="1" customWidth="1"/>
    <col min="10255" max="10496" width="9.140625" style="1"/>
    <col min="10497" max="10497" width="1.85546875" style="1" customWidth="1"/>
    <col min="10498" max="10498" width="3.5703125" style="1" customWidth="1"/>
    <col min="10499" max="10499" width="8.85546875" style="1" customWidth="1"/>
    <col min="10500" max="10500" width="21" style="1" customWidth="1"/>
    <col min="10501" max="10501" width="9.140625" style="1"/>
    <col min="10502" max="10502" width="5.140625" style="1" customWidth="1"/>
    <col min="10503" max="10503" width="10.7109375" style="1" customWidth="1"/>
    <col min="10504" max="10504" width="9.5703125" style="1" customWidth="1"/>
    <col min="10505" max="10505" width="9.140625" style="1"/>
    <col min="10506" max="10506" width="13.28515625" style="1" customWidth="1"/>
    <col min="10507" max="10507" width="4.140625" style="1" customWidth="1"/>
    <col min="10508" max="10508" width="6.85546875" style="1" customWidth="1"/>
    <col min="10509" max="10509" width="27.85546875" style="1" customWidth="1"/>
    <col min="10510" max="10510" width="10" style="1" customWidth="1"/>
    <col min="10511" max="10752" width="9.140625" style="1"/>
    <col min="10753" max="10753" width="1.85546875" style="1" customWidth="1"/>
    <col min="10754" max="10754" width="3.5703125" style="1" customWidth="1"/>
    <col min="10755" max="10755" width="8.85546875" style="1" customWidth="1"/>
    <col min="10756" max="10756" width="21" style="1" customWidth="1"/>
    <col min="10757" max="10757" width="9.140625" style="1"/>
    <col min="10758" max="10758" width="5.140625" style="1" customWidth="1"/>
    <col min="10759" max="10759" width="10.7109375" style="1" customWidth="1"/>
    <col min="10760" max="10760" width="9.5703125" style="1" customWidth="1"/>
    <col min="10761" max="10761" width="9.140625" style="1"/>
    <col min="10762" max="10762" width="13.28515625" style="1" customWidth="1"/>
    <col min="10763" max="10763" width="4.140625" style="1" customWidth="1"/>
    <col min="10764" max="10764" width="6.85546875" style="1" customWidth="1"/>
    <col min="10765" max="10765" width="27.85546875" style="1" customWidth="1"/>
    <col min="10766" max="10766" width="10" style="1" customWidth="1"/>
    <col min="10767" max="11008" width="9.140625" style="1"/>
    <col min="11009" max="11009" width="1.85546875" style="1" customWidth="1"/>
    <col min="11010" max="11010" width="3.5703125" style="1" customWidth="1"/>
    <col min="11011" max="11011" width="8.85546875" style="1" customWidth="1"/>
    <col min="11012" max="11012" width="21" style="1" customWidth="1"/>
    <col min="11013" max="11013" width="9.140625" style="1"/>
    <col min="11014" max="11014" width="5.140625" style="1" customWidth="1"/>
    <col min="11015" max="11015" width="10.7109375" style="1" customWidth="1"/>
    <col min="11016" max="11016" width="9.5703125" style="1" customWidth="1"/>
    <col min="11017" max="11017" width="9.140625" style="1"/>
    <col min="11018" max="11018" width="13.28515625" style="1" customWidth="1"/>
    <col min="11019" max="11019" width="4.140625" style="1" customWidth="1"/>
    <col min="11020" max="11020" width="6.85546875" style="1" customWidth="1"/>
    <col min="11021" max="11021" width="27.85546875" style="1" customWidth="1"/>
    <col min="11022" max="11022" width="10" style="1" customWidth="1"/>
    <col min="11023" max="11264" width="9.140625" style="1"/>
    <col min="11265" max="11265" width="1.85546875" style="1" customWidth="1"/>
    <col min="11266" max="11266" width="3.5703125" style="1" customWidth="1"/>
    <col min="11267" max="11267" width="8.85546875" style="1" customWidth="1"/>
    <col min="11268" max="11268" width="21" style="1" customWidth="1"/>
    <col min="11269" max="11269" width="9.140625" style="1"/>
    <col min="11270" max="11270" width="5.140625" style="1" customWidth="1"/>
    <col min="11271" max="11271" width="10.7109375" style="1" customWidth="1"/>
    <col min="11272" max="11272" width="9.5703125" style="1" customWidth="1"/>
    <col min="11273" max="11273" width="9.140625" style="1"/>
    <col min="11274" max="11274" width="13.28515625" style="1" customWidth="1"/>
    <col min="11275" max="11275" width="4.140625" style="1" customWidth="1"/>
    <col min="11276" max="11276" width="6.85546875" style="1" customWidth="1"/>
    <col min="11277" max="11277" width="27.85546875" style="1" customWidth="1"/>
    <col min="11278" max="11278" width="10" style="1" customWidth="1"/>
    <col min="11279" max="11520" width="9.140625" style="1"/>
    <col min="11521" max="11521" width="1.85546875" style="1" customWidth="1"/>
    <col min="11522" max="11522" width="3.5703125" style="1" customWidth="1"/>
    <col min="11523" max="11523" width="8.85546875" style="1" customWidth="1"/>
    <col min="11524" max="11524" width="21" style="1" customWidth="1"/>
    <col min="11525" max="11525" width="9.140625" style="1"/>
    <col min="11526" max="11526" width="5.140625" style="1" customWidth="1"/>
    <col min="11527" max="11527" width="10.7109375" style="1" customWidth="1"/>
    <col min="11528" max="11528" width="9.5703125" style="1" customWidth="1"/>
    <col min="11529" max="11529" width="9.140625" style="1"/>
    <col min="11530" max="11530" width="13.28515625" style="1" customWidth="1"/>
    <col min="11531" max="11531" width="4.140625" style="1" customWidth="1"/>
    <col min="11532" max="11532" width="6.85546875" style="1" customWidth="1"/>
    <col min="11533" max="11533" width="27.85546875" style="1" customWidth="1"/>
    <col min="11534" max="11534" width="10" style="1" customWidth="1"/>
    <col min="11535" max="11776" width="9.140625" style="1"/>
    <col min="11777" max="11777" width="1.85546875" style="1" customWidth="1"/>
    <col min="11778" max="11778" width="3.5703125" style="1" customWidth="1"/>
    <col min="11779" max="11779" width="8.85546875" style="1" customWidth="1"/>
    <col min="11780" max="11780" width="21" style="1" customWidth="1"/>
    <col min="11781" max="11781" width="9.140625" style="1"/>
    <col min="11782" max="11782" width="5.140625" style="1" customWidth="1"/>
    <col min="11783" max="11783" width="10.7109375" style="1" customWidth="1"/>
    <col min="11784" max="11784" width="9.5703125" style="1" customWidth="1"/>
    <col min="11785" max="11785" width="9.140625" style="1"/>
    <col min="11786" max="11786" width="13.28515625" style="1" customWidth="1"/>
    <col min="11787" max="11787" width="4.140625" style="1" customWidth="1"/>
    <col min="11788" max="11788" width="6.85546875" style="1" customWidth="1"/>
    <col min="11789" max="11789" width="27.85546875" style="1" customWidth="1"/>
    <col min="11790" max="11790" width="10" style="1" customWidth="1"/>
    <col min="11791" max="12032" width="9.140625" style="1"/>
    <col min="12033" max="12033" width="1.85546875" style="1" customWidth="1"/>
    <col min="12034" max="12034" width="3.5703125" style="1" customWidth="1"/>
    <col min="12035" max="12035" width="8.85546875" style="1" customWidth="1"/>
    <col min="12036" max="12036" width="21" style="1" customWidth="1"/>
    <col min="12037" max="12037" width="9.140625" style="1"/>
    <col min="12038" max="12038" width="5.140625" style="1" customWidth="1"/>
    <col min="12039" max="12039" width="10.7109375" style="1" customWidth="1"/>
    <col min="12040" max="12040" width="9.5703125" style="1" customWidth="1"/>
    <col min="12041" max="12041" width="9.140625" style="1"/>
    <col min="12042" max="12042" width="13.28515625" style="1" customWidth="1"/>
    <col min="12043" max="12043" width="4.140625" style="1" customWidth="1"/>
    <col min="12044" max="12044" width="6.85546875" style="1" customWidth="1"/>
    <col min="12045" max="12045" width="27.85546875" style="1" customWidth="1"/>
    <col min="12046" max="12046" width="10" style="1" customWidth="1"/>
    <col min="12047" max="12288" width="9.140625" style="1"/>
    <col min="12289" max="12289" width="1.85546875" style="1" customWidth="1"/>
    <col min="12290" max="12290" width="3.5703125" style="1" customWidth="1"/>
    <col min="12291" max="12291" width="8.85546875" style="1" customWidth="1"/>
    <col min="12292" max="12292" width="21" style="1" customWidth="1"/>
    <col min="12293" max="12293" width="9.140625" style="1"/>
    <col min="12294" max="12294" width="5.140625" style="1" customWidth="1"/>
    <col min="12295" max="12295" width="10.7109375" style="1" customWidth="1"/>
    <col min="12296" max="12296" width="9.5703125" style="1" customWidth="1"/>
    <col min="12297" max="12297" width="9.140625" style="1"/>
    <col min="12298" max="12298" width="13.28515625" style="1" customWidth="1"/>
    <col min="12299" max="12299" width="4.140625" style="1" customWidth="1"/>
    <col min="12300" max="12300" width="6.85546875" style="1" customWidth="1"/>
    <col min="12301" max="12301" width="27.85546875" style="1" customWidth="1"/>
    <col min="12302" max="12302" width="10" style="1" customWidth="1"/>
    <col min="12303" max="12544" width="9.140625" style="1"/>
    <col min="12545" max="12545" width="1.85546875" style="1" customWidth="1"/>
    <col min="12546" max="12546" width="3.5703125" style="1" customWidth="1"/>
    <col min="12547" max="12547" width="8.85546875" style="1" customWidth="1"/>
    <col min="12548" max="12548" width="21" style="1" customWidth="1"/>
    <col min="12549" max="12549" width="9.140625" style="1"/>
    <col min="12550" max="12550" width="5.140625" style="1" customWidth="1"/>
    <col min="12551" max="12551" width="10.7109375" style="1" customWidth="1"/>
    <col min="12552" max="12552" width="9.5703125" style="1" customWidth="1"/>
    <col min="12553" max="12553" width="9.140625" style="1"/>
    <col min="12554" max="12554" width="13.28515625" style="1" customWidth="1"/>
    <col min="12555" max="12555" width="4.140625" style="1" customWidth="1"/>
    <col min="12556" max="12556" width="6.85546875" style="1" customWidth="1"/>
    <col min="12557" max="12557" width="27.85546875" style="1" customWidth="1"/>
    <col min="12558" max="12558" width="10" style="1" customWidth="1"/>
    <col min="12559" max="12800" width="9.140625" style="1"/>
    <col min="12801" max="12801" width="1.85546875" style="1" customWidth="1"/>
    <col min="12802" max="12802" width="3.5703125" style="1" customWidth="1"/>
    <col min="12803" max="12803" width="8.85546875" style="1" customWidth="1"/>
    <col min="12804" max="12804" width="21" style="1" customWidth="1"/>
    <col min="12805" max="12805" width="9.140625" style="1"/>
    <col min="12806" max="12806" width="5.140625" style="1" customWidth="1"/>
    <col min="12807" max="12807" width="10.7109375" style="1" customWidth="1"/>
    <col min="12808" max="12808" width="9.5703125" style="1" customWidth="1"/>
    <col min="12809" max="12809" width="9.140625" style="1"/>
    <col min="12810" max="12810" width="13.28515625" style="1" customWidth="1"/>
    <col min="12811" max="12811" width="4.140625" style="1" customWidth="1"/>
    <col min="12812" max="12812" width="6.85546875" style="1" customWidth="1"/>
    <col min="12813" max="12813" width="27.85546875" style="1" customWidth="1"/>
    <col min="12814" max="12814" width="10" style="1" customWidth="1"/>
    <col min="12815" max="13056" width="9.140625" style="1"/>
    <col min="13057" max="13057" width="1.85546875" style="1" customWidth="1"/>
    <col min="13058" max="13058" width="3.5703125" style="1" customWidth="1"/>
    <col min="13059" max="13059" width="8.85546875" style="1" customWidth="1"/>
    <col min="13060" max="13060" width="21" style="1" customWidth="1"/>
    <col min="13061" max="13061" width="9.140625" style="1"/>
    <col min="13062" max="13062" width="5.140625" style="1" customWidth="1"/>
    <col min="13063" max="13063" width="10.7109375" style="1" customWidth="1"/>
    <col min="13064" max="13064" width="9.5703125" style="1" customWidth="1"/>
    <col min="13065" max="13065" width="9.140625" style="1"/>
    <col min="13066" max="13066" width="13.28515625" style="1" customWidth="1"/>
    <col min="13067" max="13067" width="4.140625" style="1" customWidth="1"/>
    <col min="13068" max="13068" width="6.85546875" style="1" customWidth="1"/>
    <col min="13069" max="13069" width="27.85546875" style="1" customWidth="1"/>
    <col min="13070" max="13070" width="10" style="1" customWidth="1"/>
    <col min="13071" max="13312" width="9.140625" style="1"/>
    <col min="13313" max="13313" width="1.85546875" style="1" customWidth="1"/>
    <col min="13314" max="13314" width="3.5703125" style="1" customWidth="1"/>
    <col min="13315" max="13315" width="8.85546875" style="1" customWidth="1"/>
    <col min="13316" max="13316" width="21" style="1" customWidth="1"/>
    <col min="13317" max="13317" width="9.140625" style="1"/>
    <col min="13318" max="13318" width="5.140625" style="1" customWidth="1"/>
    <col min="13319" max="13319" width="10.7109375" style="1" customWidth="1"/>
    <col min="13320" max="13320" width="9.5703125" style="1" customWidth="1"/>
    <col min="13321" max="13321" width="9.140625" style="1"/>
    <col min="13322" max="13322" width="13.28515625" style="1" customWidth="1"/>
    <col min="13323" max="13323" width="4.140625" style="1" customWidth="1"/>
    <col min="13324" max="13324" width="6.85546875" style="1" customWidth="1"/>
    <col min="13325" max="13325" width="27.85546875" style="1" customWidth="1"/>
    <col min="13326" max="13326" width="10" style="1" customWidth="1"/>
    <col min="13327" max="13568" width="9.140625" style="1"/>
    <col min="13569" max="13569" width="1.85546875" style="1" customWidth="1"/>
    <col min="13570" max="13570" width="3.5703125" style="1" customWidth="1"/>
    <col min="13571" max="13571" width="8.85546875" style="1" customWidth="1"/>
    <col min="13572" max="13572" width="21" style="1" customWidth="1"/>
    <col min="13573" max="13573" width="9.140625" style="1"/>
    <col min="13574" max="13574" width="5.140625" style="1" customWidth="1"/>
    <col min="13575" max="13575" width="10.7109375" style="1" customWidth="1"/>
    <col min="13576" max="13576" width="9.5703125" style="1" customWidth="1"/>
    <col min="13577" max="13577" width="9.140625" style="1"/>
    <col min="13578" max="13578" width="13.28515625" style="1" customWidth="1"/>
    <col min="13579" max="13579" width="4.140625" style="1" customWidth="1"/>
    <col min="13580" max="13580" width="6.85546875" style="1" customWidth="1"/>
    <col min="13581" max="13581" width="27.85546875" style="1" customWidth="1"/>
    <col min="13582" max="13582" width="10" style="1" customWidth="1"/>
    <col min="13583" max="13824" width="9.140625" style="1"/>
    <col min="13825" max="13825" width="1.85546875" style="1" customWidth="1"/>
    <col min="13826" max="13826" width="3.5703125" style="1" customWidth="1"/>
    <col min="13827" max="13827" width="8.85546875" style="1" customWidth="1"/>
    <col min="13828" max="13828" width="21" style="1" customWidth="1"/>
    <col min="13829" max="13829" width="9.140625" style="1"/>
    <col min="13830" max="13830" width="5.140625" style="1" customWidth="1"/>
    <col min="13831" max="13831" width="10.7109375" style="1" customWidth="1"/>
    <col min="13832" max="13832" width="9.5703125" style="1" customWidth="1"/>
    <col min="13833" max="13833" width="9.140625" style="1"/>
    <col min="13834" max="13834" width="13.28515625" style="1" customWidth="1"/>
    <col min="13835" max="13835" width="4.140625" style="1" customWidth="1"/>
    <col min="13836" max="13836" width="6.85546875" style="1" customWidth="1"/>
    <col min="13837" max="13837" width="27.85546875" style="1" customWidth="1"/>
    <col min="13838" max="13838" width="10" style="1" customWidth="1"/>
    <col min="13839" max="14080" width="9.140625" style="1"/>
    <col min="14081" max="14081" width="1.85546875" style="1" customWidth="1"/>
    <col min="14082" max="14082" width="3.5703125" style="1" customWidth="1"/>
    <col min="14083" max="14083" width="8.85546875" style="1" customWidth="1"/>
    <col min="14084" max="14084" width="21" style="1" customWidth="1"/>
    <col min="14085" max="14085" width="9.140625" style="1"/>
    <col min="14086" max="14086" width="5.140625" style="1" customWidth="1"/>
    <col min="14087" max="14087" width="10.7109375" style="1" customWidth="1"/>
    <col min="14088" max="14088" width="9.5703125" style="1" customWidth="1"/>
    <col min="14089" max="14089" width="9.140625" style="1"/>
    <col min="14090" max="14090" width="13.28515625" style="1" customWidth="1"/>
    <col min="14091" max="14091" width="4.140625" style="1" customWidth="1"/>
    <col min="14092" max="14092" width="6.85546875" style="1" customWidth="1"/>
    <col min="14093" max="14093" width="27.85546875" style="1" customWidth="1"/>
    <col min="14094" max="14094" width="10" style="1" customWidth="1"/>
    <col min="14095" max="14336" width="9.140625" style="1"/>
    <col min="14337" max="14337" width="1.85546875" style="1" customWidth="1"/>
    <col min="14338" max="14338" width="3.5703125" style="1" customWidth="1"/>
    <col min="14339" max="14339" width="8.85546875" style="1" customWidth="1"/>
    <col min="14340" max="14340" width="21" style="1" customWidth="1"/>
    <col min="14341" max="14341" width="9.140625" style="1"/>
    <col min="14342" max="14342" width="5.140625" style="1" customWidth="1"/>
    <col min="14343" max="14343" width="10.7109375" style="1" customWidth="1"/>
    <col min="14344" max="14344" width="9.5703125" style="1" customWidth="1"/>
    <col min="14345" max="14345" width="9.140625" style="1"/>
    <col min="14346" max="14346" width="13.28515625" style="1" customWidth="1"/>
    <col min="14347" max="14347" width="4.140625" style="1" customWidth="1"/>
    <col min="14348" max="14348" width="6.85546875" style="1" customWidth="1"/>
    <col min="14349" max="14349" width="27.85546875" style="1" customWidth="1"/>
    <col min="14350" max="14350" width="10" style="1" customWidth="1"/>
    <col min="14351" max="14592" width="9.140625" style="1"/>
    <col min="14593" max="14593" width="1.85546875" style="1" customWidth="1"/>
    <col min="14594" max="14594" width="3.5703125" style="1" customWidth="1"/>
    <col min="14595" max="14595" width="8.85546875" style="1" customWidth="1"/>
    <col min="14596" max="14596" width="21" style="1" customWidth="1"/>
    <col min="14597" max="14597" width="9.140625" style="1"/>
    <col min="14598" max="14598" width="5.140625" style="1" customWidth="1"/>
    <col min="14599" max="14599" width="10.7109375" style="1" customWidth="1"/>
    <col min="14600" max="14600" width="9.5703125" style="1" customWidth="1"/>
    <col min="14601" max="14601" width="9.140625" style="1"/>
    <col min="14602" max="14602" width="13.28515625" style="1" customWidth="1"/>
    <col min="14603" max="14603" width="4.140625" style="1" customWidth="1"/>
    <col min="14604" max="14604" width="6.85546875" style="1" customWidth="1"/>
    <col min="14605" max="14605" width="27.85546875" style="1" customWidth="1"/>
    <col min="14606" max="14606" width="10" style="1" customWidth="1"/>
    <col min="14607" max="14848" width="9.140625" style="1"/>
    <col min="14849" max="14849" width="1.85546875" style="1" customWidth="1"/>
    <col min="14850" max="14850" width="3.5703125" style="1" customWidth="1"/>
    <col min="14851" max="14851" width="8.85546875" style="1" customWidth="1"/>
    <col min="14852" max="14852" width="21" style="1" customWidth="1"/>
    <col min="14853" max="14853" width="9.140625" style="1"/>
    <col min="14854" max="14854" width="5.140625" style="1" customWidth="1"/>
    <col min="14855" max="14855" width="10.7109375" style="1" customWidth="1"/>
    <col min="14856" max="14856" width="9.5703125" style="1" customWidth="1"/>
    <col min="14857" max="14857" width="9.140625" style="1"/>
    <col min="14858" max="14858" width="13.28515625" style="1" customWidth="1"/>
    <col min="14859" max="14859" width="4.140625" style="1" customWidth="1"/>
    <col min="14860" max="14860" width="6.85546875" style="1" customWidth="1"/>
    <col min="14861" max="14861" width="27.85546875" style="1" customWidth="1"/>
    <col min="14862" max="14862" width="10" style="1" customWidth="1"/>
    <col min="14863" max="15104" width="9.140625" style="1"/>
    <col min="15105" max="15105" width="1.85546875" style="1" customWidth="1"/>
    <col min="15106" max="15106" width="3.5703125" style="1" customWidth="1"/>
    <col min="15107" max="15107" width="8.85546875" style="1" customWidth="1"/>
    <col min="15108" max="15108" width="21" style="1" customWidth="1"/>
    <col min="15109" max="15109" width="9.140625" style="1"/>
    <col min="15110" max="15110" width="5.140625" style="1" customWidth="1"/>
    <col min="15111" max="15111" width="10.7109375" style="1" customWidth="1"/>
    <col min="15112" max="15112" width="9.5703125" style="1" customWidth="1"/>
    <col min="15113" max="15113" width="9.140625" style="1"/>
    <col min="15114" max="15114" width="13.28515625" style="1" customWidth="1"/>
    <col min="15115" max="15115" width="4.140625" style="1" customWidth="1"/>
    <col min="15116" max="15116" width="6.85546875" style="1" customWidth="1"/>
    <col min="15117" max="15117" width="27.85546875" style="1" customWidth="1"/>
    <col min="15118" max="15118" width="10" style="1" customWidth="1"/>
    <col min="15119" max="15360" width="9.140625" style="1"/>
    <col min="15361" max="15361" width="1.85546875" style="1" customWidth="1"/>
    <col min="15362" max="15362" width="3.5703125" style="1" customWidth="1"/>
    <col min="15363" max="15363" width="8.85546875" style="1" customWidth="1"/>
    <col min="15364" max="15364" width="21" style="1" customWidth="1"/>
    <col min="15365" max="15365" width="9.140625" style="1"/>
    <col min="15366" max="15366" width="5.140625" style="1" customWidth="1"/>
    <col min="15367" max="15367" width="10.7109375" style="1" customWidth="1"/>
    <col min="15368" max="15368" width="9.5703125" style="1" customWidth="1"/>
    <col min="15369" max="15369" width="9.140625" style="1"/>
    <col min="15370" max="15370" width="13.28515625" style="1" customWidth="1"/>
    <col min="15371" max="15371" width="4.140625" style="1" customWidth="1"/>
    <col min="15372" max="15372" width="6.85546875" style="1" customWidth="1"/>
    <col min="15373" max="15373" width="27.85546875" style="1" customWidth="1"/>
    <col min="15374" max="15374" width="10" style="1" customWidth="1"/>
    <col min="15375" max="15616" width="9.140625" style="1"/>
    <col min="15617" max="15617" width="1.85546875" style="1" customWidth="1"/>
    <col min="15618" max="15618" width="3.5703125" style="1" customWidth="1"/>
    <col min="15619" max="15619" width="8.85546875" style="1" customWidth="1"/>
    <col min="15620" max="15620" width="21" style="1" customWidth="1"/>
    <col min="15621" max="15621" width="9.140625" style="1"/>
    <col min="15622" max="15622" width="5.140625" style="1" customWidth="1"/>
    <col min="15623" max="15623" width="10.7109375" style="1" customWidth="1"/>
    <col min="15624" max="15624" width="9.5703125" style="1" customWidth="1"/>
    <col min="15625" max="15625" width="9.140625" style="1"/>
    <col min="15626" max="15626" width="13.28515625" style="1" customWidth="1"/>
    <col min="15627" max="15627" width="4.140625" style="1" customWidth="1"/>
    <col min="15628" max="15628" width="6.85546875" style="1" customWidth="1"/>
    <col min="15629" max="15629" width="27.85546875" style="1" customWidth="1"/>
    <col min="15630" max="15630" width="10" style="1" customWidth="1"/>
    <col min="15631" max="15872" width="9.140625" style="1"/>
    <col min="15873" max="15873" width="1.85546875" style="1" customWidth="1"/>
    <col min="15874" max="15874" width="3.5703125" style="1" customWidth="1"/>
    <col min="15875" max="15875" width="8.85546875" style="1" customWidth="1"/>
    <col min="15876" max="15876" width="21" style="1" customWidth="1"/>
    <col min="15877" max="15877" width="9.140625" style="1"/>
    <col min="15878" max="15878" width="5.140625" style="1" customWidth="1"/>
    <col min="15879" max="15879" width="10.7109375" style="1" customWidth="1"/>
    <col min="15880" max="15880" width="9.5703125" style="1" customWidth="1"/>
    <col min="15881" max="15881" width="9.140625" style="1"/>
    <col min="15882" max="15882" width="13.28515625" style="1" customWidth="1"/>
    <col min="15883" max="15883" width="4.140625" style="1" customWidth="1"/>
    <col min="15884" max="15884" width="6.85546875" style="1" customWidth="1"/>
    <col min="15885" max="15885" width="27.85546875" style="1" customWidth="1"/>
    <col min="15886" max="15886" width="10" style="1" customWidth="1"/>
    <col min="15887" max="16128" width="9.140625" style="1"/>
    <col min="16129" max="16129" width="1.85546875" style="1" customWidth="1"/>
    <col min="16130" max="16130" width="3.5703125" style="1" customWidth="1"/>
    <col min="16131" max="16131" width="8.85546875" style="1" customWidth="1"/>
    <col min="16132" max="16132" width="21" style="1" customWidth="1"/>
    <col min="16133" max="16133" width="9.140625" style="1"/>
    <col min="16134" max="16134" width="5.140625" style="1" customWidth="1"/>
    <col min="16135" max="16135" width="10.7109375" style="1" customWidth="1"/>
    <col min="16136" max="16136" width="9.5703125" style="1" customWidth="1"/>
    <col min="16137" max="16137" width="9.140625" style="1"/>
    <col min="16138" max="16138" width="13.28515625" style="1" customWidth="1"/>
    <col min="16139" max="16139" width="4.140625" style="1" customWidth="1"/>
    <col min="16140" max="16140" width="6.85546875" style="1" customWidth="1"/>
    <col min="16141" max="16141" width="27.85546875" style="1" customWidth="1"/>
    <col min="16142" max="16142" width="10" style="1" customWidth="1"/>
    <col min="16143" max="16384" width="9.140625" style="1"/>
  </cols>
  <sheetData>
    <row r="1" spans="1:256" ht="18" customHeight="1">
      <c r="A1" s="441" t="s">
        <v>10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256" ht="19.5">
      <c r="G2" s="3"/>
    </row>
    <row r="3" spans="1:256" ht="40.5" customHeight="1">
      <c r="B3" s="435" t="s">
        <v>11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35.25" customHeight="1">
      <c r="A4" s="5"/>
      <c r="B4" s="436" t="s">
        <v>178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1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>
      <c r="B6" s="437" t="s">
        <v>12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2"/>
    </row>
    <row r="7" spans="1:256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56">
      <c r="B8" s="440" t="s">
        <v>13</v>
      </c>
      <c r="C8" s="440"/>
      <c r="D8" s="440"/>
      <c r="E8" s="440"/>
      <c r="F8" s="440"/>
      <c r="G8" s="440"/>
      <c r="H8" s="8"/>
      <c r="I8" s="2"/>
      <c r="J8" s="2"/>
      <c r="K8" s="2"/>
      <c r="L8" s="2"/>
      <c r="M8" s="2"/>
    </row>
    <row r="9" spans="1:256">
      <c r="B9" s="438" t="s">
        <v>14</v>
      </c>
      <c r="C9" s="438"/>
      <c r="D9" s="438"/>
      <c r="E9" s="438"/>
      <c r="F9" s="438"/>
      <c r="G9" s="438"/>
      <c r="H9" s="9">
        <v>0.1</v>
      </c>
      <c r="I9" s="2"/>
      <c r="J9" s="2"/>
      <c r="K9" s="2"/>
      <c r="L9" s="2"/>
      <c r="M9" s="2"/>
    </row>
    <row r="10" spans="1:256">
      <c r="B10" s="438" t="s">
        <v>15</v>
      </c>
      <c r="C10" s="438"/>
      <c r="D10" s="438"/>
      <c r="E10" s="438"/>
      <c r="F10" s="438"/>
      <c r="G10" s="438"/>
      <c r="H10" s="11">
        <v>0.14499999999999999</v>
      </c>
      <c r="I10" s="2"/>
      <c r="J10" s="2"/>
      <c r="K10" s="2"/>
      <c r="L10" s="2"/>
      <c r="M10" s="2"/>
    </row>
    <row r="11" spans="1:256">
      <c r="B11" s="438" t="s">
        <v>16</v>
      </c>
      <c r="C11" s="438"/>
      <c r="D11" s="438"/>
      <c r="E11" s="438"/>
      <c r="F11" s="438"/>
      <c r="G11" s="438"/>
      <c r="H11" s="9">
        <v>0.08</v>
      </c>
      <c r="I11" s="2"/>
      <c r="J11" s="2"/>
      <c r="K11" s="2"/>
      <c r="L11" s="2"/>
      <c r="M11" s="2"/>
    </row>
    <row r="12" spans="1:256">
      <c r="B12" s="438" t="s">
        <v>17</v>
      </c>
      <c r="C12" s="438"/>
      <c r="D12" s="438"/>
      <c r="E12" s="438"/>
      <c r="F12" s="438"/>
      <c r="G12" s="438"/>
      <c r="H12" s="9">
        <v>0.12</v>
      </c>
      <c r="I12" s="2"/>
      <c r="J12" s="2"/>
      <c r="K12" s="2"/>
      <c r="L12" s="2"/>
      <c r="M12" s="2"/>
    </row>
    <row r="13" spans="1:256">
      <c r="B13" s="438" t="s">
        <v>18</v>
      </c>
      <c r="C13" s="438"/>
      <c r="D13" s="438"/>
      <c r="E13" s="438"/>
      <c r="F13" s="438"/>
      <c r="G13" s="438"/>
      <c r="H13" s="9">
        <v>0.12</v>
      </c>
      <c r="I13" s="2"/>
      <c r="J13" s="2"/>
      <c r="K13" s="2"/>
      <c r="L13" s="2"/>
      <c r="M13" s="2"/>
    </row>
    <row r="14" spans="1:256">
      <c r="B14" s="438" t="s">
        <v>19</v>
      </c>
      <c r="C14" s="438"/>
      <c r="D14" s="438"/>
      <c r="E14" s="438"/>
      <c r="F14" s="438"/>
      <c r="G14" s="438"/>
      <c r="H14" s="9">
        <v>0.65</v>
      </c>
      <c r="I14" s="2"/>
      <c r="J14" s="2"/>
      <c r="K14" s="2"/>
      <c r="L14" s="2"/>
      <c r="M14" s="2"/>
    </row>
    <row r="15" spans="1:256">
      <c r="B15" s="438" t="s">
        <v>20</v>
      </c>
      <c r="C15" s="438"/>
      <c r="D15" s="438"/>
      <c r="E15" s="438"/>
      <c r="F15" s="438"/>
      <c r="G15" s="438"/>
      <c r="H15" s="9">
        <v>0.68</v>
      </c>
      <c r="I15" s="2"/>
      <c r="J15" s="2"/>
      <c r="K15" s="2"/>
      <c r="L15" s="2"/>
      <c r="M15" s="2"/>
    </row>
    <row r="16" spans="1:256" ht="33.75" customHeight="1">
      <c r="B16" s="439" t="s">
        <v>21</v>
      </c>
      <c r="C16" s="439"/>
      <c r="D16" s="439"/>
      <c r="E16" s="439"/>
      <c r="F16" s="439"/>
      <c r="G16" s="439"/>
      <c r="H16" s="9">
        <v>0.72</v>
      </c>
      <c r="I16" s="2"/>
      <c r="J16" s="2"/>
      <c r="K16" s="2"/>
      <c r="L16" s="2"/>
      <c r="M16" s="2"/>
    </row>
    <row r="17" spans="1:256">
      <c r="B17" s="2"/>
      <c r="C17" s="2"/>
      <c r="D17" s="2"/>
      <c r="E17" s="2"/>
      <c r="F17" s="2"/>
      <c r="G17" s="2"/>
      <c r="H17" s="10"/>
      <c r="I17" s="2"/>
      <c r="J17" s="2"/>
      <c r="K17" s="2"/>
      <c r="L17" s="2"/>
      <c r="M17" s="2"/>
    </row>
    <row r="18" spans="1:256">
      <c r="B18" s="440" t="s">
        <v>22</v>
      </c>
      <c r="C18" s="440"/>
      <c r="D18" s="440"/>
      <c r="E18" s="440"/>
      <c r="F18" s="440"/>
      <c r="G18" s="440"/>
      <c r="H18" s="9">
        <v>0.03</v>
      </c>
      <c r="I18" s="2"/>
      <c r="J18" s="2"/>
      <c r="K18" s="2"/>
      <c r="L18" s="2"/>
      <c r="M18" s="2"/>
    </row>
    <row r="19" spans="1:256">
      <c r="B19" s="440" t="s">
        <v>23</v>
      </c>
      <c r="C19" s="440"/>
      <c r="D19" s="440"/>
      <c r="E19" s="440"/>
      <c r="F19" s="440"/>
      <c r="G19" s="440"/>
      <c r="H19" s="9">
        <v>0.18</v>
      </c>
      <c r="I19" s="2"/>
      <c r="J19" s="2"/>
      <c r="K19" s="2"/>
      <c r="L19" s="2"/>
      <c r="M19" s="2"/>
    </row>
    <row r="20" spans="1:25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56" ht="36" customHeight="1">
      <c r="B21" s="433" t="s">
        <v>24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13"/>
    </row>
    <row r="22" spans="1:25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56" ht="16.5" customHeight="1">
      <c r="A23" s="6"/>
      <c r="B23" s="434" t="s">
        <v>25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</sheetData>
  <mergeCells count="17">
    <mergeCell ref="A1:M1"/>
    <mergeCell ref="B8:G8"/>
    <mergeCell ref="B9:G9"/>
    <mergeCell ref="B21:L21"/>
    <mergeCell ref="B23:L23"/>
    <mergeCell ref="B3:L3"/>
    <mergeCell ref="B4:L4"/>
    <mergeCell ref="B6:L6"/>
    <mergeCell ref="B13:G13"/>
    <mergeCell ref="B16:G16"/>
    <mergeCell ref="B14:G14"/>
    <mergeCell ref="B15:G15"/>
    <mergeCell ref="B18:G18"/>
    <mergeCell ref="B19:G19"/>
    <mergeCell ref="B10:G10"/>
    <mergeCell ref="B11:G11"/>
    <mergeCell ref="B12:G1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8" fitToHeight="0" orientation="landscape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8"/>
  <sheetViews>
    <sheetView view="pageBreakPreview" topLeftCell="A40" zoomScale="120" zoomScaleNormal="100" zoomScaleSheetLayoutView="120" workbookViewId="0">
      <selection activeCell="G56" sqref="G56:M67"/>
    </sheetView>
  </sheetViews>
  <sheetFormatPr defaultColWidth="8.85546875" defaultRowHeight="12"/>
  <cols>
    <col min="1" max="1" width="4.7109375" style="244" customWidth="1"/>
    <col min="2" max="2" width="9.7109375" style="247" customWidth="1"/>
    <col min="3" max="3" width="56.7109375" style="81" customWidth="1"/>
    <col min="4" max="10" width="9.7109375" style="81" customWidth="1"/>
    <col min="11" max="11" width="9.7109375" style="248" customWidth="1"/>
    <col min="12" max="13" width="9.7109375" style="81" customWidth="1"/>
    <col min="14" max="154" width="8.7109375" style="81" customWidth="1"/>
    <col min="155" max="253" width="8.85546875" style="81"/>
    <col min="254" max="254" width="4.7109375" style="81" customWidth="1"/>
    <col min="255" max="255" width="9.7109375" style="81" customWidth="1"/>
    <col min="256" max="256" width="52.7109375" style="81" customWidth="1"/>
    <col min="257" max="266" width="9.7109375" style="81" customWidth="1"/>
    <col min="267" max="410" width="8.7109375" style="81" customWidth="1"/>
    <col min="411" max="509" width="8.85546875" style="81"/>
    <col min="510" max="510" width="4.7109375" style="81" customWidth="1"/>
    <col min="511" max="511" width="9.7109375" style="81" customWidth="1"/>
    <col min="512" max="512" width="52.7109375" style="81" customWidth="1"/>
    <col min="513" max="522" width="9.7109375" style="81" customWidth="1"/>
    <col min="523" max="666" width="8.7109375" style="81" customWidth="1"/>
    <col min="667" max="765" width="8.85546875" style="81"/>
    <col min="766" max="766" width="4.7109375" style="81" customWidth="1"/>
    <col min="767" max="767" width="9.7109375" style="81" customWidth="1"/>
    <col min="768" max="768" width="52.7109375" style="81" customWidth="1"/>
    <col min="769" max="778" width="9.7109375" style="81" customWidth="1"/>
    <col min="779" max="922" width="8.7109375" style="81" customWidth="1"/>
    <col min="923" max="1021" width="8.85546875" style="81"/>
    <col min="1022" max="1022" width="4.7109375" style="81" customWidth="1"/>
    <col min="1023" max="1023" width="9.7109375" style="81" customWidth="1"/>
    <col min="1024" max="1024" width="52.7109375" style="81" customWidth="1"/>
    <col min="1025" max="1034" width="9.7109375" style="81" customWidth="1"/>
    <col min="1035" max="1178" width="8.7109375" style="81" customWidth="1"/>
    <col min="1179" max="1277" width="8.85546875" style="81"/>
    <col min="1278" max="1278" width="4.7109375" style="81" customWidth="1"/>
    <col min="1279" max="1279" width="9.7109375" style="81" customWidth="1"/>
    <col min="1280" max="1280" width="52.7109375" style="81" customWidth="1"/>
    <col min="1281" max="1290" width="9.7109375" style="81" customWidth="1"/>
    <col min="1291" max="1434" width="8.7109375" style="81" customWidth="1"/>
    <col min="1435" max="1533" width="8.85546875" style="81"/>
    <col min="1534" max="1534" width="4.7109375" style="81" customWidth="1"/>
    <col min="1535" max="1535" width="9.7109375" style="81" customWidth="1"/>
    <col min="1536" max="1536" width="52.7109375" style="81" customWidth="1"/>
    <col min="1537" max="1546" width="9.7109375" style="81" customWidth="1"/>
    <col min="1547" max="1690" width="8.7109375" style="81" customWidth="1"/>
    <col min="1691" max="1789" width="8.85546875" style="81"/>
    <col min="1790" max="1790" width="4.7109375" style="81" customWidth="1"/>
    <col min="1791" max="1791" width="9.7109375" style="81" customWidth="1"/>
    <col min="1792" max="1792" width="52.7109375" style="81" customWidth="1"/>
    <col min="1793" max="1802" width="9.7109375" style="81" customWidth="1"/>
    <col min="1803" max="1946" width="8.7109375" style="81" customWidth="1"/>
    <col min="1947" max="2045" width="8.85546875" style="81"/>
    <col min="2046" max="2046" width="4.7109375" style="81" customWidth="1"/>
    <col min="2047" max="2047" width="9.7109375" style="81" customWidth="1"/>
    <col min="2048" max="2048" width="52.7109375" style="81" customWidth="1"/>
    <col min="2049" max="2058" width="9.7109375" style="81" customWidth="1"/>
    <col min="2059" max="2202" width="8.7109375" style="81" customWidth="1"/>
    <col min="2203" max="2301" width="8.85546875" style="81"/>
    <col min="2302" max="2302" width="4.7109375" style="81" customWidth="1"/>
    <col min="2303" max="2303" width="9.7109375" style="81" customWidth="1"/>
    <col min="2304" max="2304" width="52.7109375" style="81" customWidth="1"/>
    <col min="2305" max="2314" width="9.7109375" style="81" customWidth="1"/>
    <col min="2315" max="2458" width="8.7109375" style="81" customWidth="1"/>
    <col min="2459" max="2557" width="8.85546875" style="81"/>
    <col min="2558" max="2558" width="4.7109375" style="81" customWidth="1"/>
    <col min="2559" max="2559" width="9.7109375" style="81" customWidth="1"/>
    <col min="2560" max="2560" width="52.7109375" style="81" customWidth="1"/>
    <col min="2561" max="2570" width="9.7109375" style="81" customWidth="1"/>
    <col min="2571" max="2714" width="8.7109375" style="81" customWidth="1"/>
    <col min="2715" max="2813" width="8.85546875" style="81"/>
    <col min="2814" max="2814" width="4.7109375" style="81" customWidth="1"/>
    <col min="2815" max="2815" width="9.7109375" style="81" customWidth="1"/>
    <col min="2816" max="2816" width="52.7109375" style="81" customWidth="1"/>
    <col min="2817" max="2826" width="9.7109375" style="81" customWidth="1"/>
    <col min="2827" max="2970" width="8.7109375" style="81" customWidth="1"/>
    <col min="2971" max="3069" width="8.85546875" style="81"/>
    <col min="3070" max="3070" width="4.7109375" style="81" customWidth="1"/>
    <col min="3071" max="3071" width="9.7109375" style="81" customWidth="1"/>
    <col min="3072" max="3072" width="52.7109375" style="81" customWidth="1"/>
    <col min="3073" max="3082" width="9.7109375" style="81" customWidth="1"/>
    <col min="3083" max="3226" width="8.7109375" style="81" customWidth="1"/>
    <col min="3227" max="3325" width="8.85546875" style="81"/>
    <col min="3326" max="3326" width="4.7109375" style="81" customWidth="1"/>
    <col min="3327" max="3327" width="9.7109375" style="81" customWidth="1"/>
    <col min="3328" max="3328" width="52.7109375" style="81" customWidth="1"/>
    <col min="3329" max="3338" width="9.7109375" style="81" customWidth="1"/>
    <col min="3339" max="3482" width="8.7109375" style="81" customWidth="1"/>
    <col min="3483" max="3581" width="8.85546875" style="81"/>
    <col min="3582" max="3582" width="4.7109375" style="81" customWidth="1"/>
    <col min="3583" max="3583" width="9.7109375" style="81" customWidth="1"/>
    <col min="3584" max="3584" width="52.7109375" style="81" customWidth="1"/>
    <col min="3585" max="3594" width="9.7109375" style="81" customWidth="1"/>
    <col min="3595" max="3738" width="8.7109375" style="81" customWidth="1"/>
    <col min="3739" max="3837" width="8.85546875" style="81"/>
    <col min="3838" max="3838" width="4.7109375" style="81" customWidth="1"/>
    <col min="3839" max="3839" width="9.7109375" style="81" customWidth="1"/>
    <col min="3840" max="3840" width="52.7109375" style="81" customWidth="1"/>
    <col min="3841" max="3850" width="9.7109375" style="81" customWidth="1"/>
    <col min="3851" max="3994" width="8.7109375" style="81" customWidth="1"/>
    <col min="3995" max="4093" width="8.85546875" style="81"/>
    <col min="4094" max="4094" width="4.7109375" style="81" customWidth="1"/>
    <col min="4095" max="4095" width="9.7109375" style="81" customWidth="1"/>
    <col min="4096" max="4096" width="52.7109375" style="81" customWidth="1"/>
    <col min="4097" max="4106" width="9.7109375" style="81" customWidth="1"/>
    <col min="4107" max="4250" width="8.7109375" style="81" customWidth="1"/>
    <col min="4251" max="4349" width="8.85546875" style="81"/>
    <col min="4350" max="4350" width="4.7109375" style="81" customWidth="1"/>
    <col min="4351" max="4351" width="9.7109375" style="81" customWidth="1"/>
    <col min="4352" max="4352" width="52.7109375" style="81" customWidth="1"/>
    <col min="4353" max="4362" width="9.7109375" style="81" customWidth="1"/>
    <col min="4363" max="4506" width="8.7109375" style="81" customWidth="1"/>
    <col min="4507" max="4605" width="8.85546875" style="81"/>
    <col min="4606" max="4606" width="4.7109375" style="81" customWidth="1"/>
    <col min="4607" max="4607" width="9.7109375" style="81" customWidth="1"/>
    <col min="4608" max="4608" width="52.7109375" style="81" customWidth="1"/>
    <col min="4609" max="4618" width="9.7109375" style="81" customWidth="1"/>
    <col min="4619" max="4762" width="8.7109375" style="81" customWidth="1"/>
    <col min="4763" max="4861" width="8.85546875" style="81"/>
    <col min="4862" max="4862" width="4.7109375" style="81" customWidth="1"/>
    <col min="4863" max="4863" width="9.7109375" style="81" customWidth="1"/>
    <col min="4864" max="4864" width="52.7109375" style="81" customWidth="1"/>
    <col min="4865" max="4874" width="9.7109375" style="81" customWidth="1"/>
    <col min="4875" max="5018" width="8.7109375" style="81" customWidth="1"/>
    <col min="5019" max="5117" width="8.85546875" style="81"/>
    <col min="5118" max="5118" width="4.7109375" style="81" customWidth="1"/>
    <col min="5119" max="5119" width="9.7109375" style="81" customWidth="1"/>
    <col min="5120" max="5120" width="52.7109375" style="81" customWidth="1"/>
    <col min="5121" max="5130" width="9.7109375" style="81" customWidth="1"/>
    <col min="5131" max="5274" width="8.7109375" style="81" customWidth="1"/>
    <col min="5275" max="5373" width="8.85546875" style="81"/>
    <col min="5374" max="5374" width="4.7109375" style="81" customWidth="1"/>
    <col min="5375" max="5375" width="9.7109375" style="81" customWidth="1"/>
    <col min="5376" max="5376" width="52.7109375" style="81" customWidth="1"/>
    <col min="5377" max="5386" width="9.7109375" style="81" customWidth="1"/>
    <col min="5387" max="5530" width="8.7109375" style="81" customWidth="1"/>
    <col min="5531" max="5629" width="8.85546875" style="81"/>
    <col min="5630" max="5630" width="4.7109375" style="81" customWidth="1"/>
    <col min="5631" max="5631" width="9.7109375" style="81" customWidth="1"/>
    <col min="5632" max="5632" width="52.7109375" style="81" customWidth="1"/>
    <col min="5633" max="5642" width="9.7109375" style="81" customWidth="1"/>
    <col min="5643" max="5786" width="8.7109375" style="81" customWidth="1"/>
    <col min="5787" max="5885" width="8.85546875" style="81"/>
    <col min="5886" max="5886" width="4.7109375" style="81" customWidth="1"/>
    <col min="5887" max="5887" width="9.7109375" style="81" customWidth="1"/>
    <col min="5888" max="5888" width="52.7109375" style="81" customWidth="1"/>
    <col min="5889" max="5898" width="9.7109375" style="81" customWidth="1"/>
    <col min="5899" max="6042" width="8.7109375" style="81" customWidth="1"/>
    <col min="6043" max="6141" width="8.85546875" style="81"/>
    <col min="6142" max="6142" width="4.7109375" style="81" customWidth="1"/>
    <col min="6143" max="6143" width="9.7109375" style="81" customWidth="1"/>
    <col min="6144" max="6144" width="52.7109375" style="81" customWidth="1"/>
    <col min="6145" max="6154" width="9.7109375" style="81" customWidth="1"/>
    <col min="6155" max="6298" width="8.7109375" style="81" customWidth="1"/>
    <col min="6299" max="6397" width="8.85546875" style="81"/>
    <col min="6398" max="6398" width="4.7109375" style="81" customWidth="1"/>
    <col min="6399" max="6399" width="9.7109375" style="81" customWidth="1"/>
    <col min="6400" max="6400" width="52.7109375" style="81" customWidth="1"/>
    <col min="6401" max="6410" width="9.7109375" style="81" customWidth="1"/>
    <col min="6411" max="6554" width="8.7109375" style="81" customWidth="1"/>
    <col min="6555" max="6653" width="8.85546875" style="81"/>
    <col min="6654" max="6654" width="4.7109375" style="81" customWidth="1"/>
    <col min="6655" max="6655" width="9.7109375" style="81" customWidth="1"/>
    <col min="6656" max="6656" width="52.7109375" style="81" customWidth="1"/>
    <col min="6657" max="6666" width="9.7109375" style="81" customWidth="1"/>
    <col min="6667" max="6810" width="8.7109375" style="81" customWidth="1"/>
    <col min="6811" max="6909" width="8.85546875" style="81"/>
    <col min="6910" max="6910" width="4.7109375" style="81" customWidth="1"/>
    <col min="6911" max="6911" width="9.7109375" style="81" customWidth="1"/>
    <col min="6912" max="6912" width="52.7109375" style="81" customWidth="1"/>
    <col min="6913" max="6922" width="9.7109375" style="81" customWidth="1"/>
    <col min="6923" max="7066" width="8.7109375" style="81" customWidth="1"/>
    <col min="7067" max="7165" width="8.85546875" style="81"/>
    <col min="7166" max="7166" width="4.7109375" style="81" customWidth="1"/>
    <col min="7167" max="7167" width="9.7109375" style="81" customWidth="1"/>
    <col min="7168" max="7168" width="52.7109375" style="81" customWidth="1"/>
    <col min="7169" max="7178" width="9.7109375" style="81" customWidth="1"/>
    <col min="7179" max="7322" width="8.7109375" style="81" customWidth="1"/>
    <col min="7323" max="7421" width="8.85546875" style="81"/>
    <col min="7422" max="7422" width="4.7109375" style="81" customWidth="1"/>
    <col min="7423" max="7423" width="9.7109375" style="81" customWidth="1"/>
    <col min="7424" max="7424" width="52.7109375" style="81" customWidth="1"/>
    <col min="7425" max="7434" width="9.7109375" style="81" customWidth="1"/>
    <col min="7435" max="7578" width="8.7109375" style="81" customWidth="1"/>
    <col min="7579" max="7677" width="8.85546875" style="81"/>
    <col min="7678" max="7678" width="4.7109375" style="81" customWidth="1"/>
    <col min="7679" max="7679" width="9.7109375" style="81" customWidth="1"/>
    <col min="7680" max="7680" width="52.7109375" style="81" customWidth="1"/>
    <col min="7681" max="7690" width="9.7109375" style="81" customWidth="1"/>
    <col min="7691" max="7834" width="8.7109375" style="81" customWidth="1"/>
    <col min="7835" max="7933" width="8.85546875" style="81"/>
    <col min="7934" max="7934" width="4.7109375" style="81" customWidth="1"/>
    <col min="7935" max="7935" width="9.7109375" style="81" customWidth="1"/>
    <col min="7936" max="7936" width="52.7109375" style="81" customWidth="1"/>
    <col min="7937" max="7946" width="9.7109375" style="81" customWidth="1"/>
    <col min="7947" max="8090" width="8.7109375" style="81" customWidth="1"/>
    <col min="8091" max="8189" width="8.85546875" style="81"/>
    <col min="8190" max="8190" width="4.7109375" style="81" customWidth="1"/>
    <col min="8191" max="8191" width="9.7109375" style="81" customWidth="1"/>
    <col min="8192" max="8192" width="52.7109375" style="81" customWidth="1"/>
    <col min="8193" max="8202" width="9.7109375" style="81" customWidth="1"/>
    <col min="8203" max="8346" width="8.7109375" style="81" customWidth="1"/>
    <col min="8347" max="8445" width="8.85546875" style="81"/>
    <col min="8446" max="8446" width="4.7109375" style="81" customWidth="1"/>
    <col min="8447" max="8447" width="9.7109375" style="81" customWidth="1"/>
    <col min="8448" max="8448" width="52.7109375" style="81" customWidth="1"/>
    <col min="8449" max="8458" width="9.7109375" style="81" customWidth="1"/>
    <col min="8459" max="8602" width="8.7109375" style="81" customWidth="1"/>
    <col min="8603" max="8701" width="8.85546875" style="81"/>
    <col min="8702" max="8702" width="4.7109375" style="81" customWidth="1"/>
    <col min="8703" max="8703" width="9.7109375" style="81" customWidth="1"/>
    <col min="8704" max="8704" width="52.7109375" style="81" customWidth="1"/>
    <col min="8705" max="8714" width="9.7109375" style="81" customWidth="1"/>
    <col min="8715" max="8858" width="8.7109375" style="81" customWidth="1"/>
    <col min="8859" max="8957" width="8.85546875" style="81"/>
    <col min="8958" max="8958" width="4.7109375" style="81" customWidth="1"/>
    <col min="8959" max="8959" width="9.7109375" style="81" customWidth="1"/>
    <col min="8960" max="8960" width="52.7109375" style="81" customWidth="1"/>
    <col min="8961" max="8970" width="9.7109375" style="81" customWidth="1"/>
    <col min="8971" max="9114" width="8.7109375" style="81" customWidth="1"/>
    <col min="9115" max="9213" width="8.85546875" style="81"/>
    <col min="9214" max="9214" width="4.7109375" style="81" customWidth="1"/>
    <col min="9215" max="9215" width="9.7109375" style="81" customWidth="1"/>
    <col min="9216" max="9216" width="52.7109375" style="81" customWidth="1"/>
    <col min="9217" max="9226" width="9.7109375" style="81" customWidth="1"/>
    <col min="9227" max="9370" width="8.7109375" style="81" customWidth="1"/>
    <col min="9371" max="9469" width="8.85546875" style="81"/>
    <col min="9470" max="9470" width="4.7109375" style="81" customWidth="1"/>
    <col min="9471" max="9471" width="9.7109375" style="81" customWidth="1"/>
    <col min="9472" max="9472" width="52.7109375" style="81" customWidth="1"/>
    <col min="9473" max="9482" width="9.7109375" style="81" customWidth="1"/>
    <col min="9483" max="9626" width="8.7109375" style="81" customWidth="1"/>
    <col min="9627" max="9725" width="8.85546875" style="81"/>
    <col min="9726" max="9726" width="4.7109375" style="81" customWidth="1"/>
    <col min="9727" max="9727" width="9.7109375" style="81" customWidth="1"/>
    <col min="9728" max="9728" width="52.7109375" style="81" customWidth="1"/>
    <col min="9729" max="9738" width="9.7109375" style="81" customWidth="1"/>
    <col min="9739" max="9882" width="8.7109375" style="81" customWidth="1"/>
    <col min="9883" max="9981" width="8.85546875" style="81"/>
    <col min="9982" max="9982" width="4.7109375" style="81" customWidth="1"/>
    <col min="9983" max="9983" width="9.7109375" style="81" customWidth="1"/>
    <col min="9984" max="9984" width="52.7109375" style="81" customWidth="1"/>
    <col min="9985" max="9994" width="9.7109375" style="81" customWidth="1"/>
    <col min="9995" max="10138" width="8.7109375" style="81" customWidth="1"/>
    <col min="10139" max="10237" width="8.85546875" style="81"/>
    <col min="10238" max="10238" width="4.7109375" style="81" customWidth="1"/>
    <col min="10239" max="10239" width="9.7109375" style="81" customWidth="1"/>
    <col min="10240" max="10240" width="52.7109375" style="81" customWidth="1"/>
    <col min="10241" max="10250" width="9.7109375" style="81" customWidth="1"/>
    <col min="10251" max="10394" width="8.7109375" style="81" customWidth="1"/>
    <col min="10395" max="10493" width="8.85546875" style="81"/>
    <col min="10494" max="10494" width="4.7109375" style="81" customWidth="1"/>
    <col min="10495" max="10495" width="9.7109375" style="81" customWidth="1"/>
    <col min="10496" max="10496" width="52.7109375" style="81" customWidth="1"/>
    <col min="10497" max="10506" width="9.7109375" style="81" customWidth="1"/>
    <col min="10507" max="10650" width="8.7109375" style="81" customWidth="1"/>
    <col min="10651" max="10749" width="8.85546875" style="81"/>
    <col min="10750" max="10750" width="4.7109375" style="81" customWidth="1"/>
    <col min="10751" max="10751" width="9.7109375" style="81" customWidth="1"/>
    <col min="10752" max="10752" width="52.7109375" style="81" customWidth="1"/>
    <col min="10753" max="10762" width="9.7109375" style="81" customWidth="1"/>
    <col min="10763" max="10906" width="8.7109375" style="81" customWidth="1"/>
    <col min="10907" max="11005" width="8.85546875" style="81"/>
    <col min="11006" max="11006" width="4.7109375" style="81" customWidth="1"/>
    <col min="11007" max="11007" width="9.7109375" style="81" customWidth="1"/>
    <col min="11008" max="11008" width="52.7109375" style="81" customWidth="1"/>
    <col min="11009" max="11018" width="9.7109375" style="81" customWidth="1"/>
    <col min="11019" max="11162" width="8.7109375" style="81" customWidth="1"/>
    <col min="11163" max="11261" width="8.85546875" style="81"/>
    <col min="11262" max="11262" width="4.7109375" style="81" customWidth="1"/>
    <col min="11263" max="11263" width="9.7109375" style="81" customWidth="1"/>
    <col min="11264" max="11264" width="52.7109375" style="81" customWidth="1"/>
    <col min="11265" max="11274" width="9.7109375" style="81" customWidth="1"/>
    <col min="11275" max="11418" width="8.7109375" style="81" customWidth="1"/>
    <col min="11419" max="11517" width="8.85546875" style="81"/>
    <col min="11518" max="11518" width="4.7109375" style="81" customWidth="1"/>
    <col min="11519" max="11519" width="9.7109375" style="81" customWidth="1"/>
    <col min="11520" max="11520" width="52.7109375" style="81" customWidth="1"/>
    <col min="11521" max="11530" width="9.7109375" style="81" customWidth="1"/>
    <col min="11531" max="11674" width="8.7109375" style="81" customWidth="1"/>
    <col min="11675" max="11773" width="8.85546875" style="81"/>
    <col min="11774" max="11774" width="4.7109375" style="81" customWidth="1"/>
    <col min="11775" max="11775" width="9.7109375" style="81" customWidth="1"/>
    <col min="11776" max="11776" width="52.7109375" style="81" customWidth="1"/>
    <col min="11777" max="11786" width="9.7109375" style="81" customWidth="1"/>
    <col min="11787" max="11930" width="8.7109375" style="81" customWidth="1"/>
    <col min="11931" max="12029" width="8.85546875" style="81"/>
    <col min="12030" max="12030" width="4.7109375" style="81" customWidth="1"/>
    <col min="12031" max="12031" width="9.7109375" style="81" customWidth="1"/>
    <col min="12032" max="12032" width="52.7109375" style="81" customWidth="1"/>
    <col min="12033" max="12042" width="9.7109375" style="81" customWidth="1"/>
    <col min="12043" max="12186" width="8.7109375" style="81" customWidth="1"/>
    <col min="12187" max="12285" width="8.85546875" style="81"/>
    <col min="12286" max="12286" width="4.7109375" style="81" customWidth="1"/>
    <col min="12287" max="12287" width="9.7109375" style="81" customWidth="1"/>
    <col min="12288" max="12288" width="52.7109375" style="81" customWidth="1"/>
    <col min="12289" max="12298" width="9.7109375" style="81" customWidth="1"/>
    <col min="12299" max="12442" width="8.7109375" style="81" customWidth="1"/>
    <col min="12443" max="12541" width="8.85546875" style="81"/>
    <col min="12542" max="12542" width="4.7109375" style="81" customWidth="1"/>
    <col min="12543" max="12543" width="9.7109375" style="81" customWidth="1"/>
    <col min="12544" max="12544" width="52.7109375" style="81" customWidth="1"/>
    <col min="12545" max="12554" width="9.7109375" style="81" customWidth="1"/>
    <col min="12555" max="12698" width="8.7109375" style="81" customWidth="1"/>
    <col min="12699" max="12797" width="8.85546875" style="81"/>
    <col min="12798" max="12798" width="4.7109375" style="81" customWidth="1"/>
    <col min="12799" max="12799" width="9.7109375" style="81" customWidth="1"/>
    <col min="12800" max="12800" width="52.7109375" style="81" customWidth="1"/>
    <col min="12801" max="12810" width="9.7109375" style="81" customWidth="1"/>
    <col min="12811" max="12954" width="8.7109375" style="81" customWidth="1"/>
    <col min="12955" max="13053" width="8.85546875" style="81"/>
    <col min="13054" max="13054" width="4.7109375" style="81" customWidth="1"/>
    <col min="13055" max="13055" width="9.7109375" style="81" customWidth="1"/>
    <col min="13056" max="13056" width="52.7109375" style="81" customWidth="1"/>
    <col min="13057" max="13066" width="9.7109375" style="81" customWidth="1"/>
    <col min="13067" max="13210" width="8.7109375" style="81" customWidth="1"/>
    <col min="13211" max="13309" width="8.85546875" style="81"/>
    <col min="13310" max="13310" width="4.7109375" style="81" customWidth="1"/>
    <col min="13311" max="13311" width="9.7109375" style="81" customWidth="1"/>
    <col min="13312" max="13312" width="52.7109375" style="81" customWidth="1"/>
    <col min="13313" max="13322" width="9.7109375" style="81" customWidth="1"/>
    <col min="13323" max="13466" width="8.7109375" style="81" customWidth="1"/>
    <col min="13467" max="13565" width="8.85546875" style="81"/>
    <col min="13566" max="13566" width="4.7109375" style="81" customWidth="1"/>
    <col min="13567" max="13567" width="9.7109375" style="81" customWidth="1"/>
    <col min="13568" max="13568" width="52.7109375" style="81" customWidth="1"/>
    <col min="13569" max="13578" width="9.7109375" style="81" customWidth="1"/>
    <col min="13579" max="13722" width="8.7109375" style="81" customWidth="1"/>
    <col min="13723" max="13821" width="8.85546875" style="81"/>
    <col min="13822" max="13822" width="4.7109375" style="81" customWidth="1"/>
    <col min="13823" max="13823" width="9.7109375" style="81" customWidth="1"/>
    <col min="13824" max="13824" width="52.7109375" style="81" customWidth="1"/>
    <col min="13825" max="13834" width="9.7109375" style="81" customWidth="1"/>
    <col min="13835" max="13978" width="8.7109375" style="81" customWidth="1"/>
    <col min="13979" max="14077" width="8.85546875" style="81"/>
    <col min="14078" max="14078" width="4.7109375" style="81" customWidth="1"/>
    <col min="14079" max="14079" width="9.7109375" style="81" customWidth="1"/>
    <col min="14080" max="14080" width="52.7109375" style="81" customWidth="1"/>
    <col min="14081" max="14090" width="9.7109375" style="81" customWidth="1"/>
    <col min="14091" max="14234" width="8.7109375" style="81" customWidth="1"/>
    <col min="14235" max="14333" width="8.85546875" style="81"/>
    <col min="14334" max="14334" width="4.7109375" style="81" customWidth="1"/>
    <col min="14335" max="14335" width="9.7109375" style="81" customWidth="1"/>
    <col min="14336" max="14336" width="52.7109375" style="81" customWidth="1"/>
    <col min="14337" max="14346" width="9.7109375" style="81" customWidth="1"/>
    <col min="14347" max="14490" width="8.7109375" style="81" customWidth="1"/>
    <col min="14491" max="14589" width="8.85546875" style="81"/>
    <col min="14590" max="14590" width="4.7109375" style="81" customWidth="1"/>
    <col min="14591" max="14591" width="9.7109375" style="81" customWidth="1"/>
    <col min="14592" max="14592" width="52.7109375" style="81" customWidth="1"/>
    <col min="14593" max="14602" width="9.7109375" style="81" customWidth="1"/>
    <col min="14603" max="14746" width="8.7109375" style="81" customWidth="1"/>
    <col min="14747" max="14845" width="8.85546875" style="81"/>
    <col min="14846" max="14846" width="4.7109375" style="81" customWidth="1"/>
    <col min="14847" max="14847" width="9.7109375" style="81" customWidth="1"/>
    <col min="14848" max="14848" width="52.7109375" style="81" customWidth="1"/>
    <col min="14849" max="14858" width="9.7109375" style="81" customWidth="1"/>
    <col min="14859" max="15002" width="8.7109375" style="81" customWidth="1"/>
    <col min="15003" max="15101" width="8.85546875" style="81"/>
    <col min="15102" max="15102" width="4.7109375" style="81" customWidth="1"/>
    <col min="15103" max="15103" width="9.7109375" style="81" customWidth="1"/>
    <col min="15104" max="15104" width="52.7109375" style="81" customWidth="1"/>
    <col min="15105" max="15114" width="9.7109375" style="81" customWidth="1"/>
    <col min="15115" max="15258" width="8.7109375" style="81" customWidth="1"/>
    <col min="15259" max="15357" width="8.85546875" style="81"/>
    <col min="15358" max="15358" width="4.7109375" style="81" customWidth="1"/>
    <col min="15359" max="15359" width="9.7109375" style="81" customWidth="1"/>
    <col min="15360" max="15360" width="52.7109375" style="81" customWidth="1"/>
    <col min="15361" max="15370" width="9.7109375" style="81" customWidth="1"/>
    <col min="15371" max="15514" width="8.7109375" style="81" customWidth="1"/>
    <col min="15515" max="15613" width="8.85546875" style="81"/>
    <col min="15614" max="15614" width="4.7109375" style="81" customWidth="1"/>
    <col min="15615" max="15615" width="9.7109375" style="81" customWidth="1"/>
    <col min="15616" max="15616" width="52.7109375" style="81" customWidth="1"/>
    <col min="15617" max="15626" width="9.7109375" style="81" customWidth="1"/>
    <col min="15627" max="15770" width="8.7109375" style="81" customWidth="1"/>
    <col min="15771" max="15869" width="8.85546875" style="81"/>
    <col min="15870" max="15870" width="4.7109375" style="81" customWidth="1"/>
    <col min="15871" max="15871" width="9.7109375" style="81" customWidth="1"/>
    <col min="15872" max="15872" width="52.7109375" style="81" customWidth="1"/>
    <col min="15873" max="15882" width="9.7109375" style="81" customWidth="1"/>
    <col min="15883" max="16026" width="8.7109375" style="81" customWidth="1"/>
    <col min="16027" max="16125" width="8.85546875" style="81"/>
    <col min="16126" max="16126" width="4.7109375" style="81" customWidth="1"/>
    <col min="16127" max="16127" width="9.7109375" style="81" customWidth="1"/>
    <col min="16128" max="16128" width="52.7109375" style="81" customWidth="1"/>
    <col min="16129" max="16138" width="9.7109375" style="81" customWidth="1"/>
    <col min="16139" max="16282" width="8.7109375" style="81" customWidth="1"/>
    <col min="16283" max="16384" width="8.85546875" style="81"/>
  </cols>
  <sheetData>
    <row r="1" spans="1:13" s="167" customFormat="1" ht="15.75" customHeight="1">
      <c r="A1" s="486" t="e">
        <f>gan.barat!#REF!</f>
        <v>#REF!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67" customFormat="1" ht="15.75" customHeight="1">
      <c r="A2" s="191"/>
      <c r="B2" s="487" t="s">
        <v>7</v>
      </c>
      <c r="C2" s="487"/>
      <c r="D2" s="487"/>
      <c r="E2" s="487"/>
      <c r="F2" s="487"/>
      <c r="G2" s="487"/>
      <c r="H2" s="190" t="str">
        <f>'B-2.1'!B10</f>
        <v>B-2.1.2</v>
      </c>
      <c r="I2" s="78"/>
      <c r="J2" s="78"/>
      <c r="K2" s="78"/>
      <c r="L2" s="78"/>
      <c r="M2" s="78"/>
    </row>
    <row r="3" spans="1:13" s="167" customFormat="1" ht="15.75" customHeight="1">
      <c r="A3" s="488" t="str">
        <f>'B-2.1'!C10</f>
        <v>sasmeli wylis rezervuari  ტექნოლოგია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1:13" s="167" customFormat="1" ht="15.75" customHeight="1">
      <c r="A4" s="191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s="167" customFormat="1" ht="15.75" customHeight="1">
      <c r="A5" s="191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s="192" customFormat="1" ht="26.25" customHeight="1">
      <c r="A6" s="485" t="s">
        <v>117</v>
      </c>
      <c r="B6" s="491" t="s">
        <v>184</v>
      </c>
      <c r="C6" s="485" t="s">
        <v>185</v>
      </c>
      <c r="D6" s="485" t="s">
        <v>186</v>
      </c>
      <c r="E6" s="493" t="s">
        <v>187</v>
      </c>
      <c r="F6" s="494"/>
      <c r="G6" s="493" t="s">
        <v>188</v>
      </c>
      <c r="H6" s="494"/>
      <c r="I6" s="493" t="s">
        <v>189</v>
      </c>
      <c r="J6" s="494"/>
      <c r="K6" s="493" t="s">
        <v>190</v>
      </c>
      <c r="L6" s="494"/>
      <c r="M6" s="490" t="s">
        <v>118</v>
      </c>
    </row>
    <row r="7" spans="1:13" s="192" customFormat="1" ht="26.25" customHeight="1">
      <c r="A7" s="485"/>
      <c r="B7" s="492"/>
      <c r="C7" s="485"/>
      <c r="D7" s="485"/>
      <c r="E7" s="365" t="s">
        <v>191</v>
      </c>
      <c r="F7" s="366" t="s">
        <v>116</v>
      </c>
      <c r="G7" s="365" t="s">
        <v>192</v>
      </c>
      <c r="H7" s="193" t="s">
        <v>118</v>
      </c>
      <c r="I7" s="194" t="s">
        <v>192</v>
      </c>
      <c r="J7" s="366" t="s">
        <v>118</v>
      </c>
      <c r="K7" s="90" t="s">
        <v>192</v>
      </c>
      <c r="L7" s="366" t="s">
        <v>118</v>
      </c>
      <c r="M7" s="490"/>
    </row>
    <row r="8" spans="1:13" s="192" customFormat="1" ht="12.75">
      <c r="A8" s="366">
        <v>1</v>
      </c>
      <c r="B8" s="195">
        <v>2</v>
      </c>
      <c r="C8" s="366">
        <v>3</v>
      </c>
      <c r="D8" s="195">
        <v>4</v>
      </c>
      <c r="E8" s="366">
        <v>5</v>
      </c>
      <c r="F8" s="195">
        <v>6</v>
      </c>
      <c r="G8" s="196">
        <v>7</v>
      </c>
      <c r="H8" s="195">
        <v>8</v>
      </c>
      <c r="I8" s="366">
        <v>9</v>
      </c>
      <c r="J8" s="195">
        <v>10</v>
      </c>
      <c r="K8" s="197">
        <v>11</v>
      </c>
      <c r="L8" s="195" t="s">
        <v>78</v>
      </c>
      <c r="M8" s="195" t="s">
        <v>79</v>
      </c>
    </row>
    <row r="9" spans="1:13" s="24" customFormat="1" ht="12.75">
      <c r="A9" s="20">
        <v>1</v>
      </c>
      <c r="B9" s="21" t="s">
        <v>231</v>
      </c>
      <c r="C9" s="22" t="s">
        <v>256</v>
      </c>
      <c r="D9" s="365" t="s">
        <v>232</v>
      </c>
      <c r="E9" s="20"/>
      <c r="F9" s="23">
        <v>15</v>
      </c>
      <c r="G9" s="20"/>
      <c r="H9" s="20"/>
      <c r="I9" s="23"/>
      <c r="J9" s="23"/>
      <c r="K9" s="20"/>
      <c r="L9" s="23"/>
      <c r="M9" s="23"/>
    </row>
    <row r="10" spans="1:13" s="29" customFormat="1" ht="12.75">
      <c r="A10" s="20"/>
      <c r="B10" s="25"/>
      <c r="C10" s="26" t="s">
        <v>233</v>
      </c>
      <c r="D10" s="27" t="s">
        <v>217</v>
      </c>
      <c r="E10" s="18">
        <v>0.86299999999999999</v>
      </c>
      <c r="F10" s="18">
        <f>E10*F9</f>
        <v>12.945</v>
      </c>
      <c r="G10" s="18"/>
      <c r="H10" s="18"/>
      <c r="I10" s="28"/>
      <c r="J10" s="28"/>
      <c r="K10" s="18"/>
      <c r="L10" s="28"/>
      <c r="M10" s="28"/>
    </row>
    <row r="11" spans="1:13" s="29" customFormat="1" ht="12.75">
      <c r="A11" s="20"/>
      <c r="B11" s="25"/>
      <c r="C11" s="26" t="s">
        <v>234</v>
      </c>
      <c r="D11" s="27" t="s">
        <v>31</v>
      </c>
      <c r="E11" s="18">
        <v>6.7799999999999999E-2</v>
      </c>
      <c r="F11" s="18">
        <f>E11*F9</f>
        <v>1.0169999999999999</v>
      </c>
      <c r="G11" s="18"/>
      <c r="H11" s="18"/>
      <c r="I11" s="28"/>
      <c r="J11" s="28"/>
      <c r="K11" s="18"/>
      <c r="L11" s="28"/>
      <c r="M11" s="28"/>
    </row>
    <row r="12" spans="1:13" s="29" customFormat="1" ht="12.75">
      <c r="A12" s="20"/>
      <c r="B12" s="367" t="s">
        <v>160</v>
      </c>
      <c r="C12" s="26" t="s">
        <v>257</v>
      </c>
      <c r="D12" s="27" t="s">
        <v>235</v>
      </c>
      <c r="E12" s="19">
        <v>1</v>
      </c>
      <c r="F12" s="28">
        <f>E12*F9</f>
        <v>15</v>
      </c>
      <c r="G12" s="87"/>
      <c r="H12" s="28"/>
      <c r="I12" s="28"/>
      <c r="J12" s="28"/>
      <c r="K12" s="18"/>
      <c r="L12" s="28"/>
      <c r="M12" s="28"/>
    </row>
    <row r="13" spans="1:13" s="29" customFormat="1" ht="12.75">
      <c r="A13" s="20"/>
      <c r="B13" s="25"/>
      <c r="C13" s="26" t="s">
        <v>236</v>
      </c>
      <c r="D13" s="27" t="s">
        <v>31</v>
      </c>
      <c r="E13" s="18">
        <v>4.24E-2</v>
      </c>
      <c r="F13" s="18">
        <f>E13*F9</f>
        <v>0.63600000000000001</v>
      </c>
      <c r="G13" s="18"/>
      <c r="H13" s="28"/>
      <c r="I13" s="28"/>
      <c r="J13" s="28"/>
      <c r="K13" s="18"/>
      <c r="L13" s="28"/>
      <c r="M13" s="28"/>
    </row>
    <row r="14" spans="1:13" s="361" customFormat="1" ht="12.75">
      <c r="A14" s="140">
        <v>1</v>
      </c>
      <c r="B14" s="138" t="s">
        <v>253</v>
      </c>
      <c r="C14" s="134" t="s">
        <v>251</v>
      </c>
      <c r="D14" s="136" t="s">
        <v>95</v>
      </c>
      <c r="E14" s="136"/>
      <c r="F14" s="131">
        <v>2</v>
      </c>
      <c r="G14" s="132"/>
      <c r="H14" s="141"/>
      <c r="I14" s="141"/>
      <c r="J14" s="141"/>
      <c r="K14" s="141"/>
      <c r="L14" s="141"/>
      <c r="M14" s="141"/>
    </row>
    <row r="15" spans="1:13" s="361" customFormat="1" ht="12.75">
      <c r="A15" s="142"/>
      <c r="B15" s="143"/>
      <c r="C15" s="144" t="s">
        <v>104</v>
      </c>
      <c r="D15" s="145" t="s">
        <v>96</v>
      </c>
      <c r="E15" s="120">
        <v>1.67</v>
      </c>
      <c r="F15" s="146">
        <f>F14*E15</f>
        <v>3.34</v>
      </c>
      <c r="G15" s="147"/>
      <c r="H15" s="148"/>
      <c r="I15" s="146"/>
      <c r="J15" s="146"/>
      <c r="K15" s="146"/>
      <c r="L15" s="146"/>
      <c r="M15" s="146"/>
    </row>
    <row r="16" spans="1:13" s="361" customFormat="1" ht="12.75">
      <c r="A16" s="142"/>
      <c r="B16" s="149"/>
      <c r="C16" s="144" t="s">
        <v>105</v>
      </c>
      <c r="D16" s="145" t="s">
        <v>31</v>
      </c>
      <c r="E16" s="120">
        <v>0.05</v>
      </c>
      <c r="F16" s="146">
        <f>F14*E16</f>
        <v>0.1</v>
      </c>
      <c r="G16" s="146"/>
      <c r="H16" s="146"/>
      <c r="I16" s="146"/>
      <c r="J16" s="146"/>
      <c r="K16" s="146"/>
      <c r="L16" s="146"/>
      <c r="M16" s="146"/>
    </row>
    <row r="17" spans="1:13" s="361" customFormat="1" ht="12.75">
      <c r="A17" s="142"/>
      <c r="B17" s="149"/>
      <c r="C17" s="120" t="s">
        <v>88</v>
      </c>
      <c r="D17" s="145"/>
      <c r="E17" s="120"/>
      <c r="F17" s="146"/>
      <c r="G17" s="146"/>
      <c r="H17" s="146"/>
      <c r="I17" s="146"/>
      <c r="J17" s="146"/>
      <c r="K17" s="146"/>
      <c r="L17" s="146"/>
      <c r="M17" s="146"/>
    </row>
    <row r="18" spans="1:13" s="361" customFormat="1" ht="12.75">
      <c r="A18" s="142"/>
      <c r="B18" s="103" t="s">
        <v>274</v>
      </c>
      <c r="C18" s="144" t="s">
        <v>252</v>
      </c>
      <c r="D18" s="145" t="s">
        <v>95</v>
      </c>
      <c r="E18" s="120"/>
      <c r="F18" s="146">
        <f>F14</f>
        <v>2</v>
      </c>
      <c r="G18" s="106"/>
      <c r="H18" s="146"/>
      <c r="I18" s="146"/>
      <c r="J18" s="146"/>
      <c r="K18" s="146"/>
      <c r="L18" s="146"/>
      <c r="M18" s="146"/>
    </row>
    <row r="19" spans="1:13" s="361" customFormat="1" ht="12.75">
      <c r="A19" s="142"/>
      <c r="B19" s="149"/>
      <c r="C19" s="144" t="s">
        <v>89</v>
      </c>
      <c r="D19" s="145" t="s">
        <v>31</v>
      </c>
      <c r="E19" s="120">
        <v>0.88</v>
      </c>
      <c r="F19" s="146">
        <f>F14*E19</f>
        <v>1.76</v>
      </c>
      <c r="G19" s="146"/>
      <c r="H19" s="146"/>
      <c r="I19" s="146"/>
      <c r="J19" s="146"/>
      <c r="K19" s="146"/>
      <c r="L19" s="146"/>
      <c r="M19" s="146"/>
    </row>
    <row r="20" spans="1:13" s="361" customFormat="1" ht="25.5">
      <c r="A20" s="136">
        <v>8</v>
      </c>
      <c r="B20" s="138" t="s">
        <v>108</v>
      </c>
      <c r="C20" s="134" t="s">
        <v>265</v>
      </c>
      <c r="D20" s="135" t="s">
        <v>95</v>
      </c>
      <c r="E20" s="135"/>
      <c r="F20" s="407">
        <v>17</v>
      </c>
      <c r="G20" s="132"/>
      <c r="H20" s="132"/>
      <c r="I20" s="135"/>
      <c r="J20" s="132"/>
      <c r="K20" s="132"/>
      <c r="L20" s="132"/>
      <c r="M20" s="132"/>
    </row>
    <row r="21" spans="1:13" s="361" customFormat="1" ht="12.75">
      <c r="A21" s="136"/>
      <c r="B21" s="120" t="s">
        <v>106</v>
      </c>
      <c r="C21" s="144" t="s">
        <v>104</v>
      </c>
      <c r="D21" s="16" t="s">
        <v>28</v>
      </c>
      <c r="E21" s="16">
        <v>0.71</v>
      </c>
      <c r="F21" s="123">
        <f>F20*E21</f>
        <v>12.07</v>
      </c>
      <c r="G21" s="123"/>
      <c r="H21" s="123"/>
      <c r="I21" s="123"/>
      <c r="J21" s="123"/>
      <c r="K21" s="123"/>
      <c r="L21" s="123"/>
      <c r="M21" s="123"/>
    </row>
    <row r="22" spans="1:13" s="361" customFormat="1" ht="12.75">
      <c r="A22" s="136"/>
      <c r="B22" s="120"/>
      <c r="C22" s="144" t="s">
        <v>105</v>
      </c>
      <c r="D22" s="120" t="s">
        <v>31</v>
      </c>
      <c r="E22" s="16">
        <v>0.44</v>
      </c>
      <c r="F22" s="137">
        <f>E22*F20</f>
        <v>7.48</v>
      </c>
      <c r="G22" s="123"/>
      <c r="H22" s="123"/>
      <c r="I22" s="16"/>
      <c r="J22" s="123"/>
      <c r="K22" s="123"/>
      <c r="L22" s="123"/>
      <c r="M22" s="123"/>
    </row>
    <row r="23" spans="1:13" s="361" customFormat="1" ht="12.75">
      <c r="A23" s="140"/>
      <c r="B23" s="118"/>
      <c r="C23" s="120" t="s">
        <v>88</v>
      </c>
      <c r="D23" s="120"/>
      <c r="E23" s="120"/>
      <c r="F23" s="122"/>
      <c r="G23" s="122"/>
      <c r="H23" s="122"/>
      <c r="I23" s="16"/>
      <c r="J23" s="122"/>
      <c r="K23" s="120"/>
      <c r="L23" s="122"/>
      <c r="M23" s="123"/>
    </row>
    <row r="24" spans="1:13" s="361" customFormat="1" ht="12.75">
      <c r="A24" s="140"/>
      <c r="B24" s="367" t="s">
        <v>272</v>
      </c>
      <c r="C24" s="119" t="s">
        <v>241</v>
      </c>
      <c r="D24" s="120" t="s">
        <v>107</v>
      </c>
      <c r="E24" s="120">
        <v>1</v>
      </c>
      <c r="F24" s="121">
        <f>F20*E24</f>
        <v>17</v>
      </c>
      <c r="G24" s="87"/>
      <c r="H24" s="122"/>
      <c r="I24" s="16"/>
      <c r="J24" s="122"/>
      <c r="K24" s="120"/>
      <c r="L24" s="122"/>
      <c r="M24" s="123"/>
    </row>
    <row r="25" spans="1:13" s="361" customFormat="1" ht="12.75">
      <c r="A25" s="140"/>
      <c r="B25" s="118"/>
      <c r="C25" s="133" t="s">
        <v>51</v>
      </c>
      <c r="D25" s="120" t="s">
        <v>31</v>
      </c>
      <c r="E25" s="120">
        <v>0.05</v>
      </c>
      <c r="F25" s="139">
        <f>E25*F20</f>
        <v>0.85000000000000009</v>
      </c>
      <c r="G25" s="122"/>
      <c r="H25" s="139"/>
      <c r="I25" s="16"/>
      <c r="J25" s="122"/>
      <c r="K25" s="120"/>
      <c r="L25" s="122"/>
      <c r="M25" s="123"/>
    </row>
    <row r="26" spans="1:13" s="361" customFormat="1" ht="25.5">
      <c r="A26" s="100">
        <v>8</v>
      </c>
      <c r="B26" s="103" t="s">
        <v>126</v>
      </c>
      <c r="C26" s="113" t="s">
        <v>155</v>
      </c>
      <c r="D26" s="103" t="s">
        <v>52</v>
      </c>
      <c r="E26" s="114"/>
      <c r="F26" s="104">
        <f>0.01*F29</f>
        <v>0.01</v>
      </c>
      <c r="G26" s="106"/>
      <c r="H26" s="106"/>
      <c r="I26" s="106"/>
      <c r="J26" s="106"/>
      <c r="K26" s="106"/>
      <c r="L26" s="106"/>
      <c r="M26" s="104"/>
    </row>
    <row r="27" spans="1:13" s="361" customFormat="1" ht="12.75">
      <c r="A27" s="100"/>
      <c r="B27" s="103"/>
      <c r="C27" s="109" t="s">
        <v>86</v>
      </c>
      <c r="D27" s="105" t="s">
        <v>28</v>
      </c>
      <c r="E27" s="105">
        <v>305</v>
      </c>
      <c r="F27" s="106">
        <f>E27*F26</f>
        <v>3.0500000000000003</v>
      </c>
      <c r="G27" s="106"/>
      <c r="H27" s="106"/>
      <c r="I27" s="106"/>
      <c r="J27" s="106"/>
      <c r="K27" s="106"/>
      <c r="L27" s="106"/>
      <c r="M27" s="115"/>
    </row>
    <row r="28" spans="1:13" s="361" customFormat="1" ht="12.75">
      <c r="A28" s="100"/>
      <c r="B28" s="103"/>
      <c r="C28" s="116" t="s">
        <v>87</v>
      </c>
      <c r="D28" s="105" t="s">
        <v>29</v>
      </c>
      <c r="E28" s="117">
        <v>162</v>
      </c>
      <c r="F28" s="106">
        <f>F26*E28</f>
        <v>1.62</v>
      </c>
      <c r="G28" s="106"/>
      <c r="H28" s="106"/>
      <c r="I28" s="106"/>
      <c r="J28" s="106"/>
      <c r="K28" s="106"/>
      <c r="L28" s="106"/>
      <c r="M28" s="106"/>
    </row>
    <row r="29" spans="1:13" s="361" customFormat="1" ht="12.75">
      <c r="A29" s="100"/>
      <c r="B29" s="105" t="s">
        <v>271</v>
      </c>
      <c r="C29" s="116" t="s">
        <v>161</v>
      </c>
      <c r="D29" s="105" t="s">
        <v>107</v>
      </c>
      <c r="E29" s="112"/>
      <c r="F29" s="106">
        <v>1</v>
      </c>
      <c r="G29" s="106"/>
      <c r="H29" s="106"/>
      <c r="I29" s="106"/>
      <c r="J29" s="106"/>
      <c r="K29" s="106"/>
      <c r="L29" s="106"/>
      <c r="M29" s="106"/>
    </row>
    <row r="30" spans="1:13" s="361" customFormat="1" ht="12.75">
      <c r="A30" s="100"/>
      <c r="B30" s="367" t="s">
        <v>272</v>
      </c>
      <c r="C30" s="119" t="s">
        <v>241</v>
      </c>
      <c r="D30" s="120" t="s">
        <v>107</v>
      </c>
      <c r="E30" s="120"/>
      <c r="F30" s="121">
        <f>F29*3</f>
        <v>3</v>
      </c>
      <c r="G30" s="87"/>
      <c r="H30" s="122"/>
      <c r="I30" s="16"/>
      <c r="J30" s="122"/>
      <c r="K30" s="120"/>
      <c r="L30" s="122"/>
      <c r="M30" s="123"/>
    </row>
    <row r="31" spans="1:13" s="361" customFormat="1" ht="12.75">
      <c r="A31" s="100"/>
      <c r="B31" s="103"/>
      <c r="C31" s="116" t="s">
        <v>98</v>
      </c>
      <c r="D31" s="105" t="s">
        <v>99</v>
      </c>
      <c r="E31" s="106">
        <v>49.2</v>
      </c>
      <c r="F31" s="106">
        <f>F26*E31</f>
        <v>0.49200000000000005</v>
      </c>
      <c r="G31" s="106"/>
      <c r="H31" s="106"/>
      <c r="I31" s="106"/>
      <c r="J31" s="106"/>
      <c r="K31" s="106"/>
      <c r="L31" s="106"/>
      <c r="M31" s="106"/>
    </row>
    <row r="32" spans="1:13" s="361" customFormat="1" ht="25.5">
      <c r="A32" s="100">
        <v>9</v>
      </c>
      <c r="B32" s="101" t="s">
        <v>173</v>
      </c>
      <c r="C32" s="102" t="s">
        <v>258</v>
      </c>
      <c r="D32" s="103" t="s">
        <v>121</v>
      </c>
      <c r="E32" s="103"/>
      <c r="F32" s="104">
        <f>F29*0.14</f>
        <v>0.14000000000000001</v>
      </c>
      <c r="G32" s="106"/>
      <c r="H32" s="106"/>
      <c r="I32" s="106"/>
      <c r="J32" s="106"/>
      <c r="K32" s="106"/>
      <c r="L32" s="110"/>
      <c r="M32" s="104"/>
    </row>
    <row r="33" spans="1:13" s="361" customFormat="1" ht="12.75">
      <c r="A33" s="100"/>
      <c r="B33" s="108"/>
      <c r="C33" s="109" t="s">
        <v>86</v>
      </c>
      <c r="D33" s="105" t="s">
        <v>28</v>
      </c>
      <c r="E33" s="105">
        <f>38.8/100</f>
        <v>0.38799999999999996</v>
      </c>
      <c r="F33" s="106">
        <f>E33*F32</f>
        <v>5.432E-2</v>
      </c>
      <c r="G33" s="107"/>
      <c r="H33" s="107"/>
      <c r="I33" s="106"/>
      <c r="J33" s="106"/>
      <c r="K33" s="107"/>
      <c r="L33" s="107"/>
      <c r="M33" s="106"/>
    </row>
    <row r="34" spans="1:13" s="361" customFormat="1" ht="12.75">
      <c r="A34" s="100"/>
      <c r="B34" s="108"/>
      <c r="C34" s="94" t="s">
        <v>87</v>
      </c>
      <c r="D34" s="92" t="s">
        <v>31</v>
      </c>
      <c r="E34" s="89">
        <f>0.03/100</f>
        <v>2.9999999999999997E-4</v>
      </c>
      <c r="F34" s="89">
        <f>E34*F32</f>
        <v>4.1999999999999998E-5</v>
      </c>
      <c r="G34" s="89"/>
      <c r="H34" s="89"/>
      <c r="I34" s="88"/>
      <c r="J34" s="88"/>
      <c r="K34" s="99"/>
      <c r="L34" s="88"/>
      <c r="M34" s="88"/>
    </row>
    <row r="35" spans="1:13" s="361" customFormat="1" ht="12.75">
      <c r="A35" s="100"/>
      <c r="B35" s="108" t="s">
        <v>177</v>
      </c>
      <c r="C35" s="94" t="s">
        <v>175</v>
      </c>
      <c r="D35" s="92" t="s">
        <v>100</v>
      </c>
      <c r="E35" s="105">
        <f>25.1/100</f>
        <v>0.251</v>
      </c>
      <c r="F35" s="106">
        <f>E35*F31</f>
        <v>0.12349200000000002</v>
      </c>
      <c r="G35" s="374"/>
      <c r="H35" s="106"/>
      <c r="I35" s="106"/>
      <c r="J35" s="110"/>
      <c r="K35" s="105"/>
      <c r="L35" s="105"/>
      <c r="M35" s="106"/>
    </row>
    <row r="36" spans="1:13" s="361" customFormat="1" ht="12.75">
      <c r="A36" s="100"/>
      <c r="B36" s="84" t="s">
        <v>270</v>
      </c>
      <c r="C36" s="109" t="s">
        <v>123</v>
      </c>
      <c r="D36" s="105" t="s">
        <v>100</v>
      </c>
      <c r="E36" s="105">
        <f>0.2/100</f>
        <v>2E-3</v>
      </c>
      <c r="F36" s="106">
        <f>E36*F32</f>
        <v>2.8000000000000003E-4</v>
      </c>
      <c r="G36" s="374"/>
      <c r="H36" s="106"/>
      <c r="I36" s="106"/>
      <c r="J36" s="110"/>
      <c r="K36" s="105"/>
      <c r="L36" s="105"/>
      <c r="M36" s="106"/>
    </row>
    <row r="37" spans="1:13" s="361" customFormat="1" ht="12.75">
      <c r="A37" s="100"/>
      <c r="B37" s="84" t="s">
        <v>269</v>
      </c>
      <c r="C37" s="109" t="s">
        <v>166</v>
      </c>
      <c r="D37" s="105" t="s">
        <v>100</v>
      </c>
      <c r="E37" s="105">
        <f>2.7/100</f>
        <v>2.7000000000000003E-2</v>
      </c>
      <c r="F37" s="106">
        <f>E37*F32</f>
        <v>3.7800000000000008E-3</v>
      </c>
      <c r="G37" s="374"/>
      <c r="H37" s="106"/>
      <c r="I37" s="106"/>
      <c r="J37" s="110"/>
      <c r="K37" s="105"/>
      <c r="L37" s="105"/>
      <c r="M37" s="106"/>
    </row>
    <row r="38" spans="1:13" s="361" customFormat="1" ht="12.75">
      <c r="A38" s="100"/>
      <c r="B38" s="108"/>
      <c r="C38" s="109" t="s">
        <v>98</v>
      </c>
      <c r="D38" s="105" t="s">
        <v>99</v>
      </c>
      <c r="E38" s="105">
        <f>0.19/100</f>
        <v>1.9E-3</v>
      </c>
      <c r="F38" s="111">
        <f>E38*F32</f>
        <v>2.6600000000000001E-4</v>
      </c>
      <c r="G38" s="105"/>
      <c r="H38" s="112"/>
      <c r="I38" s="106"/>
      <c r="J38" s="110"/>
      <c r="K38" s="105"/>
      <c r="L38" s="107"/>
      <c r="M38" s="112"/>
    </row>
    <row r="39" spans="1:13" s="361" customFormat="1" ht="25.5">
      <c r="A39" s="100">
        <v>10</v>
      </c>
      <c r="B39" s="103" t="s">
        <v>126</v>
      </c>
      <c r="C39" s="113" t="s">
        <v>156</v>
      </c>
      <c r="D39" s="103" t="s">
        <v>52</v>
      </c>
      <c r="E39" s="114"/>
      <c r="F39" s="104">
        <f>0.01*F43</f>
        <v>0.14000000000000001</v>
      </c>
      <c r="G39" s="106"/>
      <c r="H39" s="106"/>
      <c r="I39" s="106"/>
      <c r="J39" s="106"/>
      <c r="K39" s="106"/>
      <c r="L39" s="106"/>
      <c r="M39" s="104"/>
    </row>
    <row r="40" spans="1:13" s="361" customFormat="1" ht="12.75">
      <c r="A40" s="100"/>
      <c r="B40" s="103"/>
      <c r="C40" s="109" t="s">
        <v>86</v>
      </c>
      <c r="D40" s="105" t="s">
        <v>28</v>
      </c>
      <c r="E40" s="105">
        <v>305</v>
      </c>
      <c r="F40" s="106">
        <f>E40*F39</f>
        <v>42.7</v>
      </c>
      <c r="G40" s="106"/>
      <c r="H40" s="106"/>
      <c r="I40" s="106"/>
      <c r="J40" s="106"/>
      <c r="K40" s="106"/>
      <c r="L40" s="106"/>
      <c r="M40" s="115"/>
    </row>
    <row r="41" spans="1:13" s="361" customFormat="1" ht="12.75">
      <c r="A41" s="100"/>
      <c r="B41" s="103"/>
      <c r="C41" s="116" t="s">
        <v>87</v>
      </c>
      <c r="D41" s="105" t="s">
        <v>29</v>
      </c>
      <c r="E41" s="117">
        <v>162</v>
      </c>
      <c r="F41" s="106">
        <f>F39*E41</f>
        <v>22.680000000000003</v>
      </c>
      <c r="G41" s="106"/>
      <c r="H41" s="106"/>
      <c r="I41" s="106"/>
      <c r="J41" s="106"/>
      <c r="K41" s="106"/>
      <c r="L41" s="106"/>
      <c r="M41" s="106"/>
    </row>
    <row r="42" spans="1:13" s="361" customFormat="1" ht="12.75">
      <c r="A42" s="100"/>
      <c r="B42" s="103" t="s">
        <v>273</v>
      </c>
      <c r="C42" s="116" t="s">
        <v>162</v>
      </c>
      <c r="D42" s="105" t="s">
        <v>95</v>
      </c>
      <c r="E42" s="112"/>
      <c r="F42" s="106">
        <v>7</v>
      </c>
      <c r="G42" s="106"/>
      <c r="H42" s="106"/>
      <c r="I42" s="106"/>
      <c r="J42" s="106"/>
      <c r="K42" s="106"/>
      <c r="L42" s="106"/>
      <c r="M42" s="106"/>
    </row>
    <row r="43" spans="1:13" s="361" customFormat="1" ht="12.75">
      <c r="A43" s="100"/>
      <c r="B43" s="367" t="s">
        <v>272</v>
      </c>
      <c r="C43" s="119" t="s">
        <v>241</v>
      </c>
      <c r="D43" s="120" t="s">
        <v>107</v>
      </c>
      <c r="E43" s="120"/>
      <c r="F43" s="362">
        <f>F42*2</f>
        <v>14</v>
      </c>
      <c r="G43" s="87"/>
      <c r="H43" s="122"/>
      <c r="I43" s="16"/>
      <c r="J43" s="122"/>
      <c r="K43" s="120"/>
      <c r="L43" s="122"/>
      <c r="M43" s="123"/>
    </row>
    <row r="44" spans="1:13" s="361" customFormat="1" ht="12.75">
      <c r="A44" s="100"/>
      <c r="B44" s="103"/>
      <c r="C44" s="116" t="s">
        <v>98</v>
      </c>
      <c r="D44" s="105" t="s">
        <v>99</v>
      </c>
      <c r="E44" s="106">
        <v>49.2</v>
      </c>
      <c r="F44" s="106">
        <f>F39*E44</f>
        <v>6.8880000000000008</v>
      </c>
      <c r="G44" s="106"/>
      <c r="H44" s="106"/>
      <c r="I44" s="106"/>
      <c r="J44" s="106"/>
      <c r="K44" s="106"/>
      <c r="L44" s="106"/>
      <c r="M44" s="106"/>
    </row>
    <row r="45" spans="1:13" s="361" customFormat="1" ht="25.5">
      <c r="A45" s="100">
        <v>11</v>
      </c>
      <c r="B45" s="101" t="s">
        <v>173</v>
      </c>
      <c r="C45" s="102" t="s">
        <v>157</v>
      </c>
      <c r="D45" s="103" t="s">
        <v>121</v>
      </c>
      <c r="E45" s="103"/>
      <c r="F45" s="104">
        <f>F42*0.14</f>
        <v>0.98000000000000009</v>
      </c>
      <c r="G45" s="106"/>
      <c r="H45" s="106"/>
      <c r="I45" s="106"/>
      <c r="J45" s="106"/>
      <c r="K45" s="106"/>
      <c r="L45" s="110"/>
      <c r="M45" s="124"/>
    </row>
    <row r="46" spans="1:13" s="361" customFormat="1" ht="12.75">
      <c r="A46" s="100"/>
      <c r="B46" s="108"/>
      <c r="C46" s="109" t="s">
        <v>86</v>
      </c>
      <c r="D46" s="105" t="s">
        <v>28</v>
      </c>
      <c r="E46" s="105">
        <f>38.8/100</f>
        <v>0.38799999999999996</v>
      </c>
      <c r="F46" s="106">
        <f>E46*F45</f>
        <v>0.38023999999999997</v>
      </c>
      <c r="G46" s="107"/>
      <c r="H46" s="107"/>
      <c r="I46" s="106"/>
      <c r="J46" s="106"/>
      <c r="K46" s="107"/>
      <c r="L46" s="107"/>
      <c r="M46" s="106"/>
    </row>
    <row r="47" spans="1:13" s="361" customFormat="1" ht="12.75">
      <c r="A47" s="100"/>
      <c r="B47" s="108"/>
      <c r="C47" s="94" t="s">
        <v>87</v>
      </c>
      <c r="D47" s="92" t="s">
        <v>31</v>
      </c>
      <c r="E47" s="89">
        <f>0.03/100</f>
        <v>2.9999999999999997E-4</v>
      </c>
      <c r="F47" s="89">
        <f>E47*F45</f>
        <v>2.9399999999999999E-4</v>
      </c>
      <c r="G47" s="89"/>
      <c r="H47" s="89"/>
      <c r="I47" s="88"/>
      <c r="J47" s="88"/>
      <c r="K47" s="88"/>
      <c r="L47" s="88"/>
      <c r="M47" s="88"/>
    </row>
    <row r="48" spans="1:13" s="361" customFormat="1" ht="12.75">
      <c r="A48" s="100"/>
      <c r="B48" s="108" t="s">
        <v>177</v>
      </c>
      <c r="C48" s="94" t="s">
        <v>175</v>
      </c>
      <c r="D48" s="92" t="s">
        <v>100</v>
      </c>
      <c r="E48" s="105">
        <f>25.1/100</f>
        <v>0.251</v>
      </c>
      <c r="F48" s="106">
        <f>E48*F44</f>
        <v>1.7288880000000002</v>
      </c>
      <c r="G48" s="374"/>
      <c r="H48" s="106"/>
      <c r="I48" s="106"/>
      <c r="J48" s="110"/>
      <c r="K48" s="105"/>
      <c r="L48" s="105"/>
      <c r="M48" s="106"/>
    </row>
    <row r="49" spans="1:143" s="361" customFormat="1" ht="12.75">
      <c r="A49" s="100"/>
      <c r="B49" s="84" t="s">
        <v>270</v>
      </c>
      <c r="C49" s="109" t="s">
        <v>123</v>
      </c>
      <c r="D49" s="105" t="s">
        <v>100</v>
      </c>
      <c r="E49" s="105">
        <f>0.2/100</f>
        <v>2E-3</v>
      </c>
      <c r="F49" s="106">
        <f>E49*F45</f>
        <v>1.9600000000000004E-3</v>
      </c>
      <c r="G49" s="374"/>
      <c r="H49" s="106"/>
      <c r="I49" s="106"/>
      <c r="J49" s="110"/>
      <c r="K49" s="105"/>
      <c r="L49" s="105"/>
      <c r="M49" s="106"/>
    </row>
    <row r="50" spans="1:143" s="361" customFormat="1" ht="12.75">
      <c r="A50" s="100"/>
      <c r="B50" s="84" t="s">
        <v>269</v>
      </c>
      <c r="C50" s="109" t="s">
        <v>166</v>
      </c>
      <c r="D50" s="105" t="s">
        <v>100</v>
      </c>
      <c r="E50" s="105">
        <f>2.7/100</f>
        <v>2.7000000000000003E-2</v>
      </c>
      <c r="F50" s="106">
        <f>E50*F45</f>
        <v>2.6460000000000004E-2</v>
      </c>
      <c r="G50" s="374"/>
      <c r="H50" s="106"/>
      <c r="I50" s="106"/>
      <c r="J50" s="110"/>
      <c r="K50" s="105"/>
      <c r="L50" s="105"/>
      <c r="M50" s="106"/>
    </row>
    <row r="51" spans="1:143" s="361" customFormat="1" ht="12.75">
      <c r="A51" s="100"/>
      <c r="B51" s="108"/>
      <c r="C51" s="109" t="s">
        <v>98</v>
      </c>
      <c r="D51" s="105" t="s">
        <v>99</v>
      </c>
      <c r="E51" s="105">
        <f>0.19/100</f>
        <v>1.9E-3</v>
      </c>
      <c r="F51" s="111">
        <f>E51*F45</f>
        <v>1.8620000000000002E-3</v>
      </c>
      <c r="G51" s="106"/>
      <c r="H51" s="112"/>
      <c r="I51" s="106"/>
      <c r="J51" s="110"/>
      <c r="K51" s="105"/>
      <c r="L51" s="107"/>
      <c r="M51" s="112"/>
    </row>
    <row r="52" spans="1:143" s="166" customFormat="1" ht="12.75">
      <c r="A52" s="91">
        <v>13</v>
      </c>
      <c r="B52" s="38" t="s">
        <v>211</v>
      </c>
      <c r="C52" s="254" t="s">
        <v>237</v>
      </c>
      <c r="D52" s="371" t="s">
        <v>30</v>
      </c>
      <c r="E52" s="371"/>
      <c r="F52" s="325">
        <f>3.14*0.076*F9</f>
        <v>3.5795999999999997</v>
      </c>
      <c r="G52" s="28"/>
      <c r="H52" s="40"/>
      <c r="I52" s="40"/>
      <c r="J52" s="40"/>
      <c r="K52" s="40"/>
      <c r="L52" s="40"/>
      <c r="M52" s="39"/>
    </row>
    <row r="53" spans="1:143" s="166" customFormat="1" ht="12.75">
      <c r="A53" s="91"/>
      <c r="B53" s="21"/>
      <c r="C53" s="249" t="s">
        <v>104</v>
      </c>
      <c r="D53" s="250" t="s">
        <v>96</v>
      </c>
      <c r="E53" s="323">
        <v>13.8</v>
      </c>
      <c r="F53" s="40">
        <f>F52*E53</f>
        <v>49.398479999999999</v>
      </c>
      <c r="G53" s="251"/>
      <c r="H53" s="252"/>
      <c r="I53" s="40"/>
      <c r="J53" s="40"/>
      <c r="K53" s="40"/>
      <c r="L53" s="40"/>
      <c r="M53" s="40"/>
    </row>
    <row r="54" spans="1:143" s="166" customFormat="1" ht="12.75">
      <c r="A54" s="91"/>
      <c r="B54" s="253"/>
      <c r="C54" s="249" t="s">
        <v>238</v>
      </c>
      <c r="D54" s="250" t="s">
        <v>30</v>
      </c>
      <c r="E54" s="323">
        <v>1.03</v>
      </c>
      <c r="F54" s="40">
        <v>1.35</v>
      </c>
      <c r="G54" s="40"/>
      <c r="H54" s="40"/>
      <c r="I54" s="40"/>
      <c r="J54" s="40"/>
      <c r="K54" s="40"/>
      <c r="L54" s="40"/>
      <c r="M54" s="40"/>
    </row>
    <row r="55" spans="1:143" s="24" customFormat="1" ht="15">
      <c r="A55" s="20">
        <v>15</v>
      </c>
      <c r="B55" s="215" t="s">
        <v>167</v>
      </c>
      <c r="C55" s="216" t="s">
        <v>221</v>
      </c>
      <c r="D55" s="365" t="s">
        <v>246</v>
      </c>
      <c r="E55" s="20"/>
      <c r="F55" s="23">
        <v>3.5</v>
      </c>
      <c r="G55" s="18"/>
      <c r="H55" s="18"/>
      <c r="I55" s="28"/>
      <c r="J55" s="28"/>
      <c r="K55" s="18"/>
      <c r="L55" s="28"/>
      <c r="M55" s="23"/>
    </row>
    <row r="56" spans="1:143" s="29" customFormat="1" ht="12.75">
      <c r="A56" s="20"/>
      <c r="B56" s="25"/>
      <c r="C56" s="217" t="s">
        <v>86</v>
      </c>
      <c r="D56" s="324" t="s">
        <v>217</v>
      </c>
      <c r="E56" s="18">
        <v>3.1E-2</v>
      </c>
      <c r="F56" s="18">
        <f>E56*F55</f>
        <v>0.1085</v>
      </c>
      <c r="G56" s="18"/>
      <c r="H56" s="18"/>
      <c r="I56" s="28"/>
      <c r="J56" s="28"/>
      <c r="K56" s="18"/>
      <c r="L56" s="28"/>
      <c r="M56" s="28"/>
    </row>
    <row r="57" spans="1:143" s="29" customFormat="1" ht="12.75">
      <c r="A57" s="20"/>
      <c r="B57" s="25"/>
      <c r="C57" s="218" t="s">
        <v>222</v>
      </c>
      <c r="D57" s="324" t="s">
        <v>100</v>
      </c>
      <c r="E57" s="18">
        <v>8.5999999999999993E-2</v>
      </c>
      <c r="F57" s="18">
        <f>E57*F55</f>
        <v>0.30099999999999999</v>
      </c>
      <c r="G57" s="28"/>
      <c r="H57" s="28"/>
      <c r="I57" s="28"/>
      <c r="J57" s="28"/>
      <c r="K57" s="18"/>
      <c r="L57" s="28"/>
      <c r="M57" s="28"/>
    </row>
    <row r="58" spans="1:143" s="29" customFormat="1" ht="17.25" customHeight="1">
      <c r="A58" s="20"/>
      <c r="B58" s="25"/>
      <c r="C58" s="217" t="s">
        <v>168</v>
      </c>
      <c r="D58" s="324" t="s">
        <v>100</v>
      </c>
      <c r="E58" s="18">
        <v>1.4999999999999999E-2</v>
      </c>
      <c r="F58" s="18">
        <f>E58*F55</f>
        <v>5.2499999999999998E-2</v>
      </c>
      <c r="G58" s="18"/>
      <c r="H58" s="28"/>
      <c r="I58" s="28"/>
      <c r="J58" s="28"/>
      <c r="K58" s="18"/>
      <c r="L58" s="28"/>
      <c r="M58" s="28"/>
    </row>
    <row r="59" spans="1:143" s="223" customFormat="1" ht="12.75">
      <c r="A59" s="365"/>
      <c r="B59" s="31"/>
      <c r="C59" s="32" t="s">
        <v>118</v>
      </c>
      <c r="D59" s="220"/>
      <c r="E59" s="220"/>
      <c r="F59" s="220"/>
      <c r="G59" s="373"/>
      <c r="H59" s="221"/>
      <c r="I59" s="221"/>
      <c r="J59" s="221"/>
      <c r="K59" s="222"/>
      <c r="L59" s="221"/>
      <c r="M59" s="221"/>
    </row>
    <row r="60" spans="1:143" s="230" customFormat="1" ht="12.75">
      <c r="A60" s="220"/>
      <c r="B60" s="224"/>
      <c r="C60" s="35" t="s">
        <v>226</v>
      </c>
      <c r="D60" s="225"/>
      <c r="E60" s="225"/>
      <c r="F60" s="224"/>
      <c r="G60" s="225"/>
      <c r="H60" s="226"/>
      <c r="I60" s="227"/>
      <c r="J60" s="224"/>
      <c r="K60" s="228"/>
      <c r="L60" s="224"/>
      <c r="M60" s="225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</row>
    <row r="61" spans="1:143" s="235" customFormat="1" ht="12.75">
      <c r="A61" s="220"/>
      <c r="B61" s="220"/>
      <c r="C61" s="32" t="s">
        <v>118</v>
      </c>
      <c r="D61" s="221"/>
      <c r="E61" s="221"/>
      <c r="F61" s="220"/>
      <c r="G61" s="221"/>
      <c r="H61" s="231"/>
      <c r="I61" s="232"/>
      <c r="J61" s="220"/>
      <c r="K61" s="233"/>
      <c r="L61" s="220"/>
      <c r="M61" s="221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</row>
    <row r="62" spans="1:143" s="230" customFormat="1" ht="12.75">
      <c r="A62" s="220"/>
      <c r="B62" s="224"/>
      <c r="C62" s="37" t="s">
        <v>227</v>
      </c>
      <c r="D62" s="225"/>
      <c r="E62" s="225"/>
      <c r="F62" s="224"/>
      <c r="G62" s="225"/>
      <c r="H62" s="226"/>
      <c r="I62" s="227"/>
      <c r="J62" s="224"/>
      <c r="K62" s="228"/>
      <c r="L62" s="224"/>
      <c r="M62" s="225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</row>
    <row r="63" spans="1:143" s="235" customFormat="1" ht="12.75">
      <c r="A63" s="220"/>
      <c r="B63" s="220"/>
      <c r="C63" s="32" t="s">
        <v>228</v>
      </c>
      <c r="D63" s="220"/>
      <c r="E63" s="220"/>
      <c r="F63" s="220"/>
      <c r="G63" s="236"/>
      <c r="H63" s="237"/>
      <c r="I63" s="232"/>
      <c r="J63" s="220"/>
      <c r="K63" s="233"/>
      <c r="L63" s="220"/>
      <c r="M63" s="221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</row>
    <row r="64" spans="1:143" ht="12.75">
      <c r="A64" s="238"/>
      <c r="B64" s="239"/>
      <c r="C64" s="37" t="s">
        <v>229</v>
      </c>
      <c r="D64" s="240"/>
      <c r="E64" s="240"/>
      <c r="F64" s="240"/>
      <c r="G64" s="240"/>
      <c r="H64" s="240"/>
      <c r="I64" s="240"/>
      <c r="J64" s="240"/>
      <c r="K64" s="241"/>
      <c r="L64" s="240"/>
      <c r="M64" s="225"/>
    </row>
    <row r="65" spans="1:13" s="244" customFormat="1" ht="12.75">
      <c r="A65" s="238"/>
      <c r="B65" s="242"/>
      <c r="C65" s="236" t="s">
        <v>230</v>
      </c>
      <c r="D65" s="238"/>
      <c r="E65" s="238"/>
      <c r="F65" s="238"/>
      <c r="G65" s="238"/>
      <c r="H65" s="238"/>
      <c r="I65" s="238"/>
      <c r="J65" s="238"/>
      <c r="K65" s="243"/>
      <c r="L65" s="238"/>
      <c r="M65" s="221"/>
    </row>
    <row r="67" spans="1:13" ht="12.75">
      <c r="A67" s="234"/>
      <c r="B67" s="484"/>
      <c r="C67" s="484"/>
      <c r="D67" s="245"/>
      <c r="E67" s="245"/>
      <c r="F67" s="79"/>
      <c r="G67" s="79"/>
      <c r="H67" s="79"/>
      <c r="I67" s="77"/>
      <c r="J67" s="77"/>
      <c r="K67" s="77"/>
      <c r="L67" s="77"/>
    </row>
    <row r="68" spans="1:13" ht="12.75">
      <c r="A68" s="234"/>
      <c r="B68" s="484"/>
      <c r="C68" s="484"/>
      <c r="D68" s="245"/>
      <c r="E68" s="245"/>
      <c r="F68" s="79"/>
      <c r="G68" s="246"/>
      <c r="H68" s="246"/>
      <c r="I68" s="77"/>
      <c r="J68" s="77"/>
      <c r="K68" s="77"/>
      <c r="L68" s="77"/>
    </row>
  </sheetData>
  <autoFilter ref="A8:EX65"/>
  <mergeCells count="14">
    <mergeCell ref="B67:C67"/>
    <mergeCell ref="B68:C68"/>
    <mergeCell ref="G6:H6"/>
    <mergeCell ref="B2:G2"/>
    <mergeCell ref="A1:M1"/>
    <mergeCell ref="A3:M3"/>
    <mergeCell ref="I6:J6"/>
    <mergeCell ref="K6:L6"/>
    <mergeCell ref="M6:M7"/>
    <mergeCell ref="A6:A7"/>
    <mergeCell ref="B6:B7"/>
    <mergeCell ref="C6:C7"/>
    <mergeCell ref="D6:D7"/>
    <mergeCell ref="E6:F6"/>
  </mergeCells>
  <conditionalFormatting sqref="A9:IR11 N26:IR51 A52:IR58 A25:IR25 A24 C24:F24 H24:IR24 A19:IR23 A18 C18:F18 H18:IR18 A13:IR17 A12 C12:F12 H12:IR12">
    <cfRule type="cellIs" dxfId="37" priority="23" stopIfTrue="1" operator="equal">
      <formula>8223.307275</formula>
    </cfRule>
  </conditionalFormatting>
  <conditionalFormatting sqref="D26:L27 B26:B28 D28:M28 D29:F29 H29:M29 C26:C29 B31:M32">
    <cfRule type="cellIs" dxfId="36" priority="22" stopIfTrue="1" operator="equal">
      <formula>8223.307275</formula>
    </cfRule>
  </conditionalFormatting>
  <conditionalFormatting sqref="C30:F30 H30:M30">
    <cfRule type="cellIs" dxfId="35" priority="19" stopIfTrue="1" operator="equal">
      <formula>8223.307275</formula>
    </cfRule>
  </conditionalFormatting>
  <conditionalFormatting sqref="E35:F35 H35:M35">
    <cfRule type="cellIs" dxfId="34" priority="16" stopIfTrue="1" operator="equal">
      <formula>8223.307275</formula>
    </cfRule>
  </conditionalFormatting>
  <conditionalFormatting sqref="C33:M33 D36:F36 C36:C38 H36:M36 D38:M38">
    <cfRule type="cellIs" dxfId="33" priority="18" stopIfTrue="1" operator="equal">
      <formula>8223.307275</formula>
    </cfRule>
  </conditionalFormatting>
  <conditionalFormatting sqref="D37:F37 H37:M37">
    <cfRule type="cellIs" dxfId="32" priority="17" stopIfTrue="1" operator="equal">
      <formula>8223.307275</formula>
    </cfRule>
  </conditionalFormatting>
  <conditionalFormatting sqref="B39:B41 D39:L39 B44:B45 C39:C42 C45:M45 C44:D44 F44:M44 F41:M41 D40:D42 F40:L40 F42 H42:M42">
    <cfRule type="cellIs" dxfId="31" priority="15" stopIfTrue="1" operator="equal">
      <formula>8223.307275</formula>
    </cfRule>
  </conditionalFormatting>
  <conditionalFormatting sqref="C43:D43 F43 H43:M43">
    <cfRule type="cellIs" dxfId="30" priority="13" stopIfTrue="1" operator="equal">
      <formula>8223.307275</formula>
    </cfRule>
  </conditionalFormatting>
  <conditionalFormatting sqref="C46:M46 D49:F49 C49:C51 H49:M49 D51:M51">
    <cfRule type="cellIs" dxfId="29" priority="12" stopIfTrue="1" operator="equal">
      <formula>8223.307275</formula>
    </cfRule>
  </conditionalFormatting>
  <conditionalFormatting sqref="D50:F50 H50:M50">
    <cfRule type="cellIs" dxfId="28" priority="11" stopIfTrue="1" operator="equal">
      <formula>8223.307275</formula>
    </cfRule>
  </conditionalFormatting>
  <conditionalFormatting sqref="E48:F48 H48:M48">
    <cfRule type="cellIs" dxfId="27" priority="10" stopIfTrue="1" operator="equal">
      <formula>8223.307275</formula>
    </cfRule>
  </conditionalFormatting>
  <conditionalFormatting sqref="E40:E42 E44">
    <cfRule type="cellIs" dxfId="26" priority="9" stopIfTrue="1" operator="equal">
      <formula>8223.307275</formula>
    </cfRule>
  </conditionalFormatting>
  <conditionalFormatting sqref="E43">
    <cfRule type="cellIs" dxfId="25" priority="8" stopIfTrue="1" operator="equal">
      <formula>8223.307275</formula>
    </cfRule>
  </conditionalFormatting>
  <conditionalFormatting sqref="B42">
    <cfRule type="cellIs" dxfId="24" priority="6" stopIfTrue="1" operator="equal">
      <formula>8223.307275</formula>
    </cfRule>
  </conditionalFormatting>
  <conditionalFormatting sqref="G42">
    <cfRule type="cellIs" dxfId="23" priority="5" stopIfTrue="1" operator="equal">
      <formula>8223.307275</formula>
    </cfRule>
  </conditionalFormatting>
  <conditionalFormatting sqref="B29">
    <cfRule type="cellIs" dxfId="22" priority="4" stopIfTrue="1" operator="equal">
      <formula>8223.307275</formula>
    </cfRule>
  </conditionalFormatting>
  <conditionalFormatting sqref="G29">
    <cfRule type="cellIs" dxfId="21" priority="3" stopIfTrue="1" operator="equal">
      <formula>8223.307275</formula>
    </cfRule>
  </conditionalFormatting>
  <conditionalFormatting sqref="B18">
    <cfRule type="cellIs" dxfId="20" priority="2" stopIfTrue="1" operator="equal">
      <formula>8223.307275</formula>
    </cfRule>
  </conditionalFormatting>
  <conditionalFormatting sqref="G18">
    <cfRule type="cellIs" dxfId="19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SheetLayoutView="100" workbookViewId="0">
      <selection activeCell="G8" sqref="G8:M54"/>
    </sheetView>
  </sheetViews>
  <sheetFormatPr defaultRowHeight="12.75"/>
  <cols>
    <col min="1" max="1" width="6.7109375" style="380" customWidth="1"/>
    <col min="2" max="2" width="9.42578125" style="380" customWidth="1"/>
    <col min="3" max="3" width="54.140625" style="67" customWidth="1"/>
    <col min="4" max="4" width="10.7109375" style="67" customWidth="1"/>
    <col min="5" max="5" width="9.7109375" style="67" customWidth="1"/>
    <col min="6" max="6" width="10.42578125" style="67" customWidth="1"/>
    <col min="7" max="13" width="10.28515625" style="67" customWidth="1"/>
    <col min="14" max="16384" width="9.140625" style="67"/>
  </cols>
  <sheetData>
    <row r="1" spans="1:13">
      <c r="A1" s="486" t="e">
        <f>gan.barat!#REF!</f>
        <v>#REF!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>
      <c r="A2" s="487" t="s">
        <v>7</v>
      </c>
      <c r="B2" s="487"/>
      <c r="C2" s="487"/>
      <c r="D2" s="487"/>
      <c r="E2" s="487"/>
      <c r="F2" s="487"/>
      <c r="G2" s="78" t="str">
        <f>B!B10</f>
        <v>B-3</v>
      </c>
      <c r="H2" s="78"/>
      <c r="I2" s="78"/>
      <c r="J2" s="78"/>
      <c r="K2" s="78"/>
      <c r="L2" s="78"/>
      <c r="M2" s="78"/>
    </row>
    <row r="3" spans="1:13">
      <c r="A3" s="495" t="str">
        <f>B!C10</f>
        <v>რეზერუარის შემოღობვა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>
      <c r="A4" s="256"/>
      <c r="B4" s="257"/>
      <c r="C4" s="469"/>
      <c r="D4" s="469"/>
      <c r="E4" s="469"/>
      <c r="F4" s="469"/>
      <c r="G4" s="469"/>
      <c r="H4" s="469"/>
      <c r="I4" s="469"/>
      <c r="J4" s="469"/>
      <c r="K4" s="469"/>
      <c r="L4" s="258"/>
      <c r="M4" s="258"/>
    </row>
    <row r="5" spans="1:13">
      <c r="A5" s="477" t="s">
        <v>33</v>
      </c>
      <c r="B5" s="477" t="s">
        <v>34</v>
      </c>
      <c r="C5" s="475" t="s">
        <v>35</v>
      </c>
      <c r="D5" s="475" t="s">
        <v>36</v>
      </c>
      <c r="E5" s="475" t="s">
        <v>37</v>
      </c>
      <c r="F5" s="475" t="s">
        <v>38</v>
      </c>
      <c r="G5" s="474" t="s">
        <v>39</v>
      </c>
      <c r="H5" s="474"/>
      <c r="I5" s="474" t="s">
        <v>40</v>
      </c>
      <c r="J5" s="474"/>
      <c r="K5" s="475" t="s">
        <v>41</v>
      </c>
      <c r="L5" s="476"/>
      <c r="M5" s="259" t="s">
        <v>5</v>
      </c>
    </row>
    <row r="6" spans="1:13">
      <c r="A6" s="477"/>
      <c r="B6" s="477"/>
      <c r="C6" s="475"/>
      <c r="D6" s="475"/>
      <c r="E6" s="475"/>
      <c r="F6" s="475"/>
      <c r="G6" s="368" t="s">
        <v>42</v>
      </c>
      <c r="H6" s="60" t="s">
        <v>9</v>
      </c>
      <c r="I6" s="368" t="s">
        <v>42</v>
      </c>
      <c r="J6" s="60" t="s">
        <v>9</v>
      </c>
      <c r="K6" s="368" t="s">
        <v>42</v>
      </c>
      <c r="L6" s="260" t="s">
        <v>9</v>
      </c>
      <c r="M6" s="261" t="s">
        <v>43</v>
      </c>
    </row>
    <row r="7" spans="1:13">
      <c r="A7" s="370">
        <v>1</v>
      </c>
      <c r="B7" s="370">
        <v>2</v>
      </c>
      <c r="C7" s="369">
        <v>3</v>
      </c>
      <c r="D7" s="369">
        <v>4</v>
      </c>
      <c r="E7" s="369">
        <v>5</v>
      </c>
      <c r="F7" s="369">
        <v>6</v>
      </c>
      <c r="G7" s="369">
        <v>7</v>
      </c>
      <c r="H7" s="369">
        <v>8</v>
      </c>
      <c r="I7" s="369">
        <v>9</v>
      </c>
      <c r="J7" s="369">
        <v>10</v>
      </c>
      <c r="K7" s="369">
        <v>11</v>
      </c>
      <c r="L7" s="369">
        <v>12</v>
      </c>
      <c r="M7" s="369">
        <v>13</v>
      </c>
    </row>
    <row r="8" spans="1:13" s="68" customFormat="1" ht="25.5">
      <c r="A8" s="366">
        <v>1</v>
      </c>
      <c r="B8" s="262" t="s">
        <v>127</v>
      </c>
      <c r="C8" s="263" t="s">
        <v>128</v>
      </c>
      <c r="D8" s="264" t="s">
        <v>30</v>
      </c>
      <c r="E8" s="264"/>
      <c r="F8" s="265">
        <v>4.22</v>
      </c>
      <c r="G8" s="264"/>
      <c r="H8" s="266"/>
      <c r="I8" s="264"/>
      <c r="J8" s="266"/>
      <c r="K8" s="264"/>
      <c r="L8" s="266"/>
      <c r="M8" s="266"/>
    </row>
    <row r="9" spans="1:13" s="68" customFormat="1">
      <c r="A9" s="33"/>
      <c r="B9" s="195"/>
      <c r="C9" s="267" t="s">
        <v>86</v>
      </c>
      <c r="D9" s="268" t="s">
        <v>28</v>
      </c>
      <c r="E9" s="268">
        <v>3.88</v>
      </c>
      <c r="F9" s="269">
        <f>F8*E9</f>
        <v>16.3736</v>
      </c>
      <c r="G9" s="268"/>
      <c r="H9" s="269"/>
      <c r="I9" s="269"/>
      <c r="J9" s="269"/>
      <c r="K9" s="268"/>
      <c r="L9" s="269"/>
      <c r="M9" s="269"/>
    </row>
    <row r="10" spans="1:13" s="68" customFormat="1" ht="25.5">
      <c r="A10" s="262">
        <v>2</v>
      </c>
      <c r="B10" s="262" t="s">
        <v>163</v>
      </c>
      <c r="C10" s="270" t="s">
        <v>129</v>
      </c>
      <c r="D10" s="262" t="s">
        <v>30</v>
      </c>
      <c r="E10" s="262"/>
      <c r="F10" s="262" t="s">
        <v>303</v>
      </c>
      <c r="G10" s="262"/>
      <c r="H10" s="262"/>
      <c r="I10" s="262"/>
      <c r="J10" s="262"/>
      <c r="K10" s="262"/>
      <c r="L10" s="262"/>
      <c r="M10" s="271"/>
    </row>
    <row r="11" spans="1:13" s="68" customFormat="1">
      <c r="A11" s="33"/>
      <c r="B11" s="195"/>
      <c r="C11" s="267" t="s">
        <v>86</v>
      </c>
      <c r="D11" s="268" t="s">
        <v>28</v>
      </c>
      <c r="E11" s="268">
        <v>2.06</v>
      </c>
      <c r="F11" s="269">
        <f>F10*E11</f>
        <v>4.944</v>
      </c>
      <c r="G11" s="268"/>
      <c r="H11" s="269"/>
      <c r="I11" s="269"/>
      <c r="J11" s="269"/>
      <c r="K11" s="268"/>
      <c r="L11" s="269"/>
      <c r="M11" s="269"/>
    </row>
    <row r="12" spans="1:13" s="68" customFormat="1" ht="25.5">
      <c r="A12" s="366">
        <v>3</v>
      </c>
      <c r="B12" s="262" t="s">
        <v>119</v>
      </c>
      <c r="C12" s="272" t="s">
        <v>130</v>
      </c>
      <c r="D12" s="273" t="s">
        <v>30</v>
      </c>
      <c r="E12" s="273"/>
      <c r="F12" s="265">
        <v>2.11</v>
      </c>
      <c r="G12" s="273"/>
      <c r="H12" s="273"/>
      <c r="I12" s="271"/>
      <c r="J12" s="273"/>
      <c r="K12" s="273"/>
      <c r="L12" s="273"/>
      <c r="M12" s="271"/>
    </row>
    <row r="13" spans="1:13" s="68" customFormat="1">
      <c r="A13" s="366"/>
      <c r="B13" s="31"/>
      <c r="C13" s="274" t="s">
        <v>93</v>
      </c>
      <c r="D13" s="268" t="s">
        <v>96</v>
      </c>
      <c r="E13" s="275">
        <v>1.37</v>
      </c>
      <c r="F13" s="276">
        <f>E13*F12</f>
        <v>2.8907000000000003</v>
      </c>
      <c r="G13" s="275"/>
      <c r="H13" s="276"/>
      <c r="I13" s="269"/>
      <c r="J13" s="276"/>
      <c r="K13" s="276"/>
      <c r="L13" s="275"/>
      <c r="M13" s="276"/>
    </row>
    <row r="14" spans="1:13" s="68" customFormat="1">
      <c r="A14" s="33"/>
      <c r="B14" s="195"/>
      <c r="C14" s="274" t="s">
        <v>94</v>
      </c>
      <c r="D14" s="268" t="s">
        <v>31</v>
      </c>
      <c r="E14" s="275">
        <v>0.28299999999999997</v>
      </c>
      <c r="F14" s="276">
        <f>E14*F12</f>
        <v>0.59712999999999994</v>
      </c>
      <c r="G14" s="276"/>
      <c r="H14" s="275"/>
      <c r="I14" s="275"/>
      <c r="J14" s="275"/>
      <c r="K14" s="276"/>
      <c r="L14" s="276"/>
      <c r="M14" s="276"/>
    </row>
    <row r="15" spans="1:13" s="68" customFormat="1" ht="15">
      <c r="A15" s="33"/>
      <c r="B15" s="31" t="s">
        <v>276</v>
      </c>
      <c r="C15" s="274" t="s">
        <v>131</v>
      </c>
      <c r="D15" s="268" t="s">
        <v>245</v>
      </c>
      <c r="E15" s="275">
        <v>1.02</v>
      </c>
      <c r="F15" s="276">
        <f>E15*F12</f>
        <v>2.1522000000000001</v>
      </c>
      <c r="G15" s="211"/>
      <c r="H15" s="211"/>
      <c r="I15" s="207"/>
      <c r="J15" s="33"/>
      <c r="K15" s="211"/>
      <c r="L15" s="212"/>
      <c r="M15" s="276"/>
    </row>
    <row r="16" spans="1:13" s="68" customFormat="1">
      <c r="A16" s="33"/>
      <c r="B16" s="31"/>
      <c r="C16" s="274" t="s">
        <v>89</v>
      </c>
      <c r="D16" s="268" t="s">
        <v>31</v>
      </c>
      <c r="E16" s="275">
        <v>0.62</v>
      </c>
      <c r="F16" s="276">
        <f>E16*F12</f>
        <v>1.3081999999999998</v>
      </c>
      <c r="G16" s="211"/>
      <c r="H16" s="211"/>
      <c r="I16" s="207"/>
      <c r="J16" s="33"/>
      <c r="K16" s="211"/>
      <c r="L16" s="212"/>
      <c r="M16" s="276"/>
    </row>
    <row r="17" spans="1:15" s="68" customFormat="1" ht="25.5">
      <c r="A17" s="33">
        <v>4</v>
      </c>
      <c r="B17" s="262" t="s">
        <v>119</v>
      </c>
      <c r="C17" s="272" t="s">
        <v>132</v>
      </c>
      <c r="D17" s="273" t="s">
        <v>30</v>
      </c>
      <c r="E17" s="273"/>
      <c r="F17" s="265">
        <v>2.4</v>
      </c>
      <c r="G17" s="271"/>
      <c r="H17" s="273"/>
      <c r="I17" s="273"/>
      <c r="J17" s="273"/>
      <c r="K17" s="271"/>
      <c r="L17" s="273"/>
      <c r="M17" s="271"/>
    </row>
    <row r="18" spans="1:15" s="68" customFormat="1">
      <c r="A18" s="33"/>
      <c r="B18" s="31"/>
      <c r="C18" s="274" t="s">
        <v>93</v>
      </c>
      <c r="D18" s="268" t="s">
        <v>96</v>
      </c>
      <c r="E18" s="275">
        <v>1.37</v>
      </c>
      <c r="F18" s="276">
        <f>E18*F17</f>
        <v>3.2880000000000003</v>
      </c>
      <c r="G18" s="276"/>
      <c r="H18" s="276"/>
      <c r="I18" s="269"/>
      <c r="J18" s="276"/>
      <c r="K18" s="276"/>
      <c r="L18" s="275"/>
      <c r="M18" s="276"/>
    </row>
    <row r="19" spans="1:15" s="68" customFormat="1">
      <c r="A19" s="33"/>
      <c r="B19" s="195"/>
      <c r="C19" s="274" t="s">
        <v>94</v>
      </c>
      <c r="D19" s="268" t="s">
        <v>31</v>
      </c>
      <c r="E19" s="275">
        <v>0.28299999999999997</v>
      </c>
      <c r="F19" s="276">
        <f>E19*F18</f>
        <v>0.930504</v>
      </c>
      <c r="G19" s="276"/>
      <c r="H19" s="275"/>
      <c r="I19" s="275"/>
      <c r="J19" s="275"/>
      <c r="K19" s="276"/>
      <c r="L19" s="276"/>
      <c r="M19" s="276"/>
    </row>
    <row r="20" spans="1:15" s="68" customFormat="1" ht="15">
      <c r="A20" s="33"/>
      <c r="B20" s="31" t="s">
        <v>276</v>
      </c>
      <c r="C20" s="274" t="s">
        <v>131</v>
      </c>
      <c r="D20" s="268" t="s">
        <v>245</v>
      </c>
      <c r="E20" s="275">
        <v>1.02</v>
      </c>
      <c r="F20" s="276">
        <f>E20*F17</f>
        <v>2.448</v>
      </c>
      <c r="G20" s="211"/>
      <c r="H20" s="211"/>
      <c r="I20" s="207"/>
      <c r="J20" s="33"/>
      <c r="K20" s="211"/>
      <c r="L20" s="212"/>
      <c r="M20" s="276"/>
    </row>
    <row r="21" spans="1:15" s="68" customFormat="1">
      <c r="A21" s="33"/>
      <c r="B21" s="31"/>
      <c r="C21" s="274" t="s">
        <v>89</v>
      </c>
      <c r="D21" s="268" t="s">
        <v>31</v>
      </c>
      <c r="E21" s="275">
        <v>0.62</v>
      </c>
      <c r="F21" s="276">
        <f>E21*F17</f>
        <v>1.488</v>
      </c>
      <c r="G21" s="211"/>
      <c r="H21" s="211"/>
      <c r="I21" s="207"/>
      <c r="J21" s="33"/>
      <c r="K21" s="211"/>
      <c r="L21" s="212"/>
      <c r="M21" s="276"/>
    </row>
    <row r="22" spans="1:15" s="68" customFormat="1" ht="25.5">
      <c r="A22" s="366">
        <v>5</v>
      </c>
      <c r="B22" s="277" t="s">
        <v>133</v>
      </c>
      <c r="C22" s="278" t="s">
        <v>134</v>
      </c>
      <c r="D22" s="273" t="s">
        <v>91</v>
      </c>
      <c r="E22" s="273"/>
      <c r="F22" s="279">
        <v>30</v>
      </c>
      <c r="G22" s="271"/>
      <c r="H22" s="273"/>
      <c r="I22" s="273"/>
      <c r="J22" s="273"/>
      <c r="K22" s="271"/>
      <c r="L22" s="273"/>
      <c r="M22" s="271"/>
    </row>
    <row r="23" spans="1:15" s="68" customFormat="1">
      <c r="A23" s="33"/>
      <c r="B23" s="273"/>
      <c r="C23" s="274" t="s">
        <v>93</v>
      </c>
      <c r="D23" s="268" t="s">
        <v>28</v>
      </c>
      <c r="E23" s="275">
        <f>3.12</f>
        <v>3.12</v>
      </c>
      <c r="F23" s="276">
        <f>E23*F22</f>
        <v>93.600000000000009</v>
      </c>
      <c r="G23" s="276"/>
      <c r="H23" s="276"/>
      <c r="I23" s="276"/>
      <c r="J23" s="276"/>
      <c r="K23" s="276"/>
      <c r="L23" s="275"/>
      <c r="M23" s="276"/>
    </row>
    <row r="24" spans="1:15" s="68" customFormat="1">
      <c r="A24" s="33"/>
      <c r="B24" s="273" t="s">
        <v>277</v>
      </c>
      <c r="C24" s="274" t="s">
        <v>135</v>
      </c>
      <c r="D24" s="268" t="s">
        <v>120</v>
      </c>
      <c r="E24" s="275">
        <f>0.407</f>
        <v>0.40699999999999997</v>
      </c>
      <c r="F24" s="276">
        <f>E24*F22</f>
        <v>12.209999999999999</v>
      </c>
      <c r="G24" s="276"/>
      <c r="H24" s="275"/>
      <c r="I24" s="275"/>
      <c r="J24" s="275"/>
      <c r="K24" s="276"/>
      <c r="L24" s="276"/>
      <c r="M24" s="276"/>
    </row>
    <row r="25" spans="1:15" s="68" customFormat="1">
      <c r="A25" s="366"/>
      <c r="B25" s="273"/>
      <c r="C25" s="274" t="s">
        <v>94</v>
      </c>
      <c r="D25" s="268" t="s">
        <v>31</v>
      </c>
      <c r="E25" s="275">
        <v>0.09</v>
      </c>
      <c r="F25" s="276">
        <f>E25*F22</f>
        <v>2.6999999999999997</v>
      </c>
      <c r="G25" s="276"/>
      <c r="H25" s="275"/>
      <c r="I25" s="275"/>
      <c r="J25" s="275"/>
      <c r="K25" s="276"/>
      <c r="L25" s="276"/>
      <c r="M25" s="276"/>
    </row>
    <row r="26" spans="1:15" s="68" customFormat="1">
      <c r="A26" s="33"/>
      <c r="B26" s="277" t="s">
        <v>278</v>
      </c>
      <c r="C26" s="274" t="s">
        <v>164</v>
      </c>
      <c r="D26" s="268" t="s">
        <v>124</v>
      </c>
      <c r="E26" s="275"/>
      <c r="F26" s="275">
        <v>44</v>
      </c>
      <c r="G26" s="211"/>
      <c r="H26" s="211"/>
      <c r="I26" s="207"/>
      <c r="J26" s="33"/>
      <c r="K26" s="211"/>
      <c r="L26" s="212"/>
      <c r="M26" s="276"/>
      <c r="N26" s="379"/>
      <c r="O26" s="379"/>
    </row>
    <row r="27" spans="1:15" s="68" customFormat="1">
      <c r="A27" s="33"/>
      <c r="B27" s="277" t="s">
        <v>279</v>
      </c>
      <c r="C27" s="274" t="s">
        <v>136</v>
      </c>
      <c r="D27" s="268" t="s">
        <v>97</v>
      </c>
      <c r="E27" s="275" t="s">
        <v>125</v>
      </c>
      <c r="F27" s="280">
        <v>0.129</v>
      </c>
      <c r="G27" s="211"/>
      <c r="H27" s="211"/>
      <c r="I27" s="207"/>
      <c r="J27" s="33"/>
      <c r="K27" s="211"/>
      <c r="L27" s="212"/>
      <c r="M27" s="276"/>
      <c r="N27" s="379"/>
      <c r="O27" s="379"/>
    </row>
    <row r="28" spans="1:15" s="68" customFormat="1">
      <c r="A28" s="33"/>
      <c r="B28" s="264"/>
      <c r="C28" s="274" t="s">
        <v>137</v>
      </c>
      <c r="D28" s="268" t="s">
        <v>97</v>
      </c>
      <c r="E28" s="275">
        <f>0.002/100</f>
        <v>2.0000000000000002E-5</v>
      </c>
      <c r="F28" s="281">
        <f>E28*F22</f>
        <v>6.0000000000000006E-4</v>
      </c>
      <c r="G28" s="211"/>
      <c r="H28" s="211"/>
      <c r="I28" s="207"/>
      <c r="J28" s="33"/>
      <c r="K28" s="211"/>
      <c r="L28" s="212"/>
      <c r="M28" s="276"/>
      <c r="N28" s="379"/>
      <c r="O28" s="379"/>
    </row>
    <row r="29" spans="1:15" s="68" customFormat="1">
      <c r="A29" s="33"/>
      <c r="B29" s="264" t="s">
        <v>280</v>
      </c>
      <c r="C29" s="274" t="s">
        <v>170</v>
      </c>
      <c r="D29" s="268" t="s">
        <v>121</v>
      </c>
      <c r="E29" s="275">
        <v>1.5</v>
      </c>
      <c r="F29" s="276">
        <f>E29*F22</f>
        <v>45</v>
      </c>
      <c r="G29" s="211"/>
      <c r="H29" s="211"/>
      <c r="I29" s="207"/>
      <c r="J29" s="33"/>
      <c r="K29" s="211"/>
      <c r="L29" s="212"/>
      <c r="M29" s="276"/>
      <c r="N29" s="379"/>
      <c r="O29" s="379"/>
    </row>
    <row r="30" spans="1:15" s="68" customFormat="1">
      <c r="A30" s="33"/>
      <c r="B30" s="282"/>
      <c r="C30" s="283" t="s">
        <v>89</v>
      </c>
      <c r="D30" s="284" t="s">
        <v>31</v>
      </c>
      <c r="E30" s="285">
        <v>0.05</v>
      </c>
      <c r="F30" s="286">
        <f>E30*F22</f>
        <v>1.5</v>
      </c>
      <c r="G30" s="287"/>
      <c r="H30" s="287"/>
      <c r="I30" s="288"/>
      <c r="J30" s="289"/>
      <c r="K30" s="287"/>
      <c r="L30" s="290"/>
      <c r="M30" s="286"/>
    </row>
    <row r="31" spans="1:15" s="68" customFormat="1">
      <c r="A31" s="273">
        <v>6</v>
      </c>
      <c r="B31" s="262" t="s">
        <v>138</v>
      </c>
      <c r="C31" s="263" t="s">
        <v>139</v>
      </c>
      <c r="D31" s="273" t="s">
        <v>95</v>
      </c>
      <c r="E31" s="291"/>
      <c r="F31" s="271">
        <v>1</v>
      </c>
      <c r="G31" s="271"/>
      <c r="H31" s="273"/>
      <c r="I31" s="271"/>
      <c r="J31" s="273"/>
      <c r="K31" s="271"/>
      <c r="L31" s="273"/>
      <c r="M31" s="271"/>
    </row>
    <row r="32" spans="1:15" s="68" customFormat="1">
      <c r="A32" s="273"/>
      <c r="B32" s="262"/>
      <c r="C32" s="292" t="s">
        <v>140</v>
      </c>
      <c r="D32" s="275" t="s">
        <v>96</v>
      </c>
      <c r="E32" s="293">
        <v>7.33</v>
      </c>
      <c r="F32" s="276">
        <f>F31*E32</f>
        <v>7.33</v>
      </c>
      <c r="G32" s="276"/>
      <c r="H32" s="294"/>
      <c r="I32" s="378"/>
      <c r="J32" s="276"/>
      <c r="K32" s="276"/>
      <c r="L32" s="275"/>
      <c r="M32" s="275"/>
    </row>
    <row r="33" spans="1:15" s="68" customFormat="1">
      <c r="A33" s="33"/>
      <c r="B33" s="277" t="s">
        <v>165</v>
      </c>
      <c r="C33" s="274" t="s">
        <v>171</v>
      </c>
      <c r="D33" s="268" t="s">
        <v>124</v>
      </c>
      <c r="E33" s="275"/>
      <c r="F33" s="275">
        <v>21</v>
      </c>
      <c r="G33" s="211"/>
      <c r="H33" s="211"/>
      <c r="I33" s="207"/>
      <c r="J33" s="33"/>
      <c r="K33" s="211"/>
      <c r="L33" s="212"/>
      <c r="M33" s="276"/>
      <c r="N33" s="379"/>
      <c r="O33" s="379"/>
    </row>
    <row r="34" spans="1:15" s="68" customFormat="1">
      <c r="A34" s="366"/>
      <c r="B34" s="277" t="s">
        <v>282</v>
      </c>
      <c r="C34" s="274" t="s">
        <v>141</v>
      </c>
      <c r="D34" s="268" t="s">
        <v>97</v>
      </c>
      <c r="E34" s="275" t="s">
        <v>125</v>
      </c>
      <c r="F34" s="275">
        <v>3.056E-2</v>
      </c>
      <c r="G34" s="211"/>
      <c r="H34" s="211"/>
      <c r="I34" s="207"/>
      <c r="J34" s="33"/>
      <c r="K34" s="211"/>
      <c r="L34" s="212"/>
      <c r="M34" s="276"/>
      <c r="N34" s="379"/>
      <c r="O34" s="379"/>
    </row>
    <row r="35" spans="1:15" s="68" customFormat="1">
      <c r="A35" s="33"/>
      <c r="B35" s="277" t="s">
        <v>281</v>
      </c>
      <c r="C35" s="274" t="s">
        <v>172</v>
      </c>
      <c r="D35" s="268" t="s">
        <v>97</v>
      </c>
      <c r="E35" s="275" t="s">
        <v>125</v>
      </c>
      <c r="F35" s="281">
        <v>3.0000000000000001E-3</v>
      </c>
      <c r="G35" s="211"/>
      <c r="H35" s="211"/>
      <c r="I35" s="207"/>
      <c r="J35" s="33"/>
      <c r="K35" s="211"/>
      <c r="L35" s="212"/>
      <c r="M35" s="276"/>
      <c r="N35" s="379"/>
      <c r="O35" s="379"/>
    </row>
    <row r="36" spans="1:15" s="68" customFormat="1">
      <c r="A36" s="33"/>
      <c r="B36" s="277" t="s">
        <v>283</v>
      </c>
      <c r="C36" s="274" t="s">
        <v>142</v>
      </c>
      <c r="D36" s="268" t="s">
        <v>97</v>
      </c>
      <c r="E36" s="275" t="s">
        <v>125</v>
      </c>
      <c r="F36" s="281">
        <v>3.2000000000000002E-3</v>
      </c>
      <c r="G36" s="211"/>
      <c r="H36" s="211"/>
      <c r="I36" s="207"/>
      <c r="J36" s="33"/>
      <c r="K36" s="211"/>
      <c r="L36" s="212"/>
      <c r="M36" s="276"/>
      <c r="N36" s="379"/>
      <c r="O36" s="379"/>
    </row>
    <row r="37" spans="1:15" s="68" customFormat="1">
      <c r="A37" s="33"/>
      <c r="B37" s="277" t="s">
        <v>279</v>
      </c>
      <c r="C37" s="274" t="s">
        <v>136</v>
      </c>
      <c r="D37" s="268" t="s">
        <v>97</v>
      </c>
      <c r="E37" s="275" t="s">
        <v>125</v>
      </c>
      <c r="F37" s="281">
        <v>6.0000000000000001E-3</v>
      </c>
      <c r="G37" s="211"/>
      <c r="H37" s="211"/>
      <c r="I37" s="207"/>
      <c r="J37" s="33"/>
      <c r="K37" s="211"/>
      <c r="L37" s="212"/>
      <c r="M37" s="276"/>
      <c r="N37" s="379"/>
      <c r="O37" s="379"/>
    </row>
    <row r="38" spans="1:15" s="68" customFormat="1">
      <c r="A38" s="33"/>
      <c r="B38" s="264" t="s">
        <v>280</v>
      </c>
      <c r="C38" s="274" t="s">
        <v>170</v>
      </c>
      <c r="D38" s="268" t="s">
        <v>121</v>
      </c>
      <c r="E38" s="275" t="s">
        <v>125</v>
      </c>
      <c r="F38" s="276">
        <v>7.14</v>
      </c>
      <c r="G38" s="211"/>
      <c r="H38" s="211"/>
      <c r="I38" s="207"/>
      <c r="J38" s="33"/>
      <c r="K38" s="211"/>
      <c r="L38" s="212"/>
      <c r="M38" s="276"/>
      <c r="N38" s="379"/>
      <c r="O38" s="379"/>
    </row>
    <row r="39" spans="1:15" s="68" customFormat="1">
      <c r="A39" s="33"/>
      <c r="B39" s="277" t="s">
        <v>284</v>
      </c>
      <c r="C39" s="274" t="s">
        <v>143</v>
      </c>
      <c r="D39" s="268" t="s">
        <v>95</v>
      </c>
      <c r="E39" s="275" t="s">
        <v>125</v>
      </c>
      <c r="F39" s="276">
        <v>2</v>
      </c>
      <c r="G39" s="211"/>
      <c r="H39" s="211"/>
      <c r="I39" s="207"/>
      <c r="J39" s="33"/>
      <c r="K39" s="211"/>
      <c r="L39" s="212"/>
      <c r="M39" s="276"/>
      <c r="N39" s="379"/>
      <c r="O39" s="379"/>
    </row>
    <row r="40" spans="1:15" s="68" customFormat="1">
      <c r="A40" s="33"/>
      <c r="B40" s="264" t="s">
        <v>285</v>
      </c>
      <c r="C40" s="274" t="s">
        <v>144</v>
      </c>
      <c r="D40" s="268" t="s">
        <v>95</v>
      </c>
      <c r="E40" s="275" t="s">
        <v>125</v>
      </c>
      <c r="F40" s="276">
        <v>6</v>
      </c>
      <c r="G40" s="211"/>
      <c r="H40" s="211"/>
      <c r="I40" s="207"/>
      <c r="J40" s="33"/>
      <c r="K40" s="211"/>
      <c r="L40" s="212"/>
      <c r="M40" s="276"/>
      <c r="N40" s="379"/>
      <c r="O40" s="379"/>
    </row>
    <row r="41" spans="1:15" s="68" customFormat="1">
      <c r="A41" s="273"/>
      <c r="B41" s="295"/>
      <c r="C41" s="292" t="s">
        <v>145</v>
      </c>
      <c r="D41" s="296" t="s">
        <v>31</v>
      </c>
      <c r="E41" s="293">
        <v>0.11</v>
      </c>
      <c r="F41" s="276">
        <f>E41*F31</f>
        <v>0.11</v>
      </c>
      <c r="G41" s="276"/>
      <c r="H41" s="294"/>
      <c r="I41" s="276"/>
      <c r="J41" s="275"/>
      <c r="K41" s="276"/>
      <c r="L41" s="276"/>
      <c r="M41" s="276"/>
    </row>
    <row r="42" spans="1:15" s="68" customFormat="1">
      <c r="A42" s="273"/>
      <c r="B42" s="297"/>
      <c r="C42" s="292" t="s">
        <v>146</v>
      </c>
      <c r="D42" s="296" t="s">
        <v>31</v>
      </c>
      <c r="E42" s="293">
        <v>0.02</v>
      </c>
      <c r="F42" s="296">
        <f>E42*F31</f>
        <v>0.02</v>
      </c>
      <c r="G42" s="276"/>
      <c r="H42" s="298"/>
      <c r="I42" s="275"/>
      <c r="J42" s="275"/>
      <c r="K42" s="276"/>
      <c r="L42" s="299"/>
      <c r="M42" s="300"/>
    </row>
    <row r="43" spans="1:15" s="68" customFormat="1">
      <c r="A43" s="33">
        <v>7</v>
      </c>
      <c r="B43" s="262" t="s">
        <v>147</v>
      </c>
      <c r="C43" s="263" t="s">
        <v>148</v>
      </c>
      <c r="D43" s="264" t="s">
        <v>121</v>
      </c>
      <c r="E43" s="264"/>
      <c r="F43" s="301">
        <f>F22/100*1.5*3</f>
        <v>1.3499999999999999</v>
      </c>
      <c r="G43" s="266"/>
      <c r="H43" s="266"/>
      <c r="I43" s="264"/>
      <c r="J43" s="266"/>
      <c r="K43" s="266"/>
      <c r="L43" s="266"/>
      <c r="M43" s="266"/>
    </row>
    <row r="44" spans="1:15" s="68" customFormat="1">
      <c r="A44" s="33"/>
      <c r="B44" s="273"/>
      <c r="C44" s="267" t="s">
        <v>86</v>
      </c>
      <c r="D44" s="268" t="s">
        <v>28</v>
      </c>
      <c r="E44" s="275">
        <f>68/100</f>
        <v>0.68</v>
      </c>
      <c r="F44" s="276">
        <f>F43*E44</f>
        <v>0.91799999999999993</v>
      </c>
      <c r="G44" s="276"/>
      <c r="H44" s="276"/>
      <c r="I44" s="276"/>
      <c r="J44" s="276"/>
      <c r="K44" s="302"/>
      <c r="L44" s="302"/>
      <c r="M44" s="302"/>
    </row>
    <row r="45" spans="1:15" s="68" customFormat="1">
      <c r="A45" s="33"/>
      <c r="B45" s="272"/>
      <c r="C45" s="267" t="s">
        <v>94</v>
      </c>
      <c r="D45" s="275" t="s">
        <v>31</v>
      </c>
      <c r="E45" s="268">
        <f>0.03/100</f>
        <v>2.9999999999999997E-4</v>
      </c>
      <c r="F45" s="303">
        <f>F43*E45</f>
        <v>4.0499999999999992E-4</v>
      </c>
      <c r="G45" s="269"/>
      <c r="H45" s="269"/>
      <c r="I45" s="268"/>
      <c r="J45" s="269"/>
      <c r="K45" s="269"/>
      <c r="L45" s="303"/>
      <c r="M45" s="303"/>
    </row>
    <row r="46" spans="1:15" s="68" customFormat="1">
      <c r="A46" s="33"/>
      <c r="B46" s="38" t="s">
        <v>270</v>
      </c>
      <c r="C46" s="304" t="s">
        <v>123</v>
      </c>
      <c r="D46" s="91" t="s">
        <v>100</v>
      </c>
      <c r="E46" s="91">
        <f>27.3/100</f>
        <v>0.27300000000000002</v>
      </c>
      <c r="F46" s="305">
        <f>E46*F43</f>
        <v>0.36854999999999999</v>
      </c>
      <c r="G46" s="302"/>
      <c r="H46" s="302"/>
      <c r="I46" s="268"/>
      <c r="J46" s="91"/>
      <c r="K46" s="91"/>
      <c r="L46" s="302"/>
      <c r="M46" s="302"/>
    </row>
    <row r="47" spans="1:15" s="68" customFormat="1">
      <c r="A47" s="33"/>
      <c r="B47" s="306"/>
      <c r="C47" s="304" t="s">
        <v>98</v>
      </c>
      <c r="D47" s="91" t="s">
        <v>31</v>
      </c>
      <c r="E47" s="91">
        <f>0.19/100</f>
        <v>1.9E-3</v>
      </c>
      <c r="F47" s="305">
        <f>E47*F43</f>
        <v>2.5649999999999996E-3</v>
      </c>
      <c r="G47" s="302"/>
      <c r="H47" s="302"/>
      <c r="I47" s="268"/>
      <c r="J47" s="91"/>
      <c r="K47" s="91"/>
      <c r="L47" s="302"/>
      <c r="M47" s="302"/>
    </row>
    <row r="48" spans="1:15">
      <c r="A48" s="307"/>
      <c r="B48" s="308"/>
      <c r="C48" s="309" t="s">
        <v>9</v>
      </c>
      <c r="D48" s="310"/>
      <c r="E48" s="311"/>
      <c r="F48" s="311"/>
      <c r="G48" s="311"/>
      <c r="H48" s="312"/>
      <c r="I48" s="313"/>
      <c r="J48" s="313"/>
      <c r="K48" s="313"/>
      <c r="L48" s="313"/>
      <c r="M48" s="313"/>
    </row>
    <row r="49" spans="1:13">
      <c r="A49" s="314"/>
      <c r="B49" s="315"/>
      <c r="C49" s="316" t="s">
        <v>53</v>
      </c>
      <c r="D49" s="317">
        <v>0.05</v>
      </c>
      <c r="E49" s="363"/>
      <c r="F49" s="363"/>
      <c r="G49" s="363"/>
      <c r="H49" s="49"/>
      <c r="I49" s="363"/>
      <c r="J49" s="49"/>
      <c r="K49" s="363"/>
      <c r="L49" s="49"/>
      <c r="M49" s="49"/>
    </row>
    <row r="50" spans="1:13">
      <c r="A50" s="314"/>
      <c r="B50" s="370"/>
      <c r="C50" s="364" t="s">
        <v>9</v>
      </c>
      <c r="D50" s="318"/>
      <c r="E50" s="369"/>
      <c r="F50" s="369"/>
      <c r="G50" s="369"/>
      <c r="H50" s="55"/>
      <c r="I50" s="319"/>
      <c r="J50" s="55"/>
      <c r="K50" s="319"/>
      <c r="L50" s="55"/>
      <c r="M50" s="55"/>
    </row>
    <row r="51" spans="1:13">
      <c r="A51" s="314"/>
      <c r="B51" s="370"/>
      <c r="C51" s="320" t="s">
        <v>54</v>
      </c>
      <c r="D51" s="321">
        <v>0.1</v>
      </c>
      <c r="E51" s="363"/>
      <c r="F51" s="363"/>
      <c r="G51" s="363"/>
      <c r="H51" s="322"/>
      <c r="I51" s="322"/>
      <c r="J51" s="322"/>
      <c r="K51" s="322"/>
      <c r="L51" s="322"/>
      <c r="M51" s="49"/>
    </row>
    <row r="52" spans="1:13">
      <c r="A52" s="314"/>
      <c r="B52" s="370"/>
      <c r="C52" s="364" t="s">
        <v>9</v>
      </c>
      <c r="D52" s="318"/>
      <c r="E52" s="369"/>
      <c r="F52" s="369"/>
      <c r="G52" s="369"/>
      <c r="H52" s="319"/>
      <c r="I52" s="319"/>
      <c r="J52" s="319"/>
      <c r="K52" s="319"/>
      <c r="L52" s="319"/>
      <c r="M52" s="55"/>
    </row>
    <row r="53" spans="1:13">
      <c r="A53" s="314"/>
      <c r="B53" s="370"/>
      <c r="C53" s="320" t="s">
        <v>55</v>
      </c>
      <c r="D53" s="317">
        <v>0.08</v>
      </c>
      <c r="E53" s="363"/>
      <c r="F53" s="363"/>
      <c r="G53" s="363"/>
      <c r="H53" s="322"/>
      <c r="I53" s="322"/>
      <c r="J53" s="322"/>
      <c r="K53" s="322"/>
      <c r="L53" s="322"/>
      <c r="M53" s="49"/>
    </row>
    <row r="54" spans="1:13">
      <c r="A54" s="314"/>
      <c r="B54" s="370"/>
      <c r="C54" s="364" t="s">
        <v>56</v>
      </c>
      <c r="D54" s="369"/>
      <c r="E54" s="369"/>
      <c r="F54" s="369"/>
      <c r="G54" s="369"/>
      <c r="H54" s="319"/>
      <c r="I54" s="319"/>
      <c r="J54" s="319"/>
      <c r="K54" s="319"/>
      <c r="L54" s="319"/>
      <c r="M54" s="55"/>
    </row>
  </sheetData>
  <mergeCells count="13">
    <mergeCell ref="C4:K4"/>
    <mergeCell ref="A1:M1"/>
    <mergeCell ref="A2:F2"/>
    <mergeCell ref="A3:M3"/>
    <mergeCell ref="F5:F6"/>
    <mergeCell ref="G5:H5"/>
    <mergeCell ref="I5:J5"/>
    <mergeCell ref="K5:L5"/>
    <mergeCell ref="A5:A6"/>
    <mergeCell ref="B5:B6"/>
    <mergeCell ref="C5:C6"/>
    <mergeCell ref="D5:D6"/>
    <mergeCell ref="E5:E6"/>
  </mergeCells>
  <conditionalFormatting sqref="B47 A9:H9 M12 H12 M17 H17 B13:B14 C22:M23 C13:H13 J13:M13 J11:M11 J9:M9 J18:M18 C25:M25 C24:J24 L24:M24 C41:M47 F18:H18 C14:M15 B16:M16 C18:E21 F19:M21 A13:A47 B41:B45 D38:F38 B18:B19 B21:B23 B30:M32 C26:F29 H26:M29 C39:F40 C33:F37 H33:M40 A11:H11">
    <cfRule type="cellIs" dxfId="18" priority="26" stopIfTrue="1" operator="equal">
      <formula>8223.307275</formula>
    </cfRule>
  </conditionalFormatting>
  <conditionalFormatting sqref="I9 I11 I13">
    <cfRule type="cellIs" dxfId="17" priority="25" stopIfTrue="1" operator="equal">
      <formula>8223.307275</formula>
    </cfRule>
  </conditionalFormatting>
  <conditionalFormatting sqref="I18">
    <cfRule type="cellIs" dxfId="16" priority="24" stopIfTrue="1" operator="equal">
      <formula>8223.307275</formula>
    </cfRule>
  </conditionalFormatting>
  <conditionalFormatting sqref="K24">
    <cfRule type="cellIs" dxfId="15" priority="23" stopIfTrue="1" operator="equal">
      <formula>8223.307275</formula>
    </cfRule>
  </conditionalFormatting>
  <conditionalFormatting sqref="C38">
    <cfRule type="cellIs" dxfId="14" priority="19" stopIfTrue="1" operator="equal">
      <formula>8223.307275</formula>
    </cfRule>
  </conditionalFormatting>
  <conditionalFormatting sqref="B15">
    <cfRule type="cellIs" dxfId="13" priority="14" stopIfTrue="1" operator="equal">
      <formula>8223.307275</formula>
    </cfRule>
  </conditionalFormatting>
  <conditionalFormatting sqref="B20">
    <cfRule type="cellIs" dxfId="12" priority="13" stopIfTrue="1" operator="equal">
      <formula>8223.307275</formula>
    </cfRule>
  </conditionalFormatting>
  <conditionalFormatting sqref="B25 B27:B29">
    <cfRule type="cellIs" dxfId="11" priority="12" stopIfTrue="1" operator="equal">
      <formula>8223.307275</formula>
    </cfRule>
  </conditionalFormatting>
  <conditionalFormatting sqref="B24">
    <cfRule type="cellIs" dxfId="10" priority="11" stopIfTrue="1" operator="equal">
      <formula>8223.307275</formula>
    </cfRule>
  </conditionalFormatting>
  <conditionalFormatting sqref="B26">
    <cfRule type="cellIs" dxfId="9" priority="10" stopIfTrue="1" operator="equal">
      <formula>8223.307275</formula>
    </cfRule>
  </conditionalFormatting>
  <conditionalFormatting sqref="G28:G29">
    <cfRule type="cellIs" dxfId="8" priority="9" stopIfTrue="1" operator="equal">
      <formula>8223.307275</formula>
    </cfRule>
  </conditionalFormatting>
  <conditionalFormatting sqref="G27">
    <cfRule type="cellIs" dxfId="7" priority="8" stopIfTrue="1" operator="equal">
      <formula>8223.307275</formula>
    </cfRule>
  </conditionalFormatting>
  <conditionalFormatting sqref="G26">
    <cfRule type="cellIs" dxfId="6" priority="7" stopIfTrue="1" operator="equal">
      <formula>8223.307275</formula>
    </cfRule>
  </conditionalFormatting>
  <conditionalFormatting sqref="B39:B40 B33:B37">
    <cfRule type="cellIs" dxfId="5" priority="6" stopIfTrue="1" operator="equal">
      <formula>8223.307275</formula>
    </cfRule>
  </conditionalFormatting>
  <conditionalFormatting sqref="B38">
    <cfRule type="cellIs" dxfId="4" priority="5" stopIfTrue="1" operator="equal">
      <formula>8223.307275</formula>
    </cfRule>
  </conditionalFormatting>
  <conditionalFormatting sqref="G33 G35 G38:G40">
    <cfRule type="cellIs" dxfId="3" priority="4" stopIfTrue="1" operator="equal">
      <formula>8223.307275</formula>
    </cfRule>
  </conditionalFormatting>
  <conditionalFormatting sqref="G34">
    <cfRule type="cellIs" dxfId="2" priority="3" stopIfTrue="1" operator="equal">
      <formula>8223.307275</formula>
    </cfRule>
  </conditionalFormatting>
  <conditionalFormatting sqref="G36">
    <cfRule type="cellIs" dxfId="1" priority="2" stopIfTrue="1" operator="equal">
      <formula>8223.307275</formula>
    </cfRule>
  </conditionalFormatting>
  <conditionalFormatting sqref="G37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110" zoomScaleSheetLayoutView="110" workbookViewId="0">
      <selection activeCell="B1" sqref="B1:J1"/>
    </sheetView>
  </sheetViews>
  <sheetFormatPr defaultRowHeight="12.75"/>
  <cols>
    <col min="1" max="1" width="5.85546875" style="41" customWidth="1"/>
    <col min="2" max="2" width="8" style="41" customWidth="1"/>
    <col min="3" max="3" width="54.85546875" style="41" customWidth="1"/>
    <col min="4" max="4" width="6" style="41" customWidth="1"/>
    <col min="5" max="5" width="14.42578125" style="41" customWidth="1"/>
    <col min="6" max="9" width="15.85546875" style="41" customWidth="1"/>
    <col min="10" max="10" width="12.5703125" style="41" customWidth="1"/>
    <col min="11" max="16384" width="9.140625" style="41"/>
  </cols>
  <sheetData>
    <row r="1" spans="1:10">
      <c r="B1" s="452"/>
      <c r="C1" s="452"/>
      <c r="D1" s="452"/>
      <c r="E1" s="452"/>
      <c r="F1" s="452"/>
      <c r="G1" s="452"/>
      <c r="H1" s="452"/>
      <c r="I1" s="452"/>
      <c r="J1" s="452"/>
    </row>
    <row r="2" spans="1:10">
      <c r="B2" s="453" t="s">
        <v>57</v>
      </c>
      <c r="C2" s="453"/>
      <c r="D2" s="453"/>
      <c r="E2" s="453"/>
      <c r="F2" s="42" t="s">
        <v>176</v>
      </c>
      <c r="G2" s="42"/>
      <c r="H2" s="42"/>
      <c r="I2" s="42"/>
      <c r="J2" s="42"/>
    </row>
    <row r="3" spans="1:10">
      <c r="B3" s="43"/>
      <c r="C3" s="43"/>
      <c r="D3" s="43"/>
      <c r="E3" s="43"/>
      <c r="F3" s="43"/>
      <c r="G3" s="43"/>
      <c r="H3" s="43"/>
      <c r="I3" s="453"/>
      <c r="J3" s="453"/>
    </row>
    <row r="4" spans="1:10">
      <c r="B4" s="44"/>
      <c r="C4" s="45"/>
      <c r="D4" s="45"/>
      <c r="E4" s="45"/>
      <c r="F4" s="45"/>
      <c r="G4" s="454"/>
      <c r="H4" s="454"/>
      <c r="I4" s="454"/>
      <c r="J4" s="454"/>
    </row>
    <row r="5" spans="1:10" ht="15.75" customHeight="1">
      <c r="A5" s="442" t="s">
        <v>7</v>
      </c>
      <c r="B5" s="442"/>
      <c r="C5" s="443" t="s">
        <v>0</v>
      </c>
      <c r="D5" s="444"/>
      <c r="E5" s="447" t="s">
        <v>8</v>
      </c>
      <c r="F5" s="448"/>
      <c r="G5" s="448"/>
      <c r="H5" s="448"/>
      <c r="I5" s="449"/>
      <c r="J5" s="450" t="s">
        <v>6</v>
      </c>
    </row>
    <row r="6" spans="1:10" ht="25.5">
      <c r="A6" s="442"/>
      <c r="B6" s="442"/>
      <c r="C6" s="445"/>
      <c r="D6" s="446"/>
      <c r="E6" s="46" t="s">
        <v>1</v>
      </c>
      <c r="F6" s="46" t="s">
        <v>2</v>
      </c>
      <c r="G6" s="46" t="s">
        <v>3</v>
      </c>
      <c r="H6" s="46" t="s">
        <v>4</v>
      </c>
      <c r="I6" s="46" t="s">
        <v>5</v>
      </c>
      <c r="J6" s="451"/>
    </row>
    <row r="7" spans="1:10">
      <c r="A7" s="450">
        <v>1</v>
      </c>
      <c r="B7" s="450"/>
      <c r="C7" s="447">
        <v>2</v>
      </c>
      <c r="D7" s="449"/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</row>
    <row r="8" spans="1:10" ht="25.5">
      <c r="A8" s="47">
        <v>1</v>
      </c>
      <c r="B8" s="46" t="s">
        <v>26</v>
      </c>
      <c r="C8" s="50" t="s">
        <v>158</v>
      </c>
      <c r="D8" s="51"/>
      <c r="E8" s="49"/>
      <c r="F8" s="46"/>
      <c r="G8" s="46"/>
      <c r="H8" s="46"/>
      <c r="I8" s="49">
        <f>E8+F8+G8+H8</f>
        <v>0</v>
      </c>
      <c r="J8" s="46"/>
    </row>
    <row r="9" spans="1:10">
      <c r="A9" s="47">
        <v>2</v>
      </c>
      <c r="B9" s="408" t="s">
        <v>122</v>
      </c>
      <c r="C9" s="53" t="s">
        <v>240</v>
      </c>
      <c r="D9" s="51"/>
      <c r="E9" s="49"/>
      <c r="F9" s="46"/>
      <c r="G9" s="46"/>
      <c r="H9" s="46"/>
      <c r="I9" s="49">
        <f>E9+F9+G9+H9</f>
        <v>0</v>
      </c>
      <c r="J9" s="46"/>
    </row>
    <row r="10" spans="1:10">
      <c r="A10" s="47">
        <v>3</v>
      </c>
      <c r="B10" s="408" t="s">
        <v>154</v>
      </c>
      <c r="C10" s="53" t="s">
        <v>239</v>
      </c>
      <c r="D10" s="51"/>
      <c r="E10" s="49"/>
      <c r="F10" s="46"/>
      <c r="G10" s="46"/>
      <c r="H10" s="46"/>
      <c r="I10" s="49">
        <f t="shared" ref="I10" si="0">E10+F10+G10+H10</f>
        <v>0</v>
      </c>
      <c r="J10" s="46"/>
    </row>
    <row r="11" spans="1:10" s="56" customFormat="1">
      <c r="A11" s="459"/>
      <c r="B11" s="460"/>
      <c r="C11" s="461" t="s">
        <v>9</v>
      </c>
      <c r="D11" s="462"/>
      <c r="E11" s="54"/>
      <c r="F11" s="54"/>
      <c r="G11" s="54"/>
      <c r="H11" s="54"/>
      <c r="I11" s="55">
        <f>SUM(I8:I10)</f>
        <v>0</v>
      </c>
      <c r="J11" s="54"/>
    </row>
    <row r="12" spans="1:10">
      <c r="A12" s="455"/>
      <c r="B12" s="456"/>
      <c r="C12" s="57" t="str">
        <f>gan.barat!B18</f>
        <v>გაუთვალისწინებელი ხარჯი</v>
      </c>
      <c r="D12" s="58">
        <v>0.03</v>
      </c>
      <c r="E12" s="48"/>
      <c r="F12" s="46"/>
      <c r="G12" s="46"/>
      <c r="H12" s="46"/>
      <c r="I12" s="49">
        <f>I11*D12</f>
        <v>0</v>
      </c>
      <c r="J12" s="46"/>
    </row>
    <row r="13" spans="1:10" s="56" customFormat="1">
      <c r="A13" s="463"/>
      <c r="B13" s="464"/>
      <c r="C13" s="465" t="s">
        <v>9</v>
      </c>
      <c r="D13" s="466"/>
      <c r="E13" s="54"/>
      <c r="F13" s="54"/>
      <c r="G13" s="54"/>
      <c r="H13" s="54"/>
      <c r="I13" s="55">
        <f>I11+I12</f>
        <v>0</v>
      </c>
      <c r="J13" s="54"/>
    </row>
    <row r="14" spans="1:10">
      <c r="A14" s="455"/>
      <c r="B14" s="456"/>
      <c r="C14" s="57" t="str">
        <f>gan.barat!B19</f>
        <v>დამატებითი ღირებულების გადასახადი დღგ.</v>
      </c>
      <c r="D14" s="58">
        <v>0.18</v>
      </c>
      <c r="E14" s="48"/>
      <c r="F14" s="46"/>
      <c r="G14" s="46"/>
      <c r="H14" s="46"/>
      <c r="I14" s="49">
        <f>I13*D14</f>
        <v>0</v>
      </c>
      <c r="J14" s="46"/>
    </row>
    <row r="15" spans="1:10" s="56" customFormat="1">
      <c r="A15" s="457"/>
      <c r="B15" s="457"/>
      <c r="C15" s="458" t="s">
        <v>9</v>
      </c>
      <c r="D15" s="458"/>
      <c r="E15" s="54"/>
      <c r="F15" s="54"/>
      <c r="G15" s="54"/>
      <c r="H15" s="59"/>
      <c r="I15" s="55">
        <f>SUM(I13:I14)</f>
        <v>0</v>
      </c>
      <c r="J15" s="54"/>
    </row>
    <row r="16" spans="1:10">
      <c r="B16" s="44"/>
      <c r="C16" s="61"/>
      <c r="D16" s="61"/>
      <c r="E16" s="62"/>
      <c r="F16" s="62"/>
      <c r="G16" s="63"/>
      <c r="H16" s="64"/>
      <c r="I16" s="65"/>
      <c r="J16" s="66"/>
    </row>
    <row r="17" spans="2:10">
      <c r="B17" s="67"/>
      <c r="C17" s="68"/>
      <c r="D17" s="68"/>
      <c r="E17" s="68"/>
      <c r="F17" s="68"/>
      <c r="G17" s="68"/>
      <c r="H17" s="68"/>
      <c r="I17" s="69"/>
      <c r="J17" s="68"/>
    </row>
    <row r="18" spans="2:10">
      <c r="B18" s="68"/>
      <c r="C18" s="70"/>
      <c r="D18" s="70"/>
      <c r="E18" s="68"/>
      <c r="F18" s="68"/>
      <c r="G18" s="68"/>
      <c r="H18" s="68"/>
      <c r="I18" s="68"/>
      <c r="J18" s="68"/>
    </row>
    <row r="19" spans="2:10">
      <c r="B19" s="68"/>
      <c r="C19" s="70"/>
      <c r="D19" s="70"/>
      <c r="E19" s="68"/>
      <c r="F19" s="68"/>
      <c r="G19" s="71"/>
      <c r="H19" s="71"/>
      <c r="I19" s="71"/>
      <c r="J19" s="68"/>
    </row>
  </sheetData>
  <mergeCells count="18">
    <mergeCell ref="A14:B14"/>
    <mergeCell ref="A15:B15"/>
    <mergeCell ref="C15:D15"/>
    <mergeCell ref="A7:B7"/>
    <mergeCell ref="C7:D7"/>
    <mergeCell ref="A11:B11"/>
    <mergeCell ref="C11:D11"/>
    <mergeCell ref="A12:B12"/>
    <mergeCell ref="A13:B13"/>
    <mergeCell ref="C13:D13"/>
    <mergeCell ref="A5:B6"/>
    <mergeCell ref="C5:D6"/>
    <mergeCell ref="E5:I5"/>
    <mergeCell ref="J5:J6"/>
    <mergeCell ref="B1:J1"/>
    <mergeCell ref="B2:E2"/>
    <mergeCell ref="I3:J3"/>
    <mergeCell ref="G4:J4"/>
  </mergeCells>
  <phoneticPr fontId="5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0" zoomScaleSheetLayoutView="110" workbookViewId="0">
      <selection activeCell="B1" sqref="B1:J1"/>
    </sheetView>
  </sheetViews>
  <sheetFormatPr defaultRowHeight="12.75"/>
  <cols>
    <col min="1" max="1" width="5.85546875" style="41" customWidth="1"/>
    <col min="2" max="2" width="8" style="41" customWidth="1"/>
    <col min="3" max="3" width="42.7109375" style="41" customWidth="1"/>
    <col min="4" max="4" width="6" style="41" customWidth="1"/>
    <col min="5" max="10" width="11.85546875" style="41" customWidth="1"/>
    <col min="11" max="11" width="14.5703125" style="41" bestFit="1" customWidth="1"/>
    <col min="12" max="16384" width="9.140625" style="41"/>
  </cols>
  <sheetData>
    <row r="1" spans="1:11">
      <c r="B1" s="452"/>
      <c r="C1" s="452"/>
      <c r="D1" s="452"/>
      <c r="E1" s="452"/>
      <c r="F1" s="452"/>
      <c r="G1" s="452"/>
      <c r="H1" s="452"/>
      <c r="I1" s="452"/>
      <c r="J1" s="452"/>
    </row>
    <row r="2" spans="1:11">
      <c r="B2" s="453" t="s">
        <v>57</v>
      </c>
      <c r="C2" s="453"/>
      <c r="D2" s="453"/>
      <c r="E2" s="453"/>
      <c r="F2" s="42" t="str">
        <f>B!B8</f>
        <v>B-1</v>
      </c>
      <c r="G2" s="42"/>
      <c r="H2" s="42"/>
      <c r="I2" s="42"/>
      <c r="J2" s="42"/>
    </row>
    <row r="3" spans="1:11">
      <c r="B3" s="125"/>
      <c r="C3" s="125"/>
      <c r="D3" s="125"/>
      <c r="E3" s="125"/>
      <c r="F3" s="42"/>
      <c r="G3" s="42"/>
      <c r="H3" s="42"/>
      <c r="I3" s="42"/>
      <c r="J3" s="42"/>
    </row>
    <row r="4" spans="1:11">
      <c r="B4" s="43"/>
      <c r="C4" s="43"/>
      <c r="D4" s="43"/>
      <c r="E4" s="43"/>
      <c r="F4" s="43"/>
      <c r="G4" s="43"/>
      <c r="H4" s="43"/>
      <c r="I4" s="453"/>
      <c r="J4" s="453"/>
    </row>
    <row r="5" spans="1:11">
      <c r="B5" s="44"/>
      <c r="C5" s="45"/>
      <c r="D5" s="45"/>
      <c r="E5" s="45"/>
      <c r="F5" s="45"/>
      <c r="G5" s="454"/>
      <c r="H5" s="454"/>
      <c r="I5" s="454"/>
      <c r="J5" s="454"/>
    </row>
    <row r="6" spans="1:11" ht="15.75" customHeight="1">
      <c r="A6" s="442" t="s">
        <v>7</v>
      </c>
      <c r="B6" s="442"/>
      <c r="C6" s="443" t="s">
        <v>0</v>
      </c>
      <c r="D6" s="444"/>
      <c r="E6" s="447" t="s">
        <v>8</v>
      </c>
      <c r="F6" s="448"/>
      <c r="G6" s="448"/>
      <c r="H6" s="448"/>
      <c r="I6" s="449"/>
      <c r="J6" s="450" t="s">
        <v>6</v>
      </c>
    </row>
    <row r="7" spans="1:11" ht="25.5">
      <c r="A7" s="442"/>
      <c r="B7" s="442"/>
      <c r="C7" s="445"/>
      <c r="D7" s="446"/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51"/>
    </row>
    <row r="8" spans="1:11">
      <c r="A8" s="450">
        <v>1</v>
      </c>
      <c r="B8" s="450"/>
      <c r="C8" s="447">
        <v>2</v>
      </c>
      <c r="D8" s="449"/>
      <c r="E8" s="46">
        <v>3</v>
      </c>
      <c r="F8" s="46">
        <v>4</v>
      </c>
      <c r="G8" s="46">
        <v>5</v>
      </c>
      <c r="H8" s="46">
        <v>6</v>
      </c>
      <c r="I8" s="46">
        <v>7</v>
      </c>
      <c r="J8" s="46">
        <v>8</v>
      </c>
    </row>
    <row r="9" spans="1:11">
      <c r="A9" s="47">
        <v>1</v>
      </c>
      <c r="B9" s="46" t="s">
        <v>27</v>
      </c>
      <c r="C9" s="50" t="s">
        <v>180</v>
      </c>
      <c r="D9" s="51"/>
      <c r="E9" s="49"/>
      <c r="F9" s="49"/>
      <c r="G9" s="49"/>
      <c r="H9" s="49"/>
      <c r="I9" s="49">
        <f>E9+F9+G9+H9</f>
        <v>0</v>
      </c>
      <c r="J9" s="46"/>
      <c r="K9" s="52"/>
    </row>
    <row r="10" spans="1:11" s="56" customFormat="1">
      <c r="A10" s="457"/>
      <c r="B10" s="457"/>
      <c r="C10" s="467" t="s">
        <v>9</v>
      </c>
      <c r="D10" s="462"/>
      <c r="E10" s="54"/>
      <c r="F10" s="54"/>
      <c r="G10" s="54"/>
      <c r="H10" s="54"/>
      <c r="I10" s="127">
        <f>SUM(I9:I9)</f>
        <v>0</v>
      </c>
      <c r="J10" s="54"/>
      <c r="K10" s="126"/>
    </row>
    <row r="11" spans="1:11">
      <c r="B11" s="44"/>
      <c r="C11" s="74"/>
      <c r="D11" s="74"/>
      <c r="E11" s="75"/>
      <c r="F11" s="75"/>
      <c r="G11" s="75"/>
      <c r="H11" s="75"/>
      <c r="I11" s="75"/>
      <c r="J11" s="65"/>
    </row>
    <row r="12" spans="1:11">
      <c r="B12" s="44"/>
      <c r="C12" s="61"/>
      <c r="D12" s="61"/>
      <c r="E12" s="62"/>
      <c r="F12" s="62"/>
      <c r="G12" s="63"/>
      <c r="H12" s="64"/>
      <c r="I12" s="65"/>
      <c r="J12" s="66"/>
    </row>
    <row r="13" spans="1:11">
      <c r="B13" s="67"/>
      <c r="C13" s="68"/>
      <c r="D13" s="68"/>
      <c r="E13" s="68"/>
      <c r="F13" s="68"/>
      <c r="G13" s="68"/>
      <c r="H13" s="68"/>
      <c r="I13" s="68"/>
      <c r="J13" s="68"/>
    </row>
    <row r="14" spans="1:11">
      <c r="B14" s="68"/>
      <c r="C14" s="70"/>
      <c r="D14" s="70"/>
      <c r="E14" s="68"/>
      <c r="F14" s="68"/>
      <c r="G14" s="68"/>
      <c r="H14" s="68"/>
      <c r="I14" s="68"/>
      <c r="J14" s="68"/>
    </row>
    <row r="15" spans="1:11">
      <c r="B15" s="68"/>
      <c r="C15" s="70"/>
      <c r="D15" s="70"/>
      <c r="E15" s="68"/>
      <c r="F15" s="68"/>
      <c r="G15" s="71"/>
      <c r="H15" s="71"/>
      <c r="I15" s="71"/>
      <c r="J15" s="68"/>
    </row>
  </sheetData>
  <mergeCells count="12">
    <mergeCell ref="B1:J1"/>
    <mergeCell ref="I4:J4"/>
    <mergeCell ref="G5:J5"/>
    <mergeCell ref="E6:I6"/>
    <mergeCell ref="J6:J7"/>
    <mergeCell ref="A6:B7"/>
    <mergeCell ref="A8:B8"/>
    <mergeCell ref="A10:B10"/>
    <mergeCell ref="C8:D8"/>
    <mergeCell ref="C10:D10"/>
    <mergeCell ref="B2:E2"/>
    <mergeCell ref="C6:D7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110" zoomScaleSheetLayoutView="110" workbookViewId="0">
      <selection activeCell="B1" sqref="B1:I1"/>
    </sheetView>
  </sheetViews>
  <sheetFormatPr defaultRowHeight="12.75"/>
  <cols>
    <col min="1" max="1" width="5.85546875" style="41" customWidth="1"/>
    <col min="2" max="2" width="8" style="41" customWidth="1"/>
    <col min="3" max="3" width="45.7109375" style="41" customWidth="1"/>
    <col min="4" max="4" width="6" style="41" customWidth="1"/>
    <col min="5" max="10" width="12" style="41" customWidth="1"/>
    <col min="11" max="16384" width="9.140625" style="41"/>
  </cols>
  <sheetData>
    <row r="1" spans="1:10">
      <c r="B1" s="452"/>
      <c r="C1" s="452"/>
      <c r="D1" s="452"/>
      <c r="E1" s="452"/>
      <c r="F1" s="452"/>
      <c r="G1" s="452"/>
      <c r="H1" s="452"/>
      <c r="I1" s="452"/>
      <c r="J1" s="128"/>
    </row>
    <row r="2" spans="1:10">
      <c r="B2" s="453" t="s">
        <v>58</v>
      </c>
      <c r="C2" s="453"/>
      <c r="D2" s="453"/>
      <c r="E2" s="453"/>
      <c r="F2" s="42" t="str">
        <f>'B-1'!B9</f>
        <v>B-1.1</v>
      </c>
      <c r="G2" s="42"/>
      <c r="H2" s="42"/>
      <c r="I2" s="42"/>
      <c r="J2" s="42"/>
    </row>
    <row r="3" spans="1:10">
      <c r="B3" s="468" t="str">
        <f>'B-1'!C9</f>
        <v>წყალმომარაგების მაგისტრალური მილი</v>
      </c>
      <c r="C3" s="468"/>
      <c r="D3" s="468"/>
      <c r="E3" s="468"/>
      <c r="F3" s="468"/>
      <c r="G3" s="468"/>
      <c r="H3" s="468"/>
      <c r="I3" s="468"/>
    </row>
    <row r="4" spans="1:10">
      <c r="B4" s="129"/>
      <c r="C4" s="129"/>
      <c r="D4" s="129"/>
      <c r="E4" s="129"/>
      <c r="F4" s="129"/>
      <c r="G4" s="129"/>
      <c r="H4" s="129"/>
      <c r="I4" s="129"/>
    </row>
    <row r="5" spans="1:10">
      <c r="B5" s="44"/>
      <c r="C5" s="45"/>
      <c r="D5" s="45"/>
      <c r="E5" s="45"/>
      <c r="F5" s="45"/>
      <c r="G5" s="454"/>
      <c r="H5" s="454"/>
      <c r="I5" s="454"/>
      <c r="J5" s="454"/>
    </row>
    <row r="6" spans="1:10" ht="15.75" customHeight="1">
      <c r="A6" s="442" t="s">
        <v>7</v>
      </c>
      <c r="B6" s="442"/>
      <c r="C6" s="443" t="s">
        <v>0</v>
      </c>
      <c r="D6" s="444"/>
      <c r="E6" s="447" t="s">
        <v>8</v>
      </c>
      <c r="F6" s="448"/>
      <c r="G6" s="448"/>
      <c r="H6" s="448"/>
      <c r="I6" s="449"/>
      <c r="J6" s="450" t="s">
        <v>6</v>
      </c>
    </row>
    <row r="7" spans="1:10" ht="25.5">
      <c r="A7" s="442"/>
      <c r="B7" s="442"/>
      <c r="C7" s="445"/>
      <c r="D7" s="446"/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51"/>
    </row>
    <row r="8" spans="1:10">
      <c r="A8" s="450">
        <v>1</v>
      </c>
      <c r="B8" s="450"/>
      <c r="C8" s="447">
        <v>2</v>
      </c>
      <c r="D8" s="449"/>
      <c r="E8" s="46"/>
      <c r="F8" s="46">
        <v>4</v>
      </c>
      <c r="G8" s="46">
        <v>5</v>
      </c>
      <c r="H8" s="46">
        <v>6</v>
      </c>
      <c r="I8" s="46">
        <v>7</v>
      </c>
      <c r="J8" s="46">
        <v>8</v>
      </c>
    </row>
    <row r="9" spans="1:10">
      <c r="A9" s="130">
        <v>1</v>
      </c>
      <c r="B9" s="46" t="s">
        <v>102</v>
      </c>
      <c r="C9" s="53" t="s">
        <v>46</v>
      </c>
      <c r="D9" s="51"/>
      <c r="E9" s="49"/>
      <c r="F9" s="46"/>
      <c r="G9" s="46"/>
      <c r="H9" s="46"/>
      <c r="I9" s="49">
        <f>E9+F9+G9+H9</f>
        <v>0</v>
      </c>
      <c r="J9" s="46"/>
    </row>
    <row r="10" spans="1:10">
      <c r="A10" s="72">
        <v>2</v>
      </c>
      <c r="B10" s="408" t="s">
        <v>103</v>
      </c>
      <c r="C10" s="53" t="s">
        <v>250</v>
      </c>
      <c r="D10" s="51"/>
      <c r="E10" s="49"/>
      <c r="F10" s="46"/>
      <c r="G10" s="46"/>
      <c r="H10" s="46"/>
      <c r="I10" s="49">
        <f>E10+F10+G10+H10</f>
        <v>0</v>
      </c>
      <c r="J10" s="46"/>
    </row>
    <row r="11" spans="1:10" s="56" customFormat="1">
      <c r="A11" s="459"/>
      <c r="B11" s="460"/>
      <c r="C11" s="461" t="s">
        <v>9</v>
      </c>
      <c r="D11" s="462"/>
      <c r="E11" s="54"/>
      <c r="F11" s="54"/>
      <c r="G11" s="54"/>
      <c r="H11" s="54"/>
      <c r="I11" s="55">
        <f>SUM(I9:I10)</f>
        <v>0</v>
      </c>
      <c r="J11" s="54"/>
    </row>
    <row r="12" spans="1:10">
      <c r="B12" s="44"/>
      <c r="C12" s="74"/>
      <c r="D12" s="74"/>
      <c r="E12" s="75"/>
      <c r="F12" s="75"/>
      <c r="G12" s="75"/>
      <c r="H12" s="75"/>
      <c r="I12" s="75"/>
      <c r="J12" s="65"/>
    </row>
    <row r="13" spans="1:10">
      <c r="B13" s="44"/>
      <c r="C13" s="74"/>
      <c r="D13" s="74"/>
      <c r="E13" s="75"/>
      <c r="F13" s="75"/>
      <c r="G13" s="75"/>
      <c r="H13" s="75"/>
      <c r="I13" s="75"/>
      <c r="J13" s="65"/>
    </row>
    <row r="14" spans="1:10">
      <c r="B14" s="44"/>
      <c r="C14" s="61"/>
      <c r="D14" s="61"/>
      <c r="E14" s="62"/>
      <c r="F14" s="62"/>
      <c r="G14" s="63"/>
      <c r="H14" s="64"/>
      <c r="I14" s="65"/>
      <c r="J14" s="66"/>
    </row>
    <row r="15" spans="1:10">
      <c r="B15" s="67"/>
      <c r="C15" s="68"/>
      <c r="D15" s="68"/>
      <c r="E15" s="68"/>
      <c r="F15" s="68"/>
      <c r="G15" s="68"/>
      <c r="H15" s="68"/>
      <c r="I15" s="68"/>
      <c r="J15" s="68"/>
    </row>
    <row r="16" spans="1:10">
      <c r="B16" s="68"/>
      <c r="C16" s="70"/>
      <c r="D16" s="70"/>
      <c r="E16" s="68"/>
      <c r="F16" s="68"/>
      <c r="G16" s="68"/>
      <c r="H16" s="68"/>
      <c r="I16" s="68"/>
      <c r="J16" s="68"/>
    </row>
    <row r="17" spans="2:10">
      <c r="B17" s="68"/>
      <c r="C17" s="70"/>
      <c r="D17" s="70"/>
      <c r="E17" s="68"/>
      <c r="F17" s="68"/>
      <c r="G17" s="71"/>
      <c r="H17" s="71"/>
      <c r="I17" s="71"/>
      <c r="J17" s="68"/>
    </row>
  </sheetData>
  <mergeCells count="12">
    <mergeCell ref="A8:B8"/>
    <mergeCell ref="C8:D8"/>
    <mergeCell ref="A11:B11"/>
    <mergeCell ref="C11:D11"/>
    <mergeCell ref="B1:I1"/>
    <mergeCell ref="B3:I3"/>
    <mergeCell ref="B2:E2"/>
    <mergeCell ref="G5:J5"/>
    <mergeCell ref="A6:B7"/>
    <mergeCell ref="C6:D7"/>
    <mergeCell ref="E6:I6"/>
    <mergeCell ref="J6:J7"/>
  </mergeCells>
  <phoneticPr fontId="54" type="noConversion"/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SheetLayoutView="100" workbookViewId="0">
      <selection activeCell="G9" sqref="G9:M39"/>
    </sheetView>
  </sheetViews>
  <sheetFormatPr defaultRowHeight="12.75"/>
  <cols>
    <col min="1" max="1" width="6.7109375" style="380" customWidth="1"/>
    <col min="2" max="2" width="10.7109375" style="380" customWidth="1"/>
    <col min="3" max="3" width="54.140625" style="67" customWidth="1"/>
    <col min="4" max="5" width="10.7109375" style="67" customWidth="1"/>
    <col min="6" max="6" width="12.28515625" style="67" customWidth="1"/>
    <col min="7" max="13" width="10.7109375" style="67" customWidth="1"/>
    <col min="14" max="16384" width="9.140625" style="67"/>
  </cols>
  <sheetData>
    <row r="1" spans="1:13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>
      <c r="A2" s="471" t="s">
        <v>7</v>
      </c>
      <c r="B2" s="471"/>
      <c r="C2" s="471"/>
      <c r="D2" s="471"/>
      <c r="E2" s="471"/>
      <c r="F2" s="471"/>
      <c r="G2" s="381" t="str">
        <f>'B-1.1'!B9</f>
        <v>B-1.1.1</v>
      </c>
      <c r="H2" s="381"/>
      <c r="I2" s="381"/>
      <c r="J2" s="381"/>
      <c r="K2" s="381"/>
      <c r="L2" s="381"/>
      <c r="M2" s="381"/>
    </row>
    <row r="3" spans="1:13">
      <c r="A3" s="472" t="str">
        <f>'B-1.1'!C9</f>
        <v>მიწის სამუშაოები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>
      <c r="A5" s="382"/>
      <c r="B5" s="383"/>
      <c r="C5" s="469"/>
      <c r="D5" s="469"/>
      <c r="E5" s="469"/>
      <c r="F5" s="469"/>
      <c r="G5" s="469"/>
      <c r="H5" s="469"/>
      <c r="I5" s="469"/>
      <c r="J5" s="469"/>
      <c r="K5" s="469"/>
      <c r="L5" s="384"/>
      <c r="M5" s="384"/>
    </row>
    <row r="6" spans="1:13">
      <c r="A6" s="477" t="s">
        <v>33</v>
      </c>
      <c r="B6" s="477" t="s">
        <v>34</v>
      </c>
      <c r="C6" s="475" t="s">
        <v>35</v>
      </c>
      <c r="D6" s="475" t="s">
        <v>36</v>
      </c>
      <c r="E6" s="475" t="s">
        <v>37</v>
      </c>
      <c r="F6" s="475" t="s">
        <v>38</v>
      </c>
      <c r="G6" s="474" t="s">
        <v>39</v>
      </c>
      <c r="H6" s="474"/>
      <c r="I6" s="474" t="s">
        <v>40</v>
      </c>
      <c r="J6" s="474"/>
      <c r="K6" s="475" t="s">
        <v>41</v>
      </c>
      <c r="L6" s="476"/>
      <c r="M6" s="259" t="s">
        <v>5</v>
      </c>
    </row>
    <row r="7" spans="1:13">
      <c r="A7" s="477"/>
      <c r="B7" s="477"/>
      <c r="C7" s="475"/>
      <c r="D7" s="475"/>
      <c r="E7" s="475"/>
      <c r="F7" s="475"/>
      <c r="G7" s="368" t="s">
        <v>42</v>
      </c>
      <c r="H7" s="60" t="s">
        <v>9</v>
      </c>
      <c r="I7" s="368" t="s">
        <v>42</v>
      </c>
      <c r="J7" s="60" t="s">
        <v>9</v>
      </c>
      <c r="K7" s="368" t="s">
        <v>42</v>
      </c>
      <c r="L7" s="260" t="s">
        <v>9</v>
      </c>
      <c r="M7" s="261" t="s">
        <v>43</v>
      </c>
    </row>
    <row r="8" spans="1:13">
      <c r="A8" s="370">
        <v>1</v>
      </c>
      <c r="B8" s="370">
        <v>2</v>
      </c>
      <c r="C8" s="369">
        <v>3</v>
      </c>
      <c r="D8" s="369">
        <v>4</v>
      </c>
      <c r="E8" s="369">
        <v>5</v>
      </c>
      <c r="F8" s="369">
        <v>6</v>
      </c>
      <c r="G8" s="369">
        <v>7</v>
      </c>
      <c r="H8" s="369">
        <v>8</v>
      </c>
      <c r="I8" s="369">
        <v>9</v>
      </c>
      <c r="J8" s="369">
        <v>10</v>
      </c>
      <c r="K8" s="369">
        <v>11</v>
      </c>
      <c r="L8" s="369">
        <v>12</v>
      </c>
      <c r="M8" s="369">
        <v>13</v>
      </c>
    </row>
    <row r="9" spans="1:13" ht="25.5">
      <c r="A9" s="385" t="s">
        <v>70</v>
      </c>
      <c r="B9" s="386" t="s">
        <v>159</v>
      </c>
      <c r="C9" s="387" t="s">
        <v>151</v>
      </c>
      <c r="D9" s="264" t="s">
        <v>50</v>
      </c>
      <c r="E9" s="264"/>
      <c r="F9" s="271">
        <f>((0.6*'B-1.1.2'!F9))*0.45</f>
        <v>2.7</v>
      </c>
      <c r="G9" s="264"/>
      <c r="H9" s="332"/>
      <c r="I9" s="264"/>
      <c r="J9" s="333"/>
      <c r="K9" s="264"/>
      <c r="L9" s="332"/>
      <c r="M9" s="271"/>
    </row>
    <row r="10" spans="1:13">
      <c r="A10" s="370"/>
      <c r="B10" s="59"/>
      <c r="C10" s="388" t="s">
        <v>49</v>
      </c>
      <c r="D10" s="268" t="s">
        <v>66</v>
      </c>
      <c r="E10" s="376">
        <f>16.5/1000</f>
        <v>1.6500000000000001E-2</v>
      </c>
      <c r="F10" s="339">
        <f>F9*E10</f>
        <v>4.4550000000000006E-2</v>
      </c>
      <c r="G10" s="376"/>
      <c r="H10" s="339"/>
      <c r="I10" s="376"/>
      <c r="J10" s="339"/>
      <c r="K10" s="376"/>
      <c r="L10" s="339"/>
      <c r="M10" s="339"/>
    </row>
    <row r="11" spans="1:13">
      <c r="A11" s="370"/>
      <c r="B11" s="389" t="s">
        <v>286</v>
      </c>
      <c r="C11" s="388" t="s">
        <v>60</v>
      </c>
      <c r="D11" s="268" t="s">
        <v>67</v>
      </c>
      <c r="E11" s="376">
        <f>37/1000</f>
        <v>3.6999999999999998E-2</v>
      </c>
      <c r="F11" s="338">
        <f>F9*E11</f>
        <v>9.9900000000000003E-2</v>
      </c>
      <c r="G11" s="375"/>
      <c r="H11" s="375"/>
      <c r="I11" s="375"/>
      <c r="J11" s="375"/>
      <c r="K11" s="338"/>
      <c r="L11" s="390"/>
      <c r="M11" s="339"/>
    </row>
    <row r="12" spans="1:13">
      <c r="A12" s="385" t="s">
        <v>71</v>
      </c>
      <c r="B12" s="327" t="s">
        <v>48</v>
      </c>
      <c r="C12" s="387" t="s">
        <v>81</v>
      </c>
      <c r="D12" s="264" t="s">
        <v>50</v>
      </c>
      <c r="E12" s="264"/>
      <c r="F12" s="271">
        <f>F9*3%</f>
        <v>8.1000000000000003E-2</v>
      </c>
      <c r="G12" s="264"/>
      <c r="H12" s="332"/>
      <c r="I12" s="264"/>
      <c r="J12" s="333"/>
      <c r="K12" s="264"/>
      <c r="L12" s="332"/>
      <c r="M12" s="271"/>
    </row>
    <row r="13" spans="1:13">
      <c r="A13" s="385"/>
      <c r="B13" s="327"/>
      <c r="C13" s="388" t="s">
        <v>49</v>
      </c>
      <c r="D13" s="268" t="s">
        <v>66</v>
      </c>
      <c r="E13" s="268">
        <f>206/100</f>
        <v>2.06</v>
      </c>
      <c r="F13" s="276">
        <f>F12*E13</f>
        <v>0.16686000000000001</v>
      </c>
      <c r="G13" s="268"/>
      <c r="H13" s="338"/>
      <c r="I13" s="268"/>
      <c r="J13" s="339"/>
      <c r="K13" s="268"/>
      <c r="L13" s="338"/>
      <c r="M13" s="276"/>
    </row>
    <row r="14" spans="1:13" ht="25.5">
      <c r="A14" s="385" t="s">
        <v>72</v>
      </c>
      <c r="B14" s="327" t="s">
        <v>82</v>
      </c>
      <c r="C14" s="387" t="s">
        <v>59</v>
      </c>
      <c r="D14" s="264" t="s">
        <v>50</v>
      </c>
      <c r="E14" s="264"/>
      <c r="F14" s="271">
        <f>((0.6*'B-1.1.2'!F9))*0.55</f>
        <v>3.3000000000000003</v>
      </c>
      <c r="G14" s="264"/>
      <c r="H14" s="332"/>
      <c r="I14" s="264"/>
      <c r="J14" s="333"/>
      <c r="K14" s="264"/>
      <c r="L14" s="332"/>
      <c r="M14" s="271"/>
    </row>
    <row r="15" spans="1:13">
      <c r="A15" s="385"/>
      <c r="B15" s="327"/>
      <c r="C15" s="388" t="s">
        <v>49</v>
      </c>
      <c r="D15" s="268" t="s">
        <v>66</v>
      </c>
      <c r="E15" s="268">
        <f>21.5/1000</f>
        <v>2.1499999999999998E-2</v>
      </c>
      <c r="F15" s="276">
        <f>F14*E15</f>
        <v>7.0949999999999999E-2</v>
      </c>
      <c r="G15" s="376"/>
      <c r="H15" s="339"/>
      <c r="I15" s="376"/>
      <c r="J15" s="339"/>
      <c r="K15" s="376"/>
      <c r="L15" s="339"/>
      <c r="M15" s="339"/>
    </row>
    <row r="16" spans="1:13">
      <c r="A16" s="385"/>
      <c r="B16" s="389" t="s">
        <v>286</v>
      </c>
      <c r="C16" s="388" t="s">
        <v>60</v>
      </c>
      <c r="D16" s="268" t="s">
        <v>67</v>
      </c>
      <c r="E16" s="268">
        <f>48.2/1000</f>
        <v>4.82E-2</v>
      </c>
      <c r="F16" s="276">
        <f>F14*E16</f>
        <v>0.15906000000000001</v>
      </c>
      <c r="G16" s="375"/>
      <c r="H16" s="375"/>
      <c r="I16" s="375"/>
      <c r="J16" s="375"/>
      <c r="K16" s="338"/>
      <c r="L16" s="390"/>
      <c r="M16" s="339"/>
    </row>
    <row r="17" spans="1:13">
      <c r="A17" s="385" t="s">
        <v>73</v>
      </c>
      <c r="B17" s="327" t="s">
        <v>80</v>
      </c>
      <c r="C17" s="387" t="s">
        <v>61</v>
      </c>
      <c r="D17" s="264" t="s">
        <v>50</v>
      </c>
      <c r="E17" s="264"/>
      <c r="F17" s="271">
        <f>F14*3%</f>
        <v>9.9000000000000005E-2</v>
      </c>
      <c r="G17" s="264"/>
      <c r="H17" s="332"/>
      <c r="I17" s="264"/>
      <c r="J17" s="333"/>
      <c r="K17" s="264"/>
      <c r="L17" s="332"/>
      <c r="M17" s="271"/>
    </row>
    <row r="18" spans="1:13">
      <c r="A18" s="385"/>
      <c r="B18" s="327"/>
      <c r="C18" s="388" t="s">
        <v>49</v>
      </c>
      <c r="D18" s="268" t="s">
        <v>66</v>
      </c>
      <c r="E18" s="268">
        <f>299/100</f>
        <v>2.99</v>
      </c>
      <c r="F18" s="276">
        <f>E18*F17</f>
        <v>0.29601000000000005</v>
      </c>
      <c r="G18" s="268"/>
      <c r="H18" s="338"/>
      <c r="I18" s="268"/>
      <c r="J18" s="339"/>
      <c r="K18" s="268"/>
      <c r="L18" s="338"/>
      <c r="M18" s="276"/>
    </row>
    <row r="19" spans="1:13" ht="25.5">
      <c r="A19" s="385" t="s">
        <v>84</v>
      </c>
      <c r="B19" s="327" t="s">
        <v>83</v>
      </c>
      <c r="C19" s="387" t="s">
        <v>62</v>
      </c>
      <c r="D19" s="264" t="s">
        <v>50</v>
      </c>
      <c r="E19" s="264"/>
      <c r="F19" s="271">
        <f>F9+F12+F14+F17-F26</f>
        <v>2.3800000000000008</v>
      </c>
      <c r="G19" s="264"/>
      <c r="H19" s="332"/>
      <c r="I19" s="264"/>
      <c r="J19" s="333"/>
      <c r="K19" s="264"/>
      <c r="L19" s="332"/>
      <c r="M19" s="271"/>
    </row>
    <row r="20" spans="1:13">
      <c r="A20" s="385"/>
      <c r="B20" s="327"/>
      <c r="C20" s="388" t="s">
        <v>44</v>
      </c>
      <c r="D20" s="268" t="s">
        <v>66</v>
      </c>
      <c r="E20" s="268">
        <f>27/1000</f>
        <v>2.7E-2</v>
      </c>
      <c r="F20" s="276">
        <f>F19*E20</f>
        <v>6.4260000000000025E-2</v>
      </c>
      <c r="G20" s="268"/>
      <c r="H20" s="338"/>
      <c r="I20" s="268"/>
      <c r="J20" s="339"/>
      <c r="K20" s="268"/>
      <c r="L20" s="338"/>
      <c r="M20" s="339"/>
    </row>
    <row r="21" spans="1:13">
      <c r="A21" s="385"/>
      <c r="B21" s="389" t="s">
        <v>286</v>
      </c>
      <c r="C21" s="388" t="s">
        <v>63</v>
      </c>
      <c r="D21" s="268" t="s">
        <v>68</v>
      </c>
      <c r="E21" s="268">
        <f>60.5/1000</f>
        <v>6.0499999999999998E-2</v>
      </c>
      <c r="F21" s="276">
        <f>F19*E21</f>
        <v>0.14399000000000003</v>
      </c>
      <c r="G21" s="268"/>
      <c r="H21" s="338"/>
      <c r="I21" s="268"/>
      <c r="J21" s="339"/>
      <c r="K21" s="338"/>
      <c r="L21" s="391"/>
      <c r="M21" s="339"/>
    </row>
    <row r="22" spans="1:13">
      <c r="A22" s="385"/>
      <c r="B22" s="327"/>
      <c r="C22" s="388" t="s">
        <v>45</v>
      </c>
      <c r="D22" s="268" t="s">
        <v>31</v>
      </c>
      <c r="E22" s="268">
        <f>2.21/1000</f>
        <v>2.2100000000000002E-3</v>
      </c>
      <c r="F22" s="276">
        <f>F19*E22</f>
        <v>5.259800000000002E-3</v>
      </c>
      <c r="G22" s="268"/>
      <c r="H22" s="338"/>
      <c r="I22" s="268"/>
      <c r="J22" s="339"/>
      <c r="K22" s="268"/>
      <c r="L22" s="390"/>
      <c r="M22" s="339"/>
    </row>
    <row r="23" spans="1:13">
      <c r="A23" s="385"/>
      <c r="B23" s="59" t="s">
        <v>287</v>
      </c>
      <c r="C23" s="388" t="s">
        <v>47</v>
      </c>
      <c r="D23" s="268" t="s">
        <v>50</v>
      </c>
      <c r="E23" s="268">
        <f>0.06/1000</f>
        <v>5.9999999999999995E-5</v>
      </c>
      <c r="F23" s="276">
        <f>F19*E23</f>
        <v>1.4280000000000003E-4</v>
      </c>
      <c r="G23" s="392"/>
      <c r="H23" s="338"/>
      <c r="I23" s="268"/>
      <c r="J23" s="339"/>
      <c r="K23" s="268"/>
      <c r="L23" s="338"/>
      <c r="M23" s="339"/>
    </row>
    <row r="24" spans="1:13" ht="45">
      <c r="A24" s="326" t="s">
        <v>259</v>
      </c>
      <c r="B24" s="327" t="s">
        <v>260</v>
      </c>
      <c r="C24" s="328" t="s">
        <v>261</v>
      </c>
      <c r="D24" s="329" t="s">
        <v>50</v>
      </c>
      <c r="E24" s="330"/>
      <c r="F24" s="331">
        <f>((0.21*'B-1.1.2'!F9))</f>
        <v>2.1</v>
      </c>
      <c r="G24" s="329"/>
      <c r="H24" s="332"/>
      <c r="I24" s="329"/>
      <c r="J24" s="333"/>
      <c r="K24" s="329"/>
      <c r="L24" s="332"/>
      <c r="M24" s="331"/>
    </row>
    <row r="25" spans="1:13" ht="15">
      <c r="A25" s="326"/>
      <c r="B25" s="327"/>
      <c r="C25" s="334" t="s">
        <v>49</v>
      </c>
      <c r="D25" s="335" t="s">
        <v>66</v>
      </c>
      <c r="E25" s="336">
        <f>121/100</f>
        <v>1.21</v>
      </c>
      <c r="F25" s="337">
        <f>F24*E25</f>
        <v>2.5409999999999999</v>
      </c>
      <c r="G25" s="335"/>
      <c r="H25" s="338"/>
      <c r="I25" s="376"/>
      <c r="J25" s="339"/>
      <c r="K25" s="335"/>
      <c r="L25" s="338"/>
      <c r="M25" s="339"/>
    </row>
    <row r="26" spans="1:13" ht="25.5">
      <c r="A26" s="385" t="s">
        <v>75</v>
      </c>
      <c r="B26" s="327" t="s">
        <v>32</v>
      </c>
      <c r="C26" s="387" t="s">
        <v>179</v>
      </c>
      <c r="D26" s="264" t="s">
        <v>50</v>
      </c>
      <c r="E26" s="264"/>
      <c r="F26" s="271">
        <f>((0.38*'B-1.1.2'!F9))</f>
        <v>3.8</v>
      </c>
      <c r="G26" s="264"/>
      <c r="H26" s="332"/>
      <c r="I26" s="264"/>
      <c r="J26" s="333"/>
      <c r="K26" s="264"/>
      <c r="L26" s="332"/>
      <c r="M26" s="271"/>
    </row>
    <row r="27" spans="1:13">
      <c r="A27" s="385"/>
      <c r="B27" s="393" t="s">
        <v>288</v>
      </c>
      <c r="C27" s="388" t="s">
        <v>64</v>
      </c>
      <c r="D27" s="268" t="s">
        <v>68</v>
      </c>
      <c r="E27" s="268">
        <f>9.21/1000</f>
        <v>9.2100000000000012E-3</v>
      </c>
      <c r="F27" s="276">
        <f>F26*E27</f>
        <v>3.4998000000000001E-2</v>
      </c>
      <c r="G27" s="268"/>
      <c r="H27" s="338"/>
      <c r="I27" s="268"/>
      <c r="J27" s="339"/>
      <c r="K27" s="269"/>
      <c r="L27" s="390"/>
      <c r="M27" s="339"/>
    </row>
    <row r="28" spans="1:13">
      <c r="A28" s="385" t="s">
        <v>76</v>
      </c>
      <c r="B28" s="327" t="s">
        <v>85</v>
      </c>
      <c r="C28" s="387" t="s">
        <v>65</v>
      </c>
      <c r="D28" s="264" t="s">
        <v>50</v>
      </c>
      <c r="E28" s="264"/>
      <c r="F28" s="271">
        <f>F26</f>
        <v>3.8</v>
      </c>
      <c r="G28" s="264"/>
      <c r="H28" s="332"/>
      <c r="I28" s="264"/>
      <c r="J28" s="333"/>
      <c r="K28" s="266"/>
      <c r="L28" s="332"/>
      <c r="M28" s="271"/>
    </row>
    <row r="29" spans="1:13">
      <c r="A29" s="385"/>
      <c r="B29" s="327"/>
      <c r="C29" s="388" t="s">
        <v>49</v>
      </c>
      <c r="D29" s="268" t="s">
        <v>66</v>
      </c>
      <c r="E29" s="268">
        <f>13.4/100</f>
        <v>0.13400000000000001</v>
      </c>
      <c r="F29" s="276">
        <f>E29*F28</f>
        <v>0.50919999999999999</v>
      </c>
      <c r="G29" s="268"/>
      <c r="H29" s="338"/>
      <c r="I29" s="268"/>
      <c r="J29" s="339"/>
      <c r="K29" s="269"/>
      <c r="L29" s="338"/>
      <c r="M29" s="339"/>
    </row>
    <row r="30" spans="1:13" ht="25.5">
      <c r="A30" s="385"/>
      <c r="B30" s="327" t="s">
        <v>289</v>
      </c>
      <c r="C30" s="388" t="s">
        <v>101</v>
      </c>
      <c r="D30" s="268" t="s">
        <v>69</v>
      </c>
      <c r="E30" s="268">
        <f>13/100</f>
        <v>0.13</v>
      </c>
      <c r="F30" s="276">
        <f>F28*E30</f>
        <v>0.49399999999999999</v>
      </c>
      <c r="G30" s="268"/>
      <c r="H30" s="338"/>
      <c r="I30" s="268"/>
      <c r="J30" s="339"/>
      <c r="K30" s="269"/>
      <c r="L30" s="390"/>
      <c r="M30" s="339"/>
    </row>
    <row r="31" spans="1:13">
      <c r="A31" s="385" t="s">
        <v>77</v>
      </c>
      <c r="B31" s="327"/>
      <c r="C31" s="387" t="s">
        <v>266</v>
      </c>
      <c r="D31" s="264" t="s">
        <v>52</v>
      </c>
      <c r="E31" s="264"/>
      <c r="F31" s="271">
        <f>F19*1.9</f>
        <v>4.5220000000000011</v>
      </c>
      <c r="G31" s="264"/>
      <c r="H31" s="332"/>
      <c r="I31" s="264"/>
      <c r="J31" s="333"/>
      <c r="K31" s="266"/>
      <c r="L31" s="332"/>
      <c r="M31" s="333"/>
    </row>
    <row r="32" spans="1:13">
      <c r="A32" s="394"/>
      <c r="B32" s="393" t="s">
        <v>290</v>
      </c>
      <c r="C32" s="388" t="s">
        <v>266</v>
      </c>
      <c r="D32" s="268" t="s">
        <v>52</v>
      </c>
      <c r="E32" s="268">
        <v>1</v>
      </c>
      <c r="F32" s="276">
        <f>F31*E32</f>
        <v>4.5220000000000011</v>
      </c>
      <c r="G32" s="268"/>
      <c r="H32" s="338"/>
      <c r="I32" s="268"/>
      <c r="J32" s="339"/>
      <c r="K32" s="269"/>
      <c r="L32" s="338"/>
      <c r="M32" s="339"/>
    </row>
    <row r="33" spans="1:13">
      <c r="A33" s="307"/>
      <c r="B33" s="308"/>
      <c r="C33" s="309" t="s">
        <v>9</v>
      </c>
      <c r="D33" s="310"/>
      <c r="E33" s="311"/>
      <c r="F33" s="311"/>
      <c r="G33" s="311"/>
      <c r="H33" s="313"/>
      <c r="I33" s="313"/>
      <c r="J33" s="313"/>
      <c r="K33" s="313"/>
      <c r="L33" s="313"/>
      <c r="M33" s="313"/>
    </row>
    <row r="34" spans="1:13">
      <c r="A34" s="314"/>
      <c r="B34" s="315"/>
      <c r="C34" s="316" t="s">
        <v>53</v>
      </c>
      <c r="D34" s="317">
        <v>0.05</v>
      </c>
      <c r="E34" s="363"/>
      <c r="F34" s="363"/>
      <c r="G34" s="363"/>
      <c r="H34" s="49"/>
      <c r="I34" s="363"/>
      <c r="J34" s="49"/>
      <c r="K34" s="363"/>
      <c r="L34" s="49"/>
      <c r="M34" s="49"/>
    </row>
    <row r="35" spans="1:13">
      <c r="A35" s="314"/>
      <c r="B35" s="370"/>
      <c r="C35" s="364" t="s">
        <v>9</v>
      </c>
      <c r="D35" s="318"/>
      <c r="E35" s="369"/>
      <c r="F35" s="369"/>
      <c r="G35" s="369"/>
      <c r="H35" s="55"/>
      <c r="I35" s="319"/>
      <c r="J35" s="55"/>
      <c r="K35" s="319"/>
      <c r="L35" s="55"/>
      <c r="M35" s="55"/>
    </row>
    <row r="36" spans="1:13">
      <c r="A36" s="314"/>
      <c r="B36" s="370"/>
      <c r="C36" s="320" t="s">
        <v>54</v>
      </c>
      <c r="D36" s="321">
        <v>0.1</v>
      </c>
      <c r="E36" s="363"/>
      <c r="F36" s="363"/>
      <c r="G36" s="363"/>
      <c r="H36" s="322"/>
      <c r="I36" s="322"/>
      <c r="J36" s="322"/>
      <c r="K36" s="322"/>
      <c r="L36" s="322"/>
      <c r="M36" s="49"/>
    </row>
    <row r="37" spans="1:13">
      <c r="A37" s="314"/>
      <c r="B37" s="370"/>
      <c r="C37" s="364" t="s">
        <v>9</v>
      </c>
      <c r="D37" s="318"/>
      <c r="E37" s="369"/>
      <c r="F37" s="369"/>
      <c r="G37" s="369"/>
      <c r="H37" s="319"/>
      <c r="I37" s="319"/>
      <c r="J37" s="319"/>
      <c r="K37" s="319"/>
      <c r="L37" s="319"/>
      <c r="M37" s="55"/>
    </row>
    <row r="38" spans="1:13">
      <c r="A38" s="314"/>
      <c r="B38" s="370"/>
      <c r="C38" s="320" t="s">
        <v>55</v>
      </c>
      <c r="D38" s="317">
        <v>0.08</v>
      </c>
      <c r="E38" s="363"/>
      <c r="F38" s="363"/>
      <c r="G38" s="363"/>
      <c r="H38" s="322"/>
      <c r="I38" s="322"/>
      <c r="J38" s="322"/>
      <c r="K38" s="322"/>
      <c r="L38" s="322"/>
      <c r="M38" s="49"/>
    </row>
    <row r="39" spans="1:13">
      <c r="A39" s="314"/>
      <c r="B39" s="370"/>
      <c r="C39" s="364" t="s">
        <v>56</v>
      </c>
      <c r="D39" s="369"/>
      <c r="E39" s="369"/>
      <c r="F39" s="369"/>
      <c r="G39" s="369"/>
      <c r="H39" s="319"/>
      <c r="I39" s="319"/>
      <c r="J39" s="319"/>
      <c r="K39" s="319"/>
      <c r="L39" s="319"/>
      <c r="M39" s="55"/>
    </row>
  </sheetData>
  <mergeCells count="14">
    <mergeCell ref="G6:H6"/>
    <mergeCell ref="I6:J6"/>
    <mergeCell ref="K6:L6"/>
    <mergeCell ref="A6:A7"/>
    <mergeCell ref="B6:B7"/>
    <mergeCell ref="C6:C7"/>
    <mergeCell ref="D6:D7"/>
    <mergeCell ref="E6:E7"/>
    <mergeCell ref="F6:F7"/>
    <mergeCell ref="C5:K5"/>
    <mergeCell ref="A1:M1"/>
    <mergeCell ref="A2:F2"/>
    <mergeCell ref="A3:M3"/>
    <mergeCell ref="A4:M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110" zoomScaleSheetLayoutView="110" workbookViewId="0">
      <selection sqref="A1:M1"/>
    </sheetView>
  </sheetViews>
  <sheetFormatPr defaultRowHeight="12.75"/>
  <cols>
    <col min="1" max="1" width="6.7109375" style="380" customWidth="1"/>
    <col min="2" max="2" width="11.140625" style="402" customWidth="1"/>
    <col min="3" max="3" width="57.28515625" style="67" customWidth="1"/>
    <col min="4" max="7" width="10.7109375" style="67" customWidth="1"/>
    <col min="8" max="8" width="12.42578125" style="67" customWidth="1"/>
    <col min="9" max="9" width="11.85546875" style="67" customWidth="1"/>
    <col min="10" max="10" width="10.7109375" style="67" customWidth="1"/>
    <col min="11" max="11" width="12" style="67" customWidth="1"/>
    <col min="12" max="12" width="12.28515625" style="67" customWidth="1"/>
    <col min="13" max="13" width="13.5703125" style="67" customWidth="1"/>
    <col min="14" max="16384" width="9.140625" style="67"/>
  </cols>
  <sheetData>
    <row r="1" spans="1:13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>
      <c r="A2" s="471" t="s">
        <v>7</v>
      </c>
      <c r="B2" s="471"/>
      <c r="C2" s="471"/>
      <c r="D2" s="471"/>
      <c r="E2" s="471"/>
      <c r="F2" s="471"/>
      <c r="G2" s="381" t="str">
        <f>'B-1.1'!B10</f>
        <v>B-1.1.2</v>
      </c>
      <c r="H2" s="381"/>
      <c r="I2" s="381"/>
      <c r="J2" s="381"/>
      <c r="K2" s="381"/>
      <c r="L2" s="381"/>
      <c r="M2" s="381"/>
    </row>
    <row r="3" spans="1:13">
      <c r="A3" s="472" t="str">
        <f>'B-1.1'!C10</f>
        <v>წყალსადენის მაგისტრალური მილსადენის მოწყობა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>
      <c r="A5" s="382"/>
      <c r="B5" s="395"/>
      <c r="C5" s="469"/>
      <c r="D5" s="469"/>
      <c r="E5" s="469"/>
      <c r="F5" s="469"/>
      <c r="G5" s="469"/>
      <c r="H5" s="469"/>
      <c r="I5" s="469"/>
      <c r="J5" s="469"/>
      <c r="K5" s="469"/>
      <c r="L5" s="384"/>
      <c r="M5" s="384"/>
    </row>
    <row r="6" spans="1:13">
      <c r="A6" s="477" t="s">
        <v>33</v>
      </c>
      <c r="B6" s="478" t="s">
        <v>34</v>
      </c>
      <c r="C6" s="475" t="s">
        <v>35</v>
      </c>
      <c r="D6" s="475" t="s">
        <v>36</v>
      </c>
      <c r="E6" s="475" t="s">
        <v>37</v>
      </c>
      <c r="F6" s="475" t="s">
        <v>38</v>
      </c>
      <c r="G6" s="474" t="s">
        <v>39</v>
      </c>
      <c r="H6" s="474"/>
      <c r="I6" s="474" t="s">
        <v>40</v>
      </c>
      <c r="J6" s="474"/>
      <c r="K6" s="475" t="s">
        <v>41</v>
      </c>
      <c r="L6" s="476"/>
      <c r="M6" s="259" t="s">
        <v>5</v>
      </c>
    </row>
    <row r="7" spans="1:13">
      <c r="A7" s="477"/>
      <c r="B7" s="478"/>
      <c r="C7" s="475"/>
      <c r="D7" s="475"/>
      <c r="E7" s="475"/>
      <c r="F7" s="475"/>
      <c r="G7" s="368" t="s">
        <v>42</v>
      </c>
      <c r="H7" s="60" t="s">
        <v>9</v>
      </c>
      <c r="I7" s="368" t="s">
        <v>42</v>
      </c>
      <c r="J7" s="60" t="s">
        <v>9</v>
      </c>
      <c r="K7" s="368" t="s">
        <v>42</v>
      </c>
      <c r="L7" s="260" t="s">
        <v>9</v>
      </c>
      <c r="M7" s="261" t="s">
        <v>43</v>
      </c>
    </row>
    <row r="8" spans="1:13">
      <c r="A8" s="370">
        <v>1</v>
      </c>
      <c r="B8" s="59">
        <v>2</v>
      </c>
      <c r="C8" s="369">
        <v>3</v>
      </c>
      <c r="D8" s="369">
        <v>4</v>
      </c>
      <c r="E8" s="369">
        <v>5</v>
      </c>
      <c r="F8" s="369">
        <v>6</v>
      </c>
      <c r="G8" s="369">
        <v>7</v>
      </c>
      <c r="H8" s="369">
        <v>8</v>
      </c>
      <c r="I8" s="369">
        <v>9</v>
      </c>
      <c r="J8" s="369">
        <v>10</v>
      </c>
      <c r="K8" s="369">
        <v>11</v>
      </c>
      <c r="L8" s="369">
        <v>12</v>
      </c>
      <c r="M8" s="369">
        <v>13</v>
      </c>
    </row>
    <row r="9" spans="1:13" ht="25.5">
      <c r="A9" s="385" t="s">
        <v>73</v>
      </c>
      <c r="B9" s="386" t="s">
        <v>249</v>
      </c>
      <c r="C9" s="263" t="s">
        <v>301</v>
      </c>
      <c r="D9" s="264" t="s">
        <v>91</v>
      </c>
      <c r="E9" s="264"/>
      <c r="F9" s="271">
        <v>10</v>
      </c>
      <c r="G9" s="264"/>
      <c r="H9" s="332"/>
      <c r="I9" s="264"/>
      <c r="J9" s="333"/>
      <c r="K9" s="264"/>
      <c r="L9" s="332"/>
      <c r="M9" s="271"/>
    </row>
    <row r="10" spans="1:13">
      <c r="A10" s="370"/>
      <c r="B10" s="59"/>
      <c r="C10" s="396" t="s">
        <v>86</v>
      </c>
      <c r="D10" s="376" t="s">
        <v>28</v>
      </c>
      <c r="E10" s="376">
        <f>119/1000</f>
        <v>0.11899999999999999</v>
      </c>
      <c r="F10" s="339">
        <f>E10*F9</f>
        <v>1.19</v>
      </c>
      <c r="G10" s="376"/>
      <c r="H10" s="339"/>
      <c r="I10" s="376"/>
      <c r="J10" s="339"/>
      <c r="K10" s="376"/>
      <c r="L10" s="339"/>
      <c r="M10" s="339"/>
    </row>
    <row r="11" spans="1:13">
      <c r="A11" s="370"/>
      <c r="B11" s="389"/>
      <c r="C11" s="396" t="s">
        <v>87</v>
      </c>
      <c r="D11" s="375" t="s">
        <v>31</v>
      </c>
      <c r="E11" s="376">
        <f>71/1000</f>
        <v>7.0999999999999994E-2</v>
      </c>
      <c r="F11" s="338">
        <f>E11*F9</f>
        <v>0.71</v>
      </c>
      <c r="G11" s="375"/>
      <c r="H11" s="375"/>
      <c r="I11" s="375"/>
      <c r="J11" s="375"/>
      <c r="K11" s="338"/>
      <c r="L11" s="390"/>
      <c r="M11" s="339"/>
    </row>
    <row r="12" spans="1:13">
      <c r="A12" s="385"/>
      <c r="B12" s="327"/>
      <c r="C12" s="375" t="s">
        <v>88</v>
      </c>
      <c r="D12" s="375"/>
      <c r="E12" s="268"/>
      <c r="F12" s="276"/>
      <c r="G12" s="268"/>
      <c r="H12" s="338"/>
      <c r="I12" s="268"/>
      <c r="J12" s="339"/>
      <c r="K12" s="268"/>
      <c r="L12" s="338"/>
      <c r="M12" s="276"/>
    </row>
    <row r="13" spans="1:13">
      <c r="A13" s="385"/>
      <c r="B13" s="327" t="s">
        <v>291</v>
      </c>
      <c r="C13" s="397" t="s">
        <v>302</v>
      </c>
      <c r="D13" s="375" t="s">
        <v>91</v>
      </c>
      <c r="E13" s="268">
        <f>1010/1000</f>
        <v>1.01</v>
      </c>
      <c r="F13" s="276">
        <f>E13*F9</f>
        <v>10.1</v>
      </c>
      <c r="G13" s="269"/>
      <c r="H13" s="338"/>
      <c r="I13" s="268"/>
      <c r="J13" s="339"/>
      <c r="K13" s="268"/>
      <c r="L13" s="338"/>
      <c r="M13" s="339"/>
    </row>
    <row r="14" spans="1:13">
      <c r="A14" s="385"/>
      <c r="B14" s="327"/>
      <c r="C14" s="396" t="s">
        <v>89</v>
      </c>
      <c r="D14" s="375" t="s">
        <v>31</v>
      </c>
      <c r="E14" s="268">
        <f>2.16/1000</f>
        <v>2.16E-3</v>
      </c>
      <c r="F14" s="276">
        <f>E14*F9</f>
        <v>2.1600000000000001E-2</v>
      </c>
      <c r="G14" s="269"/>
      <c r="H14" s="338"/>
      <c r="I14" s="268"/>
      <c r="J14" s="339"/>
      <c r="K14" s="268"/>
      <c r="L14" s="338"/>
      <c r="M14" s="339"/>
    </row>
    <row r="15" spans="1:13">
      <c r="A15" s="385" t="s">
        <v>74</v>
      </c>
      <c r="B15" s="327" t="s">
        <v>92</v>
      </c>
      <c r="C15" s="398" t="s">
        <v>248</v>
      </c>
      <c r="D15" s="399" t="s">
        <v>91</v>
      </c>
      <c r="E15" s="264"/>
      <c r="F15" s="271">
        <f>F9</f>
        <v>10</v>
      </c>
      <c r="G15" s="264"/>
      <c r="H15" s="332"/>
      <c r="I15" s="264"/>
      <c r="J15" s="333"/>
      <c r="K15" s="264"/>
      <c r="L15" s="332"/>
      <c r="M15" s="271"/>
    </row>
    <row r="16" spans="1:13">
      <c r="A16" s="385"/>
      <c r="B16" s="327"/>
      <c r="C16" s="396" t="s">
        <v>86</v>
      </c>
      <c r="D16" s="376" t="s">
        <v>28</v>
      </c>
      <c r="E16" s="268">
        <f>56.7/1000</f>
        <v>5.67E-2</v>
      </c>
      <c r="F16" s="276">
        <f>F15*E16</f>
        <v>0.56699999999999995</v>
      </c>
      <c r="G16" s="268"/>
      <c r="H16" s="338"/>
      <c r="I16" s="376"/>
      <c r="J16" s="339"/>
      <c r="K16" s="268"/>
      <c r="L16" s="338"/>
      <c r="M16" s="339"/>
    </row>
    <row r="17" spans="1:13">
      <c r="A17" s="385"/>
      <c r="B17" s="327"/>
      <c r="C17" s="375" t="s">
        <v>88</v>
      </c>
      <c r="D17" s="375"/>
      <c r="E17" s="268"/>
      <c r="F17" s="276"/>
      <c r="G17" s="268"/>
      <c r="H17" s="338"/>
      <c r="I17" s="268"/>
      <c r="J17" s="339"/>
      <c r="K17" s="268"/>
      <c r="L17" s="338"/>
      <c r="M17" s="276"/>
    </row>
    <row r="18" spans="1:13">
      <c r="A18" s="385"/>
      <c r="B18" s="377" t="s">
        <v>275</v>
      </c>
      <c r="C18" s="397" t="s">
        <v>90</v>
      </c>
      <c r="D18" s="375" t="s">
        <v>30</v>
      </c>
      <c r="E18" s="268">
        <f>57/1000</f>
        <v>5.7000000000000002E-2</v>
      </c>
      <c r="F18" s="276">
        <f>F15*E18</f>
        <v>0.57000000000000006</v>
      </c>
      <c r="G18" s="269"/>
      <c r="H18" s="338"/>
      <c r="I18" s="268"/>
      <c r="J18" s="339"/>
      <c r="K18" s="268"/>
      <c r="L18" s="338"/>
      <c r="M18" s="339"/>
    </row>
    <row r="19" spans="1:13">
      <c r="A19" s="385"/>
      <c r="B19" s="327"/>
      <c r="C19" s="396" t="s">
        <v>89</v>
      </c>
      <c r="D19" s="375" t="s">
        <v>31</v>
      </c>
      <c r="E19" s="268">
        <f>0.1/1000</f>
        <v>1E-4</v>
      </c>
      <c r="F19" s="276">
        <f>F15*E19</f>
        <v>1E-3</v>
      </c>
      <c r="G19" s="269"/>
      <c r="H19" s="338"/>
      <c r="I19" s="268"/>
      <c r="J19" s="339"/>
      <c r="K19" s="268"/>
      <c r="L19" s="338"/>
      <c r="M19" s="339"/>
    </row>
    <row r="20" spans="1:13">
      <c r="A20" s="307"/>
      <c r="B20" s="400"/>
      <c r="C20" s="309" t="s">
        <v>9</v>
      </c>
      <c r="D20" s="310"/>
      <c r="E20" s="311"/>
      <c r="F20" s="311"/>
      <c r="G20" s="311"/>
      <c r="H20" s="313"/>
      <c r="I20" s="313"/>
      <c r="J20" s="313"/>
      <c r="K20" s="313"/>
      <c r="L20" s="313"/>
      <c r="M20" s="313"/>
    </row>
    <row r="21" spans="1:13">
      <c r="A21" s="314"/>
      <c r="B21" s="401"/>
      <c r="C21" s="316" t="s">
        <v>53</v>
      </c>
      <c r="D21" s="317">
        <v>0.05</v>
      </c>
      <c r="E21" s="363"/>
      <c r="F21" s="363"/>
      <c r="G21" s="363"/>
      <c r="H21" s="49"/>
      <c r="I21" s="363"/>
      <c r="J21" s="49"/>
      <c r="K21" s="363"/>
      <c r="L21" s="49"/>
      <c r="M21" s="49"/>
    </row>
    <row r="22" spans="1:13">
      <c r="A22" s="314"/>
      <c r="B22" s="59"/>
      <c r="C22" s="364" t="s">
        <v>9</v>
      </c>
      <c r="D22" s="318"/>
      <c r="E22" s="369"/>
      <c r="F22" s="369"/>
      <c r="G22" s="369"/>
      <c r="H22" s="55"/>
      <c r="I22" s="319"/>
      <c r="J22" s="55"/>
      <c r="K22" s="319"/>
      <c r="L22" s="55"/>
      <c r="M22" s="55"/>
    </row>
    <row r="23" spans="1:13">
      <c r="A23" s="314"/>
      <c r="B23" s="59"/>
      <c r="C23" s="320" t="s">
        <v>54</v>
      </c>
      <c r="D23" s="321">
        <v>0.1</v>
      </c>
      <c r="E23" s="363"/>
      <c r="F23" s="363"/>
      <c r="G23" s="363"/>
      <c r="H23" s="322"/>
      <c r="I23" s="322"/>
      <c r="J23" s="322"/>
      <c r="K23" s="322"/>
      <c r="L23" s="322"/>
      <c r="M23" s="49"/>
    </row>
    <row r="24" spans="1:13">
      <c r="A24" s="314"/>
      <c r="B24" s="59"/>
      <c r="C24" s="364" t="s">
        <v>9</v>
      </c>
      <c r="D24" s="318"/>
      <c r="E24" s="369"/>
      <c r="F24" s="369"/>
      <c r="G24" s="369"/>
      <c r="H24" s="319"/>
      <c r="I24" s="319"/>
      <c r="J24" s="319"/>
      <c r="K24" s="319"/>
      <c r="L24" s="319"/>
      <c r="M24" s="55"/>
    </row>
    <row r="25" spans="1:13">
      <c r="A25" s="314"/>
      <c r="B25" s="59"/>
      <c r="C25" s="320" t="s">
        <v>55</v>
      </c>
      <c r="D25" s="317">
        <v>0.08</v>
      </c>
      <c r="E25" s="363"/>
      <c r="F25" s="363"/>
      <c r="G25" s="363"/>
      <c r="H25" s="322"/>
      <c r="I25" s="322"/>
      <c r="J25" s="322"/>
      <c r="K25" s="322"/>
      <c r="L25" s="322"/>
      <c r="M25" s="49"/>
    </row>
    <row r="26" spans="1:13">
      <c r="A26" s="314"/>
      <c r="B26" s="59"/>
      <c r="C26" s="364" t="s">
        <v>56</v>
      </c>
      <c r="D26" s="369"/>
      <c r="E26" s="369"/>
      <c r="F26" s="369"/>
      <c r="G26" s="369"/>
      <c r="H26" s="319"/>
      <c r="I26" s="319"/>
      <c r="J26" s="319"/>
      <c r="K26" s="319"/>
      <c r="L26" s="319"/>
      <c r="M26" s="55"/>
    </row>
  </sheetData>
  <mergeCells count="14">
    <mergeCell ref="C5:K5"/>
    <mergeCell ref="A1:M1"/>
    <mergeCell ref="A2:F2"/>
    <mergeCell ref="A3:M3"/>
    <mergeCell ref="A4:M4"/>
    <mergeCell ref="G6:H6"/>
    <mergeCell ref="I6:J6"/>
    <mergeCell ref="K6:L6"/>
    <mergeCell ref="A6:A7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SheetLayoutView="110" workbookViewId="0">
      <selection activeCell="E9" sqref="E9"/>
    </sheetView>
  </sheetViews>
  <sheetFormatPr defaultRowHeight="12.75"/>
  <cols>
    <col min="1" max="1" width="5.85546875" style="41" customWidth="1"/>
    <col min="2" max="2" width="8" style="41" customWidth="1"/>
    <col min="3" max="3" width="40.28515625" style="41" customWidth="1"/>
    <col min="4" max="4" width="6" style="41" customWidth="1"/>
    <col min="5" max="10" width="12.140625" style="41" customWidth="1"/>
    <col min="11" max="16384" width="9.140625" style="41"/>
  </cols>
  <sheetData>
    <row r="1" spans="1:10">
      <c r="B1" s="452"/>
      <c r="C1" s="452"/>
      <c r="D1" s="452"/>
      <c r="E1" s="452"/>
      <c r="F1" s="452"/>
      <c r="G1" s="452"/>
      <c r="H1" s="452"/>
      <c r="I1" s="452"/>
      <c r="J1" s="452"/>
    </row>
    <row r="2" spans="1:10">
      <c r="B2" s="453" t="s">
        <v>57</v>
      </c>
      <c r="C2" s="453"/>
      <c r="D2" s="453"/>
      <c r="E2" s="453"/>
      <c r="F2" s="42" t="str">
        <f>B!B9</f>
        <v>B-2</v>
      </c>
      <c r="G2" s="42"/>
      <c r="H2" s="42"/>
      <c r="I2" s="42"/>
      <c r="J2" s="42"/>
    </row>
    <row r="3" spans="1:10">
      <c r="A3" s="479" t="str">
        <f>B!C9</f>
        <v>რეზერვუარი</v>
      </c>
      <c r="B3" s="479"/>
      <c r="C3" s="479"/>
      <c r="D3" s="479"/>
      <c r="E3" s="479"/>
      <c r="F3" s="479"/>
      <c r="G3" s="479"/>
      <c r="H3" s="479"/>
      <c r="I3" s="479"/>
      <c r="J3" s="479"/>
    </row>
    <row r="4" spans="1:10">
      <c r="B4" s="43"/>
      <c r="C4" s="43"/>
      <c r="D4" s="43"/>
      <c r="E4" s="43"/>
      <c r="F4" s="43"/>
      <c r="G4" s="43"/>
      <c r="H4" s="43"/>
      <c r="I4" s="453"/>
      <c r="J4" s="453"/>
    </row>
    <row r="5" spans="1:10">
      <c r="B5" s="44"/>
      <c r="C5" s="45"/>
      <c r="D5" s="45"/>
      <c r="E5" s="45"/>
      <c r="F5" s="45"/>
      <c r="G5" s="454"/>
      <c r="H5" s="454"/>
      <c r="I5" s="454"/>
      <c r="J5" s="454"/>
    </row>
    <row r="6" spans="1:10" ht="15.75" customHeight="1">
      <c r="A6" s="442" t="s">
        <v>7</v>
      </c>
      <c r="B6" s="442"/>
      <c r="C6" s="443" t="s">
        <v>0</v>
      </c>
      <c r="D6" s="444"/>
      <c r="E6" s="447" t="s">
        <v>8</v>
      </c>
      <c r="F6" s="448"/>
      <c r="G6" s="448"/>
      <c r="H6" s="448"/>
      <c r="I6" s="449"/>
      <c r="J6" s="450" t="s">
        <v>6</v>
      </c>
    </row>
    <row r="7" spans="1:10" ht="25.5">
      <c r="A7" s="442"/>
      <c r="B7" s="442"/>
      <c r="C7" s="445"/>
      <c r="D7" s="446"/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51"/>
    </row>
    <row r="8" spans="1:10">
      <c r="A8" s="450">
        <v>1</v>
      </c>
      <c r="B8" s="450"/>
      <c r="C8" s="447">
        <v>2</v>
      </c>
      <c r="D8" s="449"/>
      <c r="E8" s="46">
        <v>3</v>
      </c>
      <c r="F8" s="46">
        <v>4</v>
      </c>
      <c r="G8" s="46">
        <v>5</v>
      </c>
      <c r="H8" s="46">
        <v>6</v>
      </c>
      <c r="I8" s="46">
        <v>7</v>
      </c>
      <c r="J8" s="46">
        <v>8</v>
      </c>
    </row>
    <row r="9" spans="1:10" ht="14.25">
      <c r="A9" s="47">
        <v>2</v>
      </c>
      <c r="B9" s="46" t="s">
        <v>174</v>
      </c>
      <c r="C9" s="53" t="s">
        <v>242</v>
      </c>
      <c r="D9" s="51"/>
      <c r="E9" s="49"/>
      <c r="F9" s="46"/>
      <c r="G9" s="46"/>
      <c r="H9" s="46"/>
      <c r="I9" s="49">
        <f>E9+F9+G9+H9</f>
        <v>0</v>
      </c>
      <c r="J9" s="46"/>
    </row>
    <row r="10" spans="1:10">
      <c r="A10" s="72"/>
      <c r="B10" s="73"/>
      <c r="C10" s="150" t="s">
        <v>9</v>
      </c>
      <c r="D10" s="151"/>
      <c r="E10" s="54"/>
      <c r="F10" s="54"/>
      <c r="G10" s="54"/>
      <c r="H10" s="54"/>
      <c r="I10" s="55">
        <f>SUM(I9:I9)</f>
        <v>0</v>
      </c>
      <c r="J10" s="46"/>
    </row>
    <row r="11" spans="1:10">
      <c r="B11" s="44"/>
      <c r="C11" s="74"/>
      <c r="D11" s="74"/>
      <c r="E11" s="75"/>
      <c r="F11" s="75"/>
      <c r="G11" s="75"/>
      <c r="H11" s="75"/>
      <c r="I11" s="75"/>
      <c r="J11" s="65"/>
    </row>
    <row r="12" spans="1:10">
      <c r="B12" s="67"/>
      <c r="C12" s="68"/>
      <c r="D12" s="68"/>
      <c r="E12" s="68"/>
      <c r="F12" s="68"/>
      <c r="G12" s="68"/>
      <c r="H12" s="68"/>
      <c r="I12" s="68"/>
      <c r="J12" s="68"/>
    </row>
    <row r="13" spans="1:10">
      <c r="B13" s="68"/>
      <c r="C13" s="76"/>
      <c r="D13" s="70"/>
      <c r="E13" s="68"/>
      <c r="F13" s="68"/>
      <c r="G13" s="68"/>
      <c r="H13" s="68"/>
      <c r="I13" s="68"/>
      <c r="J13" s="68"/>
    </row>
    <row r="14" spans="1:10">
      <c r="B14" s="68"/>
      <c r="C14" s="76"/>
      <c r="D14" s="70"/>
      <c r="E14" s="68"/>
      <c r="F14" s="68"/>
      <c r="G14" s="71"/>
      <c r="H14" s="71"/>
      <c r="I14" s="71"/>
      <c r="J14" s="68"/>
    </row>
  </sheetData>
  <mergeCells count="11">
    <mergeCell ref="A8:B8"/>
    <mergeCell ref="C8:D8"/>
    <mergeCell ref="B1:J1"/>
    <mergeCell ref="B2:E2"/>
    <mergeCell ref="I4:J4"/>
    <mergeCell ref="G5:J5"/>
    <mergeCell ref="A6:B7"/>
    <mergeCell ref="C6:D7"/>
    <mergeCell ref="E6:I6"/>
    <mergeCell ref="J6:J7"/>
    <mergeCell ref="A3:J3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view="pageBreakPreview" zoomScaleNormal="100" zoomScaleSheetLayoutView="100" workbookViewId="0">
      <selection activeCell="H9" sqref="H9:H11"/>
    </sheetView>
  </sheetViews>
  <sheetFormatPr defaultRowHeight="12.75"/>
  <cols>
    <col min="1" max="1" width="3.42578125" style="152" customWidth="1"/>
    <col min="2" max="2" width="11.28515625" style="152" customWidth="1"/>
    <col min="3" max="3" width="52.28515625" style="152" customWidth="1"/>
    <col min="4" max="4" width="14.28515625" style="186" customWidth="1"/>
    <col min="5" max="5" width="10" style="187" customWidth="1"/>
    <col min="6" max="6" width="10" style="188" customWidth="1"/>
    <col min="7" max="7" width="10" style="189" customWidth="1"/>
    <col min="8" max="8" width="14.85546875" style="152" customWidth="1"/>
    <col min="9" max="9" width="11.140625" style="152" customWidth="1"/>
    <col min="10" max="10" width="13.42578125" style="153" bestFit="1" customWidth="1"/>
    <col min="11" max="12" width="9.140625" style="153"/>
    <col min="13" max="255" width="9.140625" style="152"/>
    <col min="256" max="256" width="3.42578125" style="152" customWidth="1"/>
    <col min="257" max="257" width="11.28515625" style="152" customWidth="1"/>
    <col min="258" max="258" width="52.28515625" style="152" customWidth="1"/>
    <col min="259" max="259" width="14.28515625" style="152" customWidth="1"/>
    <col min="260" max="262" width="10" style="152" customWidth="1"/>
    <col min="263" max="263" width="14.85546875" style="152" customWidth="1"/>
    <col min="264" max="264" width="11.140625" style="152" customWidth="1"/>
    <col min="265" max="265" width="13.42578125" style="152" bestFit="1" customWidth="1"/>
    <col min="266" max="266" width="10.28515625" style="152" bestFit="1" customWidth="1"/>
    <col min="267" max="511" width="9.140625" style="152"/>
    <col min="512" max="512" width="3.42578125" style="152" customWidth="1"/>
    <col min="513" max="513" width="11.28515625" style="152" customWidth="1"/>
    <col min="514" max="514" width="52.28515625" style="152" customWidth="1"/>
    <col min="515" max="515" width="14.28515625" style="152" customWidth="1"/>
    <col min="516" max="518" width="10" style="152" customWidth="1"/>
    <col min="519" max="519" width="14.85546875" style="152" customWidth="1"/>
    <col min="520" max="520" width="11.140625" style="152" customWidth="1"/>
    <col min="521" max="521" width="13.42578125" style="152" bestFit="1" customWidth="1"/>
    <col min="522" max="522" width="10.28515625" style="152" bestFit="1" customWidth="1"/>
    <col min="523" max="767" width="9.140625" style="152"/>
    <col min="768" max="768" width="3.42578125" style="152" customWidth="1"/>
    <col min="769" max="769" width="11.28515625" style="152" customWidth="1"/>
    <col min="770" max="770" width="52.28515625" style="152" customWidth="1"/>
    <col min="771" max="771" width="14.28515625" style="152" customWidth="1"/>
    <col min="772" max="774" width="10" style="152" customWidth="1"/>
    <col min="775" max="775" width="14.85546875" style="152" customWidth="1"/>
    <col min="776" max="776" width="11.140625" style="152" customWidth="1"/>
    <col min="777" max="777" width="13.42578125" style="152" bestFit="1" customWidth="1"/>
    <col min="778" max="778" width="10.28515625" style="152" bestFit="1" customWidth="1"/>
    <col min="779" max="1023" width="9.140625" style="152"/>
    <col min="1024" max="1024" width="3.42578125" style="152" customWidth="1"/>
    <col min="1025" max="1025" width="11.28515625" style="152" customWidth="1"/>
    <col min="1026" max="1026" width="52.28515625" style="152" customWidth="1"/>
    <col min="1027" max="1027" width="14.28515625" style="152" customWidth="1"/>
    <col min="1028" max="1030" width="10" style="152" customWidth="1"/>
    <col min="1031" max="1031" width="14.85546875" style="152" customWidth="1"/>
    <col min="1032" max="1032" width="11.140625" style="152" customWidth="1"/>
    <col min="1033" max="1033" width="13.42578125" style="152" bestFit="1" customWidth="1"/>
    <col min="1034" max="1034" width="10.28515625" style="152" bestFit="1" customWidth="1"/>
    <col min="1035" max="1279" width="9.140625" style="152"/>
    <col min="1280" max="1280" width="3.42578125" style="152" customWidth="1"/>
    <col min="1281" max="1281" width="11.28515625" style="152" customWidth="1"/>
    <col min="1282" max="1282" width="52.28515625" style="152" customWidth="1"/>
    <col min="1283" max="1283" width="14.28515625" style="152" customWidth="1"/>
    <col min="1284" max="1286" width="10" style="152" customWidth="1"/>
    <col min="1287" max="1287" width="14.85546875" style="152" customWidth="1"/>
    <col min="1288" max="1288" width="11.140625" style="152" customWidth="1"/>
    <col min="1289" max="1289" width="13.42578125" style="152" bestFit="1" customWidth="1"/>
    <col min="1290" max="1290" width="10.28515625" style="152" bestFit="1" customWidth="1"/>
    <col min="1291" max="1535" width="9.140625" style="152"/>
    <col min="1536" max="1536" width="3.42578125" style="152" customWidth="1"/>
    <col min="1537" max="1537" width="11.28515625" style="152" customWidth="1"/>
    <col min="1538" max="1538" width="52.28515625" style="152" customWidth="1"/>
    <col min="1539" max="1539" width="14.28515625" style="152" customWidth="1"/>
    <col min="1540" max="1542" width="10" style="152" customWidth="1"/>
    <col min="1543" max="1543" width="14.85546875" style="152" customWidth="1"/>
    <col min="1544" max="1544" width="11.140625" style="152" customWidth="1"/>
    <col min="1545" max="1545" width="13.42578125" style="152" bestFit="1" customWidth="1"/>
    <col min="1546" max="1546" width="10.28515625" style="152" bestFit="1" customWidth="1"/>
    <col min="1547" max="1791" width="9.140625" style="152"/>
    <col min="1792" max="1792" width="3.42578125" style="152" customWidth="1"/>
    <col min="1793" max="1793" width="11.28515625" style="152" customWidth="1"/>
    <col min="1794" max="1794" width="52.28515625" style="152" customWidth="1"/>
    <col min="1795" max="1795" width="14.28515625" style="152" customWidth="1"/>
    <col min="1796" max="1798" width="10" style="152" customWidth="1"/>
    <col min="1799" max="1799" width="14.85546875" style="152" customWidth="1"/>
    <col min="1800" max="1800" width="11.140625" style="152" customWidth="1"/>
    <col min="1801" max="1801" width="13.42578125" style="152" bestFit="1" customWidth="1"/>
    <col min="1802" max="1802" width="10.28515625" style="152" bestFit="1" customWidth="1"/>
    <col min="1803" max="2047" width="9.140625" style="152"/>
    <col min="2048" max="2048" width="3.42578125" style="152" customWidth="1"/>
    <col min="2049" max="2049" width="11.28515625" style="152" customWidth="1"/>
    <col min="2050" max="2050" width="52.28515625" style="152" customWidth="1"/>
    <col min="2051" max="2051" width="14.28515625" style="152" customWidth="1"/>
    <col min="2052" max="2054" width="10" style="152" customWidth="1"/>
    <col min="2055" max="2055" width="14.85546875" style="152" customWidth="1"/>
    <col min="2056" max="2056" width="11.140625" style="152" customWidth="1"/>
    <col min="2057" max="2057" width="13.42578125" style="152" bestFit="1" customWidth="1"/>
    <col min="2058" max="2058" width="10.28515625" style="152" bestFit="1" customWidth="1"/>
    <col min="2059" max="2303" width="9.140625" style="152"/>
    <col min="2304" max="2304" width="3.42578125" style="152" customWidth="1"/>
    <col min="2305" max="2305" width="11.28515625" style="152" customWidth="1"/>
    <col min="2306" max="2306" width="52.28515625" style="152" customWidth="1"/>
    <col min="2307" max="2307" width="14.28515625" style="152" customWidth="1"/>
    <col min="2308" max="2310" width="10" style="152" customWidth="1"/>
    <col min="2311" max="2311" width="14.85546875" style="152" customWidth="1"/>
    <col min="2312" max="2312" width="11.140625" style="152" customWidth="1"/>
    <col min="2313" max="2313" width="13.42578125" style="152" bestFit="1" customWidth="1"/>
    <col min="2314" max="2314" width="10.28515625" style="152" bestFit="1" customWidth="1"/>
    <col min="2315" max="2559" width="9.140625" style="152"/>
    <col min="2560" max="2560" width="3.42578125" style="152" customWidth="1"/>
    <col min="2561" max="2561" width="11.28515625" style="152" customWidth="1"/>
    <col min="2562" max="2562" width="52.28515625" style="152" customWidth="1"/>
    <col min="2563" max="2563" width="14.28515625" style="152" customWidth="1"/>
    <col min="2564" max="2566" width="10" style="152" customWidth="1"/>
    <col min="2567" max="2567" width="14.85546875" style="152" customWidth="1"/>
    <col min="2568" max="2568" width="11.140625" style="152" customWidth="1"/>
    <col min="2569" max="2569" width="13.42578125" style="152" bestFit="1" customWidth="1"/>
    <col min="2570" max="2570" width="10.28515625" style="152" bestFit="1" customWidth="1"/>
    <col min="2571" max="2815" width="9.140625" style="152"/>
    <col min="2816" max="2816" width="3.42578125" style="152" customWidth="1"/>
    <col min="2817" max="2817" width="11.28515625" style="152" customWidth="1"/>
    <col min="2818" max="2818" width="52.28515625" style="152" customWidth="1"/>
    <col min="2819" max="2819" width="14.28515625" style="152" customWidth="1"/>
    <col min="2820" max="2822" width="10" style="152" customWidth="1"/>
    <col min="2823" max="2823" width="14.85546875" style="152" customWidth="1"/>
    <col min="2824" max="2824" width="11.140625" style="152" customWidth="1"/>
    <col min="2825" max="2825" width="13.42578125" style="152" bestFit="1" customWidth="1"/>
    <col min="2826" max="2826" width="10.28515625" style="152" bestFit="1" customWidth="1"/>
    <col min="2827" max="3071" width="9.140625" style="152"/>
    <col min="3072" max="3072" width="3.42578125" style="152" customWidth="1"/>
    <col min="3073" max="3073" width="11.28515625" style="152" customWidth="1"/>
    <col min="3074" max="3074" width="52.28515625" style="152" customWidth="1"/>
    <col min="3075" max="3075" width="14.28515625" style="152" customWidth="1"/>
    <col min="3076" max="3078" width="10" style="152" customWidth="1"/>
    <col min="3079" max="3079" width="14.85546875" style="152" customWidth="1"/>
    <col min="3080" max="3080" width="11.140625" style="152" customWidth="1"/>
    <col min="3081" max="3081" width="13.42578125" style="152" bestFit="1" customWidth="1"/>
    <col min="3082" max="3082" width="10.28515625" style="152" bestFit="1" customWidth="1"/>
    <col min="3083" max="3327" width="9.140625" style="152"/>
    <col min="3328" max="3328" width="3.42578125" style="152" customWidth="1"/>
    <col min="3329" max="3329" width="11.28515625" style="152" customWidth="1"/>
    <col min="3330" max="3330" width="52.28515625" style="152" customWidth="1"/>
    <col min="3331" max="3331" width="14.28515625" style="152" customWidth="1"/>
    <col min="3332" max="3334" width="10" style="152" customWidth="1"/>
    <col min="3335" max="3335" width="14.85546875" style="152" customWidth="1"/>
    <col min="3336" max="3336" width="11.140625" style="152" customWidth="1"/>
    <col min="3337" max="3337" width="13.42578125" style="152" bestFit="1" customWidth="1"/>
    <col min="3338" max="3338" width="10.28515625" style="152" bestFit="1" customWidth="1"/>
    <col min="3339" max="3583" width="9.140625" style="152"/>
    <col min="3584" max="3584" width="3.42578125" style="152" customWidth="1"/>
    <col min="3585" max="3585" width="11.28515625" style="152" customWidth="1"/>
    <col min="3586" max="3586" width="52.28515625" style="152" customWidth="1"/>
    <col min="3587" max="3587" width="14.28515625" style="152" customWidth="1"/>
    <col min="3588" max="3590" width="10" style="152" customWidth="1"/>
    <col min="3591" max="3591" width="14.85546875" style="152" customWidth="1"/>
    <col min="3592" max="3592" width="11.140625" style="152" customWidth="1"/>
    <col min="3593" max="3593" width="13.42578125" style="152" bestFit="1" customWidth="1"/>
    <col min="3594" max="3594" width="10.28515625" style="152" bestFit="1" customWidth="1"/>
    <col min="3595" max="3839" width="9.140625" style="152"/>
    <col min="3840" max="3840" width="3.42578125" style="152" customWidth="1"/>
    <col min="3841" max="3841" width="11.28515625" style="152" customWidth="1"/>
    <col min="3842" max="3842" width="52.28515625" style="152" customWidth="1"/>
    <col min="3843" max="3843" width="14.28515625" style="152" customWidth="1"/>
    <col min="3844" max="3846" width="10" style="152" customWidth="1"/>
    <col min="3847" max="3847" width="14.85546875" style="152" customWidth="1"/>
    <col min="3848" max="3848" width="11.140625" style="152" customWidth="1"/>
    <col min="3849" max="3849" width="13.42578125" style="152" bestFit="1" customWidth="1"/>
    <col min="3850" max="3850" width="10.28515625" style="152" bestFit="1" customWidth="1"/>
    <col min="3851" max="4095" width="9.140625" style="152"/>
    <col min="4096" max="4096" width="3.42578125" style="152" customWidth="1"/>
    <col min="4097" max="4097" width="11.28515625" style="152" customWidth="1"/>
    <col min="4098" max="4098" width="52.28515625" style="152" customWidth="1"/>
    <col min="4099" max="4099" width="14.28515625" style="152" customWidth="1"/>
    <col min="4100" max="4102" width="10" style="152" customWidth="1"/>
    <col min="4103" max="4103" width="14.85546875" style="152" customWidth="1"/>
    <col min="4104" max="4104" width="11.140625" style="152" customWidth="1"/>
    <col min="4105" max="4105" width="13.42578125" style="152" bestFit="1" customWidth="1"/>
    <col min="4106" max="4106" width="10.28515625" style="152" bestFit="1" customWidth="1"/>
    <col min="4107" max="4351" width="9.140625" style="152"/>
    <col min="4352" max="4352" width="3.42578125" style="152" customWidth="1"/>
    <col min="4353" max="4353" width="11.28515625" style="152" customWidth="1"/>
    <col min="4354" max="4354" width="52.28515625" style="152" customWidth="1"/>
    <col min="4355" max="4355" width="14.28515625" style="152" customWidth="1"/>
    <col min="4356" max="4358" width="10" style="152" customWidth="1"/>
    <col min="4359" max="4359" width="14.85546875" style="152" customWidth="1"/>
    <col min="4360" max="4360" width="11.140625" style="152" customWidth="1"/>
    <col min="4361" max="4361" width="13.42578125" style="152" bestFit="1" customWidth="1"/>
    <col min="4362" max="4362" width="10.28515625" style="152" bestFit="1" customWidth="1"/>
    <col min="4363" max="4607" width="9.140625" style="152"/>
    <col min="4608" max="4608" width="3.42578125" style="152" customWidth="1"/>
    <col min="4609" max="4609" width="11.28515625" style="152" customWidth="1"/>
    <col min="4610" max="4610" width="52.28515625" style="152" customWidth="1"/>
    <col min="4611" max="4611" width="14.28515625" style="152" customWidth="1"/>
    <col min="4612" max="4614" width="10" style="152" customWidth="1"/>
    <col min="4615" max="4615" width="14.85546875" style="152" customWidth="1"/>
    <col min="4616" max="4616" width="11.140625" style="152" customWidth="1"/>
    <col min="4617" max="4617" width="13.42578125" style="152" bestFit="1" customWidth="1"/>
    <col min="4618" max="4618" width="10.28515625" style="152" bestFit="1" customWidth="1"/>
    <col min="4619" max="4863" width="9.140625" style="152"/>
    <col min="4864" max="4864" width="3.42578125" style="152" customWidth="1"/>
    <col min="4865" max="4865" width="11.28515625" style="152" customWidth="1"/>
    <col min="4866" max="4866" width="52.28515625" style="152" customWidth="1"/>
    <col min="4867" max="4867" width="14.28515625" style="152" customWidth="1"/>
    <col min="4868" max="4870" width="10" style="152" customWidth="1"/>
    <col min="4871" max="4871" width="14.85546875" style="152" customWidth="1"/>
    <col min="4872" max="4872" width="11.140625" style="152" customWidth="1"/>
    <col min="4873" max="4873" width="13.42578125" style="152" bestFit="1" customWidth="1"/>
    <col min="4874" max="4874" width="10.28515625" style="152" bestFit="1" customWidth="1"/>
    <col min="4875" max="5119" width="9.140625" style="152"/>
    <col min="5120" max="5120" width="3.42578125" style="152" customWidth="1"/>
    <col min="5121" max="5121" width="11.28515625" style="152" customWidth="1"/>
    <col min="5122" max="5122" width="52.28515625" style="152" customWidth="1"/>
    <col min="5123" max="5123" width="14.28515625" style="152" customWidth="1"/>
    <col min="5124" max="5126" width="10" style="152" customWidth="1"/>
    <col min="5127" max="5127" width="14.85546875" style="152" customWidth="1"/>
    <col min="5128" max="5128" width="11.140625" style="152" customWidth="1"/>
    <col min="5129" max="5129" width="13.42578125" style="152" bestFit="1" customWidth="1"/>
    <col min="5130" max="5130" width="10.28515625" style="152" bestFit="1" customWidth="1"/>
    <col min="5131" max="5375" width="9.140625" style="152"/>
    <col min="5376" max="5376" width="3.42578125" style="152" customWidth="1"/>
    <col min="5377" max="5377" width="11.28515625" style="152" customWidth="1"/>
    <col min="5378" max="5378" width="52.28515625" style="152" customWidth="1"/>
    <col min="5379" max="5379" width="14.28515625" style="152" customWidth="1"/>
    <col min="5380" max="5382" width="10" style="152" customWidth="1"/>
    <col min="5383" max="5383" width="14.85546875" style="152" customWidth="1"/>
    <col min="5384" max="5384" width="11.140625" style="152" customWidth="1"/>
    <col min="5385" max="5385" width="13.42578125" style="152" bestFit="1" customWidth="1"/>
    <col min="5386" max="5386" width="10.28515625" style="152" bestFit="1" customWidth="1"/>
    <col min="5387" max="5631" width="9.140625" style="152"/>
    <col min="5632" max="5632" width="3.42578125" style="152" customWidth="1"/>
    <col min="5633" max="5633" width="11.28515625" style="152" customWidth="1"/>
    <col min="5634" max="5634" width="52.28515625" style="152" customWidth="1"/>
    <col min="5635" max="5635" width="14.28515625" style="152" customWidth="1"/>
    <col min="5636" max="5638" width="10" style="152" customWidth="1"/>
    <col min="5639" max="5639" width="14.85546875" style="152" customWidth="1"/>
    <col min="5640" max="5640" width="11.140625" style="152" customWidth="1"/>
    <col min="5641" max="5641" width="13.42578125" style="152" bestFit="1" customWidth="1"/>
    <col min="5642" max="5642" width="10.28515625" style="152" bestFit="1" customWidth="1"/>
    <col min="5643" max="5887" width="9.140625" style="152"/>
    <col min="5888" max="5888" width="3.42578125" style="152" customWidth="1"/>
    <col min="5889" max="5889" width="11.28515625" style="152" customWidth="1"/>
    <col min="5890" max="5890" width="52.28515625" style="152" customWidth="1"/>
    <col min="5891" max="5891" width="14.28515625" style="152" customWidth="1"/>
    <col min="5892" max="5894" width="10" style="152" customWidth="1"/>
    <col min="5895" max="5895" width="14.85546875" style="152" customWidth="1"/>
    <col min="5896" max="5896" width="11.140625" style="152" customWidth="1"/>
    <col min="5897" max="5897" width="13.42578125" style="152" bestFit="1" customWidth="1"/>
    <col min="5898" max="5898" width="10.28515625" style="152" bestFit="1" customWidth="1"/>
    <col min="5899" max="6143" width="9.140625" style="152"/>
    <col min="6144" max="6144" width="3.42578125" style="152" customWidth="1"/>
    <col min="6145" max="6145" width="11.28515625" style="152" customWidth="1"/>
    <col min="6146" max="6146" width="52.28515625" style="152" customWidth="1"/>
    <col min="6147" max="6147" width="14.28515625" style="152" customWidth="1"/>
    <col min="6148" max="6150" width="10" style="152" customWidth="1"/>
    <col min="6151" max="6151" width="14.85546875" style="152" customWidth="1"/>
    <col min="6152" max="6152" width="11.140625" style="152" customWidth="1"/>
    <col min="6153" max="6153" width="13.42578125" style="152" bestFit="1" customWidth="1"/>
    <col min="6154" max="6154" width="10.28515625" style="152" bestFit="1" customWidth="1"/>
    <col min="6155" max="6399" width="9.140625" style="152"/>
    <col min="6400" max="6400" width="3.42578125" style="152" customWidth="1"/>
    <col min="6401" max="6401" width="11.28515625" style="152" customWidth="1"/>
    <col min="6402" max="6402" width="52.28515625" style="152" customWidth="1"/>
    <col min="6403" max="6403" width="14.28515625" style="152" customWidth="1"/>
    <col min="6404" max="6406" width="10" style="152" customWidth="1"/>
    <col min="6407" max="6407" width="14.85546875" style="152" customWidth="1"/>
    <col min="6408" max="6408" width="11.140625" style="152" customWidth="1"/>
    <col min="6409" max="6409" width="13.42578125" style="152" bestFit="1" customWidth="1"/>
    <col min="6410" max="6410" width="10.28515625" style="152" bestFit="1" customWidth="1"/>
    <col min="6411" max="6655" width="9.140625" style="152"/>
    <col min="6656" max="6656" width="3.42578125" style="152" customWidth="1"/>
    <col min="6657" max="6657" width="11.28515625" style="152" customWidth="1"/>
    <col min="6658" max="6658" width="52.28515625" style="152" customWidth="1"/>
    <col min="6659" max="6659" width="14.28515625" style="152" customWidth="1"/>
    <col min="6660" max="6662" width="10" style="152" customWidth="1"/>
    <col min="6663" max="6663" width="14.85546875" style="152" customWidth="1"/>
    <col min="6664" max="6664" width="11.140625" style="152" customWidth="1"/>
    <col min="6665" max="6665" width="13.42578125" style="152" bestFit="1" customWidth="1"/>
    <col min="6666" max="6666" width="10.28515625" style="152" bestFit="1" customWidth="1"/>
    <col min="6667" max="6911" width="9.140625" style="152"/>
    <col min="6912" max="6912" width="3.42578125" style="152" customWidth="1"/>
    <col min="6913" max="6913" width="11.28515625" style="152" customWidth="1"/>
    <col min="6914" max="6914" width="52.28515625" style="152" customWidth="1"/>
    <col min="6915" max="6915" width="14.28515625" style="152" customWidth="1"/>
    <col min="6916" max="6918" width="10" style="152" customWidth="1"/>
    <col min="6919" max="6919" width="14.85546875" style="152" customWidth="1"/>
    <col min="6920" max="6920" width="11.140625" style="152" customWidth="1"/>
    <col min="6921" max="6921" width="13.42578125" style="152" bestFit="1" customWidth="1"/>
    <col min="6922" max="6922" width="10.28515625" style="152" bestFit="1" customWidth="1"/>
    <col min="6923" max="7167" width="9.140625" style="152"/>
    <col min="7168" max="7168" width="3.42578125" style="152" customWidth="1"/>
    <col min="7169" max="7169" width="11.28515625" style="152" customWidth="1"/>
    <col min="7170" max="7170" width="52.28515625" style="152" customWidth="1"/>
    <col min="7171" max="7171" width="14.28515625" style="152" customWidth="1"/>
    <col min="7172" max="7174" width="10" style="152" customWidth="1"/>
    <col min="7175" max="7175" width="14.85546875" style="152" customWidth="1"/>
    <col min="7176" max="7176" width="11.140625" style="152" customWidth="1"/>
    <col min="7177" max="7177" width="13.42578125" style="152" bestFit="1" customWidth="1"/>
    <col min="7178" max="7178" width="10.28515625" style="152" bestFit="1" customWidth="1"/>
    <col min="7179" max="7423" width="9.140625" style="152"/>
    <col min="7424" max="7424" width="3.42578125" style="152" customWidth="1"/>
    <col min="7425" max="7425" width="11.28515625" style="152" customWidth="1"/>
    <col min="7426" max="7426" width="52.28515625" style="152" customWidth="1"/>
    <col min="7427" max="7427" width="14.28515625" style="152" customWidth="1"/>
    <col min="7428" max="7430" width="10" style="152" customWidth="1"/>
    <col min="7431" max="7431" width="14.85546875" style="152" customWidth="1"/>
    <col min="7432" max="7432" width="11.140625" style="152" customWidth="1"/>
    <col min="7433" max="7433" width="13.42578125" style="152" bestFit="1" customWidth="1"/>
    <col min="7434" max="7434" width="10.28515625" style="152" bestFit="1" customWidth="1"/>
    <col min="7435" max="7679" width="9.140625" style="152"/>
    <col min="7680" max="7680" width="3.42578125" style="152" customWidth="1"/>
    <col min="7681" max="7681" width="11.28515625" style="152" customWidth="1"/>
    <col min="7682" max="7682" width="52.28515625" style="152" customWidth="1"/>
    <col min="7683" max="7683" width="14.28515625" style="152" customWidth="1"/>
    <col min="7684" max="7686" width="10" style="152" customWidth="1"/>
    <col min="7687" max="7687" width="14.85546875" style="152" customWidth="1"/>
    <col min="7688" max="7688" width="11.140625" style="152" customWidth="1"/>
    <col min="7689" max="7689" width="13.42578125" style="152" bestFit="1" customWidth="1"/>
    <col min="7690" max="7690" width="10.28515625" style="152" bestFit="1" customWidth="1"/>
    <col min="7691" max="7935" width="9.140625" style="152"/>
    <col min="7936" max="7936" width="3.42578125" style="152" customWidth="1"/>
    <col min="7937" max="7937" width="11.28515625" style="152" customWidth="1"/>
    <col min="7938" max="7938" width="52.28515625" style="152" customWidth="1"/>
    <col min="7939" max="7939" width="14.28515625" style="152" customWidth="1"/>
    <col min="7940" max="7942" width="10" style="152" customWidth="1"/>
    <col min="7943" max="7943" width="14.85546875" style="152" customWidth="1"/>
    <col min="7944" max="7944" width="11.140625" style="152" customWidth="1"/>
    <col min="7945" max="7945" width="13.42578125" style="152" bestFit="1" customWidth="1"/>
    <col min="7946" max="7946" width="10.28515625" style="152" bestFit="1" customWidth="1"/>
    <col min="7947" max="8191" width="9.140625" style="152"/>
    <col min="8192" max="8192" width="3.42578125" style="152" customWidth="1"/>
    <col min="8193" max="8193" width="11.28515625" style="152" customWidth="1"/>
    <col min="8194" max="8194" width="52.28515625" style="152" customWidth="1"/>
    <col min="8195" max="8195" width="14.28515625" style="152" customWidth="1"/>
    <col min="8196" max="8198" width="10" style="152" customWidth="1"/>
    <col min="8199" max="8199" width="14.85546875" style="152" customWidth="1"/>
    <col min="8200" max="8200" width="11.140625" style="152" customWidth="1"/>
    <col min="8201" max="8201" width="13.42578125" style="152" bestFit="1" customWidth="1"/>
    <col min="8202" max="8202" width="10.28515625" style="152" bestFit="1" customWidth="1"/>
    <col min="8203" max="8447" width="9.140625" style="152"/>
    <col min="8448" max="8448" width="3.42578125" style="152" customWidth="1"/>
    <col min="8449" max="8449" width="11.28515625" style="152" customWidth="1"/>
    <col min="8450" max="8450" width="52.28515625" style="152" customWidth="1"/>
    <col min="8451" max="8451" width="14.28515625" style="152" customWidth="1"/>
    <col min="8452" max="8454" width="10" style="152" customWidth="1"/>
    <col min="8455" max="8455" width="14.85546875" style="152" customWidth="1"/>
    <col min="8456" max="8456" width="11.140625" style="152" customWidth="1"/>
    <col min="8457" max="8457" width="13.42578125" style="152" bestFit="1" customWidth="1"/>
    <col min="8458" max="8458" width="10.28515625" style="152" bestFit="1" customWidth="1"/>
    <col min="8459" max="8703" width="9.140625" style="152"/>
    <col min="8704" max="8704" width="3.42578125" style="152" customWidth="1"/>
    <col min="8705" max="8705" width="11.28515625" style="152" customWidth="1"/>
    <col min="8706" max="8706" width="52.28515625" style="152" customWidth="1"/>
    <col min="8707" max="8707" width="14.28515625" style="152" customWidth="1"/>
    <col min="8708" max="8710" width="10" style="152" customWidth="1"/>
    <col min="8711" max="8711" width="14.85546875" style="152" customWidth="1"/>
    <col min="8712" max="8712" width="11.140625" style="152" customWidth="1"/>
    <col min="8713" max="8713" width="13.42578125" style="152" bestFit="1" customWidth="1"/>
    <col min="8714" max="8714" width="10.28515625" style="152" bestFit="1" customWidth="1"/>
    <col min="8715" max="8959" width="9.140625" style="152"/>
    <col min="8960" max="8960" width="3.42578125" style="152" customWidth="1"/>
    <col min="8961" max="8961" width="11.28515625" style="152" customWidth="1"/>
    <col min="8962" max="8962" width="52.28515625" style="152" customWidth="1"/>
    <col min="8963" max="8963" width="14.28515625" style="152" customWidth="1"/>
    <col min="8964" max="8966" width="10" style="152" customWidth="1"/>
    <col min="8967" max="8967" width="14.85546875" style="152" customWidth="1"/>
    <col min="8968" max="8968" width="11.140625" style="152" customWidth="1"/>
    <col min="8969" max="8969" width="13.42578125" style="152" bestFit="1" customWidth="1"/>
    <col min="8970" max="8970" width="10.28515625" style="152" bestFit="1" customWidth="1"/>
    <col min="8971" max="9215" width="9.140625" style="152"/>
    <col min="9216" max="9216" width="3.42578125" style="152" customWidth="1"/>
    <col min="9217" max="9217" width="11.28515625" style="152" customWidth="1"/>
    <col min="9218" max="9218" width="52.28515625" style="152" customWidth="1"/>
    <col min="9219" max="9219" width="14.28515625" style="152" customWidth="1"/>
    <col min="9220" max="9222" width="10" style="152" customWidth="1"/>
    <col min="9223" max="9223" width="14.85546875" style="152" customWidth="1"/>
    <col min="9224" max="9224" width="11.140625" style="152" customWidth="1"/>
    <col min="9225" max="9225" width="13.42578125" style="152" bestFit="1" customWidth="1"/>
    <col min="9226" max="9226" width="10.28515625" style="152" bestFit="1" customWidth="1"/>
    <col min="9227" max="9471" width="9.140625" style="152"/>
    <col min="9472" max="9472" width="3.42578125" style="152" customWidth="1"/>
    <col min="9473" max="9473" width="11.28515625" style="152" customWidth="1"/>
    <col min="9474" max="9474" width="52.28515625" style="152" customWidth="1"/>
    <col min="9475" max="9475" width="14.28515625" style="152" customWidth="1"/>
    <col min="9476" max="9478" width="10" style="152" customWidth="1"/>
    <col min="9479" max="9479" width="14.85546875" style="152" customWidth="1"/>
    <col min="9480" max="9480" width="11.140625" style="152" customWidth="1"/>
    <col min="9481" max="9481" width="13.42578125" style="152" bestFit="1" customWidth="1"/>
    <col min="9482" max="9482" width="10.28515625" style="152" bestFit="1" customWidth="1"/>
    <col min="9483" max="9727" width="9.140625" style="152"/>
    <col min="9728" max="9728" width="3.42578125" style="152" customWidth="1"/>
    <col min="9729" max="9729" width="11.28515625" style="152" customWidth="1"/>
    <col min="9730" max="9730" width="52.28515625" style="152" customWidth="1"/>
    <col min="9731" max="9731" width="14.28515625" style="152" customWidth="1"/>
    <col min="9732" max="9734" width="10" style="152" customWidth="1"/>
    <col min="9735" max="9735" width="14.85546875" style="152" customWidth="1"/>
    <col min="9736" max="9736" width="11.140625" style="152" customWidth="1"/>
    <col min="9737" max="9737" width="13.42578125" style="152" bestFit="1" customWidth="1"/>
    <col min="9738" max="9738" width="10.28515625" style="152" bestFit="1" customWidth="1"/>
    <col min="9739" max="9983" width="9.140625" style="152"/>
    <col min="9984" max="9984" width="3.42578125" style="152" customWidth="1"/>
    <col min="9985" max="9985" width="11.28515625" style="152" customWidth="1"/>
    <col min="9986" max="9986" width="52.28515625" style="152" customWidth="1"/>
    <col min="9987" max="9987" width="14.28515625" style="152" customWidth="1"/>
    <col min="9988" max="9990" width="10" style="152" customWidth="1"/>
    <col min="9991" max="9991" width="14.85546875" style="152" customWidth="1"/>
    <col min="9992" max="9992" width="11.140625" style="152" customWidth="1"/>
    <col min="9993" max="9993" width="13.42578125" style="152" bestFit="1" customWidth="1"/>
    <col min="9994" max="9994" width="10.28515625" style="152" bestFit="1" customWidth="1"/>
    <col min="9995" max="10239" width="9.140625" style="152"/>
    <col min="10240" max="10240" width="3.42578125" style="152" customWidth="1"/>
    <col min="10241" max="10241" width="11.28515625" style="152" customWidth="1"/>
    <col min="10242" max="10242" width="52.28515625" style="152" customWidth="1"/>
    <col min="10243" max="10243" width="14.28515625" style="152" customWidth="1"/>
    <col min="10244" max="10246" width="10" style="152" customWidth="1"/>
    <col min="10247" max="10247" width="14.85546875" style="152" customWidth="1"/>
    <col min="10248" max="10248" width="11.140625" style="152" customWidth="1"/>
    <col min="10249" max="10249" width="13.42578125" style="152" bestFit="1" customWidth="1"/>
    <col min="10250" max="10250" width="10.28515625" style="152" bestFit="1" customWidth="1"/>
    <col min="10251" max="10495" width="9.140625" style="152"/>
    <col min="10496" max="10496" width="3.42578125" style="152" customWidth="1"/>
    <col min="10497" max="10497" width="11.28515625" style="152" customWidth="1"/>
    <col min="10498" max="10498" width="52.28515625" style="152" customWidth="1"/>
    <col min="10499" max="10499" width="14.28515625" style="152" customWidth="1"/>
    <col min="10500" max="10502" width="10" style="152" customWidth="1"/>
    <col min="10503" max="10503" width="14.85546875" style="152" customWidth="1"/>
    <col min="10504" max="10504" width="11.140625" style="152" customWidth="1"/>
    <col min="10505" max="10505" width="13.42578125" style="152" bestFit="1" customWidth="1"/>
    <col min="10506" max="10506" width="10.28515625" style="152" bestFit="1" customWidth="1"/>
    <col min="10507" max="10751" width="9.140625" style="152"/>
    <col min="10752" max="10752" width="3.42578125" style="152" customWidth="1"/>
    <col min="10753" max="10753" width="11.28515625" style="152" customWidth="1"/>
    <col min="10754" max="10754" width="52.28515625" style="152" customWidth="1"/>
    <col min="10755" max="10755" width="14.28515625" style="152" customWidth="1"/>
    <col min="10756" max="10758" width="10" style="152" customWidth="1"/>
    <col min="10759" max="10759" width="14.85546875" style="152" customWidth="1"/>
    <col min="10760" max="10760" width="11.140625" style="152" customWidth="1"/>
    <col min="10761" max="10761" width="13.42578125" style="152" bestFit="1" customWidth="1"/>
    <col min="10762" max="10762" width="10.28515625" style="152" bestFit="1" customWidth="1"/>
    <col min="10763" max="11007" width="9.140625" style="152"/>
    <col min="11008" max="11008" width="3.42578125" style="152" customWidth="1"/>
    <col min="11009" max="11009" width="11.28515625" style="152" customWidth="1"/>
    <col min="11010" max="11010" width="52.28515625" style="152" customWidth="1"/>
    <col min="11011" max="11011" width="14.28515625" style="152" customWidth="1"/>
    <col min="11012" max="11014" width="10" style="152" customWidth="1"/>
    <col min="11015" max="11015" width="14.85546875" style="152" customWidth="1"/>
    <col min="11016" max="11016" width="11.140625" style="152" customWidth="1"/>
    <col min="11017" max="11017" width="13.42578125" style="152" bestFit="1" customWidth="1"/>
    <col min="11018" max="11018" width="10.28515625" style="152" bestFit="1" customWidth="1"/>
    <col min="11019" max="11263" width="9.140625" style="152"/>
    <col min="11264" max="11264" width="3.42578125" style="152" customWidth="1"/>
    <col min="11265" max="11265" width="11.28515625" style="152" customWidth="1"/>
    <col min="11266" max="11266" width="52.28515625" style="152" customWidth="1"/>
    <col min="11267" max="11267" width="14.28515625" style="152" customWidth="1"/>
    <col min="11268" max="11270" width="10" style="152" customWidth="1"/>
    <col min="11271" max="11271" width="14.85546875" style="152" customWidth="1"/>
    <col min="11272" max="11272" width="11.140625" style="152" customWidth="1"/>
    <col min="11273" max="11273" width="13.42578125" style="152" bestFit="1" customWidth="1"/>
    <col min="11274" max="11274" width="10.28515625" style="152" bestFit="1" customWidth="1"/>
    <col min="11275" max="11519" width="9.140625" style="152"/>
    <col min="11520" max="11520" width="3.42578125" style="152" customWidth="1"/>
    <col min="11521" max="11521" width="11.28515625" style="152" customWidth="1"/>
    <col min="11522" max="11522" width="52.28515625" style="152" customWidth="1"/>
    <col min="11523" max="11523" width="14.28515625" style="152" customWidth="1"/>
    <col min="11524" max="11526" width="10" style="152" customWidth="1"/>
    <col min="11527" max="11527" width="14.85546875" style="152" customWidth="1"/>
    <col min="11528" max="11528" width="11.140625" style="152" customWidth="1"/>
    <col min="11529" max="11529" width="13.42578125" style="152" bestFit="1" customWidth="1"/>
    <col min="11530" max="11530" width="10.28515625" style="152" bestFit="1" customWidth="1"/>
    <col min="11531" max="11775" width="9.140625" style="152"/>
    <col min="11776" max="11776" width="3.42578125" style="152" customWidth="1"/>
    <col min="11777" max="11777" width="11.28515625" style="152" customWidth="1"/>
    <col min="11778" max="11778" width="52.28515625" style="152" customWidth="1"/>
    <col min="11779" max="11779" width="14.28515625" style="152" customWidth="1"/>
    <col min="11780" max="11782" width="10" style="152" customWidth="1"/>
    <col min="11783" max="11783" width="14.85546875" style="152" customWidth="1"/>
    <col min="11784" max="11784" width="11.140625" style="152" customWidth="1"/>
    <col min="11785" max="11785" width="13.42578125" style="152" bestFit="1" customWidth="1"/>
    <col min="11786" max="11786" width="10.28515625" style="152" bestFit="1" customWidth="1"/>
    <col min="11787" max="12031" width="9.140625" style="152"/>
    <col min="12032" max="12032" width="3.42578125" style="152" customWidth="1"/>
    <col min="12033" max="12033" width="11.28515625" style="152" customWidth="1"/>
    <col min="12034" max="12034" width="52.28515625" style="152" customWidth="1"/>
    <col min="12035" max="12035" width="14.28515625" style="152" customWidth="1"/>
    <col min="12036" max="12038" width="10" style="152" customWidth="1"/>
    <col min="12039" max="12039" width="14.85546875" style="152" customWidth="1"/>
    <col min="12040" max="12040" width="11.140625" style="152" customWidth="1"/>
    <col min="12041" max="12041" width="13.42578125" style="152" bestFit="1" customWidth="1"/>
    <col min="12042" max="12042" width="10.28515625" style="152" bestFit="1" customWidth="1"/>
    <col min="12043" max="12287" width="9.140625" style="152"/>
    <col min="12288" max="12288" width="3.42578125" style="152" customWidth="1"/>
    <col min="12289" max="12289" width="11.28515625" style="152" customWidth="1"/>
    <col min="12290" max="12290" width="52.28515625" style="152" customWidth="1"/>
    <col min="12291" max="12291" width="14.28515625" style="152" customWidth="1"/>
    <col min="12292" max="12294" width="10" style="152" customWidth="1"/>
    <col min="12295" max="12295" width="14.85546875" style="152" customWidth="1"/>
    <col min="12296" max="12296" width="11.140625" style="152" customWidth="1"/>
    <col min="12297" max="12297" width="13.42578125" style="152" bestFit="1" customWidth="1"/>
    <col min="12298" max="12298" width="10.28515625" style="152" bestFit="1" customWidth="1"/>
    <col min="12299" max="12543" width="9.140625" style="152"/>
    <col min="12544" max="12544" width="3.42578125" style="152" customWidth="1"/>
    <col min="12545" max="12545" width="11.28515625" style="152" customWidth="1"/>
    <col min="12546" max="12546" width="52.28515625" style="152" customWidth="1"/>
    <col min="12547" max="12547" width="14.28515625" style="152" customWidth="1"/>
    <col min="12548" max="12550" width="10" style="152" customWidth="1"/>
    <col min="12551" max="12551" width="14.85546875" style="152" customWidth="1"/>
    <col min="12552" max="12552" width="11.140625" style="152" customWidth="1"/>
    <col min="12553" max="12553" width="13.42578125" style="152" bestFit="1" customWidth="1"/>
    <col min="12554" max="12554" width="10.28515625" style="152" bestFit="1" customWidth="1"/>
    <col min="12555" max="12799" width="9.140625" style="152"/>
    <col min="12800" max="12800" width="3.42578125" style="152" customWidth="1"/>
    <col min="12801" max="12801" width="11.28515625" style="152" customWidth="1"/>
    <col min="12802" max="12802" width="52.28515625" style="152" customWidth="1"/>
    <col min="12803" max="12803" width="14.28515625" style="152" customWidth="1"/>
    <col min="12804" max="12806" width="10" style="152" customWidth="1"/>
    <col min="12807" max="12807" width="14.85546875" style="152" customWidth="1"/>
    <col min="12808" max="12808" width="11.140625" style="152" customWidth="1"/>
    <col min="12809" max="12809" width="13.42578125" style="152" bestFit="1" customWidth="1"/>
    <col min="12810" max="12810" width="10.28515625" style="152" bestFit="1" customWidth="1"/>
    <col min="12811" max="13055" width="9.140625" style="152"/>
    <col min="13056" max="13056" width="3.42578125" style="152" customWidth="1"/>
    <col min="13057" max="13057" width="11.28515625" style="152" customWidth="1"/>
    <col min="13058" max="13058" width="52.28515625" style="152" customWidth="1"/>
    <col min="13059" max="13059" width="14.28515625" style="152" customWidth="1"/>
    <col min="13060" max="13062" width="10" style="152" customWidth="1"/>
    <col min="13063" max="13063" width="14.85546875" style="152" customWidth="1"/>
    <col min="13064" max="13064" width="11.140625" style="152" customWidth="1"/>
    <col min="13065" max="13065" width="13.42578125" style="152" bestFit="1" customWidth="1"/>
    <col min="13066" max="13066" width="10.28515625" style="152" bestFit="1" customWidth="1"/>
    <col min="13067" max="13311" width="9.140625" style="152"/>
    <col min="13312" max="13312" width="3.42578125" style="152" customWidth="1"/>
    <col min="13313" max="13313" width="11.28515625" style="152" customWidth="1"/>
    <col min="13314" max="13314" width="52.28515625" style="152" customWidth="1"/>
    <col min="13315" max="13315" width="14.28515625" style="152" customWidth="1"/>
    <col min="13316" max="13318" width="10" style="152" customWidth="1"/>
    <col min="13319" max="13319" width="14.85546875" style="152" customWidth="1"/>
    <col min="13320" max="13320" width="11.140625" style="152" customWidth="1"/>
    <col min="13321" max="13321" width="13.42578125" style="152" bestFit="1" customWidth="1"/>
    <col min="13322" max="13322" width="10.28515625" style="152" bestFit="1" customWidth="1"/>
    <col min="13323" max="13567" width="9.140625" style="152"/>
    <col min="13568" max="13568" width="3.42578125" style="152" customWidth="1"/>
    <col min="13569" max="13569" width="11.28515625" style="152" customWidth="1"/>
    <col min="13570" max="13570" width="52.28515625" style="152" customWidth="1"/>
    <col min="13571" max="13571" width="14.28515625" style="152" customWidth="1"/>
    <col min="13572" max="13574" width="10" style="152" customWidth="1"/>
    <col min="13575" max="13575" width="14.85546875" style="152" customWidth="1"/>
    <col min="13576" max="13576" width="11.140625" style="152" customWidth="1"/>
    <col min="13577" max="13577" width="13.42578125" style="152" bestFit="1" customWidth="1"/>
    <col min="13578" max="13578" width="10.28515625" style="152" bestFit="1" customWidth="1"/>
    <col min="13579" max="13823" width="9.140625" style="152"/>
    <col min="13824" max="13824" width="3.42578125" style="152" customWidth="1"/>
    <col min="13825" max="13825" width="11.28515625" style="152" customWidth="1"/>
    <col min="13826" max="13826" width="52.28515625" style="152" customWidth="1"/>
    <col min="13827" max="13827" width="14.28515625" style="152" customWidth="1"/>
    <col min="13828" max="13830" width="10" style="152" customWidth="1"/>
    <col min="13831" max="13831" width="14.85546875" style="152" customWidth="1"/>
    <col min="13832" max="13832" width="11.140625" style="152" customWidth="1"/>
    <col min="13833" max="13833" width="13.42578125" style="152" bestFit="1" customWidth="1"/>
    <col min="13834" max="13834" width="10.28515625" style="152" bestFit="1" customWidth="1"/>
    <col min="13835" max="14079" width="9.140625" style="152"/>
    <col min="14080" max="14080" width="3.42578125" style="152" customWidth="1"/>
    <col min="14081" max="14081" width="11.28515625" style="152" customWidth="1"/>
    <col min="14082" max="14082" width="52.28515625" style="152" customWidth="1"/>
    <col min="14083" max="14083" width="14.28515625" style="152" customWidth="1"/>
    <col min="14084" max="14086" width="10" style="152" customWidth="1"/>
    <col min="14087" max="14087" width="14.85546875" style="152" customWidth="1"/>
    <col min="14088" max="14088" width="11.140625" style="152" customWidth="1"/>
    <col min="14089" max="14089" width="13.42578125" style="152" bestFit="1" customWidth="1"/>
    <col min="14090" max="14090" width="10.28515625" style="152" bestFit="1" customWidth="1"/>
    <col min="14091" max="14335" width="9.140625" style="152"/>
    <col min="14336" max="14336" width="3.42578125" style="152" customWidth="1"/>
    <col min="14337" max="14337" width="11.28515625" style="152" customWidth="1"/>
    <col min="14338" max="14338" width="52.28515625" style="152" customWidth="1"/>
    <col min="14339" max="14339" width="14.28515625" style="152" customWidth="1"/>
    <col min="14340" max="14342" width="10" style="152" customWidth="1"/>
    <col min="14343" max="14343" width="14.85546875" style="152" customWidth="1"/>
    <col min="14344" max="14344" width="11.140625" style="152" customWidth="1"/>
    <col min="14345" max="14345" width="13.42578125" style="152" bestFit="1" customWidth="1"/>
    <col min="14346" max="14346" width="10.28515625" style="152" bestFit="1" customWidth="1"/>
    <col min="14347" max="14591" width="9.140625" style="152"/>
    <col min="14592" max="14592" width="3.42578125" style="152" customWidth="1"/>
    <col min="14593" max="14593" width="11.28515625" style="152" customWidth="1"/>
    <col min="14594" max="14594" width="52.28515625" style="152" customWidth="1"/>
    <col min="14595" max="14595" width="14.28515625" style="152" customWidth="1"/>
    <col min="14596" max="14598" width="10" style="152" customWidth="1"/>
    <col min="14599" max="14599" width="14.85546875" style="152" customWidth="1"/>
    <col min="14600" max="14600" width="11.140625" style="152" customWidth="1"/>
    <col min="14601" max="14601" width="13.42578125" style="152" bestFit="1" customWidth="1"/>
    <col min="14602" max="14602" width="10.28515625" style="152" bestFit="1" customWidth="1"/>
    <col min="14603" max="14847" width="9.140625" style="152"/>
    <col min="14848" max="14848" width="3.42578125" style="152" customWidth="1"/>
    <col min="14849" max="14849" width="11.28515625" style="152" customWidth="1"/>
    <col min="14850" max="14850" width="52.28515625" style="152" customWidth="1"/>
    <col min="14851" max="14851" width="14.28515625" style="152" customWidth="1"/>
    <col min="14852" max="14854" width="10" style="152" customWidth="1"/>
    <col min="14855" max="14855" width="14.85546875" style="152" customWidth="1"/>
    <col min="14856" max="14856" width="11.140625" style="152" customWidth="1"/>
    <col min="14857" max="14857" width="13.42578125" style="152" bestFit="1" customWidth="1"/>
    <col min="14858" max="14858" width="10.28515625" style="152" bestFit="1" customWidth="1"/>
    <col min="14859" max="15103" width="9.140625" style="152"/>
    <col min="15104" max="15104" width="3.42578125" style="152" customWidth="1"/>
    <col min="15105" max="15105" width="11.28515625" style="152" customWidth="1"/>
    <col min="15106" max="15106" width="52.28515625" style="152" customWidth="1"/>
    <col min="15107" max="15107" width="14.28515625" style="152" customWidth="1"/>
    <col min="15108" max="15110" width="10" style="152" customWidth="1"/>
    <col min="15111" max="15111" width="14.85546875" style="152" customWidth="1"/>
    <col min="15112" max="15112" width="11.140625" style="152" customWidth="1"/>
    <col min="15113" max="15113" width="13.42578125" style="152" bestFit="1" customWidth="1"/>
    <col min="15114" max="15114" width="10.28515625" style="152" bestFit="1" customWidth="1"/>
    <col min="15115" max="15359" width="9.140625" style="152"/>
    <col min="15360" max="15360" width="3.42578125" style="152" customWidth="1"/>
    <col min="15361" max="15361" width="11.28515625" style="152" customWidth="1"/>
    <col min="15362" max="15362" width="52.28515625" style="152" customWidth="1"/>
    <col min="15363" max="15363" width="14.28515625" style="152" customWidth="1"/>
    <col min="15364" max="15366" width="10" style="152" customWidth="1"/>
    <col min="15367" max="15367" width="14.85546875" style="152" customWidth="1"/>
    <col min="15368" max="15368" width="11.140625" style="152" customWidth="1"/>
    <col min="15369" max="15369" width="13.42578125" style="152" bestFit="1" customWidth="1"/>
    <col min="15370" max="15370" width="10.28515625" style="152" bestFit="1" customWidth="1"/>
    <col min="15371" max="15615" width="9.140625" style="152"/>
    <col min="15616" max="15616" width="3.42578125" style="152" customWidth="1"/>
    <col min="15617" max="15617" width="11.28515625" style="152" customWidth="1"/>
    <col min="15618" max="15618" width="52.28515625" style="152" customWidth="1"/>
    <col min="15619" max="15619" width="14.28515625" style="152" customWidth="1"/>
    <col min="15620" max="15622" width="10" style="152" customWidth="1"/>
    <col min="15623" max="15623" width="14.85546875" style="152" customWidth="1"/>
    <col min="15624" max="15624" width="11.140625" style="152" customWidth="1"/>
    <col min="15625" max="15625" width="13.42578125" style="152" bestFit="1" customWidth="1"/>
    <col min="15626" max="15626" width="10.28515625" style="152" bestFit="1" customWidth="1"/>
    <col min="15627" max="15871" width="9.140625" style="152"/>
    <col min="15872" max="15872" width="3.42578125" style="152" customWidth="1"/>
    <col min="15873" max="15873" width="11.28515625" style="152" customWidth="1"/>
    <col min="15874" max="15874" width="52.28515625" style="152" customWidth="1"/>
    <col min="15875" max="15875" width="14.28515625" style="152" customWidth="1"/>
    <col min="15876" max="15878" width="10" style="152" customWidth="1"/>
    <col min="15879" max="15879" width="14.85546875" style="152" customWidth="1"/>
    <col min="15880" max="15880" width="11.140625" style="152" customWidth="1"/>
    <col min="15881" max="15881" width="13.42578125" style="152" bestFit="1" customWidth="1"/>
    <col min="15882" max="15882" width="10.28515625" style="152" bestFit="1" customWidth="1"/>
    <col min="15883" max="16127" width="9.140625" style="152"/>
    <col min="16128" max="16128" width="3.42578125" style="152" customWidth="1"/>
    <col min="16129" max="16129" width="11.28515625" style="152" customWidth="1"/>
    <col min="16130" max="16130" width="52.28515625" style="152" customWidth="1"/>
    <col min="16131" max="16131" width="14.28515625" style="152" customWidth="1"/>
    <col min="16132" max="16134" width="10" style="152" customWidth="1"/>
    <col min="16135" max="16135" width="14.85546875" style="152" customWidth="1"/>
    <col min="16136" max="16136" width="11.140625" style="152" customWidth="1"/>
    <col min="16137" max="16137" width="13.42578125" style="152" bestFit="1" customWidth="1"/>
    <col min="16138" max="16138" width="10.28515625" style="152" bestFit="1" customWidth="1"/>
    <col min="16139" max="16384" width="9.140625" style="152"/>
  </cols>
  <sheetData>
    <row r="1" spans="1:12">
      <c r="B1" s="452"/>
      <c r="C1" s="452"/>
      <c r="D1" s="452"/>
      <c r="E1" s="452"/>
      <c r="F1" s="452"/>
      <c r="G1" s="452"/>
      <c r="H1" s="452"/>
      <c r="I1" s="452"/>
    </row>
    <row r="2" spans="1:12">
      <c r="B2" s="453" t="s">
        <v>57</v>
      </c>
      <c r="C2" s="453"/>
      <c r="D2" s="453"/>
      <c r="E2" s="453"/>
      <c r="F2" s="42" t="str">
        <f>'B-2'!B9</f>
        <v>B-2.1</v>
      </c>
      <c r="G2" s="42"/>
      <c r="H2" s="42"/>
      <c r="I2" s="42"/>
    </row>
    <row r="3" spans="1:12">
      <c r="B3" s="43"/>
      <c r="C3" s="43"/>
      <c r="D3" s="43"/>
      <c r="E3" s="43"/>
      <c r="F3" s="43"/>
      <c r="G3" s="43"/>
      <c r="H3" s="43"/>
      <c r="I3" s="125"/>
    </row>
    <row r="4" spans="1:12">
      <c r="C4" s="97"/>
      <c r="D4" s="97"/>
      <c r="E4" s="97"/>
      <c r="F4" s="154"/>
      <c r="G4" s="154"/>
      <c r="H4" s="154"/>
      <c r="I4" s="154"/>
    </row>
    <row r="5" spans="1:12" s="156" customFormat="1">
      <c r="A5" s="481" t="s">
        <v>181</v>
      </c>
      <c r="B5" s="482" t="s">
        <v>243</v>
      </c>
      <c r="C5" s="482" t="s">
        <v>109</v>
      </c>
      <c r="D5" s="481" t="s">
        <v>110</v>
      </c>
      <c r="E5" s="481"/>
      <c r="F5" s="481"/>
      <c r="G5" s="481"/>
      <c r="H5" s="481"/>
      <c r="I5" s="482" t="s">
        <v>111</v>
      </c>
      <c r="J5" s="155"/>
      <c r="K5" s="155"/>
      <c r="L5" s="155"/>
    </row>
    <row r="6" spans="1:12" s="156" customFormat="1">
      <c r="A6" s="481"/>
      <c r="B6" s="482"/>
      <c r="C6" s="482"/>
      <c r="D6" s="482" t="s">
        <v>112</v>
      </c>
      <c r="E6" s="483" t="s">
        <v>113</v>
      </c>
      <c r="F6" s="482" t="s">
        <v>114</v>
      </c>
      <c r="G6" s="482" t="s">
        <v>115</v>
      </c>
      <c r="H6" s="481" t="s">
        <v>116</v>
      </c>
      <c r="I6" s="482"/>
      <c r="J6" s="155"/>
      <c r="K6" s="155"/>
      <c r="L6" s="155"/>
    </row>
    <row r="7" spans="1:12" s="156" customFormat="1">
      <c r="A7" s="481"/>
      <c r="B7" s="482"/>
      <c r="C7" s="482"/>
      <c r="D7" s="482"/>
      <c r="E7" s="483"/>
      <c r="F7" s="482"/>
      <c r="G7" s="482"/>
      <c r="H7" s="481"/>
      <c r="I7" s="482"/>
      <c r="J7" s="155"/>
      <c r="K7" s="155"/>
      <c r="L7" s="155"/>
    </row>
    <row r="8" spans="1:12" s="156" customFormat="1">
      <c r="A8" s="157">
        <v>1</v>
      </c>
      <c r="B8" s="80">
        <v>2</v>
      </c>
      <c r="C8" s="157">
        <v>3</v>
      </c>
      <c r="D8" s="80">
        <v>4</v>
      </c>
      <c r="E8" s="158">
        <v>5</v>
      </c>
      <c r="F8" s="80">
        <v>6</v>
      </c>
      <c r="G8" s="80">
        <v>7</v>
      </c>
      <c r="H8" s="159">
        <v>8</v>
      </c>
      <c r="I8" s="157">
        <v>9</v>
      </c>
      <c r="J8" s="155"/>
      <c r="K8" s="155"/>
      <c r="L8" s="155"/>
    </row>
    <row r="9" spans="1:12">
      <c r="A9" s="83">
        <v>1</v>
      </c>
      <c r="B9" s="160" t="s">
        <v>152</v>
      </c>
      <c r="C9" s="82" t="s">
        <v>182</v>
      </c>
      <c r="D9" s="161"/>
      <c r="E9" s="162"/>
      <c r="F9" s="162"/>
      <c r="G9" s="163"/>
      <c r="H9" s="162"/>
      <c r="I9" s="28"/>
    </row>
    <row r="10" spans="1:12">
      <c r="A10" s="83">
        <v>2</v>
      </c>
      <c r="B10" s="160" t="s">
        <v>153</v>
      </c>
      <c r="C10" s="82" t="s">
        <v>183</v>
      </c>
      <c r="D10" s="161"/>
      <c r="E10" s="162"/>
      <c r="F10" s="162"/>
      <c r="G10" s="163"/>
      <c r="H10" s="162"/>
      <c r="I10" s="28"/>
    </row>
    <row r="11" spans="1:12">
      <c r="A11" s="83"/>
      <c r="B11" s="25"/>
      <c r="C11" s="82" t="s">
        <v>118</v>
      </c>
      <c r="D11" s="161"/>
      <c r="E11" s="162"/>
      <c r="F11" s="162"/>
      <c r="G11" s="163"/>
      <c r="H11" s="164"/>
      <c r="I11" s="28"/>
    </row>
    <row r="12" spans="1:12" s="98" customFormat="1">
      <c r="A12" s="165"/>
      <c r="B12" s="166"/>
      <c r="D12" s="165"/>
      <c r="E12" s="165"/>
      <c r="F12" s="165"/>
      <c r="J12" s="165"/>
      <c r="K12" s="167"/>
      <c r="L12" s="168"/>
    </row>
    <row r="13" spans="1:12" s="169" customFormat="1">
      <c r="C13" s="170"/>
    </row>
    <row r="14" spans="1:12" s="169" customFormat="1">
      <c r="C14" s="170"/>
      <c r="G14" s="480"/>
      <c r="H14" s="480"/>
    </row>
    <row r="15" spans="1:12" s="169" customFormat="1">
      <c r="C15" s="170"/>
    </row>
    <row r="16" spans="1:12" s="166" customFormat="1">
      <c r="I16" s="171"/>
      <c r="J16" s="167"/>
      <c r="K16" s="167"/>
      <c r="L16" s="167"/>
    </row>
    <row r="17" spans="4:8" s="153" customFormat="1">
      <c r="D17" s="172"/>
    </row>
    <row r="18" spans="4:8" s="153" customFormat="1">
      <c r="D18" s="172"/>
    </row>
    <row r="19" spans="4:8" s="153" customFormat="1">
      <c r="D19" s="97"/>
      <c r="E19" s="173"/>
      <c r="F19" s="174"/>
      <c r="G19" s="172"/>
    </row>
    <row r="20" spans="4:8" s="153" customFormat="1">
      <c r="D20" s="97"/>
      <c r="E20" s="173"/>
      <c r="F20" s="174"/>
      <c r="G20" s="172"/>
    </row>
    <row r="21" spans="4:8" s="153" customFormat="1">
      <c r="D21" s="97"/>
      <c r="E21" s="173"/>
      <c r="F21" s="174"/>
      <c r="G21" s="172"/>
    </row>
    <row r="22" spans="4:8" s="153" customFormat="1">
      <c r="D22" s="97"/>
      <c r="E22" s="173"/>
      <c r="F22" s="174"/>
      <c r="G22" s="172"/>
    </row>
    <row r="23" spans="4:8" s="153" customFormat="1">
      <c r="D23" s="97"/>
      <c r="E23" s="173"/>
      <c r="F23" s="174"/>
      <c r="G23" s="172"/>
    </row>
    <row r="24" spans="4:8" s="153" customFormat="1">
      <c r="D24" s="97"/>
      <c r="E24" s="173"/>
      <c r="F24" s="174"/>
      <c r="G24" s="172"/>
    </row>
    <row r="25" spans="4:8" s="153" customFormat="1">
      <c r="D25" s="97"/>
      <c r="E25" s="173"/>
      <c r="F25" s="174"/>
      <c r="G25" s="172"/>
    </row>
    <row r="26" spans="4:8" s="153" customFormat="1">
      <c r="D26" s="97"/>
      <c r="E26" s="173"/>
      <c r="F26" s="174"/>
      <c r="G26" s="172"/>
    </row>
    <row r="27" spans="4:8" s="153" customFormat="1">
      <c r="D27" s="97"/>
      <c r="E27" s="173"/>
      <c r="F27" s="174"/>
      <c r="G27" s="172"/>
    </row>
    <row r="28" spans="4:8" s="153" customFormat="1">
      <c r="D28" s="97"/>
      <c r="E28" s="173"/>
      <c r="F28" s="174"/>
      <c r="G28" s="172"/>
    </row>
    <row r="29" spans="4:8" s="153" customFormat="1">
      <c r="D29" s="97"/>
      <c r="E29" s="173"/>
      <c r="F29" s="174"/>
      <c r="G29" s="172"/>
    </row>
    <row r="30" spans="4:8" s="153" customFormat="1">
      <c r="D30" s="97"/>
      <c r="E30" s="173"/>
      <c r="F30" s="174"/>
      <c r="G30" s="172"/>
    </row>
    <row r="31" spans="4:8" s="153" customFormat="1">
      <c r="D31" s="175"/>
      <c r="E31" s="176"/>
      <c r="F31" s="177"/>
      <c r="G31" s="178"/>
      <c r="H31" s="179"/>
    </row>
    <row r="32" spans="4:8" s="153" customFormat="1">
      <c r="D32" s="180"/>
      <c r="E32" s="176"/>
      <c r="F32" s="181"/>
      <c r="G32" s="182"/>
      <c r="H32" s="183"/>
    </row>
    <row r="33" spans="2:8" s="153" customFormat="1">
      <c r="B33" s="184"/>
      <c r="D33" s="180"/>
      <c r="E33" s="176"/>
      <c r="F33" s="181"/>
      <c r="G33" s="182"/>
      <c r="H33" s="183"/>
    </row>
    <row r="34" spans="2:8" s="153" customFormat="1">
      <c r="D34" s="180"/>
      <c r="E34" s="176"/>
      <c r="F34" s="181"/>
      <c r="G34" s="182"/>
      <c r="H34" s="183"/>
    </row>
    <row r="35" spans="2:8" s="153" customFormat="1">
      <c r="B35" s="184"/>
      <c r="D35" s="180"/>
      <c r="E35" s="176"/>
      <c r="F35" s="181"/>
      <c r="G35" s="182"/>
      <c r="H35" s="183"/>
    </row>
    <row r="36" spans="2:8" s="153" customFormat="1">
      <c r="D36" s="180"/>
      <c r="E36" s="176"/>
      <c r="F36" s="181"/>
      <c r="G36" s="182"/>
      <c r="H36" s="183"/>
    </row>
    <row r="37" spans="2:8" s="153" customFormat="1">
      <c r="D37" s="180"/>
      <c r="E37" s="176"/>
      <c r="F37" s="181"/>
      <c r="G37" s="182"/>
      <c r="H37" s="183"/>
    </row>
    <row r="38" spans="2:8" s="153" customFormat="1">
      <c r="D38" s="180"/>
      <c r="E38" s="176"/>
      <c r="F38" s="181"/>
      <c r="G38" s="182"/>
      <c r="H38" s="183"/>
    </row>
    <row r="39" spans="2:8" s="153" customFormat="1">
      <c r="D39" s="180"/>
      <c r="E39" s="176"/>
      <c r="F39" s="181"/>
      <c r="G39" s="182"/>
      <c r="H39" s="183"/>
    </row>
    <row r="40" spans="2:8" s="153" customFormat="1">
      <c r="B40" s="184"/>
      <c r="D40" s="180"/>
      <c r="E40" s="176"/>
      <c r="F40" s="181"/>
      <c r="G40" s="182"/>
      <c r="H40" s="183"/>
    </row>
    <row r="41" spans="2:8" s="153" customFormat="1">
      <c r="B41" s="184"/>
      <c r="D41" s="180"/>
      <c r="E41" s="176"/>
      <c r="F41" s="181"/>
      <c r="G41" s="182"/>
      <c r="H41" s="183"/>
    </row>
    <row r="42" spans="2:8" s="153" customFormat="1">
      <c r="B42" s="184"/>
      <c r="D42" s="180"/>
      <c r="E42" s="176"/>
      <c r="F42" s="181"/>
      <c r="G42" s="182"/>
      <c r="H42" s="183"/>
    </row>
    <row r="43" spans="2:8" s="153" customFormat="1">
      <c r="D43" s="180"/>
      <c r="E43" s="176"/>
      <c r="F43" s="181"/>
      <c r="G43" s="182"/>
      <c r="H43" s="183"/>
    </row>
    <row r="44" spans="2:8" s="153" customFormat="1">
      <c r="D44" s="180"/>
      <c r="E44" s="176"/>
      <c r="F44" s="181"/>
      <c r="G44" s="182"/>
      <c r="H44" s="183"/>
    </row>
    <row r="45" spans="2:8" s="153" customFormat="1">
      <c r="D45" s="180"/>
      <c r="E45" s="176"/>
      <c r="F45" s="181"/>
      <c r="G45" s="182"/>
      <c r="H45" s="183"/>
    </row>
    <row r="46" spans="2:8" s="153" customFormat="1">
      <c r="B46" s="184"/>
      <c r="D46" s="180"/>
      <c r="E46" s="176"/>
      <c r="F46" s="181"/>
      <c r="G46" s="182"/>
      <c r="H46" s="183"/>
    </row>
    <row r="47" spans="2:8" s="153" customFormat="1">
      <c r="D47" s="180"/>
      <c r="E47" s="176"/>
      <c r="F47" s="181"/>
      <c r="G47" s="182"/>
      <c r="H47" s="183"/>
    </row>
    <row r="48" spans="2:8" s="153" customFormat="1">
      <c r="D48" s="180"/>
      <c r="E48" s="176"/>
      <c r="F48" s="181"/>
      <c r="G48" s="182"/>
      <c r="H48" s="183"/>
    </row>
    <row r="49" spans="2:8" s="153" customFormat="1">
      <c r="D49" s="180"/>
      <c r="E49" s="176"/>
      <c r="F49" s="181"/>
      <c r="G49" s="182"/>
      <c r="H49" s="183"/>
    </row>
    <row r="50" spans="2:8" s="153" customFormat="1">
      <c r="D50" s="180"/>
      <c r="E50" s="176"/>
      <c r="F50" s="181"/>
      <c r="G50" s="182"/>
      <c r="H50" s="183"/>
    </row>
    <row r="51" spans="2:8" s="153" customFormat="1">
      <c r="D51" s="180"/>
      <c r="E51" s="176"/>
      <c r="F51" s="181"/>
      <c r="G51" s="182"/>
      <c r="H51" s="183"/>
    </row>
    <row r="52" spans="2:8" s="153" customFormat="1">
      <c r="D52" s="180"/>
      <c r="E52" s="176"/>
      <c r="F52" s="181"/>
      <c r="G52" s="182"/>
      <c r="H52" s="183"/>
    </row>
    <row r="53" spans="2:8" s="153" customFormat="1">
      <c r="B53" s="185"/>
      <c r="D53" s="180"/>
      <c r="E53" s="176"/>
      <c r="F53" s="181"/>
      <c r="G53" s="182"/>
      <c r="H53" s="183"/>
    </row>
    <row r="54" spans="2:8" s="153" customFormat="1">
      <c r="D54" s="180"/>
      <c r="E54" s="176"/>
      <c r="F54" s="181"/>
      <c r="G54" s="182"/>
      <c r="H54" s="183"/>
    </row>
    <row r="55" spans="2:8" s="153" customFormat="1">
      <c r="D55" s="180"/>
      <c r="E55" s="176"/>
      <c r="F55" s="181"/>
      <c r="G55" s="182"/>
      <c r="H55" s="183"/>
    </row>
    <row r="56" spans="2:8" s="153" customFormat="1">
      <c r="D56" s="180"/>
      <c r="E56" s="176"/>
      <c r="F56" s="181"/>
      <c r="G56" s="182"/>
      <c r="H56" s="183"/>
    </row>
    <row r="57" spans="2:8" s="153" customFormat="1">
      <c r="D57" s="180"/>
      <c r="E57" s="176"/>
      <c r="F57" s="181"/>
      <c r="G57" s="182"/>
      <c r="H57" s="183"/>
    </row>
    <row r="58" spans="2:8" s="153" customFormat="1">
      <c r="D58" s="180"/>
      <c r="E58" s="176"/>
      <c r="F58" s="181"/>
      <c r="G58" s="182"/>
      <c r="H58" s="183"/>
    </row>
    <row r="59" spans="2:8" s="153" customFormat="1">
      <c r="D59" s="180"/>
      <c r="E59" s="176"/>
      <c r="F59" s="181"/>
      <c r="G59" s="182"/>
      <c r="H59" s="183"/>
    </row>
    <row r="60" spans="2:8" s="153" customFormat="1">
      <c r="D60" s="97"/>
      <c r="E60" s="173"/>
      <c r="F60" s="174"/>
      <c r="G60" s="172"/>
    </row>
    <row r="61" spans="2:8" s="153" customFormat="1">
      <c r="D61" s="97"/>
      <c r="E61" s="173"/>
      <c r="F61" s="174"/>
      <c r="G61" s="172"/>
    </row>
    <row r="62" spans="2:8" s="153" customFormat="1">
      <c r="D62" s="97"/>
      <c r="E62" s="173"/>
      <c r="F62" s="174"/>
      <c r="G62" s="172"/>
    </row>
    <row r="63" spans="2:8" s="153" customFormat="1">
      <c r="D63" s="97"/>
      <c r="E63" s="173"/>
      <c r="F63" s="174"/>
      <c r="G63" s="172"/>
    </row>
    <row r="64" spans="2:8" s="153" customFormat="1">
      <c r="D64" s="97"/>
      <c r="E64" s="173"/>
      <c r="F64" s="174"/>
      <c r="G64" s="172"/>
    </row>
    <row r="65" spans="4:7" s="153" customFormat="1">
      <c r="D65" s="97"/>
      <c r="E65" s="173"/>
      <c r="F65" s="174"/>
      <c r="G65" s="172"/>
    </row>
    <row r="66" spans="4:7" s="153" customFormat="1">
      <c r="D66" s="97"/>
      <c r="E66" s="173"/>
      <c r="F66" s="174"/>
      <c r="G66" s="172"/>
    </row>
    <row r="67" spans="4:7" s="153" customFormat="1">
      <c r="D67" s="97"/>
      <c r="E67" s="173"/>
      <c r="F67" s="174"/>
      <c r="G67" s="172"/>
    </row>
    <row r="68" spans="4:7" s="153" customFormat="1">
      <c r="D68" s="97"/>
      <c r="E68" s="173"/>
      <c r="F68" s="174"/>
      <c r="G68" s="172"/>
    </row>
    <row r="69" spans="4:7" s="153" customFormat="1">
      <c r="D69" s="97"/>
      <c r="E69" s="173"/>
      <c r="F69" s="174"/>
      <c r="G69" s="172"/>
    </row>
    <row r="70" spans="4:7" s="153" customFormat="1">
      <c r="D70" s="97"/>
      <c r="E70" s="173"/>
      <c r="F70" s="174"/>
      <c r="G70" s="172"/>
    </row>
    <row r="71" spans="4:7" s="153" customFormat="1">
      <c r="D71" s="97"/>
      <c r="E71" s="173"/>
      <c r="F71" s="174"/>
      <c r="G71" s="172"/>
    </row>
    <row r="72" spans="4:7" s="153" customFormat="1">
      <c r="D72" s="97"/>
      <c r="E72" s="173"/>
      <c r="F72" s="174"/>
      <c r="G72" s="172"/>
    </row>
    <row r="73" spans="4:7" s="153" customFormat="1">
      <c r="D73" s="97"/>
      <c r="E73" s="173"/>
      <c r="F73" s="174"/>
      <c r="G73" s="172"/>
    </row>
    <row r="74" spans="4:7" s="153" customFormat="1">
      <c r="D74" s="97"/>
      <c r="E74" s="173"/>
      <c r="F74" s="174"/>
      <c r="G74" s="172"/>
    </row>
    <row r="75" spans="4:7" s="153" customFormat="1">
      <c r="D75" s="97"/>
      <c r="E75" s="173"/>
      <c r="F75" s="174"/>
      <c r="G75" s="172"/>
    </row>
    <row r="76" spans="4:7" s="153" customFormat="1">
      <c r="D76" s="97"/>
      <c r="E76" s="173"/>
      <c r="F76" s="174"/>
      <c r="G76" s="172"/>
    </row>
    <row r="77" spans="4:7" s="153" customFormat="1">
      <c r="D77" s="97"/>
      <c r="E77" s="173"/>
      <c r="F77" s="174"/>
      <c r="G77" s="172"/>
    </row>
    <row r="78" spans="4:7" s="153" customFormat="1">
      <c r="D78" s="97"/>
      <c r="E78" s="173"/>
      <c r="F78" s="174"/>
      <c r="G78" s="172"/>
    </row>
    <row r="79" spans="4:7" s="153" customFormat="1">
      <c r="D79" s="97"/>
      <c r="E79" s="173"/>
      <c r="F79" s="174"/>
      <c r="G79" s="172"/>
    </row>
    <row r="80" spans="4:7" s="153" customFormat="1">
      <c r="D80" s="97"/>
      <c r="E80" s="173"/>
      <c r="F80" s="174"/>
      <c r="G80" s="172"/>
    </row>
    <row r="81" spans="4:7" s="153" customFormat="1">
      <c r="D81" s="97"/>
      <c r="E81" s="173"/>
      <c r="F81" s="174"/>
      <c r="G81" s="172"/>
    </row>
    <row r="82" spans="4:7" s="153" customFormat="1">
      <c r="D82" s="97"/>
      <c r="E82" s="173"/>
      <c r="F82" s="174"/>
      <c r="G82" s="172"/>
    </row>
    <row r="83" spans="4:7" s="153" customFormat="1">
      <c r="D83" s="97"/>
      <c r="E83" s="173"/>
      <c r="F83" s="174"/>
      <c r="G83" s="172"/>
    </row>
    <row r="84" spans="4:7" s="153" customFormat="1">
      <c r="D84" s="97"/>
      <c r="E84" s="173"/>
      <c r="F84" s="174"/>
      <c r="G84" s="172"/>
    </row>
    <row r="85" spans="4:7" s="153" customFormat="1">
      <c r="D85" s="97"/>
      <c r="E85" s="173"/>
      <c r="F85" s="174"/>
      <c r="G85" s="172"/>
    </row>
    <row r="86" spans="4:7" s="153" customFormat="1">
      <c r="D86" s="97"/>
      <c r="E86" s="173"/>
      <c r="F86" s="174"/>
      <c r="G86" s="172"/>
    </row>
    <row r="87" spans="4:7" s="153" customFormat="1">
      <c r="D87" s="97"/>
      <c r="E87" s="173"/>
      <c r="F87" s="174"/>
      <c r="G87" s="172"/>
    </row>
    <row r="88" spans="4:7" s="153" customFormat="1">
      <c r="D88" s="97"/>
      <c r="E88" s="173"/>
      <c r="F88" s="174"/>
      <c r="G88" s="172"/>
    </row>
    <row r="89" spans="4:7" s="153" customFormat="1">
      <c r="D89" s="97"/>
      <c r="E89" s="173"/>
      <c r="F89" s="174"/>
      <c r="G89" s="172"/>
    </row>
    <row r="90" spans="4:7" s="153" customFormat="1">
      <c r="D90" s="97"/>
      <c r="E90" s="173"/>
      <c r="F90" s="174"/>
      <c r="G90" s="172"/>
    </row>
    <row r="91" spans="4:7" s="153" customFormat="1">
      <c r="D91" s="97"/>
      <c r="E91" s="173"/>
      <c r="F91" s="174"/>
      <c r="G91" s="172"/>
    </row>
    <row r="92" spans="4:7" s="153" customFormat="1">
      <c r="D92" s="97"/>
      <c r="E92" s="173"/>
      <c r="F92" s="174"/>
      <c r="G92" s="172"/>
    </row>
    <row r="93" spans="4:7" s="153" customFormat="1">
      <c r="D93" s="97"/>
      <c r="E93" s="173"/>
      <c r="F93" s="174"/>
      <c r="G93" s="172"/>
    </row>
    <row r="94" spans="4:7" s="153" customFormat="1">
      <c r="D94" s="97"/>
      <c r="E94" s="173"/>
      <c r="F94" s="174"/>
      <c r="G94" s="172"/>
    </row>
    <row r="95" spans="4:7" s="153" customFormat="1">
      <c r="D95" s="97"/>
      <c r="E95" s="173"/>
      <c r="F95" s="174"/>
      <c r="G95" s="172"/>
    </row>
    <row r="96" spans="4:7" s="153" customFormat="1">
      <c r="D96" s="97"/>
      <c r="E96" s="173"/>
      <c r="F96" s="174"/>
      <c r="G96" s="172"/>
    </row>
    <row r="97" spans="4:7" s="153" customFormat="1">
      <c r="D97" s="97"/>
      <c r="E97" s="173"/>
      <c r="F97" s="174"/>
      <c r="G97" s="172"/>
    </row>
    <row r="98" spans="4:7" s="153" customFormat="1">
      <c r="D98" s="97"/>
      <c r="E98" s="173"/>
      <c r="F98" s="174"/>
      <c r="G98" s="172"/>
    </row>
    <row r="99" spans="4:7" s="153" customFormat="1">
      <c r="D99" s="97"/>
      <c r="E99" s="173"/>
      <c r="F99" s="174"/>
      <c r="G99" s="172"/>
    </row>
    <row r="100" spans="4:7" s="153" customFormat="1">
      <c r="D100" s="97"/>
      <c r="E100" s="173"/>
      <c r="F100" s="174"/>
      <c r="G100" s="172"/>
    </row>
    <row r="101" spans="4:7" s="153" customFormat="1">
      <c r="D101" s="97"/>
      <c r="E101" s="173"/>
      <c r="F101" s="174"/>
      <c r="G101" s="172"/>
    </row>
    <row r="102" spans="4:7" s="153" customFormat="1">
      <c r="D102" s="97"/>
      <c r="E102" s="173"/>
      <c r="F102" s="174"/>
      <c r="G102" s="172"/>
    </row>
    <row r="103" spans="4:7" s="153" customFormat="1">
      <c r="D103" s="97"/>
      <c r="E103" s="173"/>
      <c r="F103" s="174"/>
      <c r="G103" s="172"/>
    </row>
    <row r="104" spans="4:7" s="153" customFormat="1">
      <c r="D104" s="97"/>
      <c r="E104" s="173"/>
      <c r="F104" s="174"/>
      <c r="G104" s="172"/>
    </row>
    <row r="105" spans="4:7" s="153" customFormat="1">
      <c r="D105" s="97"/>
      <c r="E105" s="173"/>
      <c r="F105" s="174"/>
      <c r="G105" s="172"/>
    </row>
    <row r="106" spans="4:7" s="153" customFormat="1">
      <c r="D106" s="97"/>
      <c r="E106" s="173"/>
      <c r="F106" s="174"/>
      <c r="G106" s="172"/>
    </row>
    <row r="107" spans="4:7" s="153" customFormat="1">
      <c r="D107" s="97"/>
      <c r="E107" s="173"/>
      <c r="F107" s="174"/>
      <c r="G107" s="172"/>
    </row>
    <row r="108" spans="4:7" s="153" customFormat="1">
      <c r="D108" s="97"/>
      <c r="E108" s="173"/>
      <c r="F108" s="174"/>
      <c r="G108" s="172"/>
    </row>
    <row r="109" spans="4:7" s="153" customFormat="1">
      <c r="D109" s="97"/>
      <c r="E109" s="173"/>
      <c r="F109" s="174"/>
      <c r="G109" s="172"/>
    </row>
    <row r="110" spans="4:7" s="153" customFormat="1">
      <c r="D110" s="97"/>
      <c r="E110" s="173"/>
      <c r="F110" s="174"/>
      <c r="G110" s="172"/>
    </row>
    <row r="111" spans="4:7" s="153" customFormat="1">
      <c r="D111" s="97"/>
      <c r="E111" s="173"/>
      <c r="F111" s="174"/>
      <c r="G111" s="172"/>
    </row>
    <row r="112" spans="4:7" s="153" customFormat="1">
      <c r="D112" s="97"/>
      <c r="E112" s="173"/>
      <c r="F112" s="174"/>
      <c r="G112" s="172"/>
    </row>
    <row r="113" spans="4:7" s="153" customFormat="1">
      <c r="D113" s="97"/>
      <c r="E113" s="173"/>
      <c r="F113" s="174"/>
      <c r="G113" s="172"/>
    </row>
    <row r="114" spans="4:7" s="153" customFormat="1">
      <c r="D114" s="97"/>
      <c r="E114" s="173"/>
      <c r="F114" s="174"/>
      <c r="G114" s="172"/>
    </row>
    <row r="115" spans="4:7" s="153" customFormat="1">
      <c r="D115" s="97"/>
      <c r="E115" s="173"/>
      <c r="F115" s="174"/>
      <c r="G115" s="172"/>
    </row>
    <row r="116" spans="4:7" s="153" customFormat="1">
      <c r="D116" s="97"/>
      <c r="E116" s="173"/>
      <c r="F116" s="174"/>
      <c r="G116" s="172"/>
    </row>
    <row r="117" spans="4:7" s="153" customFormat="1">
      <c r="D117" s="97"/>
      <c r="E117" s="173"/>
      <c r="F117" s="174"/>
      <c r="G117" s="172"/>
    </row>
    <row r="118" spans="4:7" s="153" customFormat="1">
      <c r="D118" s="97"/>
      <c r="E118" s="173"/>
      <c r="F118" s="174"/>
      <c r="G118" s="172"/>
    </row>
    <row r="119" spans="4:7" s="153" customFormat="1">
      <c r="D119" s="97"/>
      <c r="E119" s="173"/>
      <c r="F119" s="174"/>
      <c r="G119" s="172"/>
    </row>
    <row r="120" spans="4:7" s="153" customFormat="1">
      <c r="D120" s="97"/>
      <c r="E120" s="173"/>
      <c r="F120" s="174"/>
      <c r="G120" s="172"/>
    </row>
    <row r="121" spans="4:7" s="153" customFormat="1">
      <c r="D121" s="97"/>
      <c r="E121" s="173"/>
      <c r="F121" s="174"/>
      <c r="G121" s="172"/>
    </row>
    <row r="122" spans="4:7" s="153" customFormat="1">
      <c r="D122" s="97"/>
      <c r="E122" s="173"/>
      <c r="F122" s="174"/>
      <c r="G122" s="172"/>
    </row>
    <row r="123" spans="4:7" s="153" customFormat="1">
      <c r="D123" s="97"/>
      <c r="E123" s="173"/>
      <c r="F123" s="174"/>
      <c r="G123" s="172"/>
    </row>
    <row r="124" spans="4:7" s="153" customFormat="1">
      <c r="D124" s="97"/>
      <c r="E124" s="173"/>
      <c r="F124" s="174"/>
      <c r="G124" s="172"/>
    </row>
    <row r="125" spans="4:7" s="153" customFormat="1">
      <c r="D125" s="97"/>
      <c r="E125" s="173"/>
      <c r="F125" s="174"/>
      <c r="G125" s="172"/>
    </row>
    <row r="126" spans="4:7" s="153" customFormat="1">
      <c r="D126" s="97"/>
      <c r="E126" s="173"/>
      <c r="F126" s="174"/>
      <c r="G126" s="172"/>
    </row>
    <row r="127" spans="4:7" s="153" customFormat="1">
      <c r="D127" s="97"/>
      <c r="E127" s="173"/>
      <c r="F127" s="174"/>
      <c r="G127" s="172"/>
    </row>
    <row r="128" spans="4:7" s="153" customFormat="1">
      <c r="D128" s="97"/>
      <c r="E128" s="173"/>
      <c r="F128" s="174"/>
      <c r="G128" s="172"/>
    </row>
    <row r="129" spans="4:7" s="153" customFormat="1">
      <c r="D129" s="97"/>
      <c r="E129" s="173"/>
      <c r="F129" s="174"/>
      <c r="G129" s="172"/>
    </row>
    <row r="130" spans="4:7" s="153" customFormat="1">
      <c r="D130" s="97"/>
      <c r="E130" s="173"/>
      <c r="F130" s="174"/>
      <c r="G130" s="172"/>
    </row>
    <row r="131" spans="4:7" s="153" customFormat="1">
      <c r="D131" s="97"/>
      <c r="E131" s="173"/>
      <c r="F131" s="174"/>
      <c r="G131" s="172"/>
    </row>
    <row r="132" spans="4:7" s="153" customFormat="1">
      <c r="D132" s="97"/>
      <c r="E132" s="173"/>
      <c r="F132" s="174"/>
      <c r="G132" s="172"/>
    </row>
    <row r="133" spans="4:7" s="153" customFormat="1">
      <c r="D133" s="97"/>
      <c r="E133" s="173"/>
      <c r="F133" s="174"/>
      <c r="G133" s="172"/>
    </row>
  </sheetData>
  <mergeCells count="13">
    <mergeCell ref="G14:H14"/>
    <mergeCell ref="B1:I1"/>
    <mergeCell ref="B2:E2"/>
    <mergeCell ref="A5:A7"/>
    <mergeCell ref="B5:B7"/>
    <mergeCell ref="C5:C7"/>
    <mergeCell ref="D5:H5"/>
    <mergeCell ref="I5:I7"/>
    <mergeCell ref="D6:D7"/>
    <mergeCell ref="E6:E7"/>
    <mergeCell ref="F6:F7"/>
    <mergeCell ref="G6:G7"/>
    <mergeCell ref="H6:H7"/>
  </mergeCells>
  <phoneticPr fontId="54" type="noConversion"/>
  <pageMargins left="0.23622047244094491" right="0.23622047244094491" top="0.74803149606299213" bottom="0.74803149606299213" header="0.31496062992125984" footer="0.31496062992125984"/>
  <pageSetup scale="97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9"/>
  <sheetViews>
    <sheetView view="pageBreakPreview" zoomScaleNormal="100" zoomScaleSheetLayoutView="100" workbookViewId="0">
      <selection activeCell="F9" sqref="F9:M95"/>
    </sheetView>
  </sheetViews>
  <sheetFormatPr defaultColWidth="8.85546875" defaultRowHeight="12"/>
  <cols>
    <col min="1" max="1" width="4.7109375" style="244" customWidth="1"/>
    <col min="2" max="2" width="10.7109375" style="247" customWidth="1"/>
    <col min="3" max="3" width="71.42578125" style="81" customWidth="1"/>
    <col min="4" max="6" width="9.7109375" style="81" customWidth="1"/>
    <col min="7" max="7" width="9.140625" style="81" customWidth="1"/>
    <col min="8" max="10" width="9.7109375" style="81" customWidth="1"/>
    <col min="11" max="11" width="9.7109375" style="248" customWidth="1"/>
    <col min="12" max="13" width="9.7109375" style="81" customWidth="1"/>
    <col min="14" max="142" width="8.7109375" style="81" customWidth="1"/>
    <col min="143" max="252" width="8.85546875" style="81"/>
    <col min="253" max="253" width="4.7109375" style="81" customWidth="1"/>
    <col min="254" max="254" width="9.7109375" style="81" customWidth="1"/>
    <col min="255" max="255" width="49.7109375" style="81" customWidth="1"/>
    <col min="256" max="265" width="9.7109375" style="81" customWidth="1"/>
    <col min="266" max="398" width="8.7109375" style="81" customWidth="1"/>
    <col min="399" max="508" width="8.85546875" style="81"/>
    <col min="509" max="509" width="4.7109375" style="81" customWidth="1"/>
    <col min="510" max="510" width="9.7109375" style="81" customWidth="1"/>
    <col min="511" max="511" width="49.7109375" style="81" customWidth="1"/>
    <col min="512" max="521" width="9.7109375" style="81" customWidth="1"/>
    <col min="522" max="654" width="8.7109375" style="81" customWidth="1"/>
    <col min="655" max="764" width="8.85546875" style="81"/>
    <col min="765" max="765" width="4.7109375" style="81" customWidth="1"/>
    <col min="766" max="766" width="9.7109375" style="81" customWidth="1"/>
    <col min="767" max="767" width="49.7109375" style="81" customWidth="1"/>
    <col min="768" max="777" width="9.7109375" style="81" customWidth="1"/>
    <col min="778" max="910" width="8.7109375" style="81" customWidth="1"/>
    <col min="911" max="1020" width="8.85546875" style="81"/>
    <col min="1021" max="1021" width="4.7109375" style="81" customWidth="1"/>
    <col min="1022" max="1022" width="9.7109375" style="81" customWidth="1"/>
    <col min="1023" max="1023" width="49.7109375" style="81" customWidth="1"/>
    <col min="1024" max="1033" width="9.7109375" style="81" customWidth="1"/>
    <col min="1034" max="1166" width="8.7109375" style="81" customWidth="1"/>
    <col min="1167" max="1276" width="8.85546875" style="81"/>
    <col min="1277" max="1277" width="4.7109375" style="81" customWidth="1"/>
    <col min="1278" max="1278" width="9.7109375" style="81" customWidth="1"/>
    <col min="1279" max="1279" width="49.7109375" style="81" customWidth="1"/>
    <col min="1280" max="1289" width="9.7109375" style="81" customWidth="1"/>
    <col min="1290" max="1422" width="8.7109375" style="81" customWidth="1"/>
    <col min="1423" max="1532" width="8.85546875" style="81"/>
    <col min="1533" max="1533" width="4.7109375" style="81" customWidth="1"/>
    <col min="1534" max="1534" width="9.7109375" style="81" customWidth="1"/>
    <col min="1535" max="1535" width="49.7109375" style="81" customWidth="1"/>
    <col min="1536" max="1545" width="9.7109375" style="81" customWidth="1"/>
    <col min="1546" max="1678" width="8.7109375" style="81" customWidth="1"/>
    <col min="1679" max="1788" width="8.85546875" style="81"/>
    <col min="1789" max="1789" width="4.7109375" style="81" customWidth="1"/>
    <col min="1790" max="1790" width="9.7109375" style="81" customWidth="1"/>
    <col min="1791" max="1791" width="49.7109375" style="81" customWidth="1"/>
    <col min="1792" max="1801" width="9.7109375" style="81" customWidth="1"/>
    <col min="1802" max="1934" width="8.7109375" style="81" customWidth="1"/>
    <col min="1935" max="2044" width="8.85546875" style="81"/>
    <col min="2045" max="2045" width="4.7109375" style="81" customWidth="1"/>
    <col min="2046" max="2046" width="9.7109375" style="81" customWidth="1"/>
    <col min="2047" max="2047" width="49.7109375" style="81" customWidth="1"/>
    <col min="2048" max="2057" width="9.7109375" style="81" customWidth="1"/>
    <col min="2058" max="2190" width="8.7109375" style="81" customWidth="1"/>
    <col min="2191" max="2300" width="8.85546875" style="81"/>
    <col min="2301" max="2301" width="4.7109375" style="81" customWidth="1"/>
    <col min="2302" max="2302" width="9.7109375" style="81" customWidth="1"/>
    <col min="2303" max="2303" width="49.7109375" style="81" customWidth="1"/>
    <col min="2304" max="2313" width="9.7109375" style="81" customWidth="1"/>
    <col min="2314" max="2446" width="8.7109375" style="81" customWidth="1"/>
    <col min="2447" max="2556" width="8.85546875" style="81"/>
    <col min="2557" max="2557" width="4.7109375" style="81" customWidth="1"/>
    <col min="2558" max="2558" width="9.7109375" style="81" customWidth="1"/>
    <col min="2559" max="2559" width="49.7109375" style="81" customWidth="1"/>
    <col min="2560" max="2569" width="9.7109375" style="81" customWidth="1"/>
    <col min="2570" max="2702" width="8.7109375" style="81" customWidth="1"/>
    <col min="2703" max="2812" width="8.85546875" style="81"/>
    <col min="2813" max="2813" width="4.7109375" style="81" customWidth="1"/>
    <col min="2814" max="2814" width="9.7109375" style="81" customWidth="1"/>
    <col min="2815" max="2815" width="49.7109375" style="81" customWidth="1"/>
    <col min="2816" max="2825" width="9.7109375" style="81" customWidth="1"/>
    <col min="2826" max="2958" width="8.7109375" style="81" customWidth="1"/>
    <col min="2959" max="3068" width="8.85546875" style="81"/>
    <col min="3069" max="3069" width="4.7109375" style="81" customWidth="1"/>
    <col min="3070" max="3070" width="9.7109375" style="81" customWidth="1"/>
    <col min="3071" max="3071" width="49.7109375" style="81" customWidth="1"/>
    <col min="3072" max="3081" width="9.7109375" style="81" customWidth="1"/>
    <col min="3082" max="3214" width="8.7109375" style="81" customWidth="1"/>
    <col min="3215" max="3324" width="8.85546875" style="81"/>
    <col min="3325" max="3325" width="4.7109375" style="81" customWidth="1"/>
    <col min="3326" max="3326" width="9.7109375" style="81" customWidth="1"/>
    <col min="3327" max="3327" width="49.7109375" style="81" customWidth="1"/>
    <col min="3328" max="3337" width="9.7109375" style="81" customWidth="1"/>
    <col min="3338" max="3470" width="8.7109375" style="81" customWidth="1"/>
    <col min="3471" max="3580" width="8.85546875" style="81"/>
    <col min="3581" max="3581" width="4.7109375" style="81" customWidth="1"/>
    <col min="3582" max="3582" width="9.7109375" style="81" customWidth="1"/>
    <col min="3583" max="3583" width="49.7109375" style="81" customWidth="1"/>
    <col min="3584" max="3593" width="9.7109375" style="81" customWidth="1"/>
    <col min="3594" max="3726" width="8.7109375" style="81" customWidth="1"/>
    <col min="3727" max="3836" width="8.85546875" style="81"/>
    <col min="3837" max="3837" width="4.7109375" style="81" customWidth="1"/>
    <col min="3838" max="3838" width="9.7109375" style="81" customWidth="1"/>
    <col min="3839" max="3839" width="49.7109375" style="81" customWidth="1"/>
    <col min="3840" max="3849" width="9.7109375" style="81" customWidth="1"/>
    <col min="3850" max="3982" width="8.7109375" style="81" customWidth="1"/>
    <col min="3983" max="4092" width="8.85546875" style="81"/>
    <col min="4093" max="4093" width="4.7109375" style="81" customWidth="1"/>
    <col min="4094" max="4094" width="9.7109375" style="81" customWidth="1"/>
    <col min="4095" max="4095" width="49.7109375" style="81" customWidth="1"/>
    <col min="4096" max="4105" width="9.7109375" style="81" customWidth="1"/>
    <col min="4106" max="4238" width="8.7109375" style="81" customWidth="1"/>
    <col min="4239" max="4348" width="8.85546875" style="81"/>
    <col min="4349" max="4349" width="4.7109375" style="81" customWidth="1"/>
    <col min="4350" max="4350" width="9.7109375" style="81" customWidth="1"/>
    <col min="4351" max="4351" width="49.7109375" style="81" customWidth="1"/>
    <col min="4352" max="4361" width="9.7109375" style="81" customWidth="1"/>
    <col min="4362" max="4494" width="8.7109375" style="81" customWidth="1"/>
    <col min="4495" max="4604" width="8.85546875" style="81"/>
    <col min="4605" max="4605" width="4.7109375" style="81" customWidth="1"/>
    <col min="4606" max="4606" width="9.7109375" style="81" customWidth="1"/>
    <col min="4607" max="4607" width="49.7109375" style="81" customWidth="1"/>
    <col min="4608" max="4617" width="9.7109375" style="81" customWidth="1"/>
    <col min="4618" max="4750" width="8.7109375" style="81" customWidth="1"/>
    <col min="4751" max="4860" width="8.85546875" style="81"/>
    <col min="4861" max="4861" width="4.7109375" style="81" customWidth="1"/>
    <col min="4862" max="4862" width="9.7109375" style="81" customWidth="1"/>
    <col min="4863" max="4863" width="49.7109375" style="81" customWidth="1"/>
    <col min="4864" max="4873" width="9.7109375" style="81" customWidth="1"/>
    <col min="4874" max="5006" width="8.7109375" style="81" customWidth="1"/>
    <col min="5007" max="5116" width="8.85546875" style="81"/>
    <col min="5117" max="5117" width="4.7109375" style="81" customWidth="1"/>
    <col min="5118" max="5118" width="9.7109375" style="81" customWidth="1"/>
    <col min="5119" max="5119" width="49.7109375" style="81" customWidth="1"/>
    <col min="5120" max="5129" width="9.7109375" style="81" customWidth="1"/>
    <col min="5130" max="5262" width="8.7109375" style="81" customWidth="1"/>
    <col min="5263" max="5372" width="8.85546875" style="81"/>
    <col min="5373" max="5373" width="4.7109375" style="81" customWidth="1"/>
    <col min="5374" max="5374" width="9.7109375" style="81" customWidth="1"/>
    <col min="5375" max="5375" width="49.7109375" style="81" customWidth="1"/>
    <col min="5376" max="5385" width="9.7109375" style="81" customWidth="1"/>
    <col min="5386" max="5518" width="8.7109375" style="81" customWidth="1"/>
    <col min="5519" max="5628" width="8.85546875" style="81"/>
    <col min="5629" max="5629" width="4.7109375" style="81" customWidth="1"/>
    <col min="5630" max="5630" width="9.7109375" style="81" customWidth="1"/>
    <col min="5631" max="5631" width="49.7109375" style="81" customWidth="1"/>
    <col min="5632" max="5641" width="9.7109375" style="81" customWidth="1"/>
    <col min="5642" max="5774" width="8.7109375" style="81" customWidth="1"/>
    <col min="5775" max="5884" width="8.85546875" style="81"/>
    <col min="5885" max="5885" width="4.7109375" style="81" customWidth="1"/>
    <col min="5886" max="5886" width="9.7109375" style="81" customWidth="1"/>
    <col min="5887" max="5887" width="49.7109375" style="81" customWidth="1"/>
    <col min="5888" max="5897" width="9.7109375" style="81" customWidth="1"/>
    <col min="5898" max="6030" width="8.7109375" style="81" customWidth="1"/>
    <col min="6031" max="6140" width="8.85546875" style="81"/>
    <col min="6141" max="6141" width="4.7109375" style="81" customWidth="1"/>
    <col min="6142" max="6142" width="9.7109375" style="81" customWidth="1"/>
    <col min="6143" max="6143" width="49.7109375" style="81" customWidth="1"/>
    <col min="6144" max="6153" width="9.7109375" style="81" customWidth="1"/>
    <col min="6154" max="6286" width="8.7109375" style="81" customWidth="1"/>
    <col min="6287" max="6396" width="8.85546875" style="81"/>
    <col min="6397" max="6397" width="4.7109375" style="81" customWidth="1"/>
    <col min="6398" max="6398" width="9.7109375" style="81" customWidth="1"/>
    <col min="6399" max="6399" width="49.7109375" style="81" customWidth="1"/>
    <col min="6400" max="6409" width="9.7109375" style="81" customWidth="1"/>
    <col min="6410" max="6542" width="8.7109375" style="81" customWidth="1"/>
    <col min="6543" max="6652" width="8.85546875" style="81"/>
    <col min="6653" max="6653" width="4.7109375" style="81" customWidth="1"/>
    <col min="6654" max="6654" width="9.7109375" style="81" customWidth="1"/>
    <col min="6655" max="6655" width="49.7109375" style="81" customWidth="1"/>
    <col min="6656" max="6665" width="9.7109375" style="81" customWidth="1"/>
    <col min="6666" max="6798" width="8.7109375" style="81" customWidth="1"/>
    <col min="6799" max="6908" width="8.85546875" style="81"/>
    <col min="6909" max="6909" width="4.7109375" style="81" customWidth="1"/>
    <col min="6910" max="6910" width="9.7109375" style="81" customWidth="1"/>
    <col min="6911" max="6911" width="49.7109375" style="81" customWidth="1"/>
    <col min="6912" max="6921" width="9.7109375" style="81" customWidth="1"/>
    <col min="6922" max="7054" width="8.7109375" style="81" customWidth="1"/>
    <col min="7055" max="7164" width="8.85546875" style="81"/>
    <col min="7165" max="7165" width="4.7109375" style="81" customWidth="1"/>
    <col min="7166" max="7166" width="9.7109375" style="81" customWidth="1"/>
    <col min="7167" max="7167" width="49.7109375" style="81" customWidth="1"/>
    <col min="7168" max="7177" width="9.7109375" style="81" customWidth="1"/>
    <col min="7178" max="7310" width="8.7109375" style="81" customWidth="1"/>
    <col min="7311" max="7420" width="8.85546875" style="81"/>
    <col min="7421" max="7421" width="4.7109375" style="81" customWidth="1"/>
    <col min="7422" max="7422" width="9.7109375" style="81" customWidth="1"/>
    <col min="7423" max="7423" width="49.7109375" style="81" customWidth="1"/>
    <col min="7424" max="7433" width="9.7109375" style="81" customWidth="1"/>
    <col min="7434" max="7566" width="8.7109375" style="81" customWidth="1"/>
    <col min="7567" max="7676" width="8.85546875" style="81"/>
    <col min="7677" max="7677" width="4.7109375" style="81" customWidth="1"/>
    <col min="7678" max="7678" width="9.7109375" style="81" customWidth="1"/>
    <col min="7679" max="7679" width="49.7109375" style="81" customWidth="1"/>
    <col min="7680" max="7689" width="9.7109375" style="81" customWidth="1"/>
    <col min="7690" max="7822" width="8.7109375" style="81" customWidth="1"/>
    <col min="7823" max="7932" width="8.85546875" style="81"/>
    <col min="7933" max="7933" width="4.7109375" style="81" customWidth="1"/>
    <col min="7934" max="7934" width="9.7109375" style="81" customWidth="1"/>
    <col min="7935" max="7935" width="49.7109375" style="81" customWidth="1"/>
    <col min="7936" max="7945" width="9.7109375" style="81" customWidth="1"/>
    <col min="7946" max="8078" width="8.7109375" style="81" customWidth="1"/>
    <col min="8079" max="8188" width="8.85546875" style="81"/>
    <col min="8189" max="8189" width="4.7109375" style="81" customWidth="1"/>
    <col min="8190" max="8190" width="9.7109375" style="81" customWidth="1"/>
    <col min="8191" max="8191" width="49.7109375" style="81" customWidth="1"/>
    <col min="8192" max="8201" width="9.7109375" style="81" customWidth="1"/>
    <col min="8202" max="8334" width="8.7109375" style="81" customWidth="1"/>
    <col min="8335" max="8444" width="8.85546875" style="81"/>
    <col min="8445" max="8445" width="4.7109375" style="81" customWidth="1"/>
    <col min="8446" max="8446" width="9.7109375" style="81" customWidth="1"/>
    <col min="8447" max="8447" width="49.7109375" style="81" customWidth="1"/>
    <col min="8448" max="8457" width="9.7109375" style="81" customWidth="1"/>
    <col min="8458" max="8590" width="8.7109375" style="81" customWidth="1"/>
    <col min="8591" max="8700" width="8.85546875" style="81"/>
    <col min="8701" max="8701" width="4.7109375" style="81" customWidth="1"/>
    <col min="8702" max="8702" width="9.7109375" style="81" customWidth="1"/>
    <col min="8703" max="8703" width="49.7109375" style="81" customWidth="1"/>
    <col min="8704" max="8713" width="9.7109375" style="81" customWidth="1"/>
    <col min="8714" max="8846" width="8.7109375" style="81" customWidth="1"/>
    <col min="8847" max="8956" width="8.85546875" style="81"/>
    <col min="8957" max="8957" width="4.7109375" style="81" customWidth="1"/>
    <col min="8958" max="8958" width="9.7109375" style="81" customWidth="1"/>
    <col min="8959" max="8959" width="49.7109375" style="81" customWidth="1"/>
    <col min="8960" max="8969" width="9.7109375" style="81" customWidth="1"/>
    <col min="8970" max="9102" width="8.7109375" style="81" customWidth="1"/>
    <col min="9103" max="9212" width="8.85546875" style="81"/>
    <col min="9213" max="9213" width="4.7109375" style="81" customWidth="1"/>
    <col min="9214" max="9214" width="9.7109375" style="81" customWidth="1"/>
    <col min="9215" max="9215" width="49.7109375" style="81" customWidth="1"/>
    <col min="9216" max="9225" width="9.7109375" style="81" customWidth="1"/>
    <col min="9226" max="9358" width="8.7109375" style="81" customWidth="1"/>
    <col min="9359" max="9468" width="8.85546875" style="81"/>
    <col min="9469" max="9469" width="4.7109375" style="81" customWidth="1"/>
    <col min="9470" max="9470" width="9.7109375" style="81" customWidth="1"/>
    <col min="9471" max="9471" width="49.7109375" style="81" customWidth="1"/>
    <col min="9472" max="9481" width="9.7109375" style="81" customWidth="1"/>
    <col min="9482" max="9614" width="8.7109375" style="81" customWidth="1"/>
    <col min="9615" max="9724" width="8.85546875" style="81"/>
    <col min="9725" max="9725" width="4.7109375" style="81" customWidth="1"/>
    <col min="9726" max="9726" width="9.7109375" style="81" customWidth="1"/>
    <col min="9727" max="9727" width="49.7109375" style="81" customWidth="1"/>
    <col min="9728" max="9737" width="9.7109375" style="81" customWidth="1"/>
    <col min="9738" max="9870" width="8.7109375" style="81" customWidth="1"/>
    <col min="9871" max="9980" width="8.85546875" style="81"/>
    <col min="9981" max="9981" width="4.7109375" style="81" customWidth="1"/>
    <col min="9982" max="9982" width="9.7109375" style="81" customWidth="1"/>
    <col min="9983" max="9983" width="49.7109375" style="81" customWidth="1"/>
    <col min="9984" max="9993" width="9.7109375" style="81" customWidth="1"/>
    <col min="9994" max="10126" width="8.7109375" style="81" customWidth="1"/>
    <col min="10127" max="10236" width="8.85546875" style="81"/>
    <col min="10237" max="10237" width="4.7109375" style="81" customWidth="1"/>
    <col min="10238" max="10238" width="9.7109375" style="81" customWidth="1"/>
    <col min="10239" max="10239" width="49.7109375" style="81" customWidth="1"/>
    <col min="10240" max="10249" width="9.7109375" style="81" customWidth="1"/>
    <col min="10250" max="10382" width="8.7109375" style="81" customWidth="1"/>
    <col min="10383" max="10492" width="8.85546875" style="81"/>
    <col min="10493" max="10493" width="4.7109375" style="81" customWidth="1"/>
    <col min="10494" max="10494" width="9.7109375" style="81" customWidth="1"/>
    <col min="10495" max="10495" width="49.7109375" style="81" customWidth="1"/>
    <col min="10496" max="10505" width="9.7109375" style="81" customWidth="1"/>
    <col min="10506" max="10638" width="8.7109375" style="81" customWidth="1"/>
    <col min="10639" max="10748" width="8.85546875" style="81"/>
    <col min="10749" max="10749" width="4.7109375" style="81" customWidth="1"/>
    <col min="10750" max="10750" width="9.7109375" style="81" customWidth="1"/>
    <col min="10751" max="10751" width="49.7109375" style="81" customWidth="1"/>
    <col min="10752" max="10761" width="9.7109375" style="81" customWidth="1"/>
    <col min="10762" max="10894" width="8.7109375" style="81" customWidth="1"/>
    <col min="10895" max="11004" width="8.85546875" style="81"/>
    <col min="11005" max="11005" width="4.7109375" style="81" customWidth="1"/>
    <col min="11006" max="11006" width="9.7109375" style="81" customWidth="1"/>
    <col min="11007" max="11007" width="49.7109375" style="81" customWidth="1"/>
    <col min="11008" max="11017" width="9.7109375" style="81" customWidth="1"/>
    <col min="11018" max="11150" width="8.7109375" style="81" customWidth="1"/>
    <col min="11151" max="11260" width="8.85546875" style="81"/>
    <col min="11261" max="11261" width="4.7109375" style="81" customWidth="1"/>
    <col min="11262" max="11262" width="9.7109375" style="81" customWidth="1"/>
    <col min="11263" max="11263" width="49.7109375" style="81" customWidth="1"/>
    <col min="11264" max="11273" width="9.7109375" style="81" customWidth="1"/>
    <col min="11274" max="11406" width="8.7109375" style="81" customWidth="1"/>
    <col min="11407" max="11516" width="8.85546875" style="81"/>
    <col min="11517" max="11517" width="4.7109375" style="81" customWidth="1"/>
    <col min="11518" max="11518" width="9.7109375" style="81" customWidth="1"/>
    <col min="11519" max="11519" width="49.7109375" style="81" customWidth="1"/>
    <col min="11520" max="11529" width="9.7109375" style="81" customWidth="1"/>
    <col min="11530" max="11662" width="8.7109375" style="81" customWidth="1"/>
    <col min="11663" max="11772" width="8.85546875" style="81"/>
    <col min="11773" max="11773" width="4.7109375" style="81" customWidth="1"/>
    <col min="11774" max="11774" width="9.7109375" style="81" customWidth="1"/>
    <col min="11775" max="11775" width="49.7109375" style="81" customWidth="1"/>
    <col min="11776" max="11785" width="9.7109375" style="81" customWidth="1"/>
    <col min="11786" max="11918" width="8.7109375" style="81" customWidth="1"/>
    <col min="11919" max="12028" width="8.85546875" style="81"/>
    <col min="12029" max="12029" width="4.7109375" style="81" customWidth="1"/>
    <col min="12030" max="12030" width="9.7109375" style="81" customWidth="1"/>
    <col min="12031" max="12031" width="49.7109375" style="81" customWidth="1"/>
    <col min="12032" max="12041" width="9.7109375" style="81" customWidth="1"/>
    <col min="12042" max="12174" width="8.7109375" style="81" customWidth="1"/>
    <col min="12175" max="12284" width="8.85546875" style="81"/>
    <col min="12285" max="12285" width="4.7109375" style="81" customWidth="1"/>
    <col min="12286" max="12286" width="9.7109375" style="81" customWidth="1"/>
    <col min="12287" max="12287" width="49.7109375" style="81" customWidth="1"/>
    <col min="12288" max="12297" width="9.7109375" style="81" customWidth="1"/>
    <col min="12298" max="12430" width="8.7109375" style="81" customWidth="1"/>
    <col min="12431" max="12540" width="8.85546875" style="81"/>
    <col min="12541" max="12541" width="4.7109375" style="81" customWidth="1"/>
    <col min="12542" max="12542" width="9.7109375" style="81" customWidth="1"/>
    <col min="12543" max="12543" width="49.7109375" style="81" customWidth="1"/>
    <col min="12544" max="12553" width="9.7109375" style="81" customWidth="1"/>
    <col min="12554" max="12686" width="8.7109375" style="81" customWidth="1"/>
    <col min="12687" max="12796" width="8.85546875" style="81"/>
    <col min="12797" max="12797" width="4.7109375" style="81" customWidth="1"/>
    <col min="12798" max="12798" width="9.7109375" style="81" customWidth="1"/>
    <col min="12799" max="12799" width="49.7109375" style="81" customWidth="1"/>
    <col min="12800" max="12809" width="9.7109375" style="81" customWidth="1"/>
    <col min="12810" max="12942" width="8.7109375" style="81" customWidth="1"/>
    <col min="12943" max="13052" width="8.85546875" style="81"/>
    <col min="13053" max="13053" width="4.7109375" style="81" customWidth="1"/>
    <col min="13054" max="13054" width="9.7109375" style="81" customWidth="1"/>
    <col min="13055" max="13055" width="49.7109375" style="81" customWidth="1"/>
    <col min="13056" max="13065" width="9.7109375" style="81" customWidth="1"/>
    <col min="13066" max="13198" width="8.7109375" style="81" customWidth="1"/>
    <col min="13199" max="13308" width="8.85546875" style="81"/>
    <col min="13309" max="13309" width="4.7109375" style="81" customWidth="1"/>
    <col min="13310" max="13310" width="9.7109375" style="81" customWidth="1"/>
    <col min="13311" max="13311" width="49.7109375" style="81" customWidth="1"/>
    <col min="13312" max="13321" width="9.7109375" style="81" customWidth="1"/>
    <col min="13322" max="13454" width="8.7109375" style="81" customWidth="1"/>
    <col min="13455" max="13564" width="8.85546875" style="81"/>
    <col min="13565" max="13565" width="4.7109375" style="81" customWidth="1"/>
    <col min="13566" max="13566" width="9.7109375" style="81" customWidth="1"/>
    <col min="13567" max="13567" width="49.7109375" style="81" customWidth="1"/>
    <col min="13568" max="13577" width="9.7109375" style="81" customWidth="1"/>
    <col min="13578" max="13710" width="8.7109375" style="81" customWidth="1"/>
    <col min="13711" max="13820" width="8.85546875" style="81"/>
    <col min="13821" max="13821" width="4.7109375" style="81" customWidth="1"/>
    <col min="13822" max="13822" width="9.7109375" style="81" customWidth="1"/>
    <col min="13823" max="13823" width="49.7109375" style="81" customWidth="1"/>
    <col min="13824" max="13833" width="9.7109375" style="81" customWidth="1"/>
    <col min="13834" max="13966" width="8.7109375" style="81" customWidth="1"/>
    <col min="13967" max="14076" width="8.85546875" style="81"/>
    <col min="14077" max="14077" width="4.7109375" style="81" customWidth="1"/>
    <col min="14078" max="14078" width="9.7109375" style="81" customWidth="1"/>
    <col min="14079" max="14079" width="49.7109375" style="81" customWidth="1"/>
    <col min="14080" max="14089" width="9.7109375" style="81" customWidth="1"/>
    <col min="14090" max="14222" width="8.7109375" style="81" customWidth="1"/>
    <col min="14223" max="14332" width="8.85546875" style="81"/>
    <col min="14333" max="14333" width="4.7109375" style="81" customWidth="1"/>
    <col min="14334" max="14334" width="9.7109375" style="81" customWidth="1"/>
    <col min="14335" max="14335" width="49.7109375" style="81" customWidth="1"/>
    <col min="14336" max="14345" width="9.7109375" style="81" customWidth="1"/>
    <col min="14346" max="14478" width="8.7109375" style="81" customWidth="1"/>
    <col min="14479" max="14588" width="8.85546875" style="81"/>
    <col min="14589" max="14589" width="4.7109375" style="81" customWidth="1"/>
    <col min="14590" max="14590" width="9.7109375" style="81" customWidth="1"/>
    <col min="14591" max="14591" width="49.7109375" style="81" customWidth="1"/>
    <col min="14592" max="14601" width="9.7109375" style="81" customWidth="1"/>
    <col min="14602" max="14734" width="8.7109375" style="81" customWidth="1"/>
    <col min="14735" max="14844" width="8.85546875" style="81"/>
    <col min="14845" max="14845" width="4.7109375" style="81" customWidth="1"/>
    <col min="14846" max="14846" width="9.7109375" style="81" customWidth="1"/>
    <col min="14847" max="14847" width="49.7109375" style="81" customWidth="1"/>
    <col min="14848" max="14857" width="9.7109375" style="81" customWidth="1"/>
    <col min="14858" max="14990" width="8.7109375" style="81" customWidth="1"/>
    <col min="14991" max="15100" width="8.85546875" style="81"/>
    <col min="15101" max="15101" width="4.7109375" style="81" customWidth="1"/>
    <col min="15102" max="15102" width="9.7109375" style="81" customWidth="1"/>
    <col min="15103" max="15103" width="49.7109375" style="81" customWidth="1"/>
    <col min="15104" max="15113" width="9.7109375" style="81" customWidth="1"/>
    <col min="15114" max="15246" width="8.7109375" style="81" customWidth="1"/>
    <col min="15247" max="15356" width="8.85546875" style="81"/>
    <col min="15357" max="15357" width="4.7109375" style="81" customWidth="1"/>
    <col min="15358" max="15358" width="9.7109375" style="81" customWidth="1"/>
    <col min="15359" max="15359" width="49.7109375" style="81" customWidth="1"/>
    <col min="15360" max="15369" width="9.7109375" style="81" customWidth="1"/>
    <col min="15370" max="15502" width="8.7109375" style="81" customWidth="1"/>
    <col min="15503" max="15612" width="8.85546875" style="81"/>
    <col min="15613" max="15613" width="4.7109375" style="81" customWidth="1"/>
    <col min="15614" max="15614" width="9.7109375" style="81" customWidth="1"/>
    <col min="15615" max="15615" width="49.7109375" style="81" customWidth="1"/>
    <col min="15616" max="15625" width="9.7109375" style="81" customWidth="1"/>
    <col min="15626" max="15758" width="8.7109375" style="81" customWidth="1"/>
    <col min="15759" max="15868" width="8.85546875" style="81"/>
    <col min="15869" max="15869" width="4.7109375" style="81" customWidth="1"/>
    <col min="15870" max="15870" width="9.7109375" style="81" customWidth="1"/>
    <col min="15871" max="15871" width="49.7109375" style="81" customWidth="1"/>
    <col min="15872" max="15881" width="9.7109375" style="81" customWidth="1"/>
    <col min="15882" max="16014" width="8.7109375" style="81" customWidth="1"/>
    <col min="16015" max="16124" width="8.85546875" style="81"/>
    <col min="16125" max="16125" width="4.7109375" style="81" customWidth="1"/>
    <col min="16126" max="16126" width="9.7109375" style="81" customWidth="1"/>
    <col min="16127" max="16127" width="49.7109375" style="81" customWidth="1"/>
    <col min="16128" max="16137" width="9.7109375" style="81" customWidth="1"/>
    <col min="16138" max="16270" width="8.7109375" style="81" customWidth="1"/>
    <col min="16271" max="16384" width="8.85546875" style="81"/>
  </cols>
  <sheetData>
    <row r="1" spans="1:13" s="86" customFormat="1" ht="12.75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86" customFormat="1" ht="12.75">
      <c r="A2" s="487" t="s">
        <v>7</v>
      </c>
      <c r="B2" s="487"/>
      <c r="C2" s="487"/>
      <c r="D2" s="487"/>
      <c r="E2" s="487"/>
      <c r="F2" s="487"/>
      <c r="G2" s="190" t="str">
        <f>'B-2.1'!B9</f>
        <v>B-2.1.1</v>
      </c>
      <c r="H2" s="78"/>
      <c r="I2" s="78"/>
      <c r="J2" s="78"/>
      <c r="K2" s="78"/>
      <c r="L2" s="78"/>
      <c r="M2" s="78"/>
    </row>
    <row r="3" spans="1:13" s="86" customFormat="1" ht="12.75">
      <c r="A3" s="488" t="str">
        <f>'B-2.1'!C9</f>
        <v>sasmeli wylis rezervuari  V=25.0 m3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1:13" s="86" customFormat="1" ht="12.75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13" s="86" customFormat="1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s="192" customFormat="1" ht="26.25" customHeight="1">
      <c r="A6" s="485" t="s">
        <v>117</v>
      </c>
      <c r="B6" s="491" t="s">
        <v>184</v>
      </c>
      <c r="C6" s="485" t="s">
        <v>185</v>
      </c>
      <c r="D6" s="485" t="s">
        <v>186</v>
      </c>
      <c r="E6" s="493" t="s">
        <v>187</v>
      </c>
      <c r="F6" s="494"/>
      <c r="G6" s="485" t="s">
        <v>188</v>
      </c>
      <c r="H6" s="485"/>
      <c r="I6" s="485" t="s">
        <v>189</v>
      </c>
      <c r="J6" s="485"/>
      <c r="K6" s="485" t="s">
        <v>190</v>
      </c>
      <c r="L6" s="485"/>
      <c r="M6" s="490" t="s">
        <v>118</v>
      </c>
    </row>
    <row r="7" spans="1:13" s="192" customFormat="1" ht="26.25" customHeight="1">
      <c r="A7" s="485"/>
      <c r="B7" s="492"/>
      <c r="C7" s="485"/>
      <c r="D7" s="485"/>
      <c r="E7" s="365" t="s">
        <v>191</v>
      </c>
      <c r="F7" s="366" t="s">
        <v>116</v>
      </c>
      <c r="G7" s="365" t="s">
        <v>192</v>
      </c>
      <c r="H7" s="193" t="s">
        <v>118</v>
      </c>
      <c r="I7" s="194" t="s">
        <v>192</v>
      </c>
      <c r="J7" s="366" t="s">
        <v>118</v>
      </c>
      <c r="K7" s="90" t="s">
        <v>192</v>
      </c>
      <c r="L7" s="366" t="s">
        <v>118</v>
      </c>
      <c r="M7" s="490"/>
    </row>
    <row r="8" spans="1:13" s="192" customFormat="1" ht="12.75">
      <c r="A8" s="366">
        <v>1</v>
      </c>
      <c r="B8" s="195">
        <v>2</v>
      </c>
      <c r="C8" s="366">
        <v>3</v>
      </c>
      <c r="D8" s="195">
        <v>4</v>
      </c>
      <c r="E8" s="366">
        <v>5</v>
      </c>
      <c r="F8" s="195">
        <v>6</v>
      </c>
      <c r="G8" s="196">
        <v>7</v>
      </c>
      <c r="H8" s="195">
        <v>8</v>
      </c>
      <c r="I8" s="366">
        <v>9</v>
      </c>
      <c r="J8" s="195">
        <v>10</v>
      </c>
      <c r="K8" s="197">
        <v>11</v>
      </c>
      <c r="L8" s="195">
        <v>12</v>
      </c>
      <c r="M8" s="195" t="s">
        <v>79</v>
      </c>
    </row>
    <row r="9" spans="1:13" s="153" customFormat="1" ht="25.5">
      <c r="A9" s="198">
        <v>1</v>
      </c>
      <c r="B9" s="17" t="s">
        <v>82</v>
      </c>
      <c r="C9" s="90" t="s">
        <v>193</v>
      </c>
      <c r="D9" s="365" t="s">
        <v>244</v>
      </c>
      <c r="E9" s="199"/>
      <c r="F9" s="403"/>
      <c r="G9" s="199"/>
      <c r="H9" s="200"/>
      <c r="I9" s="201"/>
      <c r="J9" s="200"/>
      <c r="K9" s="199"/>
      <c r="L9" s="200"/>
      <c r="M9" s="200"/>
    </row>
    <row r="10" spans="1:13" s="153" customFormat="1" ht="12.75">
      <c r="A10" s="198"/>
      <c r="B10" s="198"/>
      <c r="C10" s="202" t="s">
        <v>86</v>
      </c>
      <c r="D10" s="203" t="s">
        <v>28</v>
      </c>
      <c r="E10" s="203">
        <v>2.1499999999999998E-2</v>
      </c>
      <c r="F10" s="204"/>
      <c r="G10" s="203"/>
      <c r="H10" s="204"/>
      <c r="I10" s="205"/>
      <c r="J10" s="204"/>
      <c r="K10" s="203"/>
      <c r="L10" s="204"/>
      <c r="M10" s="204"/>
    </row>
    <row r="11" spans="1:13" s="153" customFormat="1" ht="12.75">
      <c r="A11" s="198"/>
      <c r="B11" s="389" t="s">
        <v>286</v>
      </c>
      <c r="C11" s="202" t="s">
        <v>194</v>
      </c>
      <c r="D11" s="206" t="s">
        <v>29</v>
      </c>
      <c r="E11" s="203">
        <v>4.82E-2</v>
      </c>
      <c r="F11" s="204"/>
      <c r="G11" s="203"/>
      <c r="H11" s="204"/>
      <c r="I11" s="205"/>
      <c r="J11" s="204"/>
      <c r="K11" s="324"/>
      <c r="L11" s="204"/>
      <c r="M11" s="204"/>
    </row>
    <row r="12" spans="1:13" s="192" customFormat="1" ht="15">
      <c r="A12" s="366">
        <v>2</v>
      </c>
      <c r="B12" s="17" t="s">
        <v>195</v>
      </c>
      <c r="C12" s="90" t="s">
        <v>196</v>
      </c>
      <c r="D12" s="365" t="s">
        <v>244</v>
      </c>
      <c r="E12" s="366"/>
      <c r="F12" s="373"/>
      <c r="G12" s="366"/>
      <c r="H12" s="366"/>
      <c r="I12" s="366"/>
      <c r="J12" s="366"/>
      <c r="K12" s="366"/>
      <c r="L12" s="373"/>
      <c r="M12" s="373"/>
    </row>
    <row r="13" spans="1:13" s="208" customFormat="1" ht="12.75">
      <c r="A13" s="366"/>
      <c r="B13" s="34"/>
      <c r="C13" s="35" t="s">
        <v>86</v>
      </c>
      <c r="D13" s="33" t="s">
        <v>28</v>
      </c>
      <c r="E13" s="33">
        <v>2.99</v>
      </c>
      <c r="F13" s="33"/>
      <c r="G13" s="33"/>
      <c r="H13" s="33"/>
      <c r="I13" s="207"/>
      <c r="J13" s="36"/>
      <c r="K13" s="33"/>
      <c r="L13" s="36"/>
      <c r="M13" s="36"/>
    </row>
    <row r="14" spans="1:13" s="192" customFormat="1" ht="25.5">
      <c r="A14" s="366">
        <v>3</v>
      </c>
      <c r="B14" s="31" t="s">
        <v>197</v>
      </c>
      <c r="C14" s="90" t="s">
        <v>198</v>
      </c>
      <c r="D14" s="365" t="s">
        <v>244</v>
      </c>
      <c r="E14" s="366"/>
      <c r="F14" s="373"/>
      <c r="G14" s="366"/>
      <c r="H14" s="366"/>
      <c r="I14" s="209"/>
      <c r="J14" s="366"/>
      <c r="K14" s="366"/>
      <c r="L14" s="373"/>
      <c r="M14" s="373"/>
    </row>
    <row r="15" spans="1:13" s="208" customFormat="1" ht="12.75">
      <c r="A15" s="366"/>
      <c r="B15" s="34"/>
      <c r="C15" s="35" t="s">
        <v>199</v>
      </c>
      <c r="D15" s="33" t="s">
        <v>28</v>
      </c>
      <c r="E15" s="33">
        <f>9.21/1000</f>
        <v>9.2100000000000012E-3</v>
      </c>
      <c r="F15" s="33"/>
      <c r="G15" s="33"/>
      <c r="H15" s="36"/>
      <c r="I15" s="207"/>
      <c r="J15" s="33"/>
      <c r="K15" s="28"/>
      <c r="L15" s="36"/>
      <c r="M15" s="36"/>
    </row>
    <row r="16" spans="1:13" s="208" customFormat="1" ht="16.5">
      <c r="A16" s="409">
        <v>5</v>
      </c>
      <c r="B16" s="410" t="s">
        <v>304</v>
      </c>
      <c r="C16" s="411" t="s">
        <v>305</v>
      </c>
      <c r="D16" s="412" t="s">
        <v>30</v>
      </c>
      <c r="E16" s="413"/>
      <c r="F16" s="413"/>
      <c r="G16" s="414"/>
      <c r="H16" s="413"/>
      <c r="I16" s="414"/>
      <c r="J16" s="413"/>
      <c r="K16" s="414"/>
      <c r="L16" s="413"/>
      <c r="M16" s="415"/>
    </row>
    <row r="17" spans="1:13" s="208" customFormat="1" ht="16.5">
      <c r="A17" s="416"/>
      <c r="B17" s="417"/>
      <c r="C17" s="418" t="s">
        <v>86</v>
      </c>
      <c r="D17" s="419" t="s">
        <v>28</v>
      </c>
      <c r="E17" s="420">
        <f>89/100</f>
        <v>0.89</v>
      </c>
      <c r="F17" s="420"/>
      <c r="G17" s="419"/>
      <c r="H17" s="420"/>
      <c r="I17" s="421"/>
      <c r="J17" s="420"/>
      <c r="K17" s="419"/>
      <c r="L17" s="420"/>
      <c r="M17" s="422"/>
    </row>
    <row r="18" spans="1:13" s="208" customFormat="1" ht="16.5">
      <c r="A18" s="416"/>
      <c r="B18" s="417" t="s">
        <v>318</v>
      </c>
      <c r="C18" s="423" t="s">
        <v>306</v>
      </c>
      <c r="D18" s="424" t="s">
        <v>29</v>
      </c>
      <c r="E18" s="424">
        <f>39.4/100</f>
        <v>0.39399999999999996</v>
      </c>
      <c r="F18" s="420"/>
      <c r="G18" s="424"/>
      <c r="H18" s="420"/>
      <c r="I18" s="424"/>
      <c r="J18" s="420"/>
      <c r="K18" s="425"/>
      <c r="L18" s="420"/>
      <c r="M18" s="422"/>
    </row>
    <row r="19" spans="1:13" s="208" customFormat="1" ht="16.5">
      <c r="A19" s="416"/>
      <c r="B19" s="417"/>
      <c r="C19" s="418" t="s">
        <v>94</v>
      </c>
      <c r="D19" s="419" t="s">
        <v>31</v>
      </c>
      <c r="E19" s="420">
        <f>10.2/100</f>
        <v>0.10199999999999999</v>
      </c>
      <c r="F19" s="420"/>
      <c r="G19" s="419"/>
      <c r="H19" s="420"/>
      <c r="I19" s="419"/>
      <c r="J19" s="420"/>
      <c r="K19" s="426"/>
      <c r="L19" s="420"/>
      <c r="M19" s="422"/>
    </row>
    <row r="20" spans="1:13" s="208" customFormat="1" ht="16.5">
      <c r="A20" s="427"/>
      <c r="B20" s="428"/>
      <c r="C20" s="417" t="s">
        <v>307</v>
      </c>
      <c r="D20" s="419"/>
      <c r="E20" s="420"/>
      <c r="F20" s="420"/>
      <c r="G20" s="419"/>
      <c r="H20" s="420"/>
      <c r="I20" s="419"/>
      <c r="J20" s="420"/>
      <c r="K20" s="419"/>
      <c r="L20" s="420"/>
      <c r="M20" s="422"/>
    </row>
    <row r="21" spans="1:13" s="208" customFormat="1" ht="16.5">
      <c r="A21" s="427"/>
      <c r="B21" s="428"/>
      <c r="C21" s="418" t="s">
        <v>308</v>
      </c>
      <c r="D21" s="419" t="s">
        <v>95</v>
      </c>
      <c r="E21" s="420">
        <v>0.5</v>
      </c>
      <c r="F21" s="420"/>
      <c r="G21" s="419"/>
      <c r="H21" s="429"/>
      <c r="I21" s="419"/>
      <c r="J21" s="420"/>
      <c r="K21" s="419"/>
      <c r="L21" s="420"/>
      <c r="M21" s="422"/>
    </row>
    <row r="22" spans="1:13" s="208" customFormat="1" ht="16.5">
      <c r="A22" s="416"/>
      <c r="B22" s="417"/>
      <c r="C22" s="418" t="s">
        <v>98</v>
      </c>
      <c r="D22" s="419" t="s">
        <v>31</v>
      </c>
      <c r="E22" s="420">
        <f>38.2/100</f>
        <v>0.38200000000000001</v>
      </c>
      <c r="F22" s="420"/>
      <c r="G22" s="426"/>
      <c r="H22" s="429"/>
      <c r="I22" s="419"/>
      <c r="J22" s="420"/>
      <c r="K22" s="419"/>
      <c r="L22" s="420"/>
      <c r="M22" s="422"/>
    </row>
    <row r="23" spans="1:13" s="208" customFormat="1" ht="16.5">
      <c r="A23" s="409">
        <v>6</v>
      </c>
      <c r="B23" s="410" t="s">
        <v>309</v>
      </c>
      <c r="C23" s="411" t="s">
        <v>310</v>
      </c>
      <c r="D23" s="414" t="s">
        <v>311</v>
      </c>
      <c r="E23" s="414"/>
      <c r="F23" s="430"/>
      <c r="G23" s="414"/>
      <c r="H23" s="413"/>
      <c r="I23" s="414"/>
      <c r="J23" s="413"/>
      <c r="K23" s="414"/>
      <c r="L23" s="413"/>
      <c r="M23" s="415"/>
    </row>
    <row r="24" spans="1:13" s="208" customFormat="1" ht="16.5">
      <c r="A24" s="416"/>
      <c r="B24" s="417"/>
      <c r="C24" s="418" t="s">
        <v>312</v>
      </c>
      <c r="D24" s="419" t="s">
        <v>28</v>
      </c>
      <c r="E24" s="420">
        <v>11.6</v>
      </c>
      <c r="F24" s="420"/>
      <c r="G24" s="419"/>
      <c r="H24" s="420"/>
      <c r="I24" s="421"/>
      <c r="J24" s="420"/>
      <c r="K24" s="419"/>
      <c r="L24" s="420"/>
      <c r="M24" s="422"/>
    </row>
    <row r="25" spans="1:13" s="208" customFormat="1" ht="16.5">
      <c r="A25" s="416"/>
      <c r="B25" s="417"/>
      <c r="C25" s="418" t="s">
        <v>313</v>
      </c>
      <c r="D25" s="419" t="s">
        <v>28</v>
      </c>
      <c r="E25" s="420">
        <v>0.6</v>
      </c>
      <c r="F25" s="420"/>
      <c r="G25" s="419"/>
      <c r="H25" s="420"/>
      <c r="I25" s="421"/>
      <c r="J25" s="420"/>
      <c r="K25" s="419"/>
      <c r="L25" s="420"/>
      <c r="M25" s="422"/>
    </row>
    <row r="26" spans="1:13" s="208" customFormat="1" ht="16.5">
      <c r="A26" s="416"/>
      <c r="B26" s="417"/>
      <c r="C26" s="418" t="s">
        <v>94</v>
      </c>
      <c r="D26" s="419" t="s">
        <v>31</v>
      </c>
      <c r="E26" s="420">
        <v>1.83</v>
      </c>
      <c r="F26" s="420"/>
      <c r="G26" s="419"/>
      <c r="H26" s="420"/>
      <c r="I26" s="419"/>
      <c r="J26" s="420"/>
      <c r="K26" s="426"/>
      <c r="L26" s="420"/>
      <c r="M26" s="422"/>
    </row>
    <row r="27" spans="1:13" s="208" customFormat="1" ht="16.5">
      <c r="A27" s="416"/>
      <c r="B27" s="417"/>
      <c r="C27" s="417" t="s">
        <v>307</v>
      </c>
      <c r="D27" s="419"/>
      <c r="E27" s="419"/>
      <c r="F27" s="420"/>
      <c r="G27" s="419"/>
      <c r="H27" s="420"/>
      <c r="I27" s="419"/>
      <c r="J27" s="420"/>
      <c r="K27" s="419"/>
      <c r="L27" s="420"/>
      <c r="M27" s="422"/>
    </row>
    <row r="28" spans="1:13" s="208" customFormat="1" ht="16.5">
      <c r="A28" s="416"/>
      <c r="B28" s="417"/>
      <c r="C28" s="418" t="s">
        <v>314</v>
      </c>
      <c r="D28" s="419" t="s">
        <v>311</v>
      </c>
      <c r="E28" s="419">
        <v>1</v>
      </c>
      <c r="F28" s="431"/>
      <c r="G28" s="420"/>
      <c r="H28" s="420"/>
      <c r="I28" s="419"/>
      <c r="J28" s="420"/>
      <c r="K28" s="419"/>
      <c r="L28" s="420"/>
      <c r="M28" s="422"/>
    </row>
    <row r="29" spans="1:13" s="208" customFormat="1" ht="16.5">
      <c r="A29" s="416"/>
      <c r="B29" s="417"/>
      <c r="C29" s="418" t="s">
        <v>98</v>
      </c>
      <c r="D29" s="419" t="s">
        <v>31</v>
      </c>
      <c r="E29" s="420">
        <v>23.56</v>
      </c>
      <c r="F29" s="420"/>
      <c r="G29" s="426"/>
      <c r="H29" s="420"/>
      <c r="I29" s="419"/>
      <c r="J29" s="420"/>
      <c r="K29" s="419"/>
      <c r="L29" s="420"/>
      <c r="M29" s="422"/>
    </row>
    <row r="30" spans="1:13" s="208" customFormat="1" ht="16.5">
      <c r="A30" s="409">
        <v>7</v>
      </c>
      <c r="B30" s="410" t="s">
        <v>315</v>
      </c>
      <c r="C30" s="411" t="s">
        <v>316</v>
      </c>
      <c r="D30" s="412" t="s">
        <v>30</v>
      </c>
      <c r="E30" s="413"/>
      <c r="F30" s="413"/>
      <c r="G30" s="414"/>
      <c r="H30" s="413"/>
      <c r="I30" s="414"/>
      <c r="J30" s="413"/>
      <c r="K30" s="414"/>
      <c r="L30" s="413"/>
      <c r="M30" s="415"/>
    </row>
    <row r="31" spans="1:13" s="208" customFormat="1" ht="16.5">
      <c r="A31" s="416"/>
      <c r="B31" s="417"/>
      <c r="C31" s="418" t="s">
        <v>312</v>
      </c>
      <c r="D31" s="419" t="s">
        <v>28</v>
      </c>
      <c r="E31" s="420">
        <v>2.7</v>
      </c>
      <c r="F31" s="420"/>
      <c r="G31" s="419"/>
      <c r="H31" s="420"/>
      <c r="I31" s="419"/>
      <c r="J31" s="420"/>
      <c r="K31" s="419"/>
      <c r="L31" s="420"/>
      <c r="M31" s="422"/>
    </row>
    <row r="32" spans="1:13" s="208" customFormat="1" ht="16.5">
      <c r="A32" s="416"/>
      <c r="B32" s="417"/>
      <c r="C32" s="418" t="s">
        <v>313</v>
      </c>
      <c r="D32" s="419" t="s">
        <v>28</v>
      </c>
      <c r="E32" s="420">
        <f>5.25/100</f>
        <v>5.2499999999999998E-2</v>
      </c>
      <c r="F32" s="420"/>
      <c r="G32" s="419"/>
      <c r="H32" s="420"/>
      <c r="I32" s="421"/>
      <c r="J32" s="420"/>
      <c r="K32" s="419"/>
      <c r="L32" s="420"/>
      <c r="M32" s="422"/>
    </row>
    <row r="33" spans="1:13" s="208" customFormat="1" ht="16.5">
      <c r="A33" s="416"/>
      <c r="B33" s="417" t="s">
        <v>318</v>
      </c>
      <c r="C33" s="423" t="s">
        <v>306</v>
      </c>
      <c r="D33" s="424" t="s">
        <v>29</v>
      </c>
      <c r="E33" s="424">
        <f>5.25/100</f>
        <v>5.2499999999999998E-2</v>
      </c>
      <c r="F33" s="420"/>
      <c r="G33" s="424"/>
      <c r="H33" s="420"/>
      <c r="I33" s="424"/>
      <c r="J33" s="420"/>
      <c r="K33" s="425"/>
      <c r="L33" s="420"/>
      <c r="M33" s="422"/>
    </row>
    <row r="34" spans="1:13" s="208" customFormat="1" ht="16.5">
      <c r="A34" s="416"/>
      <c r="B34" s="417"/>
      <c r="C34" s="417" t="s">
        <v>307</v>
      </c>
      <c r="D34" s="419"/>
      <c r="E34" s="420"/>
      <c r="F34" s="420"/>
      <c r="G34" s="419"/>
      <c r="H34" s="420"/>
      <c r="I34" s="419"/>
      <c r="J34" s="420"/>
      <c r="K34" s="419"/>
      <c r="L34" s="420"/>
      <c r="M34" s="422"/>
    </row>
    <row r="35" spans="1:13" s="208" customFormat="1" ht="16.5">
      <c r="A35" s="416"/>
      <c r="B35" s="417"/>
      <c r="C35" s="418" t="s">
        <v>317</v>
      </c>
      <c r="D35" s="419" t="s">
        <v>30</v>
      </c>
      <c r="E35" s="420">
        <f>103/100</f>
        <v>1.03</v>
      </c>
      <c r="F35" s="420"/>
      <c r="G35" s="419"/>
      <c r="H35" s="420"/>
      <c r="I35" s="419"/>
      <c r="J35" s="420"/>
      <c r="K35" s="419"/>
      <c r="L35" s="420"/>
      <c r="M35" s="422"/>
    </row>
    <row r="36" spans="1:13" s="208" customFormat="1" ht="13.5">
      <c r="A36" s="340">
        <v>1</v>
      </c>
      <c r="B36" s="341" t="s">
        <v>262</v>
      </c>
      <c r="C36" s="342" t="s">
        <v>264</v>
      </c>
      <c r="D36" s="340" t="s">
        <v>30</v>
      </c>
      <c r="E36" s="340"/>
      <c r="F36" s="404"/>
      <c r="G36" s="343"/>
      <c r="H36" s="344"/>
      <c r="I36" s="345"/>
      <c r="J36" s="344"/>
      <c r="K36" s="346"/>
      <c r="L36" s="347"/>
      <c r="M36" s="331"/>
    </row>
    <row r="37" spans="1:13" s="208" customFormat="1" ht="13.5">
      <c r="A37" s="340"/>
      <c r="B37" s="341"/>
      <c r="C37" s="348" t="s">
        <v>86</v>
      </c>
      <c r="D37" s="346" t="s">
        <v>28</v>
      </c>
      <c r="E37" s="346">
        <v>0.89</v>
      </c>
      <c r="F37" s="345"/>
      <c r="G37" s="346"/>
      <c r="H37" s="345"/>
      <c r="I37" s="345"/>
      <c r="J37" s="345"/>
      <c r="K37" s="346"/>
      <c r="L37" s="345"/>
      <c r="M37" s="345"/>
    </row>
    <row r="38" spans="1:13" s="208" customFormat="1" ht="13.5">
      <c r="A38" s="349"/>
      <c r="B38" s="350"/>
      <c r="C38" s="351" t="s">
        <v>94</v>
      </c>
      <c r="D38" s="346" t="s">
        <v>31</v>
      </c>
      <c r="E38" s="352">
        <v>0.37</v>
      </c>
      <c r="F38" s="353"/>
      <c r="G38" s="352"/>
      <c r="H38" s="353"/>
      <c r="I38" s="353"/>
      <c r="J38" s="352"/>
      <c r="K38" s="335"/>
      <c r="L38" s="345"/>
      <c r="M38" s="345"/>
    </row>
    <row r="39" spans="1:13" s="208" customFormat="1" ht="15">
      <c r="A39" s="340"/>
      <c r="B39" s="59" t="s">
        <v>287</v>
      </c>
      <c r="C39" s="348" t="s">
        <v>263</v>
      </c>
      <c r="D39" s="346" t="s">
        <v>30</v>
      </c>
      <c r="E39" s="354">
        <v>1.1499999999999999</v>
      </c>
      <c r="F39" s="345"/>
      <c r="G39" s="392"/>
      <c r="H39" s="345"/>
      <c r="I39" s="345"/>
      <c r="J39" s="345"/>
      <c r="K39" s="346"/>
      <c r="L39" s="345"/>
      <c r="M39" s="345"/>
    </row>
    <row r="40" spans="1:13" s="208" customFormat="1" ht="13.5">
      <c r="A40" s="349"/>
      <c r="B40" s="341"/>
      <c r="C40" s="355" t="s">
        <v>98</v>
      </c>
      <c r="D40" s="346" t="s">
        <v>31</v>
      </c>
      <c r="E40" s="345">
        <v>0.02</v>
      </c>
      <c r="F40" s="345"/>
      <c r="G40" s="335"/>
      <c r="H40" s="356"/>
      <c r="I40" s="357"/>
      <c r="J40" s="358"/>
      <c r="K40" s="359"/>
      <c r="L40" s="359"/>
      <c r="M40" s="345"/>
    </row>
    <row r="41" spans="1:13" s="210" customFormat="1" ht="15">
      <c r="A41" s="366">
        <v>4</v>
      </c>
      <c r="B41" s="38" t="s">
        <v>119</v>
      </c>
      <c r="C41" s="95" t="s">
        <v>200</v>
      </c>
      <c r="D41" s="365" t="s">
        <v>244</v>
      </c>
      <c r="E41" s="371"/>
      <c r="F41" s="405"/>
      <c r="G41" s="371"/>
      <c r="H41" s="371"/>
      <c r="I41" s="371"/>
      <c r="J41" s="371"/>
      <c r="K41" s="371"/>
      <c r="L41" s="371"/>
      <c r="M41" s="325"/>
    </row>
    <row r="42" spans="1:13" s="210" customFormat="1" ht="12.75">
      <c r="A42" s="366"/>
      <c r="B42" s="31"/>
      <c r="C42" s="96" t="s">
        <v>93</v>
      </c>
      <c r="D42" s="324" t="s">
        <v>96</v>
      </c>
      <c r="E42" s="323">
        <v>1.37</v>
      </c>
      <c r="F42" s="85"/>
      <c r="G42" s="323"/>
      <c r="H42" s="85"/>
      <c r="I42" s="85"/>
      <c r="J42" s="85"/>
      <c r="K42" s="323"/>
      <c r="L42" s="323"/>
      <c r="M42" s="85"/>
    </row>
    <row r="43" spans="1:13" s="210" customFormat="1" ht="12.75">
      <c r="A43" s="366"/>
      <c r="B43" s="195"/>
      <c r="C43" s="96" t="s">
        <v>94</v>
      </c>
      <c r="D43" s="324" t="s">
        <v>31</v>
      </c>
      <c r="E43" s="323">
        <v>0.28299999999999997</v>
      </c>
      <c r="F43" s="85"/>
      <c r="G43" s="323"/>
      <c r="H43" s="323"/>
      <c r="I43" s="323"/>
      <c r="J43" s="323"/>
      <c r="K43" s="212"/>
      <c r="L43" s="85"/>
      <c r="M43" s="85"/>
    </row>
    <row r="44" spans="1:13" s="210" customFormat="1" ht="15">
      <c r="A44" s="366"/>
      <c r="B44" s="31" t="s">
        <v>276</v>
      </c>
      <c r="C44" s="96" t="s">
        <v>293</v>
      </c>
      <c r="D44" s="324" t="s">
        <v>245</v>
      </c>
      <c r="E44" s="323">
        <v>1.02</v>
      </c>
      <c r="F44" s="85"/>
      <c r="G44" s="406"/>
      <c r="H44" s="211"/>
      <c r="I44" s="207"/>
      <c r="J44" s="33"/>
      <c r="K44" s="212"/>
      <c r="L44" s="212"/>
      <c r="M44" s="85"/>
    </row>
    <row r="45" spans="1:13" s="210" customFormat="1" ht="12.75">
      <c r="A45" s="366"/>
      <c r="B45" s="31"/>
      <c r="C45" s="96" t="s">
        <v>89</v>
      </c>
      <c r="D45" s="324" t="s">
        <v>31</v>
      </c>
      <c r="E45" s="323">
        <v>0.62</v>
      </c>
      <c r="F45" s="85"/>
      <c r="G45" s="212"/>
      <c r="H45" s="211"/>
      <c r="I45" s="207"/>
      <c r="J45" s="33"/>
      <c r="K45" s="212"/>
      <c r="L45" s="212"/>
      <c r="M45" s="85"/>
    </row>
    <row r="46" spans="1:13" s="210" customFormat="1" ht="15">
      <c r="A46" s="366">
        <v>5</v>
      </c>
      <c r="B46" s="38" t="s">
        <v>201</v>
      </c>
      <c r="C46" s="95" t="s">
        <v>202</v>
      </c>
      <c r="D46" s="365" t="s">
        <v>244</v>
      </c>
      <c r="E46" s="371"/>
      <c r="F46" s="325"/>
      <c r="G46" s="371"/>
      <c r="H46" s="371"/>
      <c r="I46" s="371"/>
      <c r="J46" s="371"/>
      <c r="K46" s="371"/>
      <c r="L46" s="371"/>
      <c r="M46" s="325"/>
    </row>
    <row r="47" spans="1:13" s="210" customFormat="1" ht="12.75">
      <c r="A47" s="366"/>
      <c r="B47" s="31"/>
      <c r="C47" s="96" t="s">
        <v>93</v>
      </c>
      <c r="D47" s="324" t="s">
        <v>96</v>
      </c>
      <c r="E47" s="323">
        <v>3.83</v>
      </c>
      <c r="F47" s="85"/>
      <c r="G47" s="323"/>
      <c r="H47" s="85"/>
      <c r="I47" s="85"/>
      <c r="J47" s="85"/>
      <c r="K47" s="323"/>
      <c r="L47" s="323"/>
      <c r="M47" s="85"/>
    </row>
    <row r="48" spans="1:13" s="210" customFormat="1" ht="12.75">
      <c r="A48" s="366"/>
      <c r="B48" s="195"/>
      <c r="C48" s="96" t="s">
        <v>94</v>
      </c>
      <c r="D48" s="324" t="s">
        <v>31</v>
      </c>
      <c r="E48" s="323">
        <v>1.37</v>
      </c>
      <c r="F48" s="85"/>
      <c r="G48" s="323"/>
      <c r="H48" s="323"/>
      <c r="I48" s="323"/>
      <c r="J48" s="323"/>
      <c r="K48" s="212"/>
      <c r="L48" s="85"/>
      <c r="M48" s="85"/>
    </row>
    <row r="49" spans="1:16" s="210" customFormat="1" ht="15">
      <c r="A49" s="366"/>
      <c r="B49" s="31" t="s">
        <v>276</v>
      </c>
      <c r="C49" s="96" t="s">
        <v>292</v>
      </c>
      <c r="D49" s="324" t="s">
        <v>245</v>
      </c>
      <c r="E49" s="323">
        <v>1.05</v>
      </c>
      <c r="F49" s="85"/>
      <c r="G49" s="406"/>
      <c r="H49" s="211"/>
      <c r="I49" s="207"/>
      <c r="J49" s="33"/>
      <c r="K49" s="212"/>
      <c r="L49" s="212"/>
      <c r="M49" s="85"/>
    </row>
    <row r="50" spans="1:16" s="86" customFormat="1" ht="12.75">
      <c r="A50" s="197"/>
      <c r="B50" s="277" t="s">
        <v>283</v>
      </c>
      <c r="C50" s="213" t="s">
        <v>203</v>
      </c>
      <c r="D50" s="33" t="s">
        <v>97</v>
      </c>
      <c r="E50" s="33"/>
      <c r="F50" s="33"/>
      <c r="G50" s="211"/>
      <c r="H50" s="36"/>
      <c r="I50" s="207"/>
      <c r="J50" s="33"/>
      <c r="K50" s="33"/>
      <c r="L50" s="36"/>
      <c r="M50" s="36"/>
    </row>
    <row r="51" spans="1:16" s="86" customFormat="1" ht="12.75">
      <c r="A51" s="366"/>
      <c r="B51" s="277" t="s">
        <v>295</v>
      </c>
      <c r="C51" s="214" t="s">
        <v>204</v>
      </c>
      <c r="D51" s="33" t="s">
        <v>121</v>
      </c>
      <c r="E51" s="33">
        <v>0.25600000000000001</v>
      </c>
      <c r="F51" s="33"/>
      <c r="G51" s="33"/>
      <c r="H51" s="36"/>
      <c r="I51" s="207"/>
      <c r="J51" s="33"/>
      <c r="K51" s="33"/>
      <c r="L51" s="36"/>
      <c r="M51" s="36"/>
    </row>
    <row r="52" spans="1:16" s="86" customFormat="1" ht="12.75">
      <c r="A52" s="366"/>
      <c r="B52" s="365" t="s">
        <v>268</v>
      </c>
      <c r="C52" s="35" t="s">
        <v>267</v>
      </c>
      <c r="D52" s="33" t="s">
        <v>30</v>
      </c>
      <c r="E52" s="33">
        <f>0.3/100</f>
        <v>3.0000000000000001E-3</v>
      </c>
      <c r="F52" s="33"/>
      <c r="G52" s="93"/>
      <c r="H52" s="36"/>
      <c r="I52" s="207"/>
      <c r="J52" s="33"/>
      <c r="K52" s="33"/>
      <c r="L52" s="36"/>
      <c r="M52" s="36"/>
    </row>
    <row r="53" spans="1:16" s="210" customFormat="1" ht="12.75">
      <c r="A53" s="366"/>
      <c r="B53" s="31"/>
      <c r="C53" s="96" t="s">
        <v>294</v>
      </c>
      <c r="D53" s="324" t="s">
        <v>31</v>
      </c>
      <c r="E53" s="323">
        <v>0.63</v>
      </c>
      <c r="F53" s="85"/>
      <c r="G53" s="212"/>
      <c r="H53" s="211"/>
      <c r="I53" s="207"/>
      <c r="J53" s="33"/>
      <c r="K53" s="212"/>
      <c r="L53" s="212"/>
      <c r="M53" s="85"/>
    </row>
    <row r="54" spans="1:16" s="24" customFormat="1" ht="15">
      <c r="A54" s="20">
        <v>6</v>
      </c>
      <c r="B54" s="215" t="s">
        <v>205</v>
      </c>
      <c r="C54" s="216" t="s">
        <v>319</v>
      </c>
      <c r="D54" s="20" t="s">
        <v>97</v>
      </c>
      <c r="E54" s="20"/>
      <c r="F54" s="23"/>
      <c r="G54" s="18"/>
      <c r="H54" s="18"/>
      <c r="I54" s="28"/>
      <c r="J54" s="28"/>
      <c r="K54" s="18"/>
      <c r="L54" s="28"/>
      <c r="M54" s="23"/>
    </row>
    <row r="55" spans="1:16" s="29" customFormat="1" ht="12.75">
      <c r="A55" s="20"/>
      <c r="B55" s="25"/>
      <c r="C55" s="217" t="s">
        <v>86</v>
      </c>
      <c r="D55" s="18" t="s">
        <v>206</v>
      </c>
      <c r="E55" s="18">
        <v>16.5</v>
      </c>
      <c r="F55" s="18"/>
      <c r="G55" s="18"/>
      <c r="H55" s="18"/>
      <c r="I55" s="28"/>
      <c r="J55" s="28"/>
      <c r="K55" s="18"/>
      <c r="L55" s="28"/>
      <c r="M55" s="28"/>
      <c r="P55" s="432"/>
    </row>
    <row r="56" spans="1:16" s="29" customFormat="1" ht="12.75">
      <c r="A56" s="20"/>
      <c r="B56" s="25" t="s">
        <v>207</v>
      </c>
      <c r="C56" s="217" t="s">
        <v>208</v>
      </c>
      <c r="D56" s="18" t="s">
        <v>120</v>
      </c>
      <c r="E56" s="18">
        <v>1.69</v>
      </c>
      <c r="F56" s="18"/>
      <c r="G56" s="18"/>
      <c r="H56" s="18"/>
      <c r="I56" s="28"/>
      <c r="J56" s="28"/>
      <c r="K56" s="18"/>
      <c r="L56" s="28"/>
      <c r="M56" s="28"/>
    </row>
    <row r="57" spans="1:16" s="29" customFormat="1" ht="12.75">
      <c r="A57" s="20"/>
      <c r="B57" s="25"/>
      <c r="C57" s="218" t="s">
        <v>87</v>
      </c>
      <c r="D57" s="18" t="s">
        <v>99</v>
      </c>
      <c r="E57" s="18">
        <v>14.4</v>
      </c>
      <c r="F57" s="18"/>
      <c r="G57" s="18"/>
      <c r="H57" s="18"/>
      <c r="I57" s="28"/>
      <c r="J57" s="28"/>
      <c r="K57" s="212"/>
      <c r="L57" s="28"/>
      <c r="M57" s="28"/>
      <c r="P57" s="432"/>
    </row>
    <row r="58" spans="1:16" s="29" customFormat="1" ht="12.75">
      <c r="A58" s="20"/>
      <c r="B58" s="25"/>
      <c r="C58" s="217" t="s">
        <v>320</v>
      </c>
      <c r="D58" s="18" t="s">
        <v>95</v>
      </c>
      <c r="E58" s="18"/>
      <c r="F58" s="28"/>
      <c r="G58" s="28"/>
      <c r="H58" s="28"/>
      <c r="I58" s="28"/>
      <c r="J58" s="28"/>
      <c r="K58" s="18"/>
      <c r="L58" s="28"/>
      <c r="M58" s="28"/>
    </row>
    <row r="59" spans="1:16" s="29" customFormat="1" ht="12.75">
      <c r="A59" s="20"/>
      <c r="B59" s="25"/>
      <c r="C59" s="217" t="s">
        <v>209</v>
      </c>
      <c r="D59" s="18" t="s">
        <v>100</v>
      </c>
      <c r="E59" s="18">
        <v>35.6</v>
      </c>
      <c r="F59" s="18"/>
      <c r="G59" s="18"/>
      <c r="H59" s="28"/>
      <c r="I59" s="28"/>
      <c r="J59" s="28"/>
      <c r="K59" s="18"/>
      <c r="L59" s="28"/>
      <c r="M59" s="28"/>
    </row>
    <row r="60" spans="1:16" s="29" customFormat="1" ht="12.75">
      <c r="A60" s="20"/>
      <c r="B60" s="365" t="s">
        <v>296</v>
      </c>
      <c r="C60" s="217" t="s">
        <v>210</v>
      </c>
      <c r="D60" s="18" t="s">
        <v>100</v>
      </c>
      <c r="E60" s="28">
        <v>3</v>
      </c>
      <c r="F60" s="18"/>
      <c r="G60" s="28"/>
      <c r="H60" s="28"/>
      <c r="I60" s="28"/>
      <c r="J60" s="28"/>
      <c r="K60" s="18"/>
      <c r="L60" s="28"/>
      <c r="M60" s="28"/>
    </row>
    <row r="61" spans="1:16" s="29" customFormat="1" ht="12.75">
      <c r="A61" s="20"/>
      <c r="B61" s="25"/>
      <c r="C61" s="218" t="s">
        <v>98</v>
      </c>
      <c r="D61" s="18" t="s">
        <v>99</v>
      </c>
      <c r="E61" s="18">
        <v>5.3</v>
      </c>
      <c r="F61" s="18"/>
      <c r="G61" s="212"/>
      <c r="H61" s="18"/>
      <c r="I61" s="28"/>
      <c r="J61" s="28"/>
      <c r="K61" s="18"/>
      <c r="L61" s="28"/>
      <c r="M61" s="28"/>
    </row>
    <row r="62" spans="1:16" s="210" customFormat="1" ht="25.5" customHeight="1">
      <c r="A62" s="366">
        <v>7</v>
      </c>
      <c r="B62" s="38" t="s">
        <v>211</v>
      </c>
      <c r="C62" s="216" t="s">
        <v>212</v>
      </c>
      <c r="D62" s="365" t="s">
        <v>244</v>
      </c>
      <c r="E62" s="371"/>
      <c r="F62" s="405"/>
      <c r="G62" s="371"/>
      <c r="H62" s="371"/>
      <c r="I62" s="371"/>
      <c r="J62" s="371"/>
      <c r="K62" s="371"/>
      <c r="L62" s="371"/>
      <c r="M62" s="325"/>
    </row>
    <row r="63" spans="1:16" s="210" customFormat="1" ht="12.75">
      <c r="A63" s="366"/>
      <c r="B63" s="31"/>
      <c r="C63" s="96" t="s">
        <v>93</v>
      </c>
      <c r="D63" s="324" t="s">
        <v>96</v>
      </c>
      <c r="E63" s="323">
        <v>13.8</v>
      </c>
      <c r="F63" s="85"/>
      <c r="G63" s="323"/>
      <c r="H63" s="85"/>
      <c r="I63" s="85"/>
      <c r="J63" s="85"/>
      <c r="K63" s="323"/>
      <c r="L63" s="323"/>
      <c r="M63" s="85"/>
    </row>
    <row r="64" spans="1:16" s="210" customFormat="1" ht="12.75">
      <c r="A64" s="366"/>
      <c r="B64" s="195"/>
      <c r="C64" s="96" t="s">
        <v>94</v>
      </c>
      <c r="D64" s="324" t="s">
        <v>31</v>
      </c>
      <c r="E64" s="323">
        <v>0.17</v>
      </c>
      <c r="F64" s="85"/>
      <c r="G64" s="323"/>
      <c r="H64" s="323"/>
      <c r="I64" s="323"/>
      <c r="J64" s="323"/>
      <c r="K64" s="212"/>
      <c r="L64" s="85"/>
      <c r="M64" s="85"/>
    </row>
    <row r="65" spans="1:13" s="210" customFormat="1" ht="13.5" customHeight="1">
      <c r="A65" s="366"/>
      <c r="B65" s="365" t="s">
        <v>298</v>
      </c>
      <c r="C65" s="96" t="s">
        <v>213</v>
      </c>
      <c r="D65" s="324" t="s">
        <v>245</v>
      </c>
      <c r="E65" s="323" t="s">
        <v>125</v>
      </c>
      <c r="F65" s="85"/>
      <c r="G65" s="406"/>
      <c r="H65" s="211"/>
      <c r="I65" s="207"/>
      <c r="J65" s="33"/>
      <c r="K65" s="212"/>
      <c r="L65" s="212"/>
      <c r="M65" s="85"/>
    </row>
    <row r="66" spans="1:13" s="210" customFormat="1" ht="12.75">
      <c r="A66" s="366"/>
      <c r="B66" s="31"/>
      <c r="C66" s="96" t="s">
        <v>89</v>
      </c>
      <c r="D66" s="324" t="s">
        <v>31</v>
      </c>
      <c r="E66" s="323">
        <v>0.9</v>
      </c>
      <c r="F66" s="85"/>
      <c r="G66" s="212"/>
      <c r="H66" s="211"/>
      <c r="I66" s="207"/>
      <c r="J66" s="33"/>
      <c r="K66" s="212"/>
      <c r="L66" s="212"/>
      <c r="M66" s="85"/>
    </row>
    <row r="67" spans="1:13" s="210" customFormat="1" ht="15">
      <c r="A67" s="366">
        <v>8</v>
      </c>
      <c r="B67" s="31" t="s">
        <v>214</v>
      </c>
      <c r="C67" s="219" t="s">
        <v>215</v>
      </c>
      <c r="D67" s="365" t="s">
        <v>246</v>
      </c>
      <c r="E67" s="371"/>
      <c r="F67" s="325"/>
      <c r="G67" s="23"/>
      <c r="H67" s="23"/>
      <c r="I67" s="23"/>
      <c r="J67" s="23"/>
      <c r="K67" s="20"/>
      <c r="L67" s="23"/>
      <c r="M67" s="23"/>
    </row>
    <row r="68" spans="1:13" s="210" customFormat="1" ht="15">
      <c r="A68" s="366"/>
      <c r="B68" s="365" t="s">
        <v>299</v>
      </c>
      <c r="C68" s="360" t="s">
        <v>215</v>
      </c>
      <c r="D68" s="30" t="s">
        <v>247</v>
      </c>
      <c r="E68" s="323">
        <v>1</v>
      </c>
      <c r="F68" s="85"/>
      <c r="G68" s="28"/>
      <c r="H68" s="28"/>
      <c r="I68" s="28"/>
      <c r="J68" s="28"/>
      <c r="K68" s="18"/>
      <c r="L68" s="28"/>
      <c r="M68" s="28"/>
    </row>
    <row r="69" spans="1:13" s="24" customFormat="1" ht="25.5">
      <c r="A69" s="20">
        <v>9</v>
      </c>
      <c r="B69" s="215" t="s">
        <v>216</v>
      </c>
      <c r="C69" s="216" t="s">
        <v>254</v>
      </c>
      <c r="D69" s="365" t="s">
        <v>246</v>
      </c>
      <c r="E69" s="20"/>
      <c r="F69" s="23"/>
      <c r="G69" s="18"/>
      <c r="H69" s="18"/>
      <c r="I69" s="28"/>
      <c r="J69" s="28"/>
      <c r="K69" s="18"/>
      <c r="L69" s="28"/>
      <c r="M69" s="23"/>
    </row>
    <row r="70" spans="1:13" s="29" customFormat="1" ht="12.75">
      <c r="A70" s="20"/>
      <c r="B70" s="25"/>
      <c r="C70" s="217" t="s">
        <v>86</v>
      </c>
      <c r="D70" s="324" t="s">
        <v>217</v>
      </c>
      <c r="E70" s="18">
        <v>1.28</v>
      </c>
      <c r="F70" s="18"/>
      <c r="G70" s="18"/>
      <c r="H70" s="18"/>
      <c r="I70" s="28"/>
      <c r="J70" s="28"/>
      <c r="K70" s="18"/>
      <c r="L70" s="28"/>
      <c r="M70" s="28"/>
    </row>
    <row r="71" spans="1:13" s="29" customFormat="1" ht="12.75">
      <c r="A71" s="20"/>
      <c r="B71" s="25"/>
      <c r="C71" s="218" t="s">
        <v>87</v>
      </c>
      <c r="D71" s="324" t="s">
        <v>31</v>
      </c>
      <c r="E71" s="18">
        <v>1.21E-2</v>
      </c>
      <c r="F71" s="18"/>
      <c r="G71" s="18"/>
      <c r="H71" s="18"/>
      <c r="I71" s="28"/>
      <c r="J71" s="28"/>
      <c r="K71" s="212"/>
      <c r="L71" s="28"/>
      <c r="M71" s="28"/>
    </row>
    <row r="72" spans="1:13" s="29" customFormat="1" ht="15">
      <c r="A72" s="20"/>
      <c r="B72" s="365" t="s">
        <v>300</v>
      </c>
      <c r="C72" s="217" t="s">
        <v>297</v>
      </c>
      <c r="D72" s="324" t="s">
        <v>247</v>
      </c>
      <c r="E72" s="18">
        <v>1.2</v>
      </c>
      <c r="F72" s="18"/>
      <c r="G72" s="18"/>
      <c r="H72" s="28"/>
      <c r="I72" s="28"/>
      <c r="J72" s="28"/>
      <c r="K72" s="18"/>
      <c r="L72" s="28"/>
      <c r="M72" s="28"/>
    </row>
    <row r="73" spans="1:13" s="29" customFormat="1" ht="12.75">
      <c r="A73" s="20"/>
      <c r="B73" s="25"/>
      <c r="C73" s="217" t="s">
        <v>218</v>
      </c>
      <c r="D73" s="324" t="s">
        <v>169</v>
      </c>
      <c r="E73" s="19">
        <v>1.2999999999999999E-2</v>
      </c>
      <c r="F73" s="18"/>
      <c r="G73" s="28"/>
      <c r="H73" s="28"/>
      <c r="I73" s="28"/>
      <c r="J73" s="28"/>
      <c r="K73" s="18"/>
      <c r="L73" s="28"/>
      <c r="M73" s="28"/>
    </row>
    <row r="74" spans="1:13" s="210" customFormat="1" ht="25.5" customHeight="1">
      <c r="A74" s="366">
        <v>10</v>
      </c>
      <c r="B74" s="38" t="s">
        <v>149</v>
      </c>
      <c r="C74" s="95" t="s">
        <v>219</v>
      </c>
      <c r="D74" s="365" t="s">
        <v>244</v>
      </c>
      <c r="E74" s="371"/>
      <c r="F74" s="405"/>
      <c r="G74" s="371"/>
      <c r="H74" s="371"/>
      <c r="I74" s="371"/>
      <c r="J74" s="371"/>
      <c r="K74" s="371"/>
      <c r="L74" s="371"/>
      <c r="M74" s="325"/>
    </row>
    <row r="75" spans="1:13" s="210" customFormat="1" ht="12.75">
      <c r="A75" s="366"/>
      <c r="B75" s="31"/>
      <c r="C75" s="96" t="s">
        <v>93</v>
      </c>
      <c r="D75" s="324" t="s">
        <v>96</v>
      </c>
      <c r="E75" s="323">
        <v>8.2199999999999995E-2</v>
      </c>
      <c r="F75" s="85"/>
      <c r="G75" s="323"/>
      <c r="H75" s="85"/>
      <c r="I75" s="85"/>
      <c r="J75" s="85"/>
      <c r="K75" s="323"/>
      <c r="L75" s="323"/>
      <c r="M75" s="85"/>
    </row>
    <row r="76" spans="1:13" s="210" customFormat="1" ht="12.75">
      <c r="A76" s="366"/>
      <c r="B76" s="31"/>
      <c r="C76" s="96" t="s">
        <v>89</v>
      </c>
      <c r="D76" s="324" t="s">
        <v>31</v>
      </c>
      <c r="E76" s="323">
        <v>2.6800000000000001E-2</v>
      </c>
      <c r="F76" s="85"/>
      <c r="G76" s="212"/>
      <c r="H76" s="211"/>
      <c r="I76" s="207"/>
      <c r="J76" s="33"/>
      <c r="K76" s="212"/>
      <c r="L76" s="212"/>
      <c r="M76" s="85"/>
    </row>
    <row r="77" spans="1:13" s="210" customFormat="1" ht="15">
      <c r="A77" s="366">
        <v>11</v>
      </c>
      <c r="B77" s="38" t="s">
        <v>150</v>
      </c>
      <c r="C77" s="95" t="s">
        <v>255</v>
      </c>
      <c r="D77" s="365" t="s">
        <v>244</v>
      </c>
      <c r="E77" s="371"/>
      <c r="F77" s="405"/>
      <c r="G77" s="371"/>
      <c r="H77" s="371"/>
      <c r="I77" s="371"/>
      <c r="J77" s="371"/>
      <c r="K77" s="371"/>
      <c r="L77" s="371"/>
      <c r="M77" s="325"/>
    </row>
    <row r="78" spans="1:13" s="210" customFormat="1" ht="12.75">
      <c r="A78" s="366"/>
      <c r="B78" s="31"/>
      <c r="C78" s="96" t="s">
        <v>93</v>
      </c>
      <c r="D78" s="324" t="s">
        <v>96</v>
      </c>
      <c r="E78" s="323">
        <v>0.16500000000000001</v>
      </c>
      <c r="F78" s="85"/>
      <c r="G78" s="323"/>
      <c r="H78" s="85"/>
      <c r="I78" s="85"/>
      <c r="J78" s="85"/>
      <c r="K78" s="323"/>
      <c r="L78" s="323"/>
      <c r="M78" s="85"/>
    </row>
    <row r="79" spans="1:13" s="210" customFormat="1" ht="12.75">
      <c r="A79" s="366"/>
      <c r="B79" s="31"/>
      <c r="C79" s="96" t="s">
        <v>89</v>
      </c>
      <c r="D79" s="324" t="s">
        <v>31</v>
      </c>
      <c r="E79" s="323">
        <f>0.88/100</f>
        <v>8.8000000000000005E-3</v>
      </c>
      <c r="F79" s="85"/>
      <c r="G79" s="212"/>
      <c r="H79" s="211"/>
      <c r="I79" s="207"/>
      <c r="J79" s="33"/>
      <c r="K79" s="212"/>
      <c r="L79" s="212"/>
      <c r="M79" s="85"/>
    </row>
    <row r="80" spans="1:13" s="210" customFormat="1" ht="12.75">
      <c r="A80" s="366"/>
      <c r="B80" s="31"/>
      <c r="C80" s="217" t="s">
        <v>220</v>
      </c>
      <c r="D80" s="324" t="s">
        <v>100</v>
      </c>
      <c r="E80" s="18">
        <v>0.3</v>
      </c>
      <c r="F80" s="18"/>
      <c r="G80" s="18"/>
      <c r="H80" s="28"/>
      <c r="I80" s="28"/>
      <c r="J80" s="28"/>
      <c r="K80" s="18"/>
      <c r="L80" s="28"/>
      <c r="M80" s="28"/>
    </row>
    <row r="81" spans="1:142" s="24" customFormat="1" ht="15">
      <c r="A81" s="20">
        <v>12</v>
      </c>
      <c r="B81" s="215" t="s">
        <v>167</v>
      </c>
      <c r="C81" s="216" t="s">
        <v>221</v>
      </c>
      <c r="D81" s="365" t="s">
        <v>246</v>
      </c>
      <c r="E81" s="20"/>
      <c r="F81" s="23"/>
      <c r="G81" s="18"/>
      <c r="H81" s="18"/>
      <c r="I81" s="28"/>
      <c r="J81" s="28"/>
      <c r="K81" s="18"/>
      <c r="L81" s="28"/>
      <c r="M81" s="23"/>
    </row>
    <row r="82" spans="1:142" s="29" customFormat="1" ht="12.75">
      <c r="A82" s="20"/>
      <c r="B82" s="25"/>
      <c r="C82" s="217" t="s">
        <v>86</v>
      </c>
      <c r="D82" s="324" t="s">
        <v>217</v>
      </c>
      <c r="E82" s="18">
        <v>3.1E-2</v>
      </c>
      <c r="F82" s="18"/>
      <c r="G82" s="18"/>
      <c r="H82" s="18"/>
      <c r="I82" s="28"/>
      <c r="J82" s="28"/>
      <c r="K82" s="18"/>
      <c r="L82" s="28"/>
      <c r="M82" s="28"/>
    </row>
    <row r="83" spans="1:142" s="29" customFormat="1" ht="12.75">
      <c r="A83" s="20"/>
      <c r="B83" s="25"/>
      <c r="C83" s="218" t="s">
        <v>222</v>
      </c>
      <c r="D83" s="324" t="s">
        <v>100</v>
      </c>
      <c r="E83" s="18">
        <v>8.5999999999999993E-2</v>
      </c>
      <c r="F83" s="18"/>
      <c r="G83" s="28"/>
      <c r="H83" s="28"/>
      <c r="I83" s="28"/>
      <c r="J83" s="28"/>
      <c r="K83" s="18"/>
      <c r="L83" s="28"/>
      <c r="M83" s="28"/>
    </row>
    <row r="84" spans="1:142" s="29" customFormat="1" ht="17.25" customHeight="1">
      <c r="A84" s="20"/>
      <c r="B84" s="25"/>
      <c r="C84" s="217" t="s">
        <v>168</v>
      </c>
      <c r="D84" s="324" t="s">
        <v>100</v>
      </c>
      <c r="E84" s="18">
        <v>1.4999999999999999E-2</v>
      </c>
      <c r="F84" s="18"/>
      <c r="G84" s="18"/>
      <c r="H84" s="28"/>
      <c r="I84" s="28"/>
      <c r="J84" s="28"/>
      <c r="K84" s="18"/>
      <c r="L84" s="28"/>
      <c r="M84" s="28"/>
    </row>
    <row r="85" spans="1:142" s="24" customFormat="1" ht="25.5">
      <c r="A85" s="20">
        <v>13</v>
      </c>
      <c r="B85" s="215" t="s">
        <v>223</v>
      </c>
      <c r="C85" s="216" t="s">
        <v>224</v>
      </c>
      <c r="D85" s="365" t="s">
        <v>246</v>
      </c>
      <c r="E85" s="20"/>
      <c r="F85" s="23"/>
      <c r="G85" s="18"/>
      <c r="H85" s="18"/>
      <c r="I85" s="28"/>
      <c r="J85" s="28"/>
      <c r="K85" s="18"/>
      <c r="L85" s="28"/>
      <c r="M85" s="23"/>
    </row>
    <row r="86" spans="1:142" s="29" customFormat="1" ht="12.75">
      <c r="A86" s="20"/>
      <c r="B86" s="25"/>
      <c r="C86" s="217" t="s">
        <v>86</v>
      </c>
      <c r="D86" s="324" t="s">
        <v>217</v>
      </c>
      <c r="E86" s="18">
        <v>4.5999999999999999E-2</v>
      </c>
      <c r="F86" s="18"/>
      <c r="G86" s="18"/>
      <c r="H86" s="18"/>
      <c r="I86" s="28"/>
      <c r="J86" s="28"/>
      <c r="K86" s="18"/>
      <c r="L86" s="28"/>
      <c r="M86" s="28"/>
    </row>
    <row r="87" spans="1:142" s="29" customFormat="1" ht="12.75">
      <c r="A87" s="20"/>
      <c r="B87" s="25"/>
      <c r="C87" s="218" t="s">
        <v>225</v>
      </c>
      <c r="D87" s="324" t="s">
        <v>100</v>
      </c>
      <c r="E87" s="19">
        <v>0.3</v>
      </c>
      <c r="F87" s="18"/>
      <c r="G87" s="28"/>
      <c r="H87" s="28"/>
      <c r="I87" s="28"/>
      <c r="J87" s="28"/>
      <c r="K87" s="18"/>
      <c r="L87" s="28"/>
      <c r="M87" s="28"/>
    </row>
    <row r="88" spans="1:142" s="29" customFormat="1" ht="17.25" customHeight="1">
      <c r="A88" s="20"/>
      <c r="B88" s="25"/>
      <c r="C88" s="217" t="s">
        <v>168</v>
      </c>
      <c r="D88" s="324" t="s">
        <v>100</v>
      </c>
      <c r="E88" s="18">
        <v>0.12</v>
      </c>
      <c r="F88" s="18"/>
      <c r="G88" s="18"/>
      <c r="H88" s="28"/>
      <c r="I88" s="28"/>
      <c r="J88" s="28"/>
      <c r="K88" s="18"/>
      <c r="L88" s="28"/>
      <c r="M88" s="28"/>
    </row>
    <row r="89" spans="1:142" s="223" customFormat="1" ht="12.75">
      <c r="A89" s="365"/>
      <c r="B89" s="31"/>
      <c r="C89" s="32" t="s">
        <v>118</v>
      </c>
      <c r="D89" s="220"/>
      <c r="E89" s="220"/>
      <c r="F89" s="220"/>
      <c r="G89" s="373"/>
      <c r="H89" s="221"/>
      <c r="I89" s="221"/>
      <c r="J89" s="221"/>
      <c r="K89" s="222"/>
      <c r="L89" s="221"/>
      <c r="M89" s="221"/>
    </row>
    <row r="90" spans="1:142" s="230" customFormat="1" ht="12.75">
      <c r="A90" s="220"/>
      <c r="B90" s="224"/>
      <c r="C90" s="35" t="s">
        <v>226</v>
      </c>
      <c r="D90" s="225"/>
      <c r="E90" s="225"/>
      <c r="F90" s="224"/>
      <c r="G90" s="225"/>
      <c r="H90" s="226"/>
      <c r="I90" s="227"/>
      <c r="J90" s="224"/>
      <c r="K90" s="228"/>
      <c r="L90" s="224"/>
      <c r="M90" s="225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</row>
    <row r="91" spans="1:142" s="235" customFormat="1" ht="12.75">
      <c r="A91" s="220"/>
      <c r="B91" s="220"/>
      <c r="C91" s="32" t="s">
        <v>118</v>
      </c>
      <c r="D91" s="221"/>
      <c r="E91" s="221"/>
      <c r="F91" s="220"/>
      <c r="G91" s="221"/>
      <c r="H91" s="231"/>
      <c r="I91" s="232"/>
      <c r="J91" s="220"/>
      <c r="K91" s="233"/>
      <c r="L91" s="220"/>
      <c r="M91" s="221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4"/>
      <c r="DJ91" s="234"/>
      <c r="DK91" s="234"/>
      <c r="DL91" s="234"/>
      <c r="DM91" s="234"/>
      <c r="DN91" s="234"/>
      <c r="DO91" s="234"/>
      <c r="DP91" s="234"/>
      <c r="DQ91" s="234"/>
      <c r="DR91" s="234"/>
      <c r="DS91" s="234"/>
      <c r="DT91" s="234"/>
      <c r="DU91" s="234"/>
      <c r="DV91" s="234"/>
      <c r="DW91" s="234"/>
      <c r="DX91" s="234"/>
      <c r="DY91" s="234"/>
      <c r="DZ91" s="234"/>
      <c r="EA91" s="234"/>
      <c r="EB91" s="234"/>
      <c r="EC91" s="234"/>
      <c r="ED91" s="234"/>
      <c r="EE91" s="234"/>
      <c r="EF91" s="234"/>
      <c r="EG91" s="234"/>
      <c r="EH91" s="234"/>
      <c r="EI91" s="234"/>
      <c r="EJ91" s="234"/>
      <c r="EK91" s="234"/>
      <c r="EL91" s="234"/>
    </row>
    <row r="92" spans="1:142" s="230" customFormat="1" ht="12.75">
      <c r="A92" s="220"/>
      <c r="B92" s="224"/>
      <c r="C92" s="37" t="s">
        <v>227</v>
      </c>
      <c r="D92" s="225"/>
      <c r="E92" s="225"/>
      <c r="F92" s="224"/>
      <c r="G92" s="225"/>
      <c r="H92" s="226"/>
      <c r="I92" s="227"/>
      <c r="J92" s="224"/>
      <c r="K92" s="228"/>
      <c r="L92" s="224"/>
      <c r="M92" s="225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</row>
    <row r="93" spans="1:142" s="235" customFormat="1" ht="12.75">
      <c r="A93" s="220"/>
      <c r="B93" s="220"/>
      <c r="C93" s="32" t="s">
        <v>228</v>
      </c>
      <c r="D93" s="220"/>
      <c r="E93" s="220"/>
      <c r="F93" s="220"/>
      <c r="G93" s="236"/>
      <c r="H93" s="237"/>
      <c r="I93" s="232"/>
      <c r="J93" s="220"/>
      <c r="K93" s="233"/>
      <c r="L93" s="220"/>
      <c r="M93" s="221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</row>
    <row r="94" spans="1:142" ht="12.75">
      <c r="A94" s="238"/>
      <c r="B94" s="239"/>
      <c r="C94" s="37" t="s">
        <v>229</v>
      </c>
      <c r="D94" s="240"/>
      <c r="E94" s="240"/>
      <c r="F94" s="240"/>
      <c r="G94" s="240"/>
      <c r="H94" s="240"/>
      <c r="I94" s="240"/>
      <c r="J94" s="240"/>
      <c r="K94" s="241"/>
      <c r="L94" s="240"/>
      <c r="M94" s="225"/>
    </row>
    <row r="95" spans="1:142" s="244" customFormat="1" ht="12.75">
      <c r="A95" s="238"/>
      <c r="B95" s="242"/>
      <c r="C95" s="236" t="s">
        <v>230</v>
      </c>
      <c r="D95" s="238"/>
      <c r="E95" s="238"/>
      <c r="F95" s="238"/>
      <c r="G95" s="238"/>
      <c r="H95" s="238"/>
      <c r="I95" s="238"/>
      <c r="J95" s="238"/>
      <c r="K95" s="243"/>
      <c r="L95" s="238"/>
      <c r="M95" s="221"/>
    </row>
    <row r="98" spans="1:12" ht="12.75">
      <c r="A98" s="234"/>
      <c r="B98" s="484"/>
      <c r="C98" s="484"/>
      <c r="D98" s="245"/>
      <c r="E98" s="245"/>
      <c r="F98" s="79"/>
      <c r="G98" s="79"/>
      <c r="H98" s="79"/>
      <c r="I98" s="77"/>
      <c r="J98" s="77"/>
      <c r="K98" s="77"/>
      <c r="L98" s="77"/>
    </row>
    <row r="99" spans="1:12" ht="12.75">
      <c r="A99" s="234"/>
      <c r="B99" s="484"/>
      <c r="C99" s="484"/>
      <c r="D99" s="245"/>
      <c r="E99" s="245"/>
      <c r="F99" s="79"/>
      <c r="G99" s="246"/>
      <c r="H99" s="246"/>
      <c r="I99" s="77"/>
      <c r="J99" s="77"/>
      <c r="K99" s="77"/>
      <c r="L99" s="77"/>
    </row>
  </sheetData>
  <autoFilter ref="A8:EL95"/>
  <mergeCells count="15">
    <mergeCell ref="B98:C98"/>
    <mergeCell ref="B99:C99"/>
    <mergeCell ref="G6:H6"/>
    <mergeCell ref="A1:M1"/>
    <mergeCell ref="A2:F2"/>
    <mergeCell ref="A3:M3"/>
    <mergeCell ref="A4:M4"/>
    <mergeCell ref="I6:J6"/>
    <mergeCell ref="K6:L6"/>
    <mergeCell ref="M6:M7"/>
    <mergeCell ref="A6:A7"/>
    <mergeCell ref="B6:B7"/>
    <mergeCell ref="C6:C7"/>
    <mergeCell ref="D6:D7"/>
    <mergeCell ref="E6:F6"/>
  </mergeCells>
  <conditionalFormatting sqref="C13 B9 D9 C15:J35 D50:F50 D52:F52 D12:FZ14 L15:FZ35 H50:FZ50 H52:FZ52 D41:FZ49 N36:FZ40 A41:C43 A69:FZ71 N68:FZ68 A45:C48 A44 C44 C49:C50 A49:A52 C51:FZ51 A61:FZ64 A60 C60:FZ60 A66:FZ67 A65 C65:FZ65 A73:FZ88 A72 C72:FZ72 A53:FZ59 A12:B35 GA14:IQ88">
    <cfRule type="cellIs" dxfId="46" priority="10" stopIfTrue="1" operator="equal">
      <formula>8223.307275</formula>
    </cfRule>
  </conditionalFormatting>
  <conditionalFormatting sqref="K11">
    <cfRule type="cellIs" dxfId="45" priority="9" stopIfTrue="1" operator="equal">
      <formula>8223.307275</formula>
    </cfRule>
  </conditionalFormatting>
  <conditionalFormatting sqref="K15:K35">
    <cfRule type="cellIs" dxfId="44" priority="7" stopIfTrue="1" operator="equal">
      <formula>8223.307275</formula>
    </cfRule>
  </conditionalFormatting>
  <conditionalFormatting sqref="C40">
    <cfRule type="cellIs" dxfId="43" priority="6" stopIfTrue="1" operator="equal">
      <formula>8223.307275</formula>
    </cfRule>
  </conditionalFormatting>
  <conditionalFormatting sqref="A68 C68:M68">
    <cfRule type="cellIs" dxfId="42" priority="5" stopIfTrue="1" operator="equal">
      <formula>8223.307275</formula>
    </cfRule>
  </conditionalFormatting>
  <conditionalFormatting sqref="B49">
    <cfRule type="cellIs" dxfId="41" priority="4" stopIfTrue="1" operator="equal">
      <formula>8223.307275</formula>
    </cfRule>
  </conditionalFormatting>
  <conditionalFormatting sqref="B44">
    <cfRule type="cellIs" dxfId="40" priority="3" stopIfTrue="1" operator="equal">
      <formula>8223.307275</formula>
    </cfRule>
  </conditionalFormatting>
  <conditionalFormatting sqref="B50:B51">
    <cfRule type="cellIs" dxfId="39" priority="2" stopIfTrue="1" operator="equal">
      <formula>8223.307275</formula>
    </cfRule>
  </conditionalFormatting>
  <conditionalFormatting sqref="G50">
    <cfRule type="cellIs" dxfId="38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76" orientation="landscape" verticalDpi="1200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gan.barat</vt:lpstr>
      <vt:lpstr>B</vt:lpstr>
      <vt:lpstr>B-1</vt:lpstr>
      <vt:lpstr>B-1.1</vt:lpstr>
      <vt:lpstr>B-1.1.1</vt:lpstr>
      <vt:lpstr>B-1.1.2</vt:lpstr>
      <vt:lpstr>B-2</vt:lpstr>
      <vt:lpstr>B-2.1</vt:lpstr>
      <vt:lpstr>B-2.1.1</vt:lpstr>
      <vt:lpstr>B-2.1.2.</vt:lpstr>
      <vt:lpstr>B-3</vt:lpstr>
      <vt:lpstr>'B-1.1.1'!Заголовки_для_печати</vt:lpstr>
      <vt:lpstr>'B-1.1.2'!Заголовки_для_печати</vt:lpstr>
      <vt:lpstr>'B-3'!Заголовки_для_печати</vt:lpstr>
      <vt:lpstr>B!Область_печати</vt:lpstr>
      <vt:lpstr>'B-1'!Область_печати</vt:lpstr>
      <vt:lpstr>'B-1.1'!Область_печати</vt:lpstr>
      <vt:lpstr>'B-1.1.1'!Область_печати</vt:lpstr>
      <vt:lpstr>'B-1.1.2'!Область_печати</vt:lpstr>
      <vt:lpstr>'B-2'!Область_печати</vt:lpstr>
      <vt:lpstr>'B-2.1'!Область_печати</vt:lpstr>
      <vt:lpstr>'B-2.1.1'!Область_печати</vt:lpstr>
      <vt:lpstr>'B-2.1.2.'!Область_печати</vt:lpstr>
      <vt:lpstr>'B-3'!Область_печати</vt:lpstr>
      <vt:lpstr>gan.barat!Область_печати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2021-09-17T11:48:10Z</dcterms:modified>
</cp:coreProperties>
</file>