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ima.kereselidze\Desktop\არხები\"/>
    </mc:Choice>
  </mc:AlternateContent>
  <bookViews>
    <workbookView xWindow="0" yWindow="0" windowWidth="28620" windowHeight="12360"/>
  </bookViews>
  <sheets>
    <sheet name="ხარჯთაღრიცხვა" sheetId="18" r:id="rId1"/>
  </sheets>
  <definedNames>
    <definedName name="_xlnm.Print_Area" localSheetId="0">ხარჯთაღრიცხვა!$A$1:$M$63</definedName>
  </definedNames>
  <calcPr calcId="162913"/>
</workbook>
</file>

<file path=xl/calcChain.xml><?xml version="1.0" encoding="utf-8"?>
<calcChain xmlns="http://schemas.openxmlformats.org/spreadsheetml/2006/main">
  <c r="F17" i="18" l="1"/>
  <c r="F6" i="18"/>
  <c r="F52" i="18"/>
  <c r="F55" i="18"/>
  <c r="F54" i="18"/>
  <c r="F53" i="18"/>
  <c r="E46" i="18" l="1"/>
  <c r="E45" i="18"/>
  <c r="F44" i="18"/>
  <c r="F42" i="18"/>
  <c r="F41" i="18"/>
  <c r="F40" i="18"/>
  <c r="F39" i="18"/>
  <c r="F38" i="18"/>
  <c r="F37" i="18"/>
  <c r="F36" i="18"/>
  <c r="F34" i="18"/>
  <c r="F33" i="18"/>
  <c r="E28" i="18"/>
  <c r="E26" i="18"/>
  <c r="E25" i="18"/>
  <c r="E24" i="18"/>
  <c r="F23" i="18"/>
  <c r="E19" i="18"/>
  <c r="E18" i="18"/>
  <c r="F18" i="18" s="1"/>
  <c r="E15" i="18"/>
  <c r="E14" i="18"/>
  <c r="E13" i="18"/>
  <c r="E11" i="18"/>
  <c r="E9" i="18"/>
  <c r="E8" i="18"/>
  <c r="E7" i="18"/>
  <c r="F7" i="18" s="1"/>
  <c r="F28" i="18" l="1"/>
  <c r="F24" i="18"/>
  <c r="F46" i="18"/>
  <c r="F26" i="18"/>
  <c r="F29" i="18"/>
  <c r="F25" i="18"/>
  <c r="F48" i="18"/>
  <c r="F9" i="18"/>
  <c r="F19" i="18"/>
  <c r="F10" i="18"/>
  <c r="F11" i="18" s="1"/>
  <c r="F21" i="18"/>
  <c r="F22" i="18" s="1"/>
  <c r="F43" i="18"/>
  <c r="F45" i="18"/>
  <c r="F8" i="18"/>
  <c r="F30" i="18" l="1"/>
  <c r="F49" i="18"/>
  <c r="F31" i="18"/>
  <c r="F12" i="18"/>
  <c r="F16" i="18"/>
  <c r="F13" i="18" l="1"/>
  <c r="F15" i="18"/>
  <c r="F14" i="18"/>
</calcChain>
</file>

<file path=xl/sharedStrings.xml><?xml version="1.0" encoding="utf-8"?>
<sst xmlns="http://schemas.openxmlformats.org/spreadsheetml/2006/main" count="145" uniqueCount="83">
  <si>
    <t>ჯამი</t>
  </si>
  <si>
    <t>სულ</t>
  </si>
  <si>
    <t>მ3</t>
  </si>
  <si>
    <t>გრძ.მ</t>
  </si>
  <si>
    <t>რაოდენობა</t>
  </si>
  <si>
    <t>გრძ/მ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</si>
  <si>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</si>
  <si>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</si>
  <si>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</si>
  <si>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</si>
  <si>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</si>
  <si>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მასალები</t>
  </si>
  <si>
    <t>ხელფასი (ლარი)</t>
  </si>
  <si>
    <t>ერთ. ფასი</t>
  </si>
  <si>
    <t>(ლარი)</t>
  </si>
  <si>
    <t>სანიაღვრე არხი 30*30 სმ</t>
  </si>
  <si>
    <t>1-23-6</t>
  </si>
  <si>
    <r>
      <t>მ</t>
    </r>
    <r>
      <rPr>
        <b/>
        <vertAlign val="superscript"/>
        <sz val="12"/>
        <rFont val="Sylfaen"/>
        <family val="1"/>
      </rPr>
      <t>3</t>
    </r>
  </si>
  <si>
    <t>შრომის დანახარჯი</t>
  </si>
  <si>
    <t>კაც/სთ</t>
  </si>
  <si>
    <t>გვ132. პოზ125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</si>
  <si>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</si>
  <si>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>მანქ/სთ</t>
  </si>
  <si>
    <t>სხვა მანქანები</t>
  </si>
  <si>
    <t>ლარი</t>
  </si>
  <si>
    <t>1-80-3</t>
  </si>
  <si>
    <t>გრუნტის დამუშავება ხელით 
მექანიზიმის მიუდგომელ ადგილებში</t>
  </si>
  <si>
    <t xml:space="preserve">ზედმეტი გრუნტის დატვირთვა 
ექსკავატორის საშუალებით </t>
  </si>
  <si>
    <t>გვ139</t>
  </si>
  <si>
    <t>ზედმეტი გრუნტის გატანა ნაყარში 2კმ-ზე</t>
  </si>
  <si>
    <t>ტნ</t>
  </si>
  <si>
    <t>37-9-3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</si>
  <si>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</si>
  <si>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გვ130. პოზ51</t>
  </si>
  <si>
    <t>მანქანები</t>
  </si>
  <si>
    <t>მატერიალური რესურსი</t>
  </si>
  <si>
    <t>გვ32 პოზ.243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</si>
  <si>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</si>
  <si>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</si>
  <si>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გვ.139</t>
  </si>
  <si>
    <t>37-65-3</t>
  </si>
  <si>
    <t>ანაკრები რკ. ბეტონის კიუვეტების ჩალაგება ტრანშეაში (კვეთი 30*30სმ კედლის სისქე 10სმ)</t>
  </si>
  <si>
    <t>ამწე მუხლუხა სვლაზე 16ტ</t>
  </si>
  <si>
    <t>სხვა მასალები</t>
  </si>
  <si>
    <t>გვ35 პო.ზ369</t>
  </si>
  <si>
    <t>ცემენტის ხსნარი</t>
  </si>
  <si>
    <t>გვ30 პოზ160</t>
  </si>
  <si>
    <t>ანაკრები რკ. ბეტონის კიუვეტები</t>
  </si>
  <si>
    <t>პროექტით</t>
  </si>
  <si>
    <t>მასალა:</t>
  </si>
  <si>
    <r>
      <rPr>
        <sz val="12"/>
        <rFont val="Times New Roman"/>
        <family val="1"/>
        <charset val="204"/>
      </rPr>
      <t>W</t>
    </r>
    <r>
      <rPr>
        <sz val="12"/>
        <rFont val="AcadNusx"/>
      </rPr>
      <t xml:space="preserve">250 ბეტონი </t>
    </r>
  </si>
  <si>
    <t xml:space="preserve">ყალიბის ფარი </t>
  </si>
  <si>
    <t>მ2</t>
  </si>
  <si>
    <t>ხის ძელი</t>
  </si>
  <si>
    <t xml:space="preserve">ხის ფიცარი სირრძე 3.0-4.0(მ-დე).სისქე 25-32მმ </t>
  </si>
  <si>
    <t>ხის ფიცარი 3x.40მმ</t>
  </si>
  <si>
    <t>არმატურა ა-||| კლასის:დ=10 მმ  ბიჯი-20</t>
  </si>
  <si>
    <t>სხვა მასალა</t>
  </si>
  <si>
    <t>30-3-2</t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</si>
  <si>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</si>
  <si>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t>ჯამი:</t>
  </si>
  <si>
    <t>ზედნადები ხარჯი</t>
  </si>
  <si>
    <t>გეგმიური მოგება</t>
  </si>
  <si>
    <t>დღგ</t>
  </si>
  <si>
    <t>ტრანსპორტი+მანქ. მექანიზმები (ლარი)</t>
  </si>
  <si>
    <t>ქვიშა ხრეშის ტრანსპორტირება 
8კმ-დან k=1.8</t>
  </si>
  <si>
    <t xml:space="preserve"> რკ/ბეტონის მიერთებების მოწყობა</t>
  </si>
  <si>
    <t xml:space="preserve">ქვესაგები ფენის მოწყობა ქვიშა–ხრეშით სისქით 10 სმ(ქვიშა-ხრეშის ტრანსპორტირება 8 კმ) </t>
  </si>
  <si>
    <t xml:space="preserve">ფოლადის ცხაურების მოწყობა </t>
  </si>
  <si>
    <t>გრძ.მ.</t>
  </si>
  <si>
    <t xml:space="preserve">    მასალები:</t>
  </si>
  <si>
    <t>ფოლადის შველერი #5</t>
  </si>
  <si>
    <t>ფოლადის კუთხოვანა 60X60X4მმ  (1გრძ.მ--2მ)</t>
  </si>
  <si>
    <t>არმატურა ა-||| კლასის:    დ=20 მმ  (1გრძ.მ--5მ)</t>
  </si>
  <si>
    <t>ელექტროდი შედუღების დ=4მმ   (1გრძ.მ--0,25 შეკ.)</t>
  </si>
  <si>
    <t>შეკ.</t>
  </si>
  <si>
    <r>
      <t>მ</t>
    </r>
    <r>
      <rPr>
        <b/>
        <vertAlign val="superscript"/>
        <sz val="11"/>
        <rFont val="Sylfaen"/>
        <family val="1"/>
      </rPr>
      <t>3</t>
    </r>
  </si>
  <si>
    <t>გზის საფარის მოწყობა კირქვოვანი ღორღით  20 სმ სისქით ( გადაზიდვა გაშლა პროფილირება ) ზიდვის მანძილი 15 კმ</t>
  </si>
  <si>
    <t>მე-4 კატეგორიის გრუნტის დამუშავება ექსკავატორით</t>
  </si>
  <si>
    <t>რკ. ბეტონის კიუეტების ტრანსპორტირება 80 კმ-დან k=2.4</t>
  </si>
  <si>
    <t>ცემენტის ტრანსპორტირება  15 კმ-დან k=2.2</t>
  </si>
  <si>
    <t>ბეტონის ტრანსპორტირება 15 კმ-დან k=2.2</t>
  </si>
  <si>
    <t xml:space="preserve">სოფელ ხიმშში ანაკრები სანიაღვრე არხების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</si>
</sst>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_ ;[Red]\-#,##0.00\ "/>
    <numFmt numFmtId="165" formatCode="#,##0.00&quot; &quot;;&quot;-&quot;#,##0.00&quot; &quot;"/>
    <numFmt numFmtId="166" formatCode="#,##0.0000_ ;[Red]\-#,##0.0000\ "/>
    <numFmt numFmtId="167" formatCode="0.000"/>
    <numFmt numFmtId="168" formatCode="#,##0.000_ ;[Red]\-#,##0.000\ "/>
    <numFmt numFmtId="169" formatCode="0.0000"/>
    <numFmt numFmtId="170" formatCode="0.0"/>
  </numFmts>
  <fonts count="33">
    <font>
      <sz val="12"/>
      <color theme="1"/>
      <name val="AcadNusx"/>
      <family val="2"/>
      <charset val="204"/>
    </font>
    <font>
      <sz val="10"/>
      <name val="Arial"/>
      <family val="2"/>
    </font>
    <font>
      <b/>
      <sz val="10"/>
      <name val="AcadNusx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indexed="8"/>
      <name val="Sylfaen"/>
      <family val="1"/>
    </font>
    <font>
      <sz val="14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2"/>
      <name val="AcadNusx"/>
    </font>
    <font>
      <b/>
      <sz val="12"/>
      <name val="Sylfaen"/>
      <family val="1"/>
    </font>
    <font>
      <b/>
      <vertAlign val="superscript"/>
      <sz val="12"/>
      <name val="Sylfaen"/>
      <family val="1"/>
    </font>
    <font>
      <sz val="12"/>
      <name val="AcadNusx"/>
    </font>
    <font>
      <sz val="10"/>
      <name val="Arial Cyr"/>
      <charset val="204"/>
    </font>
    <font>
      <vertAlign val="superscript"/>
      <sz val="12"/>
      <name val="Sylfaen"/>
      <family val="1"/>
      <charset val="204"/>
    </font>
    <font>
      <b/>
      <sz val="11"/>
      <name val="AcadNusx"/>
    </font>
    <font>
      <sz val="12"/>
      <name val="Arial"/>
      <family val="2"/>
      <charset val="204"/>
    </font>
    <font>
      <b/>
      <sz val="10"/>
      <name val="Sylfaen"/>
      <family val="1"/>
      <charset val="204"/>
    </font>
    <font>
      <b/>
      <sz val="12"/>
      <color indexed="8"/>
      <name val="AcadNusx"/>
    </font>
    <font>
      <b/>
      <vertAlign val="superscript"/>
      <sz val="12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AcadNusx"/>
    </font>
    <font>
      <sz val="12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</font>
    <font>
      <b/>
      <vertAlign val="superscript"/>
      <sz val="11"/>
      <name val="Sylfaen"/>
      <family val="1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3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164" fontId="10" fillId="0" borderId="2" xfId="4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4" fontId="3" fillId="0" borderId="2" xfId="4" applyNumberFormat="1" applyFill="1" applyBorder="1" applyAlignment="1">
      <alignment horizontal="center" vertical="center"/>
    </xf>
    <xf numFmtId="0" fontId="12" fillId="2" borderId="0" xfId="5" applyFont="1" applyFill="1" applyAlignment="1">
      <alignment horizontal="center"/>
    </xf>
    <xf numFmtId="0" fontId="12" fillId="0" borderId="0" xfId="5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4" applyFill="1" applyBorder="1" applyAlignment="1">
      <alignment horizontal="center" vertical="center"/>
    </xf>
    <xf numFmtId="166" fontId="3" fillId="0" borderId="2" xfId="4" applyNumberForma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3" fillId="0" borderId="2" xfId="4" applyFill="1" applyBorder="1" applyAlignment="1">
      <alignment horizontal="center" vertical="center" wrapText="1"/>
    </xf>
    <xf numFmtId="0" fontId="3" fillId="0" borderId="0" xfId="4" applyFill="1" applyAlignment="1">
      <alignment horizontal="center" vertical="center"/>
    </xf>
    <xf numFmtId="167" fontId="10" fillId="0" borderId="2" xfId="4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7" fontId="3" fillId="0" borderId="2" xfId="4" applyNumberForma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6" fontId="4" fillId="0" borderId="2" xfId="4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49" fontId="9" fillId="0" borderId="2" xfId="6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3" fillId="2" borderId="2" xfId="4" applyNumberForma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4" applyFill="1" applyAlignment="1">
      <alignment horizont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vertical="center" wrapText="1"/>
    </xf>
    <xf numFmtId="168" fontId="3" fillId="0" borderId="2" xfId="4" applyNumberForma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3" fillId="0" borderId="0" xfId="4" applyFill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169" fontId="12" fillId="2" borderId="2" xfId="0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2" fontId="12" fillId="2" borderId="2" xfId="2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3" fillId="2" borderId="2" xfId="4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65" fontId="25" fillId="0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9" fontId="26" fillId="0" borderId="2" xfId="0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167" fontId="12" fillId="2" borderId="2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7" fontId="12" fillId="0" borderId="2" xfId="2" applyNumberFormat="1" applyFont="1" applyBorder="1" applyAlignment="1">
      <alignment horizontal="center" vertical="center"/>
    </xf>
    <xf numFmtId="170" fontId="21" fillId="2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3" fillId="3" borderId="2" xfId="4" applyNumberFormat="1" applyFill="1" applyBorder="1" applyAlignment="1">
      <alignment horizontal="center" vertical="center"/>
    </xf>
    <xf numFmtId="0" fontId="12" fillId="3" borderId="0" xfId="5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2" borderId="2" xfId="4" applyFont="1" applyFill="1" applyBorder="1" applyAlignment="1">
      <alignment horizontal="center" vertical="center"/>
    </xf>
    <xf numFmtId="43" fontId="29" fillId="2" borderId="2" xfId="4" applyNumberFormat="1" applyFont="1" applyFill="1" applyBorder="1" applyAlignment="1">
      <alignment horizontal="center" vertical="center"/>
    </xf>
    <xf numFmtId="43" fontId="30" fillId="2" borderId="2" xfId="4" applyNumberFormat="1" applyFont="1" applyFill="1" applyBorder="1" applyAlignment="1">
      <alignment horizontal="center" vertical="center"/>
    </xf>
    <xf numFmtId="43" fontId="32" fillId="2" borderId="2" xfId="0" applyNumberFormat="1" applyFont="1" applyFill="1" applyBorder="1" applyAlignment="1">
      <alignment horizontal="center" vertical="center"/>
    </xf>
    <xf numFmtId="0" fontId="28" fillId="2" borderId="2" xfId="4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10" xfId="3"/>
    <cellStyle name="Normal 2" xfId="5"/>
    <cellStyle name="Normal_gare wyalsadfenigagarini_SAN2008=IIkv" xfId="2"/>
    <cellStyle name="silfain" xfId="4"/>
    <cellStyle name="Обычный_SAN2008-I" xfId="1"/>
    <cellStyle name="Обычный_დემონტაჟი" xfId="6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47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762250" y="1701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762250" y="17849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762250" y="16325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3"/>
  <sheetViews>
    <sheetView tabSelected="1" view="pageBreakPreview" topLeftCell="A46" zoomScaleNormal="100" zoomScaleSheetLayoutView="100" workbookViewId="0">
      <selection activeCell="G56" sqref="G56"/>
    </sheetView>
  </sheetViews>
  <sheetFormatPr defaultColWidth="8.875" defaultRowHeight="16.5"/>
  <cols>
    <col min="1" max="1" width="3.625" style="1" customWidth="1"/>
    <col min="2" max="2" width="5.75" style="1" customWidth="1"/>
    <col min="3" max="3" width="43.5" style="1" customWidth="1"/>
    <col min="4" max="12" width="10" style="1" customWidth="1"/>
    <col min="13" max="13" width="11.125" style="1" customWidth="1"/>
    <col min="14" max="16384" width="8.875" style="1"/>
  </cols>
  <sheetData>
    <row r="1" spans="1:239" s="4" customFormat="1" ht="24.75" customHeight="1">
      <c r="A1" s="91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</row>
    <row r="2" spans="1:239" s="4" customFormat="1" ht="30.75" customHeight="1">
      <c r="A2" s="93" t="s">
        <v>6</v>
      </c>
      <c r="B2" s="93" t="s">
        <v>7</v>
      </c>
      <c r="C2" s="93" t="s">
        <v>8</v>
      </c>
      <c r="D2" s="95" t="s">
        <v>9</v>
      </c>
      <c r="E2" s="95" t="s">
        <v>10</v>
      </c>
      <c r="F2" s="93" t="s">
        <v>4</v>
      </c>
      <c r="G2" s="93" t="s">
        <v>11</v>
      </c>
      <c r="H2" s="94"/>
      <c r="I2" s="93" t="s">
        <v>12</v>
      </c>
      <c r="J2" s="94"/>
      <c r="K2" s="96" t="s">
        <v>64</v>
      </c>
      <c r="L2" s="97"/>
      <c r="M2" s="66" t="s">
        <v>1</v>
      </c>
      <c r="N2" s="88"/>
      <c r="O2" s="89"/>
      <c r="P2" s="8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</row>
    <row r="3" spans="1:239" s="4" customFormat="1" ht="21.75" customHeight="1">
      <c r="A3" s="94"/>
      <c r="B3" s="94"/>
      <c r="C3" s="94"/>
      <c r="D3" s="94"/>
      <c r="E3" s="94"/>
      <c r="F3" s="94"/>
      <c r="G3" s="66" t="s">
        <v>13</v>
      </c>
      <c r="H3" s="66" t="s">
        <v>0</v>
      </c>
      <c r="I3" s="66" t="s">
        <v>13</v>
      </c>
      <c r="J3" s="66" t="s">
        <v>0</v>
      </c>
      <c r="K3" s="66" t="s">
        <v>13</v>
      </c>
      <c r="L3" s="66" t="s">
        <v>0</v>
      </c>
      <c r="M3" s="66" t="s">
        <v>14</v>
      </c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</row>
    <row r="4" spans="1:239" s="4" customFormat="1" ht="18.75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</row>
    <row r="5" spans="1:239" s="4" customFormat="1" ht="23.25" customHeight="1">
      <c r="A5" s="5"/>
      <c r="B5" s="5"/>
      <c r="C5" s="5" t="s">
        <v>15</v>
      </c>
      <c r="D5" s="5" t="s">
        <v>5</v>
      </c>
      <c r="E5" s="5"/>
      <c r="F5" s="68">
        <v>120</v>
      </c>
      <c r="G5" s="5"/>
      <c r="H5" s="5"/>
      <c r="I5" s="5"/>
      <c r="J5" s="5"/>
      <c r="K5" s="5"/>
      <c r="L5" s="5"/>
      <c r="M5" s="5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14" customFormat="1" ht="36.75" customHeight="1">
      <c r="A6" s="6">
        <v>1</v>
      </c>
      <c r="B6" s="7" t="s">
        <v>16</v>
      </c>
      <c r="C6" s="8" t="s">
        <v>78</v>
      </c>
      <c r="D6" s="9" t="s">
        <v>17</v>
      </c>
      <c r="E6" s="10"/>
      <c r="F6" s="11">
        <f>F5*0.7*0.6</f>
        <v>50.4</v>
      </c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39" s="14" customFormat="1" ht="24.75" customHeight="1">
      <c r="A7" s="6"/>
      <c r="B7" s="15"/>
      <c r="C7" s="16" t="s">
        <v>18</v>
      </c>
      <c r="D7" s="16" t="s">
        <v>19</v>
      </c>
      <c r="E7" s="17">
        <f>34/1000</f>
        <v>3.4000000000000002E-2</v>
      </c>
      <c r="F7" s="12">
        <f>F6*E7</f>
        <v>1.7136</v>
      </c>
      <c r="G7" s="12"/>
      <c r="H7" s="12"/>
      <c r="I7" s="12"/>
      <c r="J7" s="12"/>
      <c r="K7" s="12"/>
      <c r="L7" s="12"/>
      <c r="M7" s="12"/>
      <c r="N7" s="13"/>
      <c r="O7" s="13"/>
      <c r="P7" s="13"/>
    </row>
    <row r="8" spans="1:239" s="14" customFormat="1" ht="44.25" customHeight="1">
      <c r="A8" s="6"/>
      <c r="B8" s="18" t="s">
        <v>20</v>
      </c>
      <c r="C8" s="19" t="s">
        <v>21</v>
      </c>
      <c r="D8" s="16" t="s">
        <v>22</v>
      </c>
      <c r="E8" s="17">
        <f>83.3/1000</f>
        <v>8.3299999999999999E-2</v>
      </c>
      <c r="F8" s="12">
        <f>F6*E8</f>
        <v>4.1983199999999998</v>
      </c>
      <c r="G8" s="12"/>
      <c r="H8" s="12"/>
      <c r="I8" s="12"/>
      <c r="J8" s="12"/>
      <c r="K8" s="12"/>
      <c r="L8" s="12"/>
      <c r="M8" s="12"/>
      <c r="N8" s="13"/>
      <c r="O8" s="13"/>
      <c r="P8" s="13"/>
    </row>
    <row r="9" spans="1:239" s="14" customFormat="1" ht="22.5" customHeight="1">
      <c r="A9" s="6"/>
      <c r="B9" s="15"/>
      <c r="C9" s="20" t="s">
        <v>23</v>
      </c>
      <c r="D9" s="16" t="s">
        <v>24</v>
      </c>
      <c r="E9" s="17">
        <f>5.63/1000</f>
        <v>5.6299999999999996E-3</v>
      </c>
      <c r="F9" s="12">
        <f>F6*E9</f>
        <v>0.28375199999999995</v>
      </c>
      <c r="G9" s="12"/>
      <c r="H9" s="12"/>
      <c r="I9" s="12"/>
      <c r="J9" s="12"/>
      <c r="K9" s="12"/>
      <c r="L9" s="12"/>
      <c r="M9" s="12"/>
      <c r="N9" s="13"/>
      <c r="O9" s="13"/>
      <c r="P9" s="13"/>
    </row>
    <row r="10" spans="1:239" s="14" customFormat="1" ht="36.75" customHeight="1">
      <c r="A10" s="6">
        <v>2</v>
      </c>
      <c r="B10" s="7" t="s">
        <v>25</v>
      </c>
      <c r="C10" s="8" t="s">
        <v>26</v>
      </c>
      <c r="D10" s="9" t="s">
        <v>17</v>
      </c>
      <c r="E10" s="21"/>
      <c r="F10" s="10">
        <f>F6*1/100</f>
        <v>0.504</v>
      </c>
      <c r="G10" s="12"/>
      <c r="H10" s="12"/>
      <c r="I10" s="12"/>
      <c r="J10" s="12"/>
      <c r="K10" s="12"/>
      <c r="L10" s="12"/>
      <c r="M10" s="12"/>
      <c r="N10" s="13"/>
      <c r="O10" s="13"/>
      <c r="P10" s="13"/>
    </row>
    <row r="11" spans="1:239" s="14" customFormat="1" ht="26.25" customHeight="1">
      <c r="A11" s="6"/>
      <c r="B11" s="22"/>
      <c r="C11" s="23" t="s">
        <v>18</v>
      </c>
      <c r="D11" s="16" t="s">
        <v>19</v>
      </c>
      <c r="E11" s="24">
        <f>206/100</f>
        <v>2.06</v>
      </c>
      <c r="F11" s="12">
        <f>F10*E11</f>
        <v>1.0382400000000001</v>
      </c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39" s="14" customFormat="1" ht="36.75" customHeight="1">
      <c r="A12" s="25">
        <v>3</v>
      </c>
      <c r="B12" s="7" t="s">
        <v>16</v>
      </c>
      <c r="C12" s="8" t="s">
        <v>27</v>
      </c>
      <c r="D12" s="9" t="s">
        <v>17</v>
      </c>
      <c r="E12" s="21"/>
      <c r="F12" s="10">
        <f>F6+F10</f>
        <v>50.903999999999996</v>
      </c>
      <c r="G12" s="12"/>
      <c r="H12" s="12"/>
      <c r="I12" s="12"/>
      <c r="J12" s="12"/>
      <c r="K12" s="12"/>
      <c r="L12" s="12"/>
      <c r="M12" s="12"/>
      <c r="N12" s="13"/>
      <c r="O12" s="13"/>
      <c r="P12" s="13"/>
    </row>
    <row r="13" spans="1:239" s="14" customFormat="1" ht="24" customHeight="1">
      <c r="A13" s="6"/>
      <c r="B13" s="15"/>
      <c r="C13" s="16" t="s">
        <v>18</v>
      </c>
      <c r="D13" s="16" t="s">
        <v>19</v>
      </c>
      <c r="E13" s="17">
        <f>34/1000</f>
        <v>3.4000000000000002E-2</v>
      </c>
      <c r="F13" s="12">
        <f>F12*E13</f>
        <v>1.7307360000000001</v>
      </c>
      <c r="G13" s="12"/>
      <c r="H13" s="12"/>
      <c r="I13" s="12"/>
      <c r="J13" s="12"/>
      <c r="K13" s="12"/>
      <c r="L13" s="12"/>
      <c r="M13" s="12"/>
      <c r="N13" s="13"/>
      <c r="O13" s="13"/>
      <c r="P13" s="13"/>
    </row>
    <row r="14" spans="1:239" s="14" customFormat="1" ht="36.75" customHeight="1">
      <c r="A14" s="6"/>
      <c r="B14" s="18" t="s">
        <v>20</v>
      </c>
      <c r="C14" s="19" t="s">
        <v>21</v>
      </c>
      <c r="D14" s="20" t="s">
        <v>22</v>
      </c>
      <c r="E14" s="17">
        <f>83.3/1000</f>
        <v>8.3299999999999999E-2</v>
      </c>
      <c r="F14" s="12">
        <f>F12*E14</f>
        <v>4.2403031999999996</v>
      </c>
      <c r="G14" s="12"/>
      <c r="H14" s="12"/>
      <c r="I14" s="12"/>
      <c r="J14" s="12"/>
      <c r="K14" s="12"/>
      <c r="L14" s="12"/>
      <c r="M14" s="12"/>
      <c r="N14" s="13"/>
      <c r="O14" s="13"/>
      <c r="P14" s="13"/>
    </row>
    <row r="15" spans="1:239" s="14" customFormat="1" ht="22.5" customHeight="1">
      <c r="A15" s="6"/>
      <c r="B15" s="15"/>
      <c r="C15" s="16" t="s">
        <v>23</v>
      </c>
      <c r="D15" s="16" t="s">
        <v>24</v>
      </c>
      <c r="E15" s="17">
        <f>5.63/1000</f>
        <v>5.6299999999999996E-3</v>
      </c>
      <c r="F15" s="12">
        <f>F12*E15</f>
        <v>0.28658951999999993</v>
      </c>
      <c r="G15" s="12"/>
      <c r="H15" s="12"/>
      <c r="I15" s="12"/>
      <c r="J15" s="12"/>
      <c r="K15" s="12"/>
      <c r="L15" s="12"/>
      <c r="M15" s="12"/>
      <c r="N15" s="13"/>
      <c r="O15" s="13"/>
      <c r="P15" s="13"/>
    </row>
    <row r="16" spans="1:239" s="14" customFormat="1" ht="36.75" customHeight="1">
      <c r="A16" s="6">
        <v>4</v>
      </c>
      <c r="B16" s="26" t="s">
        <v>28</v>
      </c>
      <c r="C16" s="15" t="s">
        <v>29</v>
      </c>
      <c r="D16" s="27" t="s">
        <v>30</v>
      </c>
      <c r="E16" s="28"/>
      <c r="F16" s="29">
        <f>(F6+F10)*1.8</f>
        <v>91.627200000000002</v>
      </c>
      <c r="G16" s="12"/>
      <c r="H16" s="12"/>
      <c r="I16" s="12"/>
      <c r="J16" s="12"/>
      <c r="K16" s="12"/>
      <c r="L16" s="12"/>
      <c r="M16" s="12"/>
      <c r="N16" s="13"/>
      <c r="O16" s="13"/>
      <c r="P16" s="13"/>
    </row>
    <row r="17" spans="1:16" s="14" customFormat="1" ht="49.5">
      <c r="A17" s="6">
        <v>5</v>
      </c>
      <c r="B17" s="30" t="s">
        <v>31</v>
      </c>
      <c r="C17" s="31" t="s">
        <v>67</v>
      </c>
      <c r="D17" s="25" t="s">
        <v>32</v>
      </c>
      <c r="E17" s="29"/>
      <c r="F17" s="29">
        <f>F5*0.7*0.1</f>
        <v>8.4</v>
      </c>
      <c r="G17" s="12"/>
      <c r="H17" s="12"/>
      <c r="I17" s="12"/>
      <c r="J17" s="12"/>
      <c r="K17" s="12"/>
      <c r="L17" s="12"/>
      <c r="M17" s="12"/>
      <c r="N17" s="13"/>
      <c r="O17" s="13"/>
      <c r="P17" s="13"/>
    </row>
    <row r="18" spans="1:16" s="14" customFormat="1" ht="18">
      <c r="A18" s="32"/>
      <c r="B18" s="15"/>
      <c r="C18" s="16" t="s">
        <v>18</v>
      </c>
      <c r="D18" s="16" t="s">
        <v>19</v>
      </c>
      <c r="E18" s="17">
        <f>85.5/100</f>
        <v>0.85499999999999998</v>
      </c>
      <c r="F18" s="12">
        <f>F17*E18</f>
        <v>7.1820000000000004</v>
      </c>
      <c r="G18" s="12"/>
      <c r="H18" s="12"/>
      <c r="I18" s="12"/>
      <c r="J18" s="12"/>
      <c r="K18" s="12"/>
      <c r="L18" s="12"/>
      <c r="M18" s="12"/>
      <c r="N18" s="13"/>
      <c r="O18" s="13"/>
      <c r="P18" s="13"/>
    </row>
    <row r="19" spans="1:16" s="14" customFormat="1" ht="25.5" customHeight="1">
      <c r="A19" s="32"/>
      <c r="B19" s="18" t="s">
        <v>33</v>
      </c>
      <c r="C19" s="19" t="s">
        <v>34</v>
      </c>
      <c r="D19" s="20" t="s">
        <v>22</v>
      </c>
      <c r="E19" s="17">
        <f>7.6/100</f>
        <v>7.5999999999999998E-2</v>
      </c>
      <c r="F19" s="12">
        <f>F17*E19</f>
        <v>0.63839999999999997</v>
      </c>
      <c r="G19" s="12"/>
      <c r="H19" s="12"/>
      <c r="I19" s="12"/>
      <c r="J19" s="12"/>
      <c r="K19" s="12"/>
      <c r="L19" s="12"/>
      <c r="M19" s="12"/>
      <c r="N19" s="13"/>
      <c r="O19" s="13"/>
      <c r="P19" s="13"/>
    </row>
    <row r="20" spans="1:16" s="14" customFormat="1" ht="18">
      <c r="A20" s="32"/>
      <c r="B20" s="15"/>
      <c r="C20" s="16" t="s">
        <v>35</v>
      </c>
      <c r="D20" s="33"/>
      <c r="E20" s="17"/>
      <c r="F20" s="12"/>
      <c r="G20" s="12"/>
      <c r="H20" s="12"/>
      <c r="I20" s="12"/>
      <c r="J20" s="12"/>
      <c r="K20" s="34"/>
      <c r="L20" s="34"/>
      <c r="M20" s="12"/>
      <c r="N20" s="13"/>
      <c r="O20" s="13"/>
      <c r="P20" s="13"/>
    </row>
    <row r="21" spans="1:16" s="14" customFormat="1" ht="37.5" customHeight="1">
      <c r="A21" s="32"/>
      <c r="B21" s="26" t="s">
        <v>36</v>
      </c>
      <c r="C21" s="35" t="s">
        <v>37</v>
      </c>
      <c r="D21" s="16" t="s">
        <v>38</v>
      </c>
      <c r="E21" s="17">
        <v>1.1000000000000001</v>
      </c>
      <c r="F21" s="12">
        <f>F17*E21</f>
        <v>9.240000000000002</v>
      </c>
      <c r="G21" s="12"/>
      <c r="H21" s="12"/>
      <c r="I21" s="12"/>
      <c r="J21" s="12"/>
      <c r="K21" s="34"/>
      <c r="L21" s="34"/>
      <c r="M21" s="12"/>
      <c r="N21" s="13"/>
      <c r="O21" s="13"/>
      <c r="P21" s="13"/>
    </row>
    <row r="22" spans="1:16" s="14" customFormat="1" ht="36">
      <c r="A22" s="6"/>
      <c r="B22" s="26" t="s">
        <v>39</v>
      </c>
      <c r="C22" s="36" t="s">
        <v>65</v>
      </c>
      <c r="D22" s="37" t="s">
        <v>30</v>
      </c>
      <c r="E22" s="17"/>
      <c r="F22" s="12">
        <f>F21*1.8</f>
        <v>16.632000000000005</v>
      </c>
      <c r="G22" s="12"/>
      <c r="H22" s="12"/>
      <c r="I22" s="12"/>
      <c r="J22" s="12"/>
      <c r="K22" s="34"/>
      <c r="L22" s="34"/>
      <c r="M22" s="12"/>
      <c r="N22" s="13"/>
      <c r="O22" s="13"/>
      <c r="P22" s="13"/>
    </row>
    <row r="23" spans="1:16" s="14" customFormat="1" ht="49.5">
      <c r="A23" s="6">
        <v>6</v>
      </c>
      <c r="B23" s="7" t="s">
        <v>40</v>
      </c>
      <c r="C23" s="38" t="s">
        <v>41</v>
      </c>
      <c r="D23" s="25" t="s">
        <v>32</v>
      </c>
      <c r="E23" s="28"/>
      <c r="F23" s="29">
        <f>F5*0.11</f>
        <v>13.2</v>
      </c>
      <c r="G23" s="12"/>
      <c r="H23" s="12"/>
      <c r="I23" s="12"/>
      <c r="J23" s="12"/>
      <c r="K23" s="34"/>
      <c r="L23" s="34"/>
      <c r="M23" s="12"/>
      <c r="N23" s="13"/>
      <c r="O23" s="13"/>
      <c r="P23" s="13"/>
    </row>
    <row r="24" spans="1:16" s="14" customFormat="1" ht="20.25" customHeight="1">
      <c r="A24" s="6"/>
      <c r="B24" s="30"/>
      <c r="C24" s="16" t="s">
        <v>18</v>
      </c>
      <c r="D24" s="16" t="s">
        <v>19</v>
      </c>
      <c r="E24" s="17">
        <f>565/100</f>
        <v>5.65</v>
      </c>
      <c r="F24" s="12">
        <f>F23*E24</f>
        <v>74.58</v>
      </c>
      <c r="G24" s="12"/>
      <c r="H24" s="12"/>
      <c r="I24" s="12"/>
      <c r="J24" s="12"/>
      <c r="K24" s="34"/>
      <c r="L24" s="34"/>
      <c r="M24" s="12"/>
      <c r="N24" s="13"/>
      <c r="O24" s="13"/>
      <c r="P24" s="13"/>
    </row>
    <row r="25" spans="1:16" s="14" customFormat="1" ht="20.25" customHeight="1">
      <c r="A25" s="6"/>
      <c r="B25" s="18" t="s">
        <v>33</v>
      </c>
      <c r="C25" s="16" t="s">
        <v>42</v>
      </c>
      <c r="D25" s="16" t="s">
        <v>22</v>
      </c>
      <c r="E25" s="17">
        <f>82/100</f>
        <v>0.82</v>
      </c>
      <c r="F25" s="12">
        <f>F23*E25</f>
        <v>10.823999999999998</v>
      </c>
      <c r="G25" s="12"/>
      <c r="H25" s="12"/>
      <c r="I25" s="12"/>
      <c r="J25" s="12"/>
      <c r="K25" s="34"/>
      <c r="L25" s="34"/>
      <c r="M25" s="12"/>
      <c r="N25" s="13"/>
      <c r="O25" s="13"/>
      <c r="P25" s="13"/>
    </row>
    <row r="26" spans="1:16" s="14" customFormat="1" ht="20.25" customHeight="1">
      <c r="A26" s="6"/>
      <c r="B26" s="30"/>
      <c r="C26" s="16" t="s">
        <v>43</v>
      </c>
      <c r="D26" s="16" t="s">
        <v>24</v>
      </c>
      <c r="E26" s="17">
        <f>73/100</f>
        <v>0.73</v>
      </c>
      <c r="F26" s="12">
        <f>F23*E26</f>
        <v>9.6359999999999992</v>
      </c>
      <c r="G26" s="12"/>
      <c r="H26" s="12"/>
      <c r="I26" s="12"/>
      <c r="J26" s="12"/>
      <c r="K26" s="34"/>
      <c r="L26" s="34"/>
      <c r="M26" s="12"/>
      <c r="N26" s="13"/>
      <c r="O26" s="13"/>
      <c r="P26" s="13"/>
    </row>
    <row r="27" spans="1:16" s="14" customFormat="1" ht="20.25" customHeight="1">
      <c r="A27" s="6"/>
      <c r="B27" s="30"/>
      <c r="C27" s="16" t="s">
        <v>35</v>
      </c>
      <c r="D27" s="16"/>
      <c r="E27" s="17"/>
      <c r="F27" s="12"/>
      <c r="G27" s="12"/>
      <c r="H27" s="12"/>
      <c r="I27" s="12"/>
      <c r="J27" s="12"/>
      <c r="K27" s="34"/>
      <c r="L27" s="34"/>
      <c r="M27" s="12"/>
      <c r="N27" s="13"/>
      <c r="O27" s="13"/>
      <c r="P27" s="13"/>
    </row>
    <row r="28" spans="1:16" s="14" customFormat="1" ht="20.25" customHeight="1">
      <c r="A28" s="6"/>
      <c r="B28" s="39" t="s">
        <v>44</v>
      </c>
      <c r="C28" s="37" t="s">
        <v>45</v>
      </c>
      <c r="D28" s="16" t="s">
        <v>38</v>
      </c>
      <c r="E28" s="17">
        <f>2.09/100</f>
        <v>2.0899999999999998E-2</v>
      </c>
      <c r="F28" s="40">
        <f>F23*E28</f>
        <v>0.27587999999999996</v>
      </c>
      <c r="G28" s="12"/>
      <c r="H28" s="12"/>
      <c r="I28" s="12"/>
      <c r="J28" s="12"/>
      <c r="K28" s="34"/>
      <c r="L28" s="34"/>
      <c r="M28" s="12"/>
      <c r="N28" s="13"/>
      <c r="O28" s="13"/>
      <c r="P28" s="13"/>
    </row>
    <row r="29" spans="1:16" s="14" customFormat="1" ht="20.25" customHeight="1">
      <c r="A29" s="6"/>
      <c r="B29" s="39" t="s">
        <v>46</v>
      </c>
      <c r="C29" s="37" t="s">
        <v>47</v>
      </c>
      <c r="D29" s="41" t="s">
        <v>5</v>
      </c>
      <c r="E29" s="12" t="s">
        <v>48</v>
      </c>
      <c r="F29" s="34">
        <f>F23/0.11</f>
        <v>120</v>
      </c>
      <c r="G29" s="80"/>
      <c r="H29" s="12"/>
      <c r="I29" s="12"/>
      <c r="J29" s="12"/>
      <c r="K29" s="34"/>
      <c r="L29" s="34"/>
      <c r="M29" s="12"/>
      <c r="N29" s="13"/>
      <c r="O29" s="13"/>
      <c r="P29" s="13"/>
    </row>
    <row r="30" spans="1:16" s="14" customFormat="1" ht="39.75" customHeight="1">
      <c r="A30" s="6"/>
      <c r="B30" s="26" t="s">
        <v>39</v>
      </c>
      <c r="C30" s="19" t="s">
        <v>80</v>
      </c>
      <c r="D30" s="37" t="s">
        <v>30</v>
      </c>
      <c r="E30" s="12"/>
      <c r="F30" s="12">
        <f>F28*2.2</f>
        <v>0.60693599999999992</v>
      </c>
      <c r="G30" s="12"/>
      <c r="H30" s="12"/>
      <c r="I30" s="12"/>
      <c r="J30" s="12"/>
      <c r="K30" s="34"/>
      <c r="L30" s="34"/>
      <c r="M30" s="12"/>
      <c r="N30" s="13"/>
      <c r="O30" s="13"/>
      <c r="P30" s="13"/>
    </row>
    <row r="31" spans="1:16" s="14" customFormat="1" ht="39.75" customHeight="1">
      <c r="A31" s="6"/>
      <c r="B31" s="26" t="s">
        <v>39</v>
      </c>
      <c r="C31" s="42" t="s">
        <v>79</v>
      </c>
      <c r="D31" s="37" t="s">
        <v>30</v>
      </c>
      <c r="E31" s="12"/>
      <c r="F31" s="12">
        <f>F29*0.11*2.4</f>
        <v>31.679999999999996</v>
      </c>
      <c r="G31" s="12"/>
      <c r="H31" s="12"/>
      <c r="I31" s="12"/>
      <c r="J31" s="12"/>
      <c r="K31" s="81"/>
      <c r="L31" s="34"/>
      <c r="M31" s="12"/>
      <c r="N31" s="13"/>
      <c r="O31" s="13"/>
      <c r="P31" s="13"/>
    </row>
    <row r="32" spans="1:16" s="14" customFormat="1" ht="21" customHeight="1">
      <c r="A32" s="6">
        <v>7</v>
      </c>
      <c r="B32" s="26"/>
      <c r="C32" s="43" t="s">
        <v>66</v>
      </c>
      <c r="D32" s="44" t="s">
        <v>2</v>
      </c>
      <c r="E32" s="45"/>
      <c r="F32" s="67">
        <v>0.27</v>
      </c>
      <c r="G32" s="45"/>
      <c r="H32" s="45"/>
      <c r="I32" s="45"/>
      <c r="J32" s="45"/>
      <c r="K32" s="45"/>
      <c r="L32" s="45"/>
      <c r="M32" s="12"/>
      <c r="N32" s="13"/>
      <c r="O32" s="13"/>
      <c r="P32" s="13"/>
    </row>
    <row r="33" spans="1:16" s="14" customFormat="1" ht="18">
      <c r="A33" s="6"/>
      <c r="B33" s="26"/>
      <c r="C33" s="46" t="s">
        <v>18</v>
      </c>
      <c r="D33" s="46" t="s">
        <v>19</v>
      </c>
      <c r="E33" s="45">
        <v>14.6</v>
      </c>
      <c r="F33" s="45">
        <f>F32*E33</f>
        <v>3.9420000000000002</v>
      </c>
      <c r="G33" s="45"/>
      <c r="H33" s="45"/>
      <c r="I33" s="45"/>
      <c r="J33" s="45"/>
      <c r="K33" s="45"/>
      <c r="L33" s="45"/>
      <c r="M33" s="12"/>
      <c r="N33" s="13"/>
      <c r="O33" s="13"/>
      <c r="P33" s="13"/>
    </row>
    <row r="34" spans="1:16" s="14" customFormat="1" ht="18">
      <c r="A34" s="6"/>
      <c r="B34" s="26"/>
      <c r="C34" s="46" t="s">
        <v>34</v>
      </c>
      <c r="D34" s="46" t="s">
        <v>24</v>
      </c>
      <c r="E34" s="45">
        <v>0.93</v>
      </c>
      <c r="F34" s="45">
        <f>F32*E34</f>
        <v>0.25110000000000005</v>
      </c>
      <c r="G34" s="45"/>
      <c r="H34" s="45"/>
      <c r="I34" s="45"/>
      <c r="J34" s="45"/>
      <c r="K34" s="45"/>
      <c r="L34" s="45"/>
      <c r="M34" s="12"/>
      <c r="N34" s="13"/>
      <c r="O34" s="13"/>
      <c r="P34" s="13"/>
    </row>
    <row r="35" spans="1:16" s="14" customFormat="1" ht="18">
      <c r="A35" s="6"/>
      <c r="B35" s="26"/>
      <c r="C35" s="46" t="s">
        <v>49</v>
      </c>
      <c r="D35" s="46"/>
      <c r="E35" s="45"/>
      <c r="F35" s="45"/>
      <c r="G35" s="45"/>
      <c r="H35" s="45"/>
      <c r="I35" s="45"/>
      <c r="J35" s="45"/>
      <c r="K35" s="45"/>
      <c r="L35" s="45"/>
      <c r="M35" s="12"/>
      <c r="N35" s="13"/>
      <c r="O35" s="13"/>
      <c r="P35" s="13"/>
    </row>
    <row r="36" spans="1:16" s="14" customFormat="1" ht="18">
      <c r="A36" s="6"/>
      <c r="B36" s="26"/>
      <c r="C36" s="46" t="s">
        <v>50</v>
      </c>
      <c r="D36" s="44" t="s">
        <v>2</v>
      </c>
      <c r="E36" s="47">
        <v>1.0149999999999999</v>
      </c>
      <c r="F36" s="45">
        <f>F32*E36</f>
        <v>0.27405000000000002</v>
      </c>
      <c r="G36" s="45"/>
      <c r="H36" s="45"/>
      <c r="I36" s="45"/>
      <c r="J36" s="45"/>
      <c r="K36" s="45"/>
      <c r="L36" s="45"/>
      <c r="M36" s="12"/>
      <c r="N36" s="13"/>
      <c r="O36" s="13"/>
      <c r="P36" s="13"/>
    </row>
    <row r="37" spans="1:16" s="14" customFormat="1" ht="18">
      <c r="A37" s="6"/>
      <c r="B37" s="26"/>
      <c r="C37" s="46" t="s">
        <v>51</v>
      </c>
      <c r="D37" s="46" t="s">
        <v>52</v>
      </c>
      <c r="E37" s="45">
        <v>6.66</v>
      </c>
      <c r="F37" s="45">
        <f>F32*E37</f>
        <v>1.7982000000000002</v>
      </c>
      <c r="G37" s="45"/>
      <c r="H37" s="45"/>
      <c r="I37" s="45"/>
      <c r="J37" s="45"/>
      <c r="K37" s="45"/>
      <c r="L37" s="45"/>
      <c r="M37" s="12"/>
      <c r="N37" s="13"/>
      <c r="O37" s="13"/>
      <c r="P37" s="13"/>
    </row>
    <row r="38" spans="1:16" s="14" customFormat="1" ht="18">
      <c r="A38" s="6"/>
      <c r="B38" s="26"/>
      <c r="C38" s="46" t="s">
        <v>53</v>
      </c>
      <c r="D38" s="44" t="s">
        <v>2</v>
      </c>
      <c r="E38" s="48">
        <v>5.3E-3</v>
      </c>
      <c r="F38" s="47">
        <f>F32*E38</f>
        <v>1.4310000000000002E-3</v>
      </c>
      <c r="G38" s="45"/>
      <c r="H38" s="45"/>
      <c r="I38" s="45"/>
      <c r="J38" s="45"/>
      <c r="K38" s="45"/>
      <c r="L38" s="45"/>
      <c r="M38" s="12"/>
      <c r="N38" s="13"/>
      <c r="O38" s="13"/>
      <c r="P38" s="13"/>
    </row>
    <row r="39" spans="1:16" s="14" customFormat="1" ht="33">
      <c r="A39" s="6"/>
      <c r="B39" s="26"/>
      <c r="C39" s="46" t="s">
        <v>54</v>
      </c>
      <c r="D39" s="44" t="s">
        <v>2</v>
      </c>
      <c r="E39" s="48">
        <v>9.1999999999999998E-3</v>
      </c>
      <c r="F39" s="47">
        <f>F32*E39</f>
        <v>2.4840000000000001E-3</v>
      </c>
      <c r="G39" s="45"/>
      <c r="H39" s="45"/>
      <c r="I39" s="45"/>
      <c r="J39" s="45"/>
      <c r="K39" s="45"/>
      <c r="L39" s="45"/>
      <c r="M39" s="12"/>
      <c r="N39" s="13"/>
      <c r="O39" s="13"/>
      <c r="P39" s="13"/>
    </row>
    <row r="40" spans="1:16" s="14" customFormat="1" ht="18">
      <c r="A40" s="6"/>
      <c r="B40" s="26"/>
      <c r="C40" s="46" t="s">
        <v>55</v>
      </c>
      <c r="D40" s="44" t="s">
        <v>2</v>
      </c>
      <c r="E40" s="48">
        <v>2.4E-2</v>
      </c>
      <c r="F40" s="45">
        <f>F32*E40</f>
        <v>6.4800000000000005E-3</v>
      </c>
      <c r="G40" s="45"/>
      <c r="H40" s="45"/>
      <c r="I40" s="45"/>
      <c r="J40" s="45"/>
      <c r="K40" s="45"/>
      <c r="L40" s="45"/>
      <c r="M40" s="12"/>
      <c r="N40" s="13"/>
      <c r="O40" s="13"/>
      <c r="P40" s="13"/>
    </row>
    <row r="41" spans="1:16" s="14" customFormat="1" ht="18">
      <c r="A41" s="6"/>
      <c r="B41" s="26"/>
      <c r="C41" s="49" t="s">
        <v>56</v>
      </c>
      <c r="D41" s="50" t="s">
        <v>3</v>
      </c>
      <c r="E41" s="50"/>
      <c r="F41" s="51">
        <f>F32/0.1*12</f>
        <v>32.400000000000006</v>
      </c>
      <c r="G41" s="51"/>
      <c r="H41" s="51"/>
      <c r="I41" s="51"/>
      <c r="J41" s="51"/>
      <c r="K41" s="45"/>
      <c r="L41" s="45"/>
      <c r="M41" s="12"/>
      <c r="N41" s="13"/>
      <c r="O41" s="13"/>
      <c r="P41" s="13"/>
    </row>
    <row r="42" spans="1:16" s="14" customFormat="1" ht="18">
      <c r="A42" s="6"/>
      <c r="B42" s="26"/>
      <c r="C42" s="46" t="s">
        <v>57</v>
      </c>
      <c r="D42" s="46" t="s">
        <v>24</v>
      </c>
      <c r="E42" s="45">
        <v>2.96</v>
      </c>
      <c r="F42" s="45">
        <f>F32*E42</f>
        <v>0.79920000000000002</v>
      </c>
      <c r="G42" s="45"/>
      <c r="H42" s="45"/>
      <c r="I42" s="45"/>
      <c r="J42" s="45"/>
      <c r="K42" s="45"/>
      <c r="L42" s="45"/>
      <c r="M42" s="12"/>
      <c r="N42" s="13"/>
      <c r="O42" s="13"/>
      <c r="P42" s="13"/>
    </row>
    <row r="43" spans="1:16" s="14" customFormat="1" ht="38.25" customHeight="1">
      <c r="A43" s="6"/>
      <c r="B43" s="26"/>
      <c r="C43" s="52" t="s">
        <v>81</v>
      </c>
      <c r="D43" s="53" t="s">
        <v>30</v>
      </c>
      <c r="E43" s="54"/>
      <c r="F43" s="54">
        <f>F36*2.4</f>
        <v>0.65771999999999997</v>
      </c>
      <c r="G43" s="54"/>
      <c r="H43" s="54"/>
      <c r="I43" s="54"/>
      <c r="J43" s="54"/>
      <c r="K43" s="54"/>
      <c r="L43" s="54"/>
      <c r="M43" s="12"/>
      <c r="N43" s="13"/>
      <c r="O43" s="13"/>
      <c r="P43" s="13"/>
    </row>
    <row r="44" spans="1:16" s="14" customFormat="1" ht="49.5">
      <c r="A44" s="6">
        <v>8</v>
      </c>
      <c r="B44" s="30" t="s">
        <v>58</v>
      </c>
      <c r="C44" s="38" t="s">
        <v>59</v>
      </c>
      <c r="D44" s="25" t="s">
        <v>32</v>
      </c>
      <c r="E44" s="29"/>
      <c r="F44" s="29">
        <f>F5*0.3*0.3/2*2</f>
        <v>10.799999999999999</v>
      </c>
      <c r="G44" s="12"/>
      <c r="H44" s="12"/>
      <c r="I44" s="12"/>
      <c r="J44" s="34"/>
      <c r="K44" s="34"/>
      <c r="L44" s="12"/>
      <c r="M44" s="12"/>
      <c r="N44" s="13"/>
      <c r="O44" s="13"/>
      <c r="P44" s="13"/>
    </row>
    <row r="45" spans="1:16" s="14" customFormat="1" ht="18">
      <c r="A45" s="32"/>
      <c r="B45" s="15"/>
      <c r="C45" s="16" t="s">
        <v>18</v>
      </c>
      <c r="D45" s="16" t="s">
        <v>19</v>
      </c>
      <c r="E45" s="12">
        <f>212/100</f>
        <v>2.12</v>
      </c>
      <c r="F45" s="12">
        <f>F44*E45</f>
        <v>22.895999999999997</v>
      </c>
      <c r="G45" s="12"/>
      <c r="H45" s="12"/>
      <c r="I45" s="12"/>
      <c r="J45" s="34"/>
      <c r="K45" s="34"/>
      <c r="L45" s="12"/>
      <c r="M45" s="12"/>
      <c r="N45" s="13"/>
      <c r="O45" s="13"/>
      <c r="P45" s="13"/>
    </row>
    <row r="46" spans="1:16" s="14" customFormat="1" ht="18">
      <c r="A46" s="32"/>
      <c r="B46" s="15"/>
      <c r="C46" s="16" t="s">
        <v>23</v>
      </c>
      <c r="D46" s="16" t="s">
        <v>24</v>
      </c>
      <c r="E46" s="12">
        <f>10.1/100</f>
        <v>0.10099999999999999</v>
      </c>
      <c r="F46" s="12">
        <f>F44*E46</f>
        <v>1.0907999999999998</v>
      </c>
      <c r="G46" s="12"/>
      <c r="H46" s="12"/>
      <c r="I46" s="12"/>
      <c r="J46" s="34"/>
      <c r="K46" s="34"/>
      <c r="L46" s="12"/>
      <c r="M46" s="12"/>
      <c r="N46" s="13"/>
      <c r="O46" s="13"/>
      <c r="P46" s="13"/>
    </row>
    <row r="47" spans="1:16" s="14" customFormat="1" ht="18">
      <c r="A47" s="32"/>
      <c r="B47" s="15"/>
      <c r="C47" s="16" t="s">
        <v>35</v>
      </c>
      <c r="D47" s="33"/>
      <c r="E47" s="12"/>
      <c r="F47" s="12"/>
      <c r="G47" s="12"/>
      <c r="H47" s="12"/>
      <c r="I47" s="12"/>
      <c r="J47" s="34"/>
      <c r="K47" s="34"/>
      <c r="L47" s="12"/>
      <c r="M47" s="12"/>
      <c r="N47" s="13"/>
      <c r="O47" s="13"/>
      <c r="P47" s="13"/>
    </row>
    <row r="48" spans="1:16" s="14" customFormat="1" ht="39" customHeight="1">
      <c r="A48" s="55"/>
      <c r="B48" s="26" t="s">
        <v>36</v>
      </c>
      <c r="C48" s="35" t="s">
        <v>37</v>
      </c>
      <c r="D48" s="16" t="s">
        <v>38</v>
      </c>
      <c r="E48" s="12">
        <v>1.1000000000000001</v>
      </c>
      <c r="F48" s="12">
        <f>F44*E48</f>
        <v>11.879999999999999</v>
      </c>
      <c r="G48" s="12"/>
      <c r="H48" s="12"/>
      <c r="I48" s="12"/>
      <c r="J48" s="34"/>
      <c r="K48" s="34"/>
      <c r="L48" s="12"/>
      <c r="M48" s="12"/>
      <c r="N48" s="13"/>
      <c r="O48" s="13"/>
      <c r="P48" s="13"/>
    </row>
    <row r="49" spans="1:16" s="14" customFormat="1" ht="36">
      <c r="A49" s="6"/>
      <c r="B49" s="26" t="s">
        <v>39</v>
      </c>
      <c r="C49" s="36" t="s">
        <v>65</v>
      </c>
      <c r="D49" s="37" t="s">
        <v>30</v>
      </c>
      <c r="E49" s="17"/>
      <c r="F49" s="12">
        <f>F48*1.8</f>
        <v>21.384</v>
      </c>
      <c r="G49" s="12"/>
      <c r="H49" s="12"/>
      <c r="I49" s="12"/>
      <c r="J49" s="34"/>
      <c r="K49" s="34"/>
      <c r="L49" s="12"/>
      <c r="M49" s="12"/>
      <c r="N49" s="13"/>
      <c r="O49" s="13"/>
      <c r="P49" s="13"/>
    </row>
    <row r="50" spans="1:16" s="69" customFormat="1" ht="18" customHeight="1">
      <c r="A50" s="79">
        <v>9</v>
      </c>
      <c r="B50" s="90">
        <v>5</v>
      </c>
      <c r="C50" s="71" t="s">
        <v>68</v>
      </c>
      <c r="D50" s="72" t="s">
        <v>69</v>
      </c>
      <c r="E50" s="72"/>
      <c r="F50" s="51">
        <v>18</v>
      </c>
      <c r="G50" s="51"/>
      <c r="H50" s="51"/>
      <c r="I50" s="51"/>
      <c r="J50" s="51"/>
      <c r="K50" s="73"/>
      <c r="L50" s="74"/>
      <c r="M50" s="12"/>
    </row>
    <row r="51" spans="1:16" s="69" customFormat="1" ht="23.25" customHeight="1">
      <c r="A51" s="70"/>
      <c r="B51" s="90"/>
      <c r="C51" s="75" t="s">
        <v>70</v>
      </c>
      <c r="D51" s="72"/>
      <c r="E51" s="72"/>
      <c r="F51" s="51"/>
      <c r="G51" s="51"/>
      <c r="H51" s="51"/>
      <c r="I51" s="51"/>
      <c r="J51" s="51"/>
      <c r="K51" s="73"/>
      <c r="L51" s="74"/>
      <c r="M51" s="12"/>
    </row>
    <row r="52" spans="1:16" s="69" customFormat="1" ht="23.25" customHeight="1">
      <c r="A52" s="70"/>
      <c r="B52" s="90"/>
      <c r="C52" s="76" t="s">
        <v>71</v>
      </c>
      <c r="D52" s="72" t="s">
        <v>69</v>
      </c>
      <c r="E52" s="77">
        <v>0.79</v>
      </c>
      <c r="F52" s="51">
        <f>SUM(F50*E52)</f>
        <v>14.22</v>
      </c>
      <c r="G52" s="51"/>
      <c r="H52" s="51"/>
      <c r="I52" s="51"/>
      <c r="J52" s="51"/>
      <c r="K52" s="51"/>
      <c r="L52" s="74"/>
      <c r="M52" s="12"/>
    </row>
    <row r="53" spans="1:16" s="69" customFormat="1" ht="35.25" customHeight="1">
      <c r="A53" s="70"/>
      <c r="B53" s="90"/>
      <c r="C53" s="76" t="s">
        <v>72</v>
      </c>
      <c r="D53" s="72" t="s">
        <v>69</v>
      </c>
      <c r="E53" s="72">
        <v>2</v>
      </c>
      <c r="F53" s="51">
        <f>SUM(E53*F50)</f>
        <v>36</v>
      </c>
      <c r="G53" s="51"/>
      <c r="H53" s="51"/>
      <c r="I53" s="51"/>
      <c r="J53" s="51"/>
      <c r="K53" s="51"/>
      <c r="L53" s="74"/>
      <c r="M53" s="12"/>
    </row>
    <row r="54" spans="1:16" s="69" customFormat="1" ht="35.25" customHeight="1">
      <c r="A54" s="70"/>
      <c r="B54" s="90"/>
      <c r="C54" s="76" t="s">
        <v>73</v>
      </c>
      <c r="D54" s="72" t="s">
        <v>3</v>
      </c>
      <c r="E54" s="72">
        <v>5</v>
      </c>
      <c r="F54" s="51">
        <f>SUM(E54*F50)</f>
        <v>90</v>
      </c>
      <c r="G54" s="51"/>
      <c r="H54" s="51"/>
      <c r="I54" s="51"/>
      <c r="J54" s="51"/>
      <c r="K54" s="51"/>
      <c r="L54" s="74"/>
      <c r="M54" s="12"/>
    </row>
    <row r="55" spans="1:16" s="69" customFormat="1" ht="35.25" customHeight="1">
      <c r="A55" s="70"/>
      <c r="B55" s="90"/>
      <c r="C55" s="76" t="s">
        <v>74</v>
      </c>
      <c r="D55" s="72" t="s">
        <v>75</v>
      </c>
      <c r="E55" s="72">
        <v>0.2</v>
      </c>
      <c r="F55" s="78">
        <f>SUM(E55*F50)</f>
        <v>3.6</v>
      </c>
      <c r="G55" s="51"/>
      <c r="H55" s="51"/>
      <c r="I55" s="51"/>
      <c r="J55" s="51"/>
      <c r="K55" s="51"/>
      <c r="L55" s="74"/>
      <c r="M55" s="12"/>
    </row>
    <row r="56" spans="1:16" s="69" customFormat="1" ht="72" customHeight="1">
      <c r="A56" s="70"/>
      <c r="B56" s="82"/>
      <c r="C56" s="87" t="s">
        <v>77</v>
      </c>
      <c r="D56" s="83" t="s">
        <v>76</v>
      </c>
      <c r="E56" s="84"/>
      <c r="F56" s="85">
        <v>80</v>
      </c>
      <c r="G56" s="84">
        <v>0</v>
      </c>
      <c r="H56" s="86"/>
      <c r="I56" s="84"/>
      <c r="J56" s="86"/>
      <c r="K56" s="84"/>
      <c r="L56" s="86"/>
      <c r="M56" s="86"/>
    </row>
    <row r="57" spans="1:16" s="14" customFormat="1" ht="18">
      <c r="A57" s="56"/>
      <c r="B57" s="57" t="s">
        <v>60</v>
      </c>
      <c r="C57" s="58" t="s">
        <v>0</v>
      </c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13"/>
      <c r="O57" s="13"/>
      <c r="P57" s="13"/>
    </row>
    <row r="58" spans="1:16">
      <c r="A58" s="61"/>
      <c r="B58" s="61"/>
      <c r="C58" s="62" t="s">
        <v>61</v>
      </c>
      <c r="D58" s="62"/>
      <c r="E58" s="62"/>
      <c r="F58" s="63"/>
      <c r="G58" s="62"/>
      <c r="H58" s="62"/>
      <c r="I58" s="62"/>
      <c r="J58" s="64"/>
      <c r="K58" s="64"/>
      <c r="L58" s="62"/>
      <c r="M58" s="65"/>
    </row>
    <row r="59" spans="1:16">
      <c r="A59" s="61"/>
      <c r="B59" s="61"/>
      <c r="C59" s="62" t="s">
        <v>0</v>
      </c>
      <c r="D59" s="62"/>
      <c r="E59" s="62"/>
      <c r="F59" s="62"/>
      <c r="G59" s="62"/>
      <c r="H59" s="62"/>
      <c r="I59" s="62"/>
      <c r="J59" s="62"/>
      <c r="K59" s="62"/>
      <c r="L59" s="62"/>
      <c r="M59" s="65"/>
    </row>
    <row r="60" spans="1:16">
      <c r="A60" s="61"/>
      <c r="B60" s="61"/>
      <c r="C60" s="62" t="s">
        <v>62</v>
      </c>
      <c r="D60" s="62"/>
      <c r="E60" s="62"/>
      <c r="F60" s="63"/>
      <c r="G60" s="62"/>
      <c r="H60" s="62"/>
      <c r="I60" s="62"/>
      <c r="J60" s="62"/>
      <c r="K60" s="62"/>
      <c r="L60" s="62"/>
      <c r="M60" s="65"/>
    </row>
    <row r="61" spans="1:16">
      <c r="A61" s="61"/>
      <c r="B61" s="61"/>
      <c r="C61" s="62" t="s">
        <v>0</v>
      </c>
      <c r="D61" s="62"/>
      <c r="E61" s="62"/>
      <c r="F61" s="62"/>
      <c r="G61" s="62"/>
      <c r="H61" s="62"/>
      <c r="I61" s="62"/>
      <c r="J61" s="62"/>
      <c r="K61" s="62"/>
      <c r="L61" s="62"/>
      <c r="M61" s="65"/>
    </row>
    <row r="62" spans="1:16">
      <c r="A62" s="61"/>
      <c r="B62" s="61"/>
      <c r="C62" s="62" t="s">
        <v>63</v>
      </c>
      <c r="D62" s="62"/>
      <c r="E62" s="62"/>
      <c r="F62" s="63">
        <v>0.18</v>
      </c>
      <c r="G62" s="62"/>
      <c r="H62" s="62"/>
      <c r="I62" s="62"/>
      <c r="J62" s="62"/>
      <c r="K62" s="62"/>
      <c r="L62" s="62"/>
      <c r="M62" s="65"/>
    </row>
    <row r="63" spans="1:16">
      <c r="A63" s="61"/>
      <c r="B63" s="61"/>
      <c r="C63" s="62" t="s">
        <v>0</v>
      </c>
      <c r="D63" s="62"/>
      <c r="E63" s="62"/>
      <c r="F63" s="62"/>
      <c r="G63" s="62"/>
      <c r="H63" s="62"/>
      <c r="I63" s="62"/>
      <c r="J63" s="62"/>
      <c r="K63" s="62"/>
      <c r="L63" s="62"/>
      <c r="M63" s="65"/>
    </row>
  </sheetData>
  <mergeCells count="12">
    <mergeCell ref="N2:P2"/>
    <mergeCell ref="B50:B55"/>
    <mergeCell ref="A1:M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conditionalFormatting sqref="G30:J31 L30:L31 G17:L21 E18:F21">
    <cfRule type="cellIs" dxfId="15" priority="12" stopIfTrue="1" operator="lessThan">
      <formula>0</formula>
    </cfRule>
  </conditionalFormatting>
  <conditionalFormatting sqref="G44:L48 G6:M6 G16:J16 L16 G23:L29 G7:L15 M7:M55">
    <cfRule type="cellIs" dxfId="14" priority="15" stopIfTrue="1" operator="lessThan">
      <formula>0</formula>
    </cfRule>
  </conditionalFormatting>
  <conditionalFormatting sqref="G22:J22 L22">
    <cfRule type="cellIs" dxfId="13" priority="13" stopIfTrue="1" operator="lessThan">
      <formula>0</formula>
    </cfRule>
  </conditionalFormatting>
  <conditionalFormatting sqref="G49:J55 L49:L55">
    <cfRule type="cellIs" dxfId="12" priority="14" stopIfTrue="1" operator="lessThan">
      <formula>0</formula>
    </cfRule>
  </conditionalFormatting>
  <conditionalFormatting sqref="E7:F16 E23:F29 E45:F48 E17 E44 E6">
    <cfRule type="cellIs" dxfId="11" priority="23" stopIfTrue="1" operator="lessThan">
      <formula>0</formula>
    </cfRule>
  </conditionalFormatting>
  <conditionalFormatting sqref="E49:F55">
    <cfRule type="cellIs" dxfId="10" priority="22" stopIfTrue="1" operator="lessThan">
      <formula>0</formula>
    </cfRule>
  </conditionalFormatting>
  <conditionalFormatting sqref="F6">
    <cfRule type="cellIs" dxfId="9" priority="16" stopIfTrue="1" operator="lessThan">
      <formula>0</formula>
    </cfRule>
  </conditionalFormatting>
  <conditionalFormatting sqref="F44">
    <cfRule type="cellIs" dxfId="8" priority="17" stopIfTrue="1" operator="lessThan">
      <formula>0</formula>
    </cfRule>
  </conditionalFormatting>
  <conditionalFormatting sqref="E22:F22">
    <cfRule type="cellIs" dxfId="7" priority="21" stopIfTrue="1" operator="lessThan">
      <formula>0</formula>
    </cfRule>
  </conditionalFormatting>
  <conditionalFormatting sqref="E30:F31">
    <cfRule type="cellIs" dxfId="6" priority="20" stopIfTrue="1" operator="lessThan">
      <formula>0</formula>
    </cfRule>
  </conditionalFormatting>
  <conditionalFormatting sqref="E57:M57">
    <cfRule type="cellIs" dxfId="5" priority="19" stopIfTrue="1" operator="lessThan">
      <formula>0</formula>
    </cfRule>
  </conditionalFormatting>
  <conditionalFormatting sqref="F17">
    <cfRule type="cellIs" dxfId="4" priority="18" stopIfTrue="1" operator="lessThan">
      <formula>0</formula>
    </cfRule>
  </conditionalFormatting>
  <conditionalFormatting sqref="E32:J42 L32:L42">
    <cfRule type="cellIs" dxfId="3" priority="11" stopIfTrue="1" operator="lessThan">
      <formula>0</formula>
    </cfRule>
  </conditionalFormatting>
  <conditionalFormatting sqref="G43:J43 L43">
    <cfRule type="cellIs" dxfId="2" priority="9" stopIfTrue="1" operator="lessThan">
      <formula>0</formula>
    </cfRule>
  </conditionalFormatting>
  <conditionalFormatting sqref="E43:F43">
    <cfRule type="cellIs" dxfId="1" priority="10" stopIfTrue="1" operator="lessThan">
      <formula>0</formula>
    </cfRule>
  </conditionalFormatting>
  <conditionalFormatting sqref="I56 K56 F56:G56">
    <cfRule type="cellIs" dxfId="0" priority="4" stopIfTrue="1" operator="lessThan">
      <formula>0</formula>
    </cfRule>
  </conditionalFormatting>
  <pageMargins left="0.25" right="0.25" top="0.75" bottom="0.75" header="0.3" footer="0.3"/>
  <pageSetup paperSize="9" scale="81" orientation="landscape" r:id="rId1"/>
  <rowBreaks count="1" manualBreakCount="1">
    <brk id="2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zviadimishiko</dc:creator>
  <cp:lastModifiedBy>Patima Kereselidze</cp:lastModifiedBy>
  <cp:lastPrinted>2021-11-01T12:52:23Z</cp:lastPrinted>
  <dcterms:created xsi:type="dcterms:W3CDTF">2014-05-09T02:51:44Z</dcterms:created>
  <dcterms:modified xsi:type="dcterms:W3CDTF">2021-11-03T08:39:36Z</dcterms:modified>
</cp:coreProperties>
</file>