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85" activeTab="0"/>
  </bookViews>
  <sheets>
    <sheet name="obieqturi" sheetId="1" r:id="rId1"/>
    <sheet name="1" sheetId="2" r:id="rId2"/>
    <sheet name="1-1" sheetId="3" r:id="rId3"/>
    <sheet name="1-1.1" sheetId="4" r:id="rId4"/>
    <sheet name="1-1.2" sheetId="5" r:id="rId5"/>
    <sheet name="1-2" sheetId="6" r:id="rId6"/>
    <sheet name="1-2.1" sheetId="7" r:id="rId7"/>
    <sheet name="1-2.2" sheetId="8" r:id="rId8"/>
    <sheet name="1-3" sheetId="9" r:id="rId9"/>
    <sheet name="2" sheetId="10" r:id="rId10"/>
    <sheet name="2-1" sheetId="11" r:id="rId11"/>
    <sheet name="2-2" sheetId="12" r:id="rId12"/>
    <sheet name="2-3" sheetId="13" r:id="rId13"/>
    <sheet name="2-4" sheetId="14" r:id="rId14"/>
    <sheet name="2-4.1" sheetId="15" r:id="rId15"/>
    <sheet name="2-4.2" sheetId="16" r:id="rId16"/>
    <sheet name="2-4.3" sheetId="17" r:id="rId17"/>
    <sheet name="2-4.4" sheetId="18" r:id="rId18"/>
    <sheet name="2-4.5" sheetId="19" r:id="rId19"/>
    <sheet name="2-4.6" sheetId="20" r:id="rId20"/>
    <sheet name="2-4.7" sheetId="21" r:id="rId21"/>
  </sheets>
  <definedNames>
    <definedName name="_xlnm._FilterDatabase" localSheetId="7" hidden="1">'1-2.2'!$A$7:$O$123</definedName>
    <definedName name="_xlnm.Print_Titles" localSheetId="1">'1'!$3:$3</definedName>
    <definedName name="_xlnm.Print_Titles" localSheetId="5">'1-2'!$4:$4</definedName>
    <definedName name="_xlnm.Print_Titles" localSheetId="6">'1-2.1'!$7:$7</definedName>
    <definedName name="_xlnm.Print_Titles" localSheetId="7">'1-2.2'!$7:$7</definedName>
    <definedName name="_xlnm.Print_Titles" localSheetId="9">'2'!$5:$5</definedName>
    <definedName name="_xlnm.Print_Titles" localSheetId="10">'2-1'!$4:$6</definedName>
    <definedName name="_xlnm.Print_Titles" localSheetId="11">'2-2'!$6:$8</definedName>
    <definedName name="_xlnm.Print_Titles" localSheetId="12">'2-3'!$6:$8</definedName>
    <definedName name="_xlnm.Print_Titles" localSheetId="13">'2-4'!$5:$5</definedName>
    <definedName name="_xlnm.Print_Titles" localSheetId="14">'2-4.1'!$6:$8</definedName>
    <definedName name="_xlnm.Print_Titles" localSheetId="15">'2-4.2'!$5:$7</definedName>
    <definedName name="_xlnm.Print_Titles" localSheetId="16">'2-4.3'!$5:$7</definedName>
    <definedName name="_xlnm.Print_Titles" localSheetId="17">'2-4.4'!$5:$7</definedName>
    <definedName name="_xlnm.Print_Titles" localSheetId="18">'2-4.5'!$5:$7</definedName>
    <definedName name="_xlnm.Print_Titles" localSheetId="19">'2-4.6'!$5:$7</definedName>
    <definedName name="_xlnm.Print_Titles" localSheetId="20">'2-4.7'!$5:$7</definedName>
    <definedName name="_xlnm.Print_Titles" localSheetId="0">'obieqturi'!$3:$3</definedName>
    <definedName name="_xlnm.Print_Area" localSheetId="1">'1'!$A$1:$I$18</definedName>
    <definedName name="_xlnm.Print_Area" localSheetId="2">'1-1'!$A$1:$I$17</definedName>
    <definedName name="_xlnm.Print_Area" localSheetId="5">'1-2'!$A$1:$I$18</definedName>
    <definedName name="_xlnm.Print_Area" localSheetId="6">'1-2.1'!$A$1:$M$86</definedName>
    <definedName name="_xlnm.Print_Area" localSheetId="7">'1-2.2'!$A$1:$M$127</definedName>
    <definedName name="_xlnm.Print_Area" localSheetId="8">'1-3'!$A$1:$M$61</definedName>
    <definedName name="_xlnm.Print_Area" localSheetId="9">'2'!$A$1:$I$21</definedName>
    <definedName name="_xlnm.Print_Area" localSheetId="10">'2-1'!$A$1:$M$37</definedName>
    <definedName name="_xlnm.Print_Area" localSheetId="11">'2-2'!$A$1:$M$29</definedName>
    <definedName name="_xlnm.Print_Area" localSheetId="12">'2-3'!$A$1:$M$60</definedName>
    <definedName name="_xlnm.Print_Area" localSheetId="13">'2-4'!$A$1:$I$24</definedName>
    <definedName name="_xlnm.Print_Area" localSheetId="14">'2-4.1'!$A$1:$M$24</definedName>
    <definedName name="_xlnm.Print_Area" localSheetId="15">'2-4.2'!$A$1:$M$23</definedName>
    <definedName name="_xlnm.Print_Area" localSheetId="16">'2-4.3'!$A$1:$M$23</definedName>
    <definedName name="_xlnm.Print_Area" localSheetId="17">'2-4.4'!$A$1:$M$26</definedName>
    <definedName name="_xlnm.Print_Area" localSheetId="18">'2-4.5'!$A$1:$M$21</definedName>
    <definedName name="_xlnm.Print_Area" localSheetId="19">'2-4.6'!$A$1:$M$23</definedName>
    <definedName name="_xlnm.Print_Area" localSheetId="20">'2-4.7'!$A$1:$M$23</definedName>
    <definedName name="_xlnm.Print_Area" localSheetId="0">'obieqturi'!$A$1:$I$24</definedName>
  </definedNames>
  <calcPr calcMode="manual" fullCalcOnLoad="1"/>
</workbook>
</file>

<file path=xl/sharedStrings.xml><?xml version="1.0" encoding="utf-8"?>
<sst xmlns="http://schemas.openxmlformats.org/spreadsheetml/2006/main" count="1719" uniqueCount="519">
  <si>
    <t>lari</t>
  </si>
  <si>
    <t>#</t>
  </si>
  <si>
    <t>jami</t>
  </si>
  <si>
    <t>Sromis danaxarji</t>
  </si>
  <si>
    <t>kac/sT</t>
  </si>
  <si>
    <t>m3</t>
  </si>
  <si>
    <t>sxva masala</t>
  </si>
  <si>
    <t>m</t>
  </si>
  <si>
    <t>c</t>
  </si>
  <si>
    <t>Sedgenilia mimdinare fasebSi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</si>
  <si>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</si>
  <si>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</si>
  <si>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</si>
  <si>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</si>
  <si>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</si>
  <si>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</si>
  <si>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</si>
  <si>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</si>
  <si>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</si>
  <si>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</si>
  <si>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gauTvaliswinebeli xarjebi 3%</t>
  </si>
  <si>
    <t>d. R.Gg. - 18%</t>
  </si>
  <si>
    <t>manqanebi</t>
  </si>
  <si>
    <t>m2</t>
  </si>
  <si>
    <t>obieqturi xarjTaRricxva</t>
  </si>
  <si>
    <t>sxva masalebi</t>
  </si>
  <si>
    <t>betoni m200</t>
  </si>
  <si>
    <t>kg</t>
  </si>
  <si>
    <t>eleqtrodi</t>
  </si>
  <si>
    <t>sxva manqanebi</t>
  </si>
  <si>
    <t>t</t>
  </si>
  <si>
    <t>manq/sT</t>
  </si>
  <si>
    <r>
      <t>m</t>
    </r>
    <r>
      <rPr>
        <vertAlign val="superscript"/>
        <sz val="10"/>
        <rFont val="AcadNusx"/>
        <family val="0"/>
      </rPr>
      <t>3</t>
    </r>
  </si>
  <si>
    <t>qviSa</t>
  </si>
  <si>
    <t>22-23-1</t>
  </si>
  <si>
    <t>RorRi</t>
  </si>
  <si>
    <t>WanWiki</t>
  </si>
  <si>
    <t>l</t>
  </si>
  <si>
    <t>6-1-1</t>
  </si>
  <si>
    <t>ficari</t>
  </si>
  <si>
    <t>bitumis mastika</t>
  </si>
  <si>
    <t>samontaJo konstruqciebi</t>
  </si>
  <si>
    <t>22-22-5</t>
  </si>
  <si>
    <t>3</t>
  </si>
  <si>
    <t>sab</t>
  </si>
  <si>
    <t>2</t>
  </si>
  <si>
    <t>16-12-1</t>
  </si>
  <si>
    <t>16-6-2</t>
  </si>
  <si>
    <t>1-1</t>
  </si>
  <si>
    <t>1-2</t>
  </si>
  <si>
    <t>srf</t>
  </si>
  <si>
    <t xml:space="preserve">samuSaos dasaxeleba 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</si>
  <si>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</si>
  <si>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</si>
  <si>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</si>
  <si>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</si>
  <si>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</si>
  <si>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</si>
  <si>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>erT.fasi</t>
  </si>
  <si>
    <t xml:space="preserve">  jami</t>
  </si>
  <si>
    <t>(lari)</t>
  </si>
  <si>
    <t>r e s u r s e b i</t>
  </si>
  <si>
    <t>danarCeni xarjebi</t>
  </si>
  <si>
    <t>m/sT</t>
  </si>
  <si>
    <t>resursebi</t>
  </si>
  <si>
    <t>22-25-2 miyenebiT  k-1,15</t>
  </si>
  <si>
    <t>Sromis danaxarjebi</t>
  </si>
  <si>
    <t>k/sT</t>
  </si>
  <si>
    <t xml:space="preserve">sxva manqana </t>
  </si>
  <si>
    <t xml:space="preserve">gegmiuri dagroveba </t>
  </si>
  <si>
    <t xml:space="preserve"> Sifri</t>
  </si>
  <si>
    <t xml:space="preserve">   sul</t>
  </si>
  <si>
    <t>masalis transporti</t>
  </si>
  <si>
    <t xml:space="preserve">zednadebi xarjebi </t>
  </si>
  <si>
    <t xml:space="preserve">1-80-7 </t>
  </si>
  <si>
    <t>SromiTi resursebi</t>
  </si>
  <si>
    <t>betoni m-150</t>
  </si>
  <si>
    <t>xis yalibis fari</t>
  </si>
  <si>
    <t xml:space="preserve">jami </t>
  </si>
  <si>
    <t>Sr. danaxarji</t>
  </si>
  <si>
    <t>buldozeri 80cx.Z.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</si>
  <si>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</si>
  <si>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</si>
  <si>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t>8-4-7          k-1,15</t>
  </si>
  <si>
    <t>Wis gare zedapiris hidroizolacia biTumis mastikiT 2 fena</t>
  </si>
  <si>
    <t>rk/b Wis Ziris</t>
  </si>
  <si>
    <t>22-30-2     k-1,15</t>
  </si>
  <si>
    <t>man/sT</t>
  </si>
  <si>
    <t xml:space="preserve">eqskavatori CamCis moc. 0,5-m3, </t>
  </si>
  <si>
    <t>sxva manqana</t>
  </si>
  <si>
    <t>wyali</t>
  </si>
  <si>
    <t xml:space="preserve">1-22-15      </t>
  </si>
  <si>
    <t>eqskavatori 0.5m3</t>
  </si>
  <si>
    <t>zedmeti gruntis gatana saSualod 10-km-ze</t>
  </si>
  <si>
    <t xml:space="preserve">1-22-16            </t>
  </si>
  <si>
    <t>სხვა მასალები</t>
  </si>
  <si>
    <t>ლარი</t>
  </si>
  <si>
    <t>qviSis transportireba da milsadenis SefuTva datkepniT</t>
  </si>
  <si>
    <t xml:space="preserve">23-1-1          </t>
  </si>
  <si>
    <t>მ3</t>
  </si>
  <si>
    <t>arsebuli gruntiT tranSeis Sevseba buldozeriT  80cx.Z/. (datkepniT)</t>
  </si>
  <si>
    <t xml:space="preserve">1-22-1             </t>
  </si>
  <si>
    <t>ბულდოზერი 80ცხ.ძ</t>
  </si>
  <si>
    <t>მ/სთ</t>
  </si>
  <si>
    <t xml:space="preserve">22-8-3   </t>
  </si>
  <si>
    <t>22-20-1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</si>
  <si>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-90 mm-mde hidravlikuri SemowmebiT </t>
    </r>
    <r>
      <rPr>
        <b/>
        <sz val="10"/>
        <rFont val="Calibri"/>
        <family val="2"/>
      </rPr>
      <t>PN-10 SDR 17 PN100</t>
    </r>
  </si>
  <si>
    <t>milebis gamorecxva d-90 mm</t>
  </si>
  <si>
    <t>kvanZi</t>
  </si>
  <si>
    <t xml:space="preserve">Sr. danaxarjebi </t>
  </si>
  <si>
    <t xml:space="preserve">cali </t>
  </si>
  <si>
    <t>cali</t>
  </si>
  <si>
    <t>ჯამი</t>
  </si>
  <si>
    <t>IV kat. gruntis damuSaveba eqskavatoris kovSiT 0.5m3  adgilze dayriT</t>
  </si>
  <si>
    <t>III kat. gruntis damuSaveba eqskavatoris kovSiT 0.5m3  adgilze dayriT</t>
  </si>
  <si>
    <t>xarjTaRricxva #1-2</t>
  </si>
  <si>
    <t>avtogreideri 108 cxZ.</t>
  </si>
  <si>
    <t>satkepni manqana 5t</t>
  </si>
  <si>
    <t>satkepni manqana 10t</t>
  </si>
  <si>
    <t>1-31-3</t>
  </si>
  <si>
    <t>balasti</t>
  </si>
  <si>
    <t>27-7-4</t>
  </si>
  <si>
    <t>buldozeri 108 cxZ.</t>
  </si>
  <si>
    <t>satkepni manqana 18t</t>
  </si>
  <si>
    <t>sarwyavi manqana 6000 l</t>
  </si>
  <si>
    <t>zedmeti gruntis datvirTva eqskavatoriT avtoTviTmclelze</t>
  </si>
  <si>
    <t>IV gruntis damuSaveba xeliT meqanizmis Semdeg</t>
  </si>
  <si>
    <t>1-80-3</t>
  </si>
  <si>
    <t>III gruntis damuSaveba xeliT meqanizmis Semdeg</t>
  </si>
  <si>
    <t>sul jami</t>
  </si>
  <si>
    <t xml:space="preserve">sul Webi </t>
  </si>
  <si>
    <t>ურდულების მოწყობა</t>
  </si>
  <si>
    <r>
      <t xml:space="preserve">mili </t>
    </r>
    <r>
      <rPr>
        <sz val="10"/>
        <rFont val="Calibri"/>
        <family val="2"/>
      </rPr>
      <t xml:space="preserve">PN-10 SDR17 PE100 d=90 </t>
    </r>
    <r>
      <rPr>
        <sz val="10"/>
        <rFont val="AcadMtavr"/>
        <family val="0"/>
      </rPr>
      <t>mm</t>
    </r>
  </si>
  <si>
    <t xml:space="preserve">RorRis fenilis mowyoba Wis ZirSi </t>
  </si>
  <si>
    <t>Wis irgvliv damuSavebuli qvabulis Sevseba balastiT datkepvniT meqanizmiT</t>
  </si>
  <si>
    <t>xarjTaRricxva #1-1</t>
  </si>
  <si>
    <t>11-1-3</t>
  </si>
  <si>
    <t>wyalsadenis gamanawilebeli qselis მოწყობა</t>
  </si>
  <si>
    <t>el. energiis safasuri (energopros gadasaxadi)</t>
  </si>
  <si>
    <t>wylis analizi</t>
  </si>
  <si>
    <t xml:space="preserve">Tujis urduli d=100 mm montaJi </t>
  </si>
  <si>
    <r>
      <t>Tujis urduli d=100 mm</t>
    </r>
    <r>
      <rPr>
        <sz val="10"/>
        <rFont val="არიალ"/>
        <family val="0"/>
      </rPr>
      <t xml:space="preserve"> PN-16</t>
    </r>
  </si>
  <si>
    <t>22-29-6</t>
  </si>
  <si>
    <t>16-23-3</t>
  </si>
  <si>
    <t>ჭაბურღილი</t>
  </si>
  <si>
    <t>პრ</t>
  </si>
  <si>
    <t>მასალების ტრანსპორტირება</t>
  </si>
  <si>
    <t>ზედნადები ხარჯები</t>
  </si>
  <si>
    <t>გეგმიური დაგროვება</t>
  </si>
  <si>
    <t>15-166-7</t>
  </si>
  <si>
    <t>zeTovani saRebavi</t>
  </si>
  <si>
    <t>22-22-4</t>
  </si>
  <si>
    <t xml:space="preserve">Sromis danaxarjebi </t>
  </si>
  <si>
    <t>grZ.m.</t>
  </si>
  <si>
    <t xml:space="preserve">sxva manqana  </t>
  </si>
  <si>
    <t>samagri detalebi</t>
  </si>
  <si>
    <t>12</t>
  </si>
  <si>
    <t>1,9-78</t>
  </si>
  <si>
    <t>1,1-15</t>
  </si>
  <si>
    <t>მიწის სამუშაოები</t>
  </si>
  <si>
    <t xml:space="preserve">მილსადენები </t>
  </si>
  <si>
    <t>გამანაწილებელი ჭები</t>
  </si>
  <si>
    <t>2-1</t>
  </si>
  <si>
    <t>2-2</t>
  </si>
  <si>
    <t>2-3</t>
  </si>
  <si>
    <t>2-4</t>
  </si>
  <si>
    <t>წყალგამანწილებელი ქსელი</t>
  </si>
  <si>
    <t>1</t>
  </si>
  <si>
    <t>Tujis xufi</t>
  </si>
  <si>
    <t xml:space="preserve">r/betoni saxuravi fila </t>
  </si>
  <si>
    <t xml:space="preserve">gamiri </t>
  </si>
  <si>
    <r>
      <t xml:space="preserve">magistraluri wylis gamanawilebeli anakrebi rk/b Wis mowyoba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=1,5 m,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 xml:space="preserve">=1.75m, ZroTi da gadaxurvis filiT Tujis xufiT </t>
    </r>
  </si>
  <si>
    <t>rk/b Wa d=1000mm, h-1.0 m rgoli</t>
  </si>
  <si>
    <t>rk/b Wa d=1000mm, h-0.5 m rgoli</t>
  </si>
  <si>
    <r>
      <t xml:space="preserve">wyalsadenis gamanawilebeli Wis mowyoba </t>
    </r>
    <r>
      <rPr>
        <b/>
        <sz val="14"/>
        <rFont val="Arial"/>
        <family val="2"/>
      </rPr>
      <t>d</t>
    </r>
    <r>
      <rPr>
        <b/>
        <sz val="14"/>
        <rFont val="AcadNusx"/>
        <family val="0"/>
      </rPr>
      <t xml:space="preserve">=1.5 m </t>
    </r>
    <r>
      <rPr>
        <b/>
        <sz val="14"/>
        <rFont val="Arial"/>
        <family val="2"/>
      </rPr>
      <t>h</t>
    </r>
    <r>
      <rPr>
        <b/>
        <sz val="14"/>
        <rFont val="AcadNusx"/>
        <family val="0"/>
      </rPr>
      <t>=1.75 m</t>
    </r>
  </si>
  <si>
    <t>miltuCa (ფლანეციs) SeZena da montaJi d-90</t>
  </si>
  <si>
    <t>ფლანეცი დ=90 მმ</t>
  </si>
  <si>
    <t>მილყელი (ადაპტორი) SeZena da montaJi d-90</t>
  </si>
  <si>
    <t>მილყელი (ადაპტორი) დ=90 მმ</t>
  </si>
  <si>
    <t>laki</t>
  </si>
  <si>
    <t xml:space="preserve">liTonis სამკაპის d=100 mm (fasonuri detali) SeZena da montaJi  </t>
  </si>
  <si>
    <t>სამკაპის d=100 mm</t>
  </si>
  <si>
    <t>liTonis სამკაპის d=100 mm (fasonuri nawilebi) dafarva izoliaciiT lakiT</t>
  </si>
  <si>
    <t>Cobalbis mowyoba kedelSi d=40-250mm</t>
  </si>
  <si>
    <t>ლითონის სამკაპების მოწყობა</t>
  </si>
  <si>
    <t>მილტუჩა ფლანეცების მოწყობა</t>
  </si>
  <si>
    <t>მილყელი ადაპტორის მოწყობა</t>
  </si>
  <si>
    <t>ჩობალის მოწყობა</t>
  </si>
  <si>
    <t>polieTilenis სამკაპის შეძენა და montaJi d-32-250 mm</t>
  </si>
  <si>
    <t>polieTilenis samkapis mowyoba</t>
  </si>
  <si>
    <t>elfuziuri quroebis mowyoba</t>
  </si>
  <si>
    <t xml:space="preserve">III kategoriis gruntis damuSaveba xeliT lenturi saZirkvlisTvis </t>
  </si>
  <si>
    <t xml:space="preserve">III kategoriis gruntis damuSaveba xeliT 40*40*60sm </t>
  </si>
  <si>
    <t xml:space="preserve">betonis saZirkvlis mowyoba SemoRobvis boZebisTvis m-150 mowtoba  40X40X60 sm </t>
  </si>
  <si>
    <t>betonis saZirkvlis da zeZirkvlis mowyoba SemoRobvis boZebisTvis m-150 mowtoba</t>
  </si>
  <si>
    <t>Robis mowyoba, daWimuli mavTulbadis segmentebiT</t>
  </si>
  <si>
    <t>7-21-4.</t>
  </si>
  <si>
    <t>amwe 10t TviTmavali</t>
  </si>
  <si>
    <t>liTonis kvadratuli mili 60X60X4mm</t>
  </si>
  <si>
    <t>glinula d-6 mm</t>
  </si>
  <si>
    <t>samontaJo detalebi</t>
  </si>
  <si>
    <t>mavTul bade</t>
  </si>
  <si>
    <t>liTonis mili 60.X4</t>
  </si>
  <si>
    <t>kuTxovana 45X45X4</t>
  </si>
  <si>
    <t>furclovana</t>
  </si>
  <si>
    <t>armatura</t>
  </si>
  <si>
    <t>saketi</t>
  </si>
  <si>
    <t>anjama</t>
  </si>
  <si>
    <t xml:space="preserve">liTonis Robis SeRebva zeTis saRebaviT </t>
  </si>
  <si>
    <t xml:space="preserve">15-164-8          </t>
  </si>
  <si>
    <t>100 m2</t>
  </si>
  <si>
    <t>7-22-8</t>
  </si>
  <si>
    <t xml:space="preserve"> Sromis danaxarji </t>
  </si>
  <si>
    <t xml:space="preserve">sxva manqanebi </t>
  </si>
  <si>
    <t xml:space="preserve">sxva masalebi  </t>
  </si>
  <si>
    <t>WiSkarisa da kutikaris damzadeba da montaJi</t>
  </si>
  <si>
    <t>4,1-245</t>
  </si>
  <si>
    <t>5,1-144</t>
  </si>
  <si>
    <t>4-2-30</t>
  </si>
  <si>
    <t>pr</t>
  </si>
  <si>
    <t>4,1-347</t>
  </si>
  <si>
    <t>14-118</t>
  </si>
  <si>
    <t>13-218</t>
  </si>
  <si>
    <t>13-219</t>
  </si>
  <si>
    <t>13-142</t>
  </si>
  <si>
    <t>13-221</t>
  </si>
  <si>
    <t>13-141</t>
  </si>
  <si>
    <t>2,6-68</t>
  </si>
  <si>
    <t>13-118</t>
  </si>
  <si>
    <t>13-200</t>
  </si>
  <si>
    <t>13-229</t>
  </si>
  <si>
    <t>4,1-98</t>
  </si>
  <si>
    <t>4,1-108</t>
  </si>
  <si>
    <t>4,1-119</t>
  </si>
  <si>
    <t>4,1-100</t>
  </si>
  <si>
    <t>4,1-549</t>
  </si>
  <si>
    <t>6,1-347</t>
  </si>
  <si>
    <t>obieqturi xarjTaRricxva #2</t>
  </si>
  <si>
    <r>
      <t>xarjTaRricxvis</t>
    </r>
    <r>
      <rPr>
        <b/>
        <sz val="11"/>
        <rFont val="Academiuri Normaluri"/>
        <family val="0"/>
      </rPr>
      <t xml:space="preserve"> N</t>
    </r>
  </si>
  <si>
    <t>sasmeli wylis rezervuari  V=25.0 m3</t>
  </si>
  <si>
    <t>sasmeli wylis rezervuari  ტექნოლოგია</t>
  </si>
  <si>
    <t>რეზერვუარების რაოდენობა</t>
  </si>
  <si>
    <t>mimdinare fasebSi 2019 wlis I kvartlis doneze</t>
  </si>
  <si>
    <t>ss daw</t>
  </si>
  <si>
    <t>samuSaos dasaxeleba</t>
  </si>
  <si>
    <t>ganz.</t>
  </si>
  <si>
    <t>raod</t>
  </si>
  <si>
    <t>masala</t>
  </si>
  <si>
    <t>xelfasi</t>
  </si>
  <si>
    <t>meqanizmi</t>
  </si>
  <si>
    <t>norm. erT.</t>
  </si>
  <si>
    <t>erT. Ffasi</t>
  </si>
  <si>
    <t>13</t>
  </si>
  <si>
    <t>1-11-16</t>
  </si>
  <si>
    <t>IV kat. gruntis damuSaveba eqskavatoriT cicx. tevadobiT 0.5 m3 gruntis adgilze dayriT</t>
  </si>
  <si>
    <t xml:space="preserve">1-80-4 </t>
  </si>
  <si>
    <t>IV kat. gruntis damuSaveba xeliT</t>
  </si>
  <si>
    <t>1-31-6;16</t>
  </si>
  <si>
    <t>III kat. gruntis ukuCa-yra da gadaadgileba adgilze gaSliT buldozeriT 30 m-ze</t>
  </si>
  <si>
    <t>buldozeri 130 cx.Z. (5.13+2X2.04)=9,21</t>
  </si>
  <si>
    <t>betonis momzadeba saZirkvlis qveS</t>
  </si>
  <si>
    <t>4,1-342</t>
  </si>
  <si>
    <t>betoni В-7,5</t>
  </si>
  <si>
    <t>6-1-19</t>
  </si>
  <si>
    <t xml:space="preserve">monoliTuri rkina betonis saZirkvlis mowyoba </t>
  </si>
  <si>
    <t>4,1-346</t>
  </si>
  <si>
    <t>betoni В-18,5</t>
  </si>
  <si>
    <t>1,1-20</t>
  </si>
  <si>
    <t>armatura a-III</t>
  </si>
  <si>
    <t>5,1-126</t>
  </si>
  <si>
    <t>yalibis fari</t>
  </si>
  <si>
    <t>5,1-19</t>
  </si>
  <si>
    <t>ficari 40mm IIIx</t>
  </si>
  <si>
    <t>9-21-1</t>
  </si>
  <si>
    <r>
      <t xml:space="preserve">liTonis avzis </t>
    </r>
    <r>
      <rPr>
        <b/>
        <sz val="10"/>
        <rFont val="Arial"/>
        <family val="2"/>
      </rPr>
      <t>W</t>
    </r>
    <r>
      <rPr>
        <b/>
        <sz val="10"/>
        <rFont val="AcadNusx"/>
        <family val="0"/>
      </rPr>
      <t>=25m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SeZena da montaJi</t>
    </r>
  </si>
  <si>
    <t>kac.sT</t>
  </si>
  <si>
    <t>14-52</t>
  </si>
  <si>
    <t>amwe muxluxa 25t</t>
  </si>
  <si>
    <t xml:space="preserve">wylis rezervuari (cisterna) V= 25m3 uJangavi liTonisagan    </t>
  </si>
  <si>
    <t>26-4-3</t>
  </si>
  <si>
    <t>wylis rezervuaris Tboizolacia minabambiT sisqiT 5 sm.</t>
  </si>
  <si>
    <t>4,1-487</t>
  </si>
  <si>
    <t xml:space="preserve">minabamba folgiani </t>
  </si>
  <si>
    <t>srf 1,9-3</t>
  </si>
  <si>
    <t>moqsovili liTonis bade #10-12 (mavTuli Ø1.2mm. bijiT 10mm.)</t>
  </si>
  <si>
    <t>26-11-6</t>
  </si>
  <si>
    <t>rezervuarze damcavi fenis mowyoba Txelfu rclovani moTuTiebuli liToniT</t>
  </si>
  <si>
    <t>kac. sT</t>
  </si>
  <si>
    <t>moTuTiebuli Txelfu rclovani liToni sisqiT 0.8mm.</t>
  </si>
  <si>
    <r>
      <t>m</t>
    </r>
    <r>
      <rPr>
        <vertAlign val="superscript"/>
        <sz val="12"/>
        <rFont val="AcadNusx"/>
        <family val="0"/>
      </rPr>
      <t>2</t>
    </r>
  </si>
  <si>
    <t>moTuTiebuli loiTonis samontaJo elementebi</t>
  </si>
  <si>
    <t>kg.</t>
  </si>
  <si>
    <t>6-31-5</t>
  </si>
  <si>
    <t>rezervuaris gamocda wyalgauvalobaze</t>
  </si>
  <si>
    <t>6-31-6</t>
  </si>
  <si>
    <t>rezervuaris dezimfeq cia sasmeli wylisTvis</t>
  </si>
  <si>
    <t>kiriani qlori</t>
  </si>
  <si>
    <t>13-15-6</t>
  </si>
  <si>
    <t>liTonis konstruqciebis mogruntva</t>
  </si>
  <si>
    <t>antikoroziuli sagrunti</t>
  </si>
  <si>
    <t>gamxsneli</t>
  </si>
  <si>
    <t>13-18-18</t>
  </si>
  <si>
    <t>liTonis konstruqciebis da milebis SeRebva antikoroziuli saRebaviT</t>
  </si>
  <si>
    <t xml:space="preserve">antikoroziuli saRebavi "suriki"        </t>
  </si>
  <si>
    <t>jami:</t>
  </si>
  <si>
    <t>sul:</t>
  </si>
  <si>
    <t>16-8-3</t>
  </si>
  <si>
    <t>grZ/m</t>
  </si>
  <si>
    <t xml:space="preserve">SromiTi resursebi </t>
  </si>
  <si>
    <t>sxvadasxva manqanebi</t>
  </si>
  <si>
    <r>
      <t xml:space="preserve">foladis el. SeduRebis mili </t>
    </r>
    <r>
      <rPr>
        <sz val="9"/>
        <rFont val="Symbol"/>
        <family val="1"/>
      </rPr>
      <t>Æ</t>
    </r>
    <r>
      <rPr>
        <sz val="9"/>
        <rFont val="AcadNusx"/>
        <family val="0"/>
      </rPr>
      <t xml:space="preserve">108X4 </t>
    </r>
  </si>
  <si>
    <t>gr. mM</t>
  </si>
  <si>
    <t>sxvadasxva masalebi</t>
  </si>
  <si>
    <t>16-8-1</t>
  </si>
  <si>
    <r>
      <t xml:space="preserve">foladis el. SeduRebis milebis mowyoba </t>
    </r>
    <r>
      <rPr>
        <b/>
        <sz val="9"/>
        <rFont val="Symbol"/>
        <family val="1"/>
      </rPr>
      <t>Æ</t>
    </r>
    <r>
      <rPr>
        <b/>
        <sz val="9"/>
        <rFont val="AcadNusx"/>
        <family val="0"/>
      </rPr>
      <t xml:space="preserve">45X2  </t>
    </r>
  </si>
  <si>
    <t xml:space="preserve"> SromiTi resursebi </t>
  </si>
  <si>
    <r>
      <t xml:space="preserve">foladis el. SeduRebis mili </t>
    </r>
    <r>
      <rPr>
        <sz val="9"/>
        <rFont val="Symbol"/>
        <family val="1"/>
      </rPr>
      <t>Æ</t>
    </r>
    <r>
      <rPr>
        <sz val="9"/>
        <rFont val="AcadNusx"/>
        <family val="0"/>
      </rPr>
      <t xml:space="preserve">45X2 </t>
    </r>
  </si>
  <si>
    <r>
      <t xml:space="preserve">foladis el. SeduRebis milebis mowyoba </t>
    </r>
    <r>
      <rPr>
        <b/>
        <sz val="9"/>
        <rFont val="Symbol"/>
        <family val="1"/>
      </rPr>
      <t>Æ</t>
    </r>
    <r>
      <rPr>
        <b/>
        <sz val="9"/>
        <rFont val="AcadNusx"/>
        <family val="0"/>
      </rPr>
      <t xml:space="preserve">57X3  </t>
    </r>
  </si>
  <si>
    <r>
      <t xml:space="preserve">foladis el. SeduRebis mili </t>
    </r>
    <r>
      <rPr>
        <sz val="9"/>
        <rFont val="Symbol"/>
        <family val="1"/>
      </rPr>
      <t>Æ</t>
    </r>
    <r>
      <rPr>
        <sz val="9"/>
        <rFont val="AcadNusx"/>
        <family val="0"/>
      </rPr>
      <t xml:space="preserve">57X3 </t>
    </r>
  </si>
  <si>
    <r>
      <t xml:space="preserve">foladis el. SeduRebis mili </t>
    </r>
    <r>
      <rPr>
        <sz val="9"/>
        <rFont val="Symbol"/>
        <family val="1"/>
      </rPr>
      <t>Æ</t>
    </r>
    <r>
      <rPr>
        <sz val="9"/>
        <rFont val="AcadNusx"/>
        <family val="0"/>
      </rPr>
      <t xml:space="preserve">25X2 </t>
    </r>
  </si>
  <si>
    <r>
      <rPr>
        <sz val="9"/>
        <rFont val="Times New Roman"/>
        <family val="1"/>
      </rPr>
      <t>PE</t>
    </r>
    <r>
      <rPr>
        <sz val="9"/>
        <rFont val="AcadNusx"/>
        <family val="0"/>
      </rPr>
      <t xml:space="preserve">-100 </t>
    </r>
    <r>
      <rPr>
        <sz val="9"/>
        <rFont val="Times New Roman"/>
        <family val="1"/>
      </rPr>
      <t>SDR26 PN</t>
    </r>
    <r>
      <rPr>
        <sz val="9"/>
        <rFont val="AcadNusx"/>
        <family val="0"/>
      </rPr>
      <t>6</t>
    </r>
    <r>
      <rPr>
        <sz val="9"/>
        <rFont val="Times New Roman"/>
        <family val="1"/>
      </rPr>
      <t xml:space="preserve"> </t>
    </r>
    <r>
      <rPr>
        <sz val="9"/>
        <rFont val="AcadNusx"/>
        <family val="0"/>
      </rPr>
      <t>polieTilenis milebi Ø</t>
    </r>
    <r>
      <rPr>
        <sz val="9"/>
        <rFont val="Arial"/>
        <family val="2"/>
      </rPr>
      <t>Ø</t>
    </r>
    <r>
      <rPr>
        <sz val="9"/>
        <rFont val="AcadNusx"/>
        <family val="0"/>
      </rPr>
      <t xml:space="preserve">110×4.2                  </t>
    </r>
  </si>
  <si>
    <t xml:space="preserve">foladis fasonuri nawilebi </t>
  </si>
  <si>
    <r>
      <t xml:space="preserve">samkapa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Symbol"/>
        <family val="1"/>
      </rPr>
      <t>100</t>
    </r>
  </si>
  <si>
    <t>proeqt</t>
  </si>
  <si>
    <r>
      <t xml:space="preserve">muxli 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100</t>
    </r>
  </si>
  <si>
    <r>
      <t xml:space="preserve">muxli 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50</t>
    </r>
  </si>
  <si>
    <r>
      <t xml:space="preserve">muxli 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40</t>
    </r>
  </si>
  <si>
    <r>
      <t xml:space="preserve">gadamyvani foladis  </t>
    </r>
    <r>
      <rPr>
        <sz val="9"/>
        <rFont val="Symbol"/>
        <family val="1"/>
      </rPr>
      <t>Æ</t>
    </r>
    <r>
      <rPr>
        <sz val="9"/>
        <rFont val="Times New Roman"/>
        <family val="1"/>
      </rPr>
      <t>150</t>
    </r>
    <r>
      <rPr>
        <sz val="9"/>
        <rFont val="Symbol"/>
        <family val="1"/>
      </rPr>
      <t>/100</t>
    </r>
  </si>
  <si>
    <r>
      <t xml:space="preserve">miltuCi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Symbol"/>
        <family val="1"/>
      </rPr>
      <t>100</t>
    </r>
  </si>
  <si>
    <r>
      <t xml:space="preserve">miltuCi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Symbol"/>
        <family val="1"/>
      </rPr>
      <t>50</t>
    </r>
  </si>
  <si>
    <r>
      <t xml:space="preserve">miltuCi foladis 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Symbol"/>
        <family val="1"/>
      </rPr>
      <t>40</t>
    </r>
  </si>
  <si>
    <r>
      <t xml:space="preserve">saventilacio mili  </t>
    </r>
    <r>
      <rPr>
        <sz val="9"/>
        <rFont val="Symbol"/>
        <family val="1"/>
      </rPr>
      <t>Æ100</t>
    </r>
  </si>
  <si>
    <r>
      <t xml:space="preserve">saventilacio qolga  </t>
    </r>
    <r>
      <rPr>
        <sz val="9"/>
        <rFont val="Symbol"/>
        <family val="1"/>
      </rPr>
      <t>Æ100</t>
    </r>
  </si>
  <si>
    <t xml:space="preserve">22-25-2 </t>
  </si>
  <si>
    <r>
      <t xml:space="preserve">foladis urdulis </t>
    </r>
    <r>
      <rPr>
        <b/>
        <sz val="9"/>
        <rFont val="Arial"/>
        <family val="2"/>
      </rPr>
      <t>Ø</t>
    </r>
    <r>
      <rPr>
        <b/>
        <vertAlign val="subscript"/>
        <sz val="9"/>
        <rFont val="Times New Roman"/>
        <family val="1"/>
      </rPr>
      <t>y</t>
    </r>
    <r>
      <rPr>
        <b/>
        <sz val="9"/>
        <rFont val="Times New Roman"/>
        <family val="1"/>
      </rPr>
      <t>100</t>
    </r>
    <r>
      <rPr>
        <b/>
        <sz val="9"/>
        <rFont val="AcadNusx"/>
        <family val="0"/>
      </rPr>
      <t xml:space="preserve"> montaJi                         </t>
    </r>
  </si>
  <si>
    <r>
      <t xml:space="preserve">foladis urduli </t>
    </r>
    <r>
      <rPr>
        <sz val="9"/>
        <rFont val="Arial"/>
        <family val="2"/>
      </rPr>
      <t>Ø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100</t>
    </r>
    <r>
      <rPr>
        <sz val="9"/>
        <rFont val="AcadNusx"/>
        <family val="0"/>
      </rPr>
      <t xml:space="preserve"> </t>
    </r>
  </si>
  <si>
    <t xml:space="preserve">22-25-1 </t>
  </si>
  <si>
    <r>
      <t xml:space="preserve">foladis urdulis </t>
    </r>
    <r>
      <rPr>
        <b/>
        <sz val="9"/>
        <rFont val="Arial"/>
        <family val="2"/>
      </rPr>
      <t>Ø</t>
    </r>
    <r>
      <rPr>
        <b/>
        <vertAlign val="subscript"/>
        <sz val="9"/>
        <rFont val="Times New Roman"/>
        <family val="1"/>
      </rPr>
      <t>y</t>
    </r>
    <r>
      <rPr>
        <b/>
        <sz val="9"/>
        <rFont val="Times New Roman"/>
        <family val="1"/>
      </rPr>
      <t xml:space="preserve">50 </t>
    </r>
    <r>
      <rPr>
        <b/>
        <sz val="9"/>
        <rFont val="AcadNusx"/>
        <family val="0"/>
      </rPr>
      <t xml:space="preserve">montaJi                         </t>
    </r>
  </si>
  <si>
    <r>
      <t xml:space="preserve">foladis urduli </t>
    </r>
    <r>
      <rPr>
        <sz val="9"/>
        <rFont val="Arial"/>
        <family val="2"/>
      </rPr>
      <t>Ø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50</t>
    </r>
  </si>
  <si>
    <r>
      <t xml:space="preserve">ukusarqvelis </t>
    </r>
    <r>
      <rPr>
        <b/>
        <sz val="9"/>
        <rFont val="Arial"/>
        <family val="2"/>
      </rPr>
      <t>Ø</t>
    </r>
    <r>
      <rPr>
        <b/>
        <vertAlign val="subscript"/>
        <sz val="9"/>
        <rFont val="Times New Roman"/>
        <family val="1"/>
      </rPr>
      <t>y</t>
    </r>
    <r>
      <rPr>
        <b/>
        <sz val="9"/>
        <rFont val="Times New Roman"/>
        <family val="1"/>
      </rPr>
      <t xml:space="preserve">50 </t>
    </r>
    <r>
      <rPr>
        <b/>
        <sz val="9"/>
        <rFont val="AcadNusx"/>
        <family val="0"/>
      </rPr>
      <t xml:space="preserve">montaJi                         </t>
    </r>
  </si>
  <si>
    <r>
      <t xml:space="preserve">ukusarqveli </t>
    </r>
    <r>
      <rPr>
        <sz val="9"/>
        <rFont val="Arial"/>
        <family val="2"/>
      </rPr>
      <t>Ø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</rPr>
      <t>50</t>
    </r>
  </si>
  <si>
    <r>
      <t xml:space="preserve">polieTilenis adapteri miltuCiT da quros </t>
    </r>
    <r>
      <rPr>
        <b/>
        <sz val="9"/>
        <rFont val="Arial"/>
        <family val="2"/>
      </rPr>
      <t>Ø</t>
    </r>
    <r>
      <rPr>
        <b/>
        <sz val="9"/>
        <rFont val="AcadNusx"/>
        <family val="0"/>
      </rPr>
      <t>110</t>
    </r>
    <r>
      <rPr>
        <b/>
        <sz val="9"/>
        <rFont val="Calibri"/>
        <family val="2"/>
      </rPr>
      <t xml:space="preserve"> </t>
    </r>
    <r>
      <rPr>
        <b/>
        <sz val="9"/>
        <rFont val="AcadNusx"/>
        <family val="0"/>
      </rPr>
      <t xml:space="preserve"> montaJi</t>
    </r>
  </si>
  <si>
    <r>
      <t xml:space="preserve">adapteri miltuCiT  </t>
    </r>
    <r>
      <rPr>
        <sz val="9"/>
        <rFont val="Arial"/>
        <family val="2"/>
      </rPr>
      <t>Ø</t>
    </r>
    <r>
      <rPr>
        <sz val="9"/>
        <rFont val="AcadNusx"/>
        <family val="0"/>
      </rPr>
      <t xml:space="preserve">110                                                                                                                                                                                      </t>
    </r>
  </si>
  <si>
    <r>
      <t xml:space="preserve">quro  </t>
    </r>
    <r>
      <rPr>
        <sz val="9"/>
        <rFont val="Arial"/>
        <family val="2"/>
      </rPr>
      <t>Ø</t>
    </r>
    <r>
      <rPr>
        <sz val="9"/>
        <rFont val="AcadNusx"/>
        <family val="0"/>
      </rPr>
      <t xml:space="preserve">110                                                          </t>
    </r>
  </si>
  <si>
    <r>
      <t xml:space="preserve">polieTilenis adapteri miltuCiT da quros </t>
    </r>
    <r>
      <rPr>
        <b/>
        <sz val="9"/>
        <rFont val="Arial"/>
        <family val="2"/>
      </rPr>
      <t>Ø</t>
    </r>
    <r>
      <rPr>
        <b/>
        <sz val="9"/>
        <rFont val="AcadNusx"/>
        <family val="0"/>
      </rPr>
      <t>63</t>
    </r>
    <r>
      <rPr>
        <b/>
        <sz val="9"/>
        <rFont val="Calibri"/>
        <family val="2"/>
      </rPr>
      <t xml:space="preserve"> </t>
    </r>
    <r>
      <rPr>
        <b/>
        <sz val="9"/>
        <rFont val="AcadNusx"/>
        <family val="0"/>
      </rPr>
      <t xml:space="preserve"> montaJi</t>
    </r>
  </si>
  <si>
    <r>
      <t xml:space="preserve">adapteri miltuCiT 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63                                                                                                                                                                                      </t>
    </r>
  </si>
  <si>
    <r>
      <t xml:space="preserve">quro 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63                                                           </t>
    </r>
  </si>
  <si>
    <r>
      <t xml:space="preserve">polieTilenis adapteri miltuCiT da quros </t>
    </r>
    <r>
      <rPr>
        <b/>
        <sz val="10"/>
        <rFont val="Arial"/>
        <family val="2"/>
      </rPr>
      <t>Ø</t>
    </r>
    <r>
      <rPr>
        <b/>
        <sz val="10"/>
        <rFont val="AcadNusx"/>
        <family val="0"/>
      </rPr>
      <t>50</t>
    </r>
    <r>
      <rPr>
        <b/>
        <sz val="10"/>
        <rFont val="Calibri"/>
        <family val="2"/>
      </rPr>
      <t xml:space="preserve"> </t>
    </r>
    <r>
      <rPr>
        <b/>
        <sz val="10"/>
        <rFont val="AcadNusx"/>
        <family val="0"/>
      </rPr>
      <t xml:space="preserve"> montaJi</t>
    </r>
  </si>
  <si>
    <r>
      <t xml:space="preserve">adapteri miltuCiT 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50                                                                                                                                                                                      </t>
    </r>
  </si>
  <si>
    <r>
      <t xml:space="preserve">quro 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50                                                           </t>
    </r>
  </si>
  <si>
    <t xml:space="preserve">foladis wyalsadenis  milebis Tboizolacia                   </t>
  </si>
  <si>
    <t>minabamba folgiani</t>
  </si>
  <si>
    <t>foladis wyalsadenis milebze damcavi fenis mowyoba</t>
  </si>
  <si>
    <t>moTuTiebuli Txelfurclovani liToni sisqiT 0.8mm.</t>
  </si>
  <si>
    <t>22-25-1</t>
  </si>
  <si>
    <r>
      <t xml:space="preserve">motivtive sarqvelis </t>
    </r>
    <r>
      <rPr>
        <b/>
        <sz val="10"/>
        <rFont val="Times New Roman"/>
        <family val="1"/>
      </rPr>
      <t>Ø</t>
    </r>
    <r>
      <rPr>
        <b/>
        <vertAlign val="subscript"/>
        <sz val="10"/>
        <rFont val="Times New Roman"/>
        <family val="1"/>
      </rPr>
      <t>y</t>
    </r>
    <r>
      <rPr>
        <b/>
        <sz val="10"/>
        <rFont val="AcadNusx"/>
        <family val="0"/>
      </rPr>
      <t>50 montaJi</t>
    </r>
  </si>
  <si>
    <r>
      <t xml:space="preserve">motivtive sarqveli </t>
    </r>
    <r>
      <rPr>
        <sz val="9"/>
        <rFont val="Times New Roman"/>
        <family val="1"/>
      </rPr>
      <t>Ø</t>
    </r>
    <r>
      <rPr>
        <vertAlign val="subscript"/>
        <sz val="9"/>
        <rFont val="Times New Roman"/>
        <family val="1"/>
      </rPr>
      <t>y</t>
    </r>
    <r>
      <rPr>
        <sz val="9"/>
        <rFont val="AcadNusx"/>
        <family val="0"/>
      </rPr>
      <t>50</t>
    </r>
  </si>
  <si>
    <r>
      <t xml:space="preserve">paronitis Rirebuleba  </t>
    </r>
    <r>
      <rPr>
        <b/>
        <sz val="12"/>
        <rFont val="Calibri"/>
        <family val="2"/>
      </rPr>
      <t>Ø</t>
    </r>
    <r>
      <rPr>
        <b/>
        <vertAlign val="subscript"/>
        <sz val="12"/>
        <rFont val="Times New Roman"/>
        <family val="1"/>
      </rPr>
      <t>y</t>
    </r>
    <r>
      <rPr>
        <b/>
        <sz val="12"/>
        <rFont val="AcadNusx"/>
        <family val="0"/>
      </rPr>
      <t>100</t>
    </r>
  </si>
  <si>
    <r>
      <t xml:space="preserve">paronitis Rirebuleba  </t>
    </r>
    <r>
      <rPr>
        <b/>
        <sz val="12"/>
        <rFont val="Calibri"/>
        <family val="2"/>
      </rPr>
      <t>Ø</t>
    </r>
    <r>
      <rPr>
        <b/>
        <vertAlign val="subscript"/>
        <sz val="12"/>
        <rFont val="Times New Roman"/>
        <family val="1"/>
      </rPr>
      <t>y</t>
    </r>
    <r>
      <rPr>
        <b/>
        <sz val="12"/>
        <rFont val="AcadNusx"/>
        <family val="0"/>
      </rPr>
      <t>40</t>
    </r>
  </si>
  <si>
    <r>
      <t xml:space="preserve">paronitis Rirebuleba  </t>
    </r>
    <r>
      <rPr>
        <b/>
        <sz val="12"/>
        <rFont val="Calibri"/>
        <family val="2"/>
      </rPr>
      <t>Ø</t>
    </r>
    <r>
      <rPr>
        <b/>
        <vertAlign val="subscript"/>
        <sz val="12"/>
        <rFont val="Times New Roman"/>
        <family val="1"/>
      </rPr>
      <t>y</t>
    </r>
    <r>
      <rPr>
        <b/>
        <sz val="12"/>
        <rFont val="AcadNusx"/>
        <family val="0"/>
      </rPr>
      <t>50</t>
    </r>
  </si>
  <si>
    <r>
      <t xml:space="preserve">ventilis mowyoba </t>
    </r>
    <r>
      <rPr>
        <b/>
        <sz val="9"/>
        <rFont val="Symbol"/>
        <family val="1"/>
      </rPr>
      <t>Æ</t>
    </r>
    <r>
      <rPr>
        <b/>
        <vertAlign val="subscript"/>
        <sz val="9"/>
        <rFont val="Times New Roman"/>
        <family val="1"/>
      </rPr>
      <t>y</t>
    </r>
    <r>
      <rPr>
        <b/>
        <sz val="9"/>
        <rFont val="Symbol"/>
        <family val="1"/>
      </rPr>
      <t xml:space="preserve">40 </t>
    </r>
  </si>
  <si>
    <t xml:space="preserve">sxvadasxva masalebi          </t>
  </si>
  <si>
    <r>
      <t xml:space="preserve">foladis ventili </t>
    </r>
    <r>
      <rPr>
        <sz val="9"/>
        <rFont val="Symbol"/>
        <family val="1"/>
      </rPr>
      <t>Æ</t>
    </r>
    <r>
      <rPr>
        <vertAlign val="subscript"/>
        <sz val="9"/>
        <rFont val="Times New Roman"/>
        <family val="1"/>
      </rPr>
      <t>y</t>
    </r>
    <r>
      <rPr>
        <sz val="9"/>
        <rFont val="AcadNusx"/>
        <family val="0"/>
      </rPr>
      <t>40</t>
    </r>
  </si>
  <si>
    <r>
      <t>ლითონის სამარაგო 2X25 მ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რეზერვუარი</t>
    </r>
  </si>
  <si>
    <t>obieqturi xarjTaRricxva #1-1</t>
  </si>
  <si>
    <t>xarjTaRricxva #1-1.1</t>
  </si>
  <si>
    <t>xarjTaRricxva #1-1.2</t>
  </si>
  <si>
    <t>1-2.1</t>
  </si>
  <si>
    <t>1-2.2</t>
  </si>
  <si>
    <t>1-1.1</t>
  </si>
  <si>
    <t>1-1.2</t>
  </si>
  <si>
    <t>xarjTaRricxva #2-4.5</t>
  </si>
  <si>
    <t>2-4.1</t>
  </si>
  <si>
    <t>2-4.2</t>
  </si>
  <si>
    <t>2-4.3</t>
  </si>
  <si>
    <t>2-4.4</t>
  </si>
  <si>
    <t>2-4.5</t>
  </si>
  <si>
    <t>2-4.6</t>
  </si>
  <si>
    <t>2-4.7</t>
  </si>
  <si>
    <t>წყალსადენის გამანაწილებელი ქსელის ფასონური ნაწილები</t>
  </si>
  <si>
    <t>obieqturi xarjTaRricxva #2-4</t>
  </si>
  <si>
    <t>xarjTaRricxva #2-3</t>
  </si>
  <si>
    <t>xarjTaRricxva #2-2</t>
  </si>
  <si>
    <t>xarjTaRricxva #2-1</t>
  </si>
  <si>
    <t>samkapi d=90X90X90 mm</t>
  </si>
  <si>
    <t>el. SeduRebis quro  d=90 mm</t>
  </si>
  <si>
    <t>xarjTaRricxva #2-4.1</t>
  </si>
  <si>
    <r>
      <rPr>
        <b/>
        <sz val="10"/>
        <rFont val="Times New Roman"/>
        <family val="1"/>
      </rPr>
      <t>PE</t>
    </r>
    <r>
      <rPr>
        <b/>
        <sz val="10"/>
        <rFont val="AcadNusx"/>
        <family val="0"/>
      </rPr>
      <t xml:space="preserve">-100 </t>
    </r>
    <r>
      <rPr>
        <b/>
        <sz val="10"/>
        <rFont val="Times New Roman"/>
        <family val="1"/>
      </rPr>
      <t>SDR26 PN</t>
    </r>
    <r>
      <rPr>
        <b/>
        <sz val="10"/>
        <rFont val="AcadNusx"/>
        <family val="0"/>
      </rPr>
      <t>6</t>
    </r>
    <r>
      <rPr>
        <b/>
        <sz val="10"/>
        <rFont val="Times New Roman"/>
        <family val="1"/>
      </rPr>
      <t xml:space="preserve">  </t>
    </r>
    <r>
      <rPr>
        <b/>
        <sz val="10"/>
        <rFont val="AcadNusx"/>
        <family val="0"/>
      </rPr>
      <t>wyalsadenis polieTilenis  milebis Ø</t>
    </r>
    <r>
      <rPr>
        <b/>
        <sz val="10"/>
        <rFont val="Arial"/>
        <family val="2"/>
      </rPr>
      <t>Ø9</t>
    </r>
    <r>
      <rPr>
        <b/>
        <sz val="10"/>
        <rFont val="AcadNusx"/>
        <family val="0"/>
      </rPr>
      <t xml:space="preserve">0 Cawyoba TxrilSi                           </t>
    </r>
  </si>
  <si>
    <r>
      <t xml:space="preserve">foladis el. SeduRebis milebis mowyoba </t>
    </r>
    <r>
      <rPr>
        <b/>
        <sz val="9"/>
        <rFont val="Symbol"/>
        <family val="1"/>
      </rPr>
      <t xml:space="preserve">Æ </t>
    </r>
    <r>
      <rPr>
        <b/>
        <sz val="9"/>
        <rFont val="AcadNusx"/>
        <family val="0"/>
      </rPr>
      <t xml:space="preserve">25X2  </t>
    </r>
  </si>
  <si>
    <r>
      <t xml:space="preserve">foladis el. SeduRebis milebis mowyoba  </t>
    </r>
    <r>
      <rPr>
        <b/>
        <sz val="9"/>
        <rFont val="Symbol"/>
        <family val="1"/>
      </rPr>
      <t>Æ</t>
    </r>
    <r>
      <rPr>
        <b/>
        <sz val="9"/>
        <rFont val="AcadNusx"/>
        <family val="0"/>
      </rPr>
      <t xml:space="preserve">90 მმ </t>
    </r>
  </si>
  <si>
    <r>
      <t>xarjTaRricxvis</t>
    </r>
    <r>
      <rPr>
        <sz val="9"/>
        <rFont val="Academiuri Normaluri"/>
        <family val="0"/>
      </rPr>
      <t xml:space="preserve"> N</t>
    </r>
  </si>
  <si>
    <t>ჭაბურღილის ტუმბოს წყლის მიწოდების სათავისის მოწყობა</t>
  </si>
  <si>
    <t>1-3</t>
  </si>
  <si>
    <t>Tavi I. burRviTi samuSaoebi</t>
  </si>
  <si>
    <t>4-8-2</t>
  </si>
  <si>
    <t>rotoruli burRva pirdapiri garecxviT saSualod III kategoriis gruntSi d-377</t>
  </si>
  <si>
    <t>100 m</t>
  </si>
  <si>
    <t>14-177</t>
  </si>
  <si>
    <t>saburRi mowyobilebis kompleqti</t>
  </si>
  <si>
    <t>4-6-016</t>
  </si>
  <si>
    <t>saburRi milebi (Stangebi)</t>
  </si>
  <si>
    <t>4-6-020</t>
  </si>
  <si>
    <t>saburRi milebi damamZimebeli</t>
  </si>
  <si>
    <t>4-6-022</t>
  </si>
  <si>
    <t>rotoruli burRva pirdapiri garecxviT saSualod IV kategoriis gruntSi d-377</t>
  </si>
  <si>
    <t>saRaraviani satexi</t>
  </si>
  <si>
    <t>4-8-3</t>
  </si>
  <si>
    <t>rotoruli burRva pirdapiri garecxviT saSualod V kategoriis gruntSi d-377</t>
  </si>
  <si>
    <t xml:space="preserve">4-33-3 </t>
  </si>
  <si>
    <t>fol. milebis d-273 mm  damzadeba el. SeduRebiT</t>
  </si>
  <si>
    <t>SesaduRebeli manqana</t>
  </si>
  <si>
    <t>2,1-70</t>
  </si>
  <si>
    <t>fol. mili d-273X4 mm</t>
  </si>
  <si>
    <t>filtrebis f/mili d-273 mm  damzzadeba (perforirebuli) el. SeduRebiT</t>
  </si>
  <si>
    <t>14-105</t>
  </si>
  <si>
    <t>2,1-72</t>
  </si>
  <si>
    <t>fol.  mili d-273X8mm</t>
  </si>
  <si>
    <t>4-38-2</t>
  </si>
  <si>
    <t>milebisa da filtrebis montaJi WaburRilSi</t>
  </si>
  <si>
    <t>10 m</t>
  </si>
  <si>
    <t>4-39-1</t>
  </si>
  <si>
    <t>milebs Soris sicarielis Sevseba garecxili kenWnariT</t>
  </si>
  <si>
    <t xml:space="preserve">kenWnari (garecxili) </t>
  </si>
  <si>
    <t>4-40-1</t>
  </si>
  <si>
    <t>WaburRilidan wylis amotumbva erliftiT (garecxva)</t>
  </si>
  <si>
    <t>dRe/Rame</t>
  </si>
  <si>
    <t>14,-113</t>
  </si>
  <si>
    <t>kompresori</t>
  </si>
  <si>
    <t>1-80-7</t>
  </si>
  <si>
    <t>WaburRilis irgvliv  IIIkat. gruntis damuSaveba</t>
  </si>
  <si>
    <t>qviSa-RorRis safenis mowyoba sis: 10sm, datkepniT</t>
  </si>
  <si>
    <t xml:space="preserve">Sromis danaxarji </t>
  </si>
  <si>
    <t>qviSa-RorRi</t>
  </si>
  <si>
    <t>kub.m</t>
  </si>
  <si>
    <t>WaburRilis filtrebis Sesabamisi zomis RorRis garsacmis mowyoba</t>
  </si>
  <si>
    <t>6-1-2</t>
  </si>
  <si>
    <t>WaburRilis igvliv betonis saTavisis mowyoba zom: მ-250 1*1*0.5მ</t>
  </si>
  <si>
    <t>100 m3</t>
  </si>
  <si>
    <t>4,1-349</t>
  </si>
  <si>
    <t>betoni m-250</t>
  </si>
  <si>
    <t>xis fari</t>
  </si>
  <si>
    <t>5,1-21</t>
  </si>
  <si>
    <t>xi smasala</t>
  </si>
  <si>
    <t>Tavi I) samSeneblo samuSaoebi</t>
  </si>
  <si>
    <t xml:space="preserve">22-8-1   </t>
  </si>
  <si>
    <t>liTonis wyalsawevi specialuri milebis mowyoba d=76 mm, WaburRilSi hidravlikuri SemowmebiT</t>
  </si>
  <si>
    <t>2,1-33</t>
  </si>
  <si>
    <t>liTonis mili d-76,</t>
  </si>
  <si>
    <t>saxelS</t>
  </si>
  <si>
    <t>liTonis wyalsawevi specialuri milze gadabmis adgilas flanecebis mowyoba yovel 3 metrSi d=76 mm</t>
  </si>
  <si>
    <t>10c</t>
  </si>
  <si>
    <t>6,2-15</t>
  </si>
  <si>
    <t>flaneci</t>
  </si>
  <si>
    <t>22-24-6</t>
  </si>
  <si>
    <t>ჭაბურღილის თავის ჩამკეტი saTavisis SeZena da montaJi</t>
  </si>
  <si>
    <t>sabazr</t>
  </si>
  <si>
    <t>yru miltuCa (Carxze damuSavebuli Sua nawili amoRebuli)</t>
  </si>
  <si>
    <t>mili d=76 mm</t>
  </si>
  <si>
    <t>6,1-160</t>
  </si>
  <si>
    <t>miltuCi 76 mm</t>
  </si>
  <si>
    <t>1,10-17</t>
  </si>
  <si>
    <t>WaburRilis წყლის იძულებითი მიწოდების liTonis milebis  d=76 mm, mowyoba hidravlikuri SemowmebiT</t>
  </si>
  <si>
    <t>liTonis milebis antikoroziuli izoliaciiT zeTovani saRebaviT (sasurvelia ლურჯი feri)</t>
  </si>
  <si>
    <t>4-2-030</t>
  </si>
  <si>
    <t>liTonis d 76 mm სამკაპის (fasonuri detalebis) შეძენა და მონტაჟი</t>
  </si>
  <si>
    <t>სამკაპი 273X273X273</t>
  </si>
  <si>
    <t>liTonis 76 მმ სამკაპის antikoroziuli izoliaciiT zeTovani saRebaviT (sasurvelia wiTeli feri)</t>
  </si>
  <si>
    <t>liTonis d 76 mm მუხლი (fasonuri detalebis) 90 გრადუსიანი შეძენა და მონტაჟი</t>
  </si>
  <si>
    <t>6,1-469</t>
  </si>
  <si>
    <t>მუხლი 90გრად. 76X76</t>
  </si>
  <si>
    <t>liTonis 76 მმ მუხლის antikoroziuli izoliaciiT zeTovani saRebaviT (sasurvelia ლურჯი feri)</t>
  </si>
  <si>
    <t>10</t>
  </si>
  <si>
    <r>
      <t xml:space="preserve">თუჯის ურდული </t>
    </r>
    <r>
      <rPr>
        <b/>
        <i/>
        <sz val="9"/>
        <rFont val="Arial"/>
        <family val="2"/>
      </rPr>
      <t>PN</t>
    </r>
    <r>
      <rPr>
        <b/>
        <sz val="9"/>
        <rFont val="Arial"/>
        <family val="2"/>
      </rPr>
      <t>10</t>
    </r>
    <r>
      <rPr>
        <b/>
        <sz val="9"/>
        <rFont val="AcadNusx"/>
        <family val="0"/>
      </rPr>
      <t xml:space="preserve"> d 76 mm SeZena da montaJi</t>
    </r>
  </si>
  <si>
    <t>6,1-382</t>
  </si>
  <si>
    <r>
      <t xml:space="preserve">თუჯის ურდული </t>
    </r>
    <r>
      <rPr>
        <i/>
        <sz val="9"/>
        <rFont val="AcadNusx"/>
        <family val="0"/>
      </rPr>
      <t>P</t>
    </r>
    <r>
      <rPr>
        <i/>
        <sz val="9"/>
        <rFont val="Arial"/>
        <family val="2"/>
      </rPr>
      <t>N</t>
    </r>
    <r>
      <rPr>
        <sz val="9"/>
        <rFont val="AcadNusx"/>
        <family val="0"/>
      </rPr>
      <t>10 d 76 mm</t>
    </r>
  </si>
  <si>
    <t>11</t>
  </si>
  <si>
    <r>
      <t xml:space="preserve">wylis mricxvelis </t>
    </r>
    <r>
      <rPr>
        <b/>
        <i/>
        <sz val="9"/>
        <rFont val="Arial"/>
        <family val="2"/>
      </rPr>
      <t>PN</t>
    </r>
    <r>
      <rPr>
        <b/>
        <sz val="9"/>
        <rFont val="Arial"/>
        <family val="2"/>
      </rPr>
      <t>10</t>
    </r>
    <r>
      <rPr>
        <b/>
        <sz val="9"/>
        <rFont val="AcadNusx"/>
        <family val="0"/>
      </rPr>
      <t xml:space="preserve"> d 63 mm SeZena da montaJi</t>
    </r>
  </si>
  <si>
    <t>6,2-23</t>
  </si>
  <si>
    <r>
      <t>wylis mricxveli</t>
    </r>
    <r>
      <rPr>
        <i/>
        <sz val="9"/>
        <rFont val="AcadNusx"/>
        <family val="0"/>
      </rPr>
      <t>P</t>
    </r>
    <r>
      <rPr>
        <i/>
        <sz val="9"/>
        <rFont val="Arial"/>
        <family val="2"/>
      </rPr>
      <t>N</t>
    </r>
    <r>
      <rPr>
        <sz val="9"/>
        <rFont val="AcadNusx"/>
        <family val="0"/>
      </rPr>
      <t>10 d 63 mm</t>
    </r>
  </si>
  <si>
    <r>
      <t xml:space="preserve">wylis filtris </t>
    </r>
    <r>
      <rPr>
        <b/>
        <i/>
        <sz val="9"/>
        <rFont val="Arial"/>
        <family val="2"/>
      </rPr>
      <t>PN</t>
    </r>
    <r>
      <rPr>
        <b/>
        <sz val="9"/>
        <rFont val="Arial"/>
        <family val="2"/>
      </rPr>
      <t>10</t>
    </r>
    <r>
      <rPr>
        <b/>
        <sz val="9"/>
        <rFont val="AcadNusx"/>
        <family val="0"/>
      </rPr>
      <t xml:space="preserve"> d 76 mm SeZena da montaJi</t>
    </r>
  </si>
  <si>
    <t>6,2-24</t>
  </si>
  <si>
    <r>
      <t>wylis mricxveli</t>
    </r>
    <r>
      <rPr>
        <i/>
        <sz val="9"/>
        <rFont val="AcadNusx"/>
        <family val="0"/>
      </rPr>
      <t>P</t>
    </r>
    <r>
      <rPr>
        <i/>
        <sz val="9"/>
        <rFont val="Arial"/>
        <family val="2"/>
      </rPr>
      <t>N</t>
    </r>
    <r>
      <rPr>
        <sz val="9"/>
        <rFont val="AcadNusx"/>
        <family val="0"/>
      </rPr>
      <t>10 d 76 mm</t>
    </r>
  </si>
  <si>
    <t>22-21-2</t>
  </si>
  <si>
    <t>liTonis wyalsawevi specialuri milebis da WaburRilis Tavze mowyobili milebis gamorecxva dezinfeqciiT    d=76 mm</t>
  </si>
  <si>
    <t>WaburRilis irgvliv  III kat. gruntis damuSaveba</t>
  </si>
  <si>
    <t>betonis m200 wertilovani saZirkvlis mowyoba zom. 1X1X0.5m</t>
  </si>
  <si>
    <t>4,1-348</t>
  </si>
  <si>
    <t>xis masala</t>
  </si>
  <si>
    <t xml:space="preserve">16-19-4      </t>
  </si>
  <si>
    <t>tumbos win WaburRilSi wyasawneo milze ukusarqvelis mowyoba d-100</t>
  </si>
  <si>
    <t>6,1-323</t>
  </si>
  <si>
    <t>ukusarqveli- d=100 mm</t>
  </si>
  <si>
    <t>jami Tavi I</t>
  </si>
  <si>
    <t>Tavi II. mowyobilobebi</t>
  </si>
  <si>
    <r>
      <t>WaburRilis tumbos SeZena marTvis fariTa da avtomatikiT CaSveba WaburRilSi, el kabeliT qselSi daerTebiT awevis simaRle 60 m.</t>
    </r>
    <r>
      <rPr>
        <b/>
        <sz val="9"/>
        <rFont val="Cambria"/>
        <family val="1"/>
      </rPr>
      <t xml:space="preserve"> Q=36 </t>
    </r>
    <r>
      <rPr>
        <b/>
        <sz val="9"/>
        <rFont val="AcadNusx"/>
        <family val="0"/>
      </rPr>
      <t>m3/sT</t>
    </r>
  </si>
  <si>
    <t>kompl</t>
  </si>
  <si>
    <t>tumbo</t>
  </si>
  <si>
    <t>marTvis fari avtomatikiT</t>
  </si>
  <si>
    <r>
      <t>kabeli 3X4-1X2.5 mm</t>
    </r>
    <r>
      <rPr>
        <vertAlign val="superscript"/>
        <sz val="9"/>
        <rFont val="AcadNusx"/>
        <family val="0"/>
      </rPr>
      <t>2</t>
    </r>
  </si>
  <si>
    <t>18-15-2</t>
  </si>
  <si>
    <t>მანომეტრის მონტაჟი ელექტრო კონტაქტებით</t>
  </si>
  <si>
    <t xml:space="preserve">შრომითი დანახარჯები </t>
  </si>
  <si>
    <t>კაც/სთ</t>
  </si>
  <si>
    <t>მანომეტრი</t>
  </si>
  <si>
    <t>zednadebi xarjebi montaJis xelfasze</t>
  </si>
  <si>
    <t>gegmiuri dagroveba  (mowyobilobis gareSe)</t>
  </si>
  <si>
    <t>jami Tavi II</t>
  </si>
  <si>
    <t>sul jami I da II Tavebis</t>
  </si>
  <si>
    <t>ჭაბურღილის მოწყობა</t>
  </si>
  <si>
    <t>რეზერვუარის და ჭაბურღილის SemoRobva</t>
  </si>
  <si>
    <t>რეზერვუარი da WaburRili</t>
  </si>
  <si>
    <t>xarjTaRricxva #2-4.2</t>
  </si>
  <si>
    <t>xarjTaRricxva #2-4.3</t>
  </si>
  <si>
    <t>xarjTaRricxva #2-4.4</t>
  </si>
  <si>
    <t>xarjTaRricxva #2-4.6</t>
  </si>
  <si>
    <t>xarjTaRricxva #2-4.7</t>
  </si>
  <si>
    <t>polieTilenis fasonuri nawilebis montaJi d-90 mm</t>
  </si>
  <si>
    <t>%</t>
  </si>
  <si>
    <t xml:space="preserve">satransporto xarjebi </t>
  </si>
</sst>
</file>

<file path=xl/styles.xml><?xml version="1.0" encoding="utf-8"?>
<styleSheet xmlns="http://schemas.openxmlformats.org/spreadsheetml/2006/main">
  <numFmts count="6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₾_-;\-* #,##0\ _₾_-;_-* &quot;-&quot;\ _₾_-;_-@_-"/>
    <numFmt numFmtId="165" formatCode="_-* #,##0.00\ _₾_-;\-* #,##0.00\ _₾_-;_-* &quot;-&quot;??\ _₾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_-* #,##0.00_р_._-;\-* #,##0.00_р_._-;_-* &quot;-&quot;??_р_._-;_-@_-"/>
    <numFmt numFmtId="185" formatCode="0.000"/>
    <numFmt numFmtId="186" formatCode="0.0000"/>
    <numFmt numFmtId="187" formatCode="0.0"/>
    <numFmt numFmtId="188" formatCode="_-* #,##0_р_._-;\-* #,##0_р_._-;_-* &quot;-&quot;??_р_._-;_-@_-"/>
    <numFmt numFmtId="189" formatCode="_(* #,##0.000_);_(* \(#,##0.000\);_(* &quot;-&quot;???_);_(@_)"/>
    <numFmt numFmtId="190" formatCode="0.0%"/>
    <numFmt numFmtId="191" formatCode="_(* #,##0.000_);_(* \(#,##0.000\);_(* &quot;-&quot;??_);_(@_)"/>
    <numFmt numFmtId="192" formatCode="0.00;[Red]0.00"/>
    <numFmt numFmtId="193" formatCode="_(* #,##0.00_);_(* \(#,##0.00\);_(* &quot;-&quot;???_);_(@_)"/>
    <numFmt numFmtId="194" formatCode="_(* #,##0.0000_);_(* \(#,##0.0000\);_(* &quot;-&quot;???_);_(@_)"/>
    <numFmt numFmtId="195" formatCode="0.00000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000_р_._-;\-* #,##0.0000_р_._-;_-* &quot;-&quot;??_р_._-;_-@_-"/>
    <numFmt numFmtId="199" formatCode="_(* #,##0.0000_);_(* \(#,##0.0000\);_(* &quot;-&quot;??_);_(@_)"/>
    <numFmt numFmtId="200" formatCode="_(* #,##0.0_);_(* \(#,##0.0\);_(* &quot;-&quot;??_);_(@_)"/>
    <numFmt numFmtId="201" formatCode="_-* #,##0.0_р_._-;\-* #,##0.0_р_._-;_-* &quot;-&quot;??_р_._-;_-@_-"/>
    <numFmt numFmtId="202" formatCode="_-* #,##0.000_р_._-;\-* #,##0.000_р_._-;_-* &quot;-&quot;??_р_._-;_-@_-"/>
    <numFmt numFmtId="203" formatCode="_-* #,##0.0\ _₽_-;\-* #,##0.0\ _₽_-;_-* &quot;-&quot;?\ _₽_-;_-@_-"/>
    <numFmt numFmtId="204" formatCode="_-* #,##0.000\ _₽_-;\-* #,##0.000\ _₽_-;_-* &quot;-&quot;???\ _₽_-;_-@_-"/>
    <numFmt numFmtId="205" formatCode="_-* #,##0.000\ _L_a_r_i_-;\-* #,##0.000\ _L_a_r_i_-;_-* &quot;-&quot;???\ _L_a_r_i_-;_-@_-"/>
    <numFmt numFmtId="206" formatCode="_(* #,##0_);_(* \(#,##0\);_(* &quot;-&quot;???_);_(@_)"/>
    <numFmt numFmtId="207" formatCode="0;[Red]0"/>
    <numFmt numFmtId="208" formatCode="_(* #,##0.0_);_(* \(#,##0.0\);_(* &quot;-&quot;???_);_(@_)"/>
    <numFmt numFmtId="209" formatCode="0.000%"/>
    <numFmt numFmtId="210" formatCode="_(* #,##0.0_);_(* \(#,##0.0\);_(* &quot;-&quot;?_);_(@_)"/>
    <numFmt numFmtId="211" formatCode="_-* #,##0&quot;р.&quot;_-;\-* #,##0&quot;р.&quot;_-;_-* &quot;-&quot;&quot;р.&quot;_-;_-@_-"/>
    <numFmt numFmtId="212" formatCode="_-* #,##0_р_._-;\-* #,##0_р_._-;_-* &quot;-&quot;_р_._-;_-@_-"/>
    <numFmt numFmtId="213" formatCode="_-* #,##0.00&quot;р.&quot;_-;\-* #,##0.00&quot;р.&quot;_-;_-* &quot;-&quot;??&quot;р.&quot;_-;_-@_-"/>
    <numFmt numFmtId="214" formatCode="#,##0.000"/>
    <numFmt numFmtId="215" formatCode="#,##0.00000"/>
    <numFmt numFmtId="216" formatCode="#,##0.0000"/>
  </numFmts>
  <fonts count="83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b/>
      <sz val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0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sz val="11"/>
      <name val="Academiuri Normaluri"/>
      <family val="0"/>
    </font>
    <font>
      <b/>
      <sz val="14"/>
      <name val="AcadNusx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Sylfaen"/>
      <family val="1"/>
    </font>
    <font>
      <b/>
      <sz val="9"/>
      <name val="AcadNusx"/>
      <family val="0"/>
    </font>
    <font>
      <i/>
      <sz val="10"/>
      <name val="AcadNusx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vertAlign val="superscript"/>
      <sz val="10"/>
      <name val="AcadNusx"/>
      <family val="0"/>
    </font>
    <font>
      <b/>
      <sz val="10"/>
      <name val="Calibri"/>
      <family val="2"/>
    </font>
    <font>
      <sz val="10"/>
      <name val="AcadMtavr"/>
      <family val="0"/>
    </font>
    <font>
      <sz val="10"/>
      <name val="Arial Cyr"/>
      <family val="0"/>
    </font>
    <font>
      <sz val="10"/>
      <name val="არიალ"/>
      <family val="0"/>
    </font>
    <font>
      <b/>
      <u val="single"/>
      <sz val="10"/>
      <name val="Arial"/>
      <family val="2"/>
    </font>
    <font>
      <sz val="11"/>
      <name val="Sylfaen"/>
      <family val="1"/>
    </font>
    <font>
      <sz val="9"/>
      <name val="Sylfaen"/>
      <family val="1"/>
    </font>
    <font>
      <sz val="10"/>
      <name val="Helv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cademiuri Normaluri"/>
      <family val="0"/>
    </font>
    <font>
      <vertAlign val="superscript"/>
      <sz val="12"/>
      <name val="AcadNusx"/>
      <family val="0"/>
    </font>
    <font>
      <b/>
      <sz val="9"/>
      <name val="Symbol"/>
      <family val="1"/>
    </font>
    <font>
      <sz val="12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vertAlign val="subscript"/>
      <sz val="10"/>
      <name val="Times New Roman"/>
      <family val="1"/>
    </font>
    <font>
      <b/>
      <sz val="12"/>
      <name val="Calibri"/>
      <family val="2"/>
    </font>
    <font>
      <b/>
      <vertAlign val="subscript"/>
      <sz val="12"/>
      <name val="Times New Roman"/>
      <family val="1"/>
    </font>
    <font>
      <b/>
      <u val="single"/>
      <sz val="9"/>
      <name val="AcadNusx"/>
      <family val="0"/>
    </font>
    <font>
      <vertAlign val="superscript"/>
      <sz val="11"/>
      <name val="AcadNusx"/>
      <family val="0"/>
    </font>
    <font>
      <sz val="9"/>
      <name val="Academiuri Normaluri"/>
      <family val="0"/>
    </font>
    <font>
      <b/>
      <sz val="9"/>
      <name val="Sylfaen"/>
      <family val="1"/>
    </font>
    <font>
      <b/>
      <i/>
      <sz val="9"/>
      <name val="Arial"/>
      <family val="2"/>
    </font>
    <font>
      <i/>
      <sz val="9"/>
      <name val="AcadNusx"/>
      <family val="0"/>
    </font>
    <font>
      <i/>
      <sz val="9"/>
      <name val="Arial"/>
      <family val="2"/>
    </font>
    <font>
      <b/>
      <sz val="9"/>
      <name val="Cambria"/>
      <family val="1"/>
    </font>
    <font>
      <vertAlign val="superscript"/>
      <sz val="9"/>
      <name val="AcadNusx"/>
      <family val="0"/>
    </font>
    <font>
      <b/>
      <sz val="9"/>
      <name val="AcadMtavr"/>
      <family val="0"/>
    </font>
    <font>
      <sz val="9"/>
      <name val="AcadMtavr"/>
      <family val="0"/>
    </font>
    <font>
      <sz val="10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cadMtav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cadNusx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cadMtav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39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39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39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</cellStyleXfs>
  <cellXfs count="708">
    <xf numFmtId="0" fontId="0" fillId="0" borderId="0" xfId="0" applyAlignment="1">
      <alignment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106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9" fontId="6" fillId="0" borderId="0" xfId="0" applyNumberFormat="1" applyFont="1" applyAlignment="1">
      <alignment vertical="center"/>
    </xf>
    <xf numFmtId="0" fontId="6" fillId="0" borderId="0" xfId="98" applyFont="1" applyAlignment="1">
      <alignment vertical="center" wrapText="1"/>
      <protection/>
    </xf>
    <xf numFmtId="2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vertical="center" wrapText="1"/>
    </xf>
    <xf numFmtId="184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88" fontId="6" fillId="0" borderId="0" xfId="106" applyNumberFormat="1" applyFont="1" applyAlignment="1">
      <alignment horizontal="center" vertical="center" wrapText="1"/>
    </xf>
    <xf numFmtId="0" fontId="6" fillId="0" borderId="0" xfId="106" applyNumberFormat="1" applyFont="1" applyAlignment="1">
      <alignment horizontal="center" vertical="center" wrapText="1"/>
    </xf>
    <xf numFmtId="188" fontId="6" fillId="0" borderId="0" xfId="106" applyNumberFormat="1" applyFont="1" applyAlignment="1">
      <alignment vertical="center" wrapText="1"/>
    </xf>
    <xf numFmtId="188" fontId="6" fillId="0" borderId="0" xfId="106" applyNumberFormat="1" applyFont="1" applyAlignment="1">
      <alignment horizontal="left" vertical="center" wrapText="1"/>
    </xf>
    <xf numFmtId="188" fontId="6" fillId="0" borderId="0" xfId="106" applyNumberFormat="1" applyFont="1" applyAlignment="1">
      <alignment vertical="center"/>
    </xf>
    <xf numFmtId="184" fontId="6" fillId="0" borderId="0" xfId="106" applyNumberFormat="1" applyFont="1" applyAlignment="1">
      <alignment horizontal="center" vertical="center" wrapText="1"/>
    </xf>
    <xf numFmtId="184" fontId="6" fillId="0" borderId="0" xfId="106" applyNumberFormat="1" applyFont="1" applyAlignment="1">
      <alignment vertical="center" wrapText="1"/>
    </xf>
    <xf numFmtId="184" fontId="6" fillId="0" borderId="0" xfId="106" applyNumberFormat="1" applyFont="1" applyAlignment="1">
      <alignment horizontal="left" vertical="center" wrapText="1"/>
    </xf>
    <xf numFmtId="184" fontId="6" fillId="0" borderId="0" xfId="106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75" fontId="6" fillId="0" borderId="10" xfId="106" applyFont="1" applyBorder="1" applyAlignment="1">
      <alignment horizontal="center" vertical="center" wrapText="1"/>
    </xf>
    <xf numFmtId="175" fontId="6" fillId="0" borderId="10" xfId="106" applyFont="1" applyBorder="1" applyAlignment="1">
      <alignment horizontal="center" vertical="center"/>
    </xf>
    <xf numFmtId="175" fontId="6" fillId="0" borderId="10" xfId="106" applyFont="1" applyBorder="1" applyAlignment="1">
      <alignment horizontal="left" vertical="center" wrapText="1"/>
    </xf>
    <xf numFmtId="175" fontId="6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75" fontId="5" fillId="0" borderId="0" xfId="106" applyFont="1" applyAlignment="1">
      <alignment horizontal="center" vertical="center" wrapText="1"/>
    </xf>
    <xf numFmtId="2" fontId="5" fillId="0" borderId="0" xfId="106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184" fontId="2" fillId="0" borderId="10" xfId="106" applyNumberFormat="1" applyFont="1" applyBorder="1" applyAlignment="1">
      <alignment horizontal="center" vertical="center"/>
    </xf>
    <xf numFmtId="175" fontId="6" fillId="0" borderId="0" xfId="106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5" fontId="5" fillId="0" borderId="10" xfId="106" applyFont="1" applyBorder="1" applyAlignment="1">
      <alignment horizontal="center" vertical="center" wrapText="1"/>
    </xf>
    <xf numFmtId="200" fontId="5" fillId="0" borderId="10" xfId="106" applyNumberFormat="1" applyFont="1" applyBorder="1" applyAlignment="1">
      <alignment horizontal="center" vertical="center" wrapText="1"/>
    </xf>
    <xf numFmtId="209" fontId="5" fillId="0" borderId="0" xfId="103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0" fontId="0" fillId="0" borderId="0" xfId="109" applyFont="1" applyFill="1" applyAlignment="1">
      <alignment horizontal="center" vertical="center" wrapText="1"/>
      <protection/>
    </xf>
    <xf numFmtId="0" fontId="7" fillId="0" borderId="0" xfId="94" applyFont="1" applyFill="1" applyAlignment="1">
      <alignment horizontal="center"/>
      <protection/>
    </xf>
    <xf numFmtId="0" fontId="3" fillId="0" borderId="0" xfId="45" applyFont="1" applyFill="1">
      <alignment/>
      <protection/>
    </xf>
    <xf numFmtId="0" fontId="3" fillId="0" borderId="0" xfId="98" applyFont="1" applyFill="1" applyAlignment="1">
      <alignment horizontal="center" vertical="center" shrinkToFit="1"/>
      <protection/>
    </xf>
    <xf numFmtId="0" fontId="3" fillId="0" borderId="0" xfId="98" applyFont="1" applyFill="1" applyAlignment="1">
      <alignment horizontal="center" vertical="center" wrapText="1" shrinkToFit="1"/>
      <protection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5" fontId="6" fillId="18" borderId="10" xfId="106" applyFont="1" applyFill="1" applyBorder="1" applyAlignment="1">
      <alignment horizontal="center" vertical="center" wrapText="1"/>
    </xf>
    <xf numFmtId="175" fontId="6" fillId="18" borderId="10" xfId="106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49" fontId="2" fillId="0" borderId="10" xfId="45" applyNumberFormat="1" applyFont="1" applyFill="1" applyBorder="1" applyAlignment="1">
      <alignment horizontal="center" vertical="center"/>
      <protection/>
    </xf>
    <xf numFmtId="0" fontId="4" fillId="0" borderId="0" xfId="98" applyFont="1" applyFill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1" fontId="2" fillId="0" borderId="10" xfId="45" applyNumberFormat="1" applyFont="1" applyFill="1" applyBorder="1" applyAlignment="1">
      <alignment horizontal="center" vertical="center"/>
      <protection/>
    </xf>
    <xf numFmtId="0" fontId="7" fillId="0" borderId="0" xfId="109" applyFont="1" applyFill="1" applyAlignment="1">
      <alignment horizontal="center" vertical="center" wrapText="1"/>
      <protection/>
    </xf>
    <xf numFmtId="0" fontId="6" fillId="18" borderId="10" xfId="0" applyFont="1" applyFill="1" applyBorder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vertical="center" wrapText="1"/>
    </xf>
    <xf numFmtId="175" fontId="6" fillId="18" borderId="10" xfId="106" applyFont="1" applyFill="1" applyBorder="1" applyAlignment="1">
      <alignment horizontal="left" vertical="center" wrapText="1"/>
    </xf>
    <xf numFmtId="2" fontId="6" fillId="18" borderId="10" xfId="0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98" applyFont="1" applyFill="1" applyAlignment="1">
      <alignment horizontal="center" vertical="center" wrapText="1" shrinkToFit="1"/>
      <protection/>
    </xf>
    <xf numFmtId="49" fontId="30" fillId="0" borderId="10" xfId="99" applyNumberFormat="1" applyFont="1" applyFill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30" fillId="0" borderId="10" xfId="99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98" applyFont="1" applyFill="1" applyAlignment="1">
      <alignment vertical="center" wrapText="1" shrinkToFi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4" fillId="0" borderId="0" xfId="0" applyNumberFormat="1" applyFont="1" applyFill="1" applyAlignment="1">
      <alignment horizontal="center" vertical="center" wrapText="1"/>
    </xf>
    <xf numFmtId="19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2" fontId="12" fillId="18" borderId="10" xfId="0" applyNumberFormat="1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31" fillId="18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5" fontId="6" fillId="0" borderId="10" xfId="43" applyFont="1" applyFill="1" applyBorder="1" applyAlignment="1">
      <alignment horizontal="center" vertical="center"/>
    </xf>
    <xf numFmtId="175" fontId="6" fillId="0" borderId="10" xfId="43" applyFont="1" applyFill="1" applyBorder="1" applyAlignment="1">
      <alignment horizontal="center" vertical="center" wrapText="1"/>
    </xf>
    <xf numFmtId="175" fontId="6" fillId="0" borderId="10" xfId="43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8" fontId="6" fillId="0" borderId="0" xfId="43" applyNumberFormat="1" applyFont="1" applyFill="1" applyBorder="1" applyAlignment="1">
      <alignment horizontal="center" vertical="center" wrapText="1"/>
    </xf>
    <xf numFmtId="0" fontId="6" fillId="0" borderId="0" xfId="43" applyNumberFormat="1" applyFont="1" applyFill="1" applyBorder="1" applyAlignment="1">
      <alignment horizontal="center" vertical="center" wrapText="1"/>
    </xf>
    <xf numFmtId="188" fontId="6" fillId="0" borderId="0" xfId="43" applyNumberFormat="1" applyFont="1" applyFill="1" applyBorder="1" applyAlignment="1">
      <alignment vertical="center" wrapText="1"/>
    </xf>
    <xf numFmtId="188" fontId="6" fillId="0" borderId="0" xfId="43" applyNumberFormat="1" applyFont="1" applyFill="1" applyBorder="1" applyAlignment="1">
      <alignment horizontal="left" vertical="center" wrapText="1"/>
    </xf>
    <xf numFmtId="188" fontId="6" fillId="0" borderId="0" xfId="43" applyNumberFormat="1" applyFont="1" applyFill="1" applyBorder="1" applyAlignment="1">
      <alignment vertical="center"/>
    </xf>
    <xf numFmtId="184" fontId="6" fillId="0" borderId="0" xfId="43" applyNumberFormat="1" applyFont="1" applyFill="1" applyBorder="1" applyAlignment="1">
      <alignment horizontal="center" vertical="center" wrapText="1"/>
    </xf>
    <xf numFmtId="184" fontId="6" fillId="0" borderId="0" xfId="43" applyNumberFormat="1" applyFont="1" applyFill="1" applyBorder="1" applyAlignment="1">
      <alignment vertical="center" wrapText="1"/>
    </xf>
    <xf numFmtId="184" fontId="6" fillId="0" borderId="0" xfId="43" applyNumberFormat="1" applyFont="1" applyFill="1" applyBorder="1" applyAlignment="1">
      <alignment horizontal="left" vertical="center" wrapText="1"/>
    </xf>
    <xf numFmtId="184" fontId="6" fillId="0" borderId="0" xfId="43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45" applyFont="1" applyFill="1" applyAlignment="1">
      <alignment vertical="center"/>
      <protection/>
    </xf>
    <xf numFmtId="0" fontId="2" fillId="0" borderId="0" xfId="45" applyFont="1" applyFill="1" applyAlignment="1">
      <alignment vertical="center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87" fontId="2" fillId="0" borderId="10" xfId="45" applyNumberFormat="1" applyFont="1" applyFill="1" applyBorder="1" applyAlignment="1">
      <alignment horizontal="center" vertical="center" wrapText="1"/>
      <protection/>
    </xf>
    <xf numFmtId="185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vertical="center" wrapText="1"/>
      <protection/>
    </xf>
    <xf numFmtId="0" fontId="2" fillId="0" borderId="10" xfId="45" applyFont="1" applyFill="1" applyBorder="1" applyAlignment="1">
      <alignment vertical="center"/>
      <protection/>
    </xf>
    <xf numFmtId="0" fontId="1" fillId="0" borderId="0" xfId="45" applyFont="1" applyFill="1" applyBorder="1" applyAlignment="1">
      <alignment vertical="center" wrapText="1"/>
      <protection/>
    </xf>
    <xf numFmtId="0" fontId="1" fillId="0" borderId="0" xfId="45" applyFont="1" applyFill="1" applyBorder="1">
      <alignment/>
      <protection/>
    </xf>
    <xf numFmtId="0" fontId="1" fillId="0" borderId="0" xfId="45" applyFont="1" applyFill="1" applyAlignment="1">
      <alignment vertical="center" wrapText="1"/>
      <protection/>
    </xf>
    <xf numFmtId="0" fontId="0" fillId="0" borderId="0" xfId="45" applyFill="1">
      <alignment/>
      <protection/>
    </xf>
    <xf numFmtId="0" fontId="2" fillId="0" borderId="0" xfId="45" applyFont="1" applyFill="1" applyBorder="1">
      <alignment/>
      <protection/>
    </xf>
    <xf numFmtId="0" fontId="2" fillId="0" borderId="0" xfId="45" applyFont="1" applyFill="1" applyBorder="1" applyAlignment="1">
      <alignment horizontal="left" vertical="center" wrapText="1"/>
      <protection/>
    </xf>
    <xf numFmtId="0" fontId="2" fillId="0" borderId="0" xfId="45" applyFont="1" applyFill="1">
      <alignment/>
      <protection/>
    </xf>
    <xf numFmtId="0" fontId="1" fillId="0" borderId="0" xfId="45" applyFont="1" applyFill="1">
      <alignment/>
      <protection/>
    </xf>
    <xf numFmtId="0" fontId="7" fillId="0" borderId="0" xfId="45" applyFont="1" applyFill="1">
      <alignment/>
      <protection/>
    </xf>
    <xf numFmtId="0" fontId="0" fillId="0" borderId="0" xfId="45" applyFill="1" applyAlignment="1">
      <alignment horizontal="center"/>
      <protection/>
    </xf>
    <xf numFmtId="0" fontId="0" fillId="0" borderId="0" xfId="45" applyFill="1" applyAlignment="1">
      <alignment/>
      <protection/>
    </xf>
    <xf numFmtId="2" fontId="31" fillId="18" borderId="10" xfId="0" applyNumberFormat="1" applyFont="1" applyFill="1" applyBorder="1" applyAlignment="1">
      <alignment horizontal="center" vertical="center"/>
    </xf>
    <xf numFmtId="49" fontId="12" fillId="18" borderId="10" xfId="0" applyNumberFormat="1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  <protection/>
    </xf>
    <xf numFmtId="49" fontId="31" fillId="0" borderId="10" xfId="45" applyNumberFormat="1" applyFont="1" applyFill="1" applyBorder="1" applyAlignment="1">
      <alignment horizontal="center" vertical="center" wrapText="1"/>
      <protection/>
    </xf>
    <xf numFmtId="2" fontId="31" fillId="0" borderId="10" xfId="45" applyNumberFormat="1" applyFont="1" applyFill="1" applyBorder="1" applyAlignment="1">
      <alignment horizontal="center" vertical="center"/>
      <protection/>
    </xf>
    <xf numFmtId="0" fontId="12" fillId="0" borderId="10" xfId="45" applyFont="1" applyFill="1" applyBorder="1" applyAlignment="1">
      <alignment horizontal="center" vertical="center"/>
      <protection/>
    </xf>
    <xf numFmtId="49" fontId="12" fillId="0" borderId="10" xfId="45" applyNumberFormat="1" applyFont="1" applyFill="1" applyBorder="1" applyAlignment="1">
      <alignment horizontal="center" vertical="center"/>
      <protection/>
    </xf>
    <xf numFmtId="0" fontId="12" fillId="0" borderId="10" xfId="45" applyFont="1" applyFill="1" applyBorder="1" applyAlignment="1">
      <alignment vertical="center" wrapText="1"/>
      <protection/>
    </xf>
    <xf numFmtId="2" fontId="12" fillId="0" borderId="10" xfId="4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187" fontId="12" fillId="0" borderId="10" xfId="0" applyNumberFormat="1" applyFont="1" applyFill="1" applyBorder="1" applyAlignment="1">
      <alignment horizontal="center" vertical="top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2" fillId="0" borderId="0" xfId="45" applyFont="1" applyFill="1" applyAlignment="1">
      <alignment/>
      <protection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2" fillId="0" borderId="10" xfId="44" applyNumberFormat="1" applyFont="1" applyBorder="1" applyAlignment="1">
      <alignment horizontal="center" vertical="center" wrapText="1"/>
    </xf>
    <xf numFmtId="175" fontId="12" fillId="18" borderId="10" xfId="44" applyFont="1" applyFill="1" applyBorder="1" applyAlignment="1">
      <alignment horizontal="center" vertical="center"/>
    </xf>
    <xf numFmtId="175" fontId="12" fillId="18" borderId="10" xfId="44" applyFont="1" applyFill="1" applyBorder="1" applyAlignment="1">
      <alignment horizontal="center" vertical="center" wrapText="1"/>
    </xf>
    <xf numFmtId="175" fontId="12" fillId="18" borderId="10" xfId="44" applyFont="1" applyFill="1" applyBorder="1" applyAlignment="1">
      <alignment horizontal="left" vertical="center" wrapText="1"/>
    </xf>
    <xf numFmtId="0" fontId="12" fillId="18" borderId="0" xfId="0" applyFont="1" applyFill="1" applyAlignment="1">
      <alignment vertical="center"/>
    </xf>
    <xf numFmtId="49" fontId="31" fillId="18" borderId="10" xfId="0" applyNumberFormat="1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 wrapText="1"/>
    </xf>
    <xf numFmtId="175" fontId="31" fillId="18" borderId="10" xfId="44" applyFont="1" applyFill="1" applyBorder="1" applyAlignment="1">
      <alignment horizontal="center" vertical="center"/>
    </xf>
    <xf numFmtId="175" fontId="31" fillId="18" borderId="10" xfId="44" applyFont="1" applyFill="1" applyBorder="1" applyAlignment="1">
      <alignment horizontal="center" vertical="center" wrapText="1"/>
    </xf>
    <xf numFmtId="175" fontId="31" fillId="18" borderId="10" xfId="44" applyFont="1" applyFill="1" applyBorder="1" applyAlignment="1">
      <alignment horizontal="left" vertical="center" wrapText="1"/>
    </xf>
    <xf numFmtId="0" fontId="31" fillId="18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175" fontId="12" fillId="0" borderId="0" xfId="44" applyFont="1" applyAlignment="1">
      <alignment horizontal="center" vertical="center" wrapText="1"/>
    </xf>
    <xf numFmtId="209" fontId="31" fillId="0" borderId="0" xfId="73" applyNumberFormat="1" applyFont="1" applyAlignment="1">
      <alignment horizontal="center" vertical="center" wrapText="1"/>
    </xf>
    <xf numFmtId="2" fontId="31" fillId="0" borderId="0" xfId="44" applyNumberFormat="1" applyFont="1" applyAlignment="1">
      <alignment horizontal="center" vertical="center" wrapText="1"/>
    </xf>
    <xf numFmtId="175" fontId="31" fillId="0" borderId="0" xfId="44" applyFont="1" applyAlignment="1">
      <alignment horizontal="center" vertical="center" wrapText="1"/>
    </xf>
    <xf numFmtId="0" fontId="12" fillId="0" borderId="0" xfId="98" applyFont="1" applyAlignment="1">
      <alignment vertical="center" wrapText="1"/>
      <protection/>
    </xf>
    <xf numFmtId="184" fontId="12" fillId="0" borderId="0" xfId="0" applyNumberFormat="1" applyFont="1" applyAlignment="1">
      <alignment vertical="center" wrapText="1"/>
    </xf>
    <xf numFmtId="184" fontId="12" fillId="0" borderId="0" xfId="0" applyNumberFormat="1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183" fontId="12" fillId="0" borderId="0" xfId="0" applyNumberFormat="1" applyFont="1" applyAlignment="1">
      <alignment/>
    </xf>
    <xf numFmtId="188" fontId="12" fillId="0" borderId="0" xfId="44" applyNumberFormat="1" applyFont="1" applyAlignment="1">
      <alignment horizontal="center" vertical="center" wrapText="1"/>
    </xf>
    <xf numFmtId="0" fontId="12" fillId="0" borderId="0" xfId="44" applyNumberFormat="1" applyFont="1" applyAlignment="1">
      <alignment horizontal="center" vertical="center" wrapText="1"/>
    </xf>
    <xf numFmtId="188" fontId="12" fillId="0" borderId="0" xfId="44" applyNumberFormat="1" applyFont="1" applyAlignment="1">
      <alignment vertical="center" wrapText="1"/>
    </xf>
    <xf numFmtId="188" fontId="12" fillId="0" borderId="0" xfId="44" applyNumberFormat="1" applyFont="1" applyAlignment="1">
      <alignment horizontal="left" vertical="center" wrapText="1"/>
    </xf>
    <xf numFmtId="188" fontId="12" fillId="0" borderId="0" xfId="44" applyNumberFormat="1" applyFont="1" applyAlignment="1">
      <alignment vertical="center"/>
    </xf>
    <xf numFmtId="184" fontId="12" fillId="0" borderId="0" xfId="44" applyNumberFormat="1" applyFont="1" applyAlignment="1">
      <alignment horizontal="center" vertical="center" wrapText="1"/>
    </xf>
    <xf numFmtId="184" fontId="12" fillId="0" borderId="0" xfId="44" applyNumberFormat="1" applyFont="1" applyAlignment="1">
      <alignment vertical="center" wrapText="1"/>
    </xf>
    <xf numFmtId="184" fontId="12" fillId="0" borderId="0" xfId="44" applyNumberFormat="1" applyFont="1" applyAlignment="1">
      <alignment horizontal="left" vertical="center" wrapText="1"/>
    </xf>
    <xf numFmtId="184" fontId="12" fillId="0" borderId="0" xfId="44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31" fillId="0" borderId="0" xfId="98" applyFont="1" applyFill="1" applyAlignment="1">
      <alignment horizontal="center" vertical="center" shrinkToFit="1"/>
      <protection/>
    </xf>
    <xf numFmtId="0" fontId="12" fillId="0" borderId="0" xfId="45" applyFont="1" applyFill="1">
      <alignment/>
      <protection/>
    </xf>
    <xf numFmtId="0" fontId="12" fillId="0" borderId="0" xfId="98" applyFont="1" applyFill="1" applyAlignment="1">
      <alignment horizontal="center" vertical="center" wrapText="1" shrinkToFit="1"/>
      <protection/>
    </xf>
    <xf numFmtId="0" fontId="31" fillId="0" borderId="10" xfId="45" applyFont="1" applyFill="1" applyBorder="1" applyAlignment="1">
      <alignment horizontal="center" vertical="center" wrapText="1"/>
      <protection/>
    </xf>
    <xf numFmtId="0" fontId="31" fillId="0" borderId="0" xfId="45" applyFont="1" applyFill="1">
      <alignment/>
      <protection/>
    </xf>
    <xf numFmtId="0" fontId="3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45" applyFont="1" applyFill="1">
      <alignment/>
      <protection/>
    </xf>
    <xf numFmtId="0" fontId="31" fillId="0" borderId="10" xfId="0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44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44" applyNumberFormat="1" applyFont="1" applyFill="1" applyBorder="1" applyAlignment="1">
      <alignment horizontal="center" vertical="center"/>
    </xf>
    <xf numFmtId="2" fontId="12" fillId="0" borderId="10" xfId="44" applyNumberFormat="1" applyFont="1" applyFill="1" applyBorder="1" applyAlignment="1">
      <alignment horizontal="center"/>
    </xf>
    <xf numFmtId="2" fontId="12" fillId="0" borderId="10" xfId="44" applyNumberFormat="1" applyFont="1" applyFill="1" applyBorder="1" applyAlignment="1">
      <alignment horizontal="center" vertical="center" wrapText="1"/>
    </xf>
    <xf numFmtId="0" fontId="31" fillId="0" borderId="10" xfId="98" applyFont="1" applyFill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0" xfId="45" applyFont="1" applyFill="1" applyAlignment="1">
      <alignment vertical="center"/>
      <protection/>
    </xf>
    <xf numFmtId="17" fontId="31" fillId="0" borderId="10" xfId="98" applyNumberFormat="1" applyFont="1" applyFill="1" applyBorder="1" applyAlignment="1">
      <alignment horizontal="center" vertical="center"/>
      <protection/>
    </xf>
    <xf numFmtId="2" fontId="31" fillId="0" borderId="10" xfId="44" applyNumberFormat="1" applyFont="1" applyFill="1" applyBorder="1" applyAlignment="1">
      <alignment horizontal="center"/>
    </xf>
    <xf numFmtId="0" fontId="31" fillId="0" borderId="10" xfId="45" applyFont="1" applyFill="1" applyBorder="1" applyAlignment="1">
      <alignment horizontal="left" vertical="center" wrapText="1"/>
      <protection/>
    </xf>
    <xf numFmtId="2" fontId="31" fillId="0" borderId="10" xfId="33" applyNumberFormat="1" applyFont="1" applyFill="1" applyBorder="1" applyAlignment="1">
      <alignment horizontal="center" vertical="center"/>
    </xf>
    <xf numFmtId="2" fontId="12" fillId="0" borderId="10" xfId="45" applyNumberFormat="1" applyFont="1" applyFill="1" applyBorder="1" applyAlignment="1">
      <alignment horizontal="right" vertical="center"/>
      <protection/>
    </xf>
    <xf numFmtId="0" fontId="31" fillId="0" borderId="10" xfId="45" applyFont="1" applyFill="1" applyBorder="1" applyAlignment="1">
      <alignment vertical="center" wrapText="1"/>
      <protection/>
    </xf>
    <xf numFmtId="2" fontId="31" fillId="0" borderId="10" xfId="45" applyNumberFormat="1" applyFont="1" applyFill="1" applyBorder="1" applyAlignment="1">
      <alignment horizontal="center" vertical="center" wrapText="1"/>
      <protection/>
    </xf>
    <xf numFmtId="2" fontId="31" fillId="0" borderId="10" xfId="45" applyNumberFormat="1" applyFont="1" applyFill="1" applyBorder="1" applyAlignment="1">
      <alignment horizontal="right" vertical="center"/>
      <protection/>
    </xf>
    <xf numFmtId="0" fontId="12" fillId="0" borderId="10" xfId="45" applyFont="1" applyFill="1" applyBorder="1" applyAlignment="1">
      <alignment horizontal="left" vertical="center" wrapText="1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2" fontId="12" fillId="0" borderId="10" xfId="45" applyNumberFormat="1" applyFont="1" applyFill="1" applyBorder="1" applyAlignment="1">
      <alignment horizontal="center" vertical="center" wrapText="1"/>
      <protection/>
    </xf>
    <xf numFmtId="2" fontId="12" fillId="0" borderId="10" xfId="45" applyNumberFormat="1" applyFont="1" applyFill="1" applyBorder="1" applyAlignment="1">
      <alignment horizontal="right" vertical="center" wrapText="1"/>
      <protection/>
    </xf>
    <xf numFmtId="49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 quotePrefix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2" fontId="47" fillId="0" borderId="10" xfId="44" applyNumberFormat="1" applyFont="1" applyFill="1" applyBorder="1" applyAlignment="1">
      <alignment horizontal="center" vertical="center" wrapText="1"/>
    </xf>
    <xf numFmtId="2" fontId="46" fillId="0" borderId="10" xfId="44" applyNumberFormat="1" applyFont="1" applyFill="1" applyBorder="1" applyAlignment="1">
      <alignment horizontal="center" vertical="center" wrapText="1"/>
    </xf>
    <xf numFmtId="9" fontId="31" fillId="0" borderId="10" xfId="0" applyNumberFormat="1" applyFont="1" applyFill="1" applyBorder="1" applyAlignment="1" quotePrefix="1">
      <alignment horizontal="center" vertical="center" wrapText="1"/>
    </xf>
    <xf numFmtId="9" fontId="31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9" fontId="3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/>
    </xf>
    <xf numFmtId="0" fontId="12" fillId="0" borderId="0" xfId="45" applyFont="1" applyFill="1" applyAlignment="1">
      <alignment horizontal="center" vertical="center" wrapText="1"/>
      <protection/>
    </xf>
    <xf numFmtId="0" fontId="12" fillId="0" borderId="0" xfId="45" applyFont="1" applyFill="1" applyAlignment="1">
      <alignment horizontal="left" vertical="center" wrapText="1"/>
      <protection/>
    </xf>
    <xf numFmtId="0" fontId="12" fillId="0" borderId="0" xfId="45" applyFont="1" applyFill="1" applyAlignment="1">
      <alignment horizontal="center"/>
      <protection/>
    </xf>
    <xf numFmtId="0" fontId="31" fillId="0" borderId="0" xfId="0" applyFont="1" applyFill="1" applyAlignment="1">
      <alignment horizontal="center"/>
    </xf>
    <xf numFmtId="0" fontId="47" fillId="0" borderId="10" xfId="45" applyFont="1" applyFill="1" applyBorder="1" applyAlignment="1">
      <alignment horizontal="center" vertical="center" wrapText="1"/>
      <protection/>
    </xf>
    <xf numFmtId="0" fontId="12" fillId="0" borderId="10" xfId="45" applyFont="1" applyFill="1" applyBorder="1" applyAlignment="1">
      <alignment horizontal="left" vertical="center"/>
      <protection/>
    </xf>
    <xf numFmtId="49" fontId="65" fillId="0" borderId="10" xfId="99" applyNumberFormat="1" applyFont="1" applyFill="1" applyBorder="1" applyAlignment="1">
      <alignment horizontal="center" vertical="top"/>
      <protection/>
    </xf>
    <xf numFmtId="49" fontId="31" fillId="0" borderId="10" xfId="62" applyNumberFormat="1" applyFont="1" applyFill="1" applyBorder="1" applyAlignment="1">
      <alignment horizontal="center" vertical="center" wrapText="1"/>
      <protection/>
    </xf>
    <xf numFmtId="0" fontId="31" fillId="0" borderId="10" xfId="39" applyNumberFormat="1" applyFont="1" applyFill="1" applyBorder="1" applyAlignment="1">
      <alignment horizontal="left" vertical="center" wrapText="1"/>
    </xf>
    <xf numFmtId="0" fontId="31" fillId="0" borderId="10" xfId="62" applyFont="1" applyFill="1" applyBorder="1" applyAlignment="1">
      <alignment horizontal="center" vertical="center"/>
      <protection/>
    </xf>
    <xf numFmtId="2" fontId="31" fillId="0" borderId="10" xfId="62" applyNumberFormat="1" applyFont="1" applyFill="1" applyBorder="1" applyAlignment="1">
      <alignment horizontal="center" vertical="center"/>
      <protection/>
    </xf>
    <xf numFmtId="2" fontId="12" fillId="0" borderId="10" xfId="62" applyNumberFormat="1" applyFont="1" applyFill="1" applyBorder="1" applyAlignment="1">
      <alignment horizontal="center" vertical="center"/>
      <protection/>
    </xf>
    <xf numFmtId="2" fontId="12" fillId="0" borderId="10" xfId="62" applyNumberFormat="1" applyFont="1" applyFill="1" applyBorder="1" applyAlignment="1">
      <alignment vertical="center"/>
      <protection/>
    </xf>
    <xf numFmtId="0" fontId="65" fillId="0" borderId="10" xfId="99" applyFont="1" applyFill="1" applyBorder="1" applyAlignment="1">
      <alignment horizontal="center" vertical="top" wrapText="1"/>
      <protection/>
    </xf>
    <xf numFmtId="0" fontId="12" fillId="0" borderId="10" xfId="62" applyFont="1" applyFill="1" applyBorder="1" applyAlignment="1">
      <alignment vertical="center" wrapText="1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0" xfId="39" applyNumberFormat="1" applyFont="1" applyFill="1" applyBorder="1" applyAlignment="1">
      <alignment horizontal="left" vertical="center" wrapText="1"/>
    </xf>
    <xf numFmtId="0" fontId="43" fillId="0" borderId="10" xfId="99" applyFont="1" applyFill="1" applyBorder="1" applyAlignment="1">
      <alignment horizontal="center" vertical="top" wrapText="1"/>
      <protection/>
    </xf>
    <xf numFmtId="2" fontId="43" fillId="0" borderId="10" xfId="99" applyNumberFormat="1" applyFont="1" applyFill="1" applyBorder="1" applyAlignment="1">
      <alignment horizontal="center" vertical="top" wrapText="1"/>
      <protection/>
    </xf>
    <xf numFmtId="2" fontId="43" fillId="0" borderId="10" xfId="99" applyNumberFormat="1" applyFont="1" applyFill="1" applyBorder="1" applyAlignment="1">
      <alignment horizontal="center" vertical="top"/>
      <protection/>
    </xf>
    <xf numFmtId="0" fontId="65" fillId="0" borderId="10" xfId="99" applyFont="1" applyFill="1" applyBorder="1" applyAlignment="1">
      <alignment horizontal="center" vertical="top"/>
      <protection/>
    </xf>
    <xf numFmtId="0" fontId="31" fillId="0" borderId="10" xfId="35" applyNumberFormat="1" applyFont="1" applyFill="1" applyBorder="1" applyAlignment="1">
      <alignment horizontal="left" vertical="center" wrapText="1"/>
    </xf>
    <xf numFmtId="0" fontId="65" fillId="0" borderId="10" xfId="99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left" vertical="center" wrapText="1"/>
      <protection/>
    </xf>
    <xf numFmtId="2" fontId="12" fillId="0" borderId="10" xfId="62" applyNumberFormat="1" applyFont="1" applyFill="1" applyBorder="1" applyAlignment="1">
      <alignment horizontal="center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2" fontId="46" fillId="0" borderId="10" xfId="45" applyNumberFormat="1" applyFont="1" applyFill="1" applyBorder="1" applyAlignment="1">
      <alignment horizontal="center" vertical="center"/>
      <protection/>
    </xf>
    <xf numFmtId="2" fontId="46" fillId="0" borderId="10" xfId="45" applyNumberFormat="1" applyFont="1" applyFill="1" applyBorder="1" applyAlignment="1">
      <alignment horizontal="center" vertical="center" wrapText="1"/>
      <protection/>
    </xf>
    <xf numFmtId="2" fontId="47" fillId="0" borderId="10" xfId="45" applyNumberFormat="1" applyFont="1" applyFill="1" applyBorder="1" applyAlignment="1">
      <alignment horizontal="center" vertical="center" wrapText="1"/>
      <protection/>
    </xf>
    <xf numFmtId="0" fontId="71" fillId="0" borderId="10" xfId="95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/>
    </xf>
    <xf numFmtId="0" fontId="71" fillId="0" borderId="10" xfId="95" applyFont="1" applyFill="1" applyBorder="1" applyAlignment="1">
      <alignment horizontal="justify" vertical="center"/>
      <protection/>
    </xf>
    <xf numFmtId="0" fontId="71" fillId="0" borderId="10" xfId="56" applyFont="1" applyFill="1" applyBorder="1" applyAlignment="1">
      <alignment horizontal="center" vertical="center" wrapText="1"/>
      <protection/>
    </xf>
    <xf numFmtId="2" fontId="47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49" fontId="71" fillId="0" borderId="10" xfId="95" applyNumberFormat="1" applyFont="1" applyFill="1" applyBorder="1" applyAlignment="1">
      <alignment horizontal="center" vertical="center" wrapText="1"/>
      <protection/>
    </xf>
    <xf numFmtId="0" fontId="46" fillId="0" borderId="10" xfId="96" applyFont="1" applyFill="1" applyBorder="1" applyAlignment="1">
      <alignment horizontal="justify" vertical="center"/>
      <protection/>
    </xf>
    <xf numFmtId="0" fontId="46" fillId="0" borderId="10" xfId="96" applyFont="1" applyFill="1" applyBorder="1" applyAlignment="1">
      <alignment horizontal="center" vertical="center"/>
      <protection/>
    </xf>
    <xf numFmtId="2" fontId="72" fillId="0" borderId="10" xfId="56" applyNumberFormat="1" applyFont="1" applyFill="1" applyBorder="1" applyAlignment="1">
      <alignment horizontal="center" vertical="center" wrapText="1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72" fillId="0" borderId="11" xfId="95" applyFont="1" applyFill="1" applyBorder="1" applyAlignment="1">
      <alignment horizontal="justify" vertical="justify"/>
      <protection/>
    </xf>
    <xf numFmtId="0" fontId="72" fillId="0" borderId="11" xfId="95" applyFont="1" applyFill="1" applyBorder="1" applyAlignment="1">
      <alignment horizontal="center" vertical="center" wrapText="1"/>
      <protection/>
    </xf>
    <xf numFmtId="9" fontId="31" fillId="0" borderId="10" xfId="72" applyFont="1" applyFill="1" applyBorder="1" applyAlignment="1">
      <alignment horizontal="center" vertical="center"/>
    </xf>
    <xf numFmtId="0" fontId="31" fillId="0" borderId="0" xfId="45" applyFont="1" applyFill="1" applyAlignment="1">
      <alignment horizontal="center" vertical="center" wrapText="1"/>
      <protection/>
    </xf>
    <xf numFmtId="0" fontId="31" fillId="0" borderId="0" xfId="45" applyFont="1" applyFill="1" applyAlignment="1">
      <alignment horizont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 horizontal="center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187" fontId="1" fillId="0" borderId="10" xfId="56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56" applyNumberFormat="1" applyFont="1" applyFill="1" applyBorder="1" applyAlignment="1">
      <alignment horizontal="center" vertical="center"/>
      <protection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0" fontId="33" fillId="0" borderId="10" xfId="45" applyFont="1" applyFill="1" applyBorder="1" applyAlignment="1">
      <alignment horizontal="center" vertical="center"/>
      <protection/>
    </xf>
    <xf numFmtId="2" fontId="7" fillId="0" borderId="10" xfId="45" applyNumberFormat="1" applyFont="1" applyFill="1" applyBorder="1" applyAlignment="1">
      <alignment horizontal="center" vertical="center"/>
      <protection/>
    </xf>
    <xf numFmtId="187" fontId="7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ont="1" applyFill="1" applyBorder="1" applyAlignment="1">
      <alignment horizontal="center" vertical="center"/>
      <protection/>
    </xf>
    <xf numFmtId="2" fontId="2" fillId="0" borderId="0" xfId="56" applyNumberFormat="1" applyFont="1" applyFill="1" applyAlignment="1">
      <alignment horizontal="center" vertical="center"/>
      <protection/>
    </xf>
    <xf numFmtId="0" fontId="1" fillId="0" borderId="10" xfId="45" applyFont="1" applyFill="1" applyBorder="1" applyAlignment="1">
      <alignment vertical="center" wrapText="1"/>
      <protection/>
    </xf>
    <xf numFmtId="175" fontId="1" fillId="0" borderId="10" xfId="38" applyFont="1" applyFill="1" applyBorder="1" applyAlignment="1">
      <alignment horizontal="center" vertical="center" wrapText="1"/>
    </xf>
    <xf numFmtId="186" fontId="1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86" fontId="3" fillId="0" borderId="10" xfId="56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87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quotePrefix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2" fillId="0" borderId="10" xfId="45" applyNumberFormat="1" applyFont="1" applyFill="1" applyBorder="1" applyAlignment="1">
      <alignment horizontal="center" vertical="center"/>
      <protection/>
    </xf>
    <xf numFmtId="0" fontId="12" fillId="0" borderId="10" xfId="70" applyFont="1" applyFill="1" applyBorder="1" applyAlignment="1">
      <alignment horizontal="center" vertical="center"/>
      <protection/>
    </xf>
    <xf numFmtId="192" fontId="31" fillId="0" borderId="10" xfId="45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49" fontId="1" fillId="0" borderId="10" xfId="45" applyNumberFormat="1" applyFont="1" applyFill="1" applyBorder="1" applyAlignment="1">
      <alignment horizontal="center" vertical="center"/>
      <protection/>
    </xf>
    <xf numFmtId="187" fontId="1" fillId="0" borderId="10" xfId="45" applyNumberFormat="1" applyFont="1" applyFill="1" applyBorder="1" applyAlignment="1">
      <alignment horizontal="center" vertical="center"/>
      <protection/>
    </xf>
    <xf numFmtId="2" fontId="1" fillId="0" borderId="10" xfId="45" applyNumberFormat="1" applyFont="1" applyFill="1" applyBorder="1" applyAlignment="1">
      <alignment horizontal="center" vertical="center"/>
      <protection/>
    </xf>
    <xf numFmtId="0" fontId="0" fillId="0" borderId="0" xfId="45" applyFont="1" applyFill="1" applyAlignment="1">
      <alignment vertical="center"/>
      <protection/>
    </xf>
    <xf numFmtId="187" fontId="2" fillId="0" borderId="10" xfId="45" applyNumberFormat="1" applyFont="1" applyFill="1" applyBorder="1" applyAlignment="1">
      <alignment horizontal="center" vertical="center"/>
      <protection/>
    </xf>
    <xf numFmtId="0" fontId="7" fillId="0" borderId="0" xfId="94" applyFont="1" applyFill="1" applyAlignment="1">
      <alignment horizontal="center" vertical="center"/>
      <protection/>
    </xf>
    <xf numFmtId="187" fontId="1" fillId="0" borderId="10" xfId="70" applyNumberFormat="1" applyFont="1" applyFill="1" applyBorder="1" applyAlignment="1">
      <alignment horizontal="center" vertical="center"/>
      <protection/>
    </xf>
    <xf numFmtId="2" fontId="1" fillId="0" borderId="10" xfId="70" applyNumberFormat="1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left" vertical="center" wrapText="1"/>
      <protection/>
    </xf>
    <xf numFmtId="0" fontId="1" fillId="0" borderId="10" xfId="45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/>
    </xf>
    <xf numFmtId="187" fontId="79" fillId="0" borderId="10" xfId="7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vertical="center" wrapText="1"/>
    </xf>
    <xf numFmtId="185" fontId="12" fillId="0" borderId="10" xfId="0" applyNumberFormat="1" applyFont="1" applyFill="1" applyBorder="1" applyAlignment="1">
      <alignment horizontal="center" vertical="center"/>
    </xf>
    <xf numFmtId="0" fontId="1" fillId="0" borderId="10" xfId="45" applyFont="1" applyFill="1" applyBorder="1" applyAlignment="1">
      <alignment wrapText="1"/>
      <protection/>
    </xf>
    <xf numFmtId="0" fontId="1" fillId="0" borderId="10" xfId="45" applyFont="1" applyFill="1" applyBorder="1" applyAlignment="1">
      <alignment horizontal="center"/>
      <protection/>
    </xf>
    <xf numFmtId="2" fontId="1" fillId="0" borderId="10" xfId="45" applyNumberFormat="1" applyFont="1" applyFill="1" applyBorder="1" applyAlignment="1">
      <alignment horizontal="center"/>
      <protection/>
    </xf>
    <xf numFmtId="2" fontId="1" fillId="0" borderId="10" xfId="45" applyNumberFormat="1" applyFont="1" applyFill="1" applyBorder="1" applyAlignment="1">
      <alignment/>
      <protection/>
    </xf>
    <xf numFmtId="0" fontId="2" fillId="0" borderId="10" xfId="45" applyFont="1" applyFill="1" applyBorder="1" applyAlignment="1">
      <alignment horizontal="center"/>
      <protection/>
    </xf>
    <xf numFmtId="187" fontId="1" fillId="0" borderId="10" xfId="45" applyNumberFormat="1" applyFont="1" applyFill="1" applyBorder="1" applyAlignment="1">
      <alignment horizontal="center"/>
      <protection/>
    </xf>
    <xf numFmtId="185" fontId="1" fillId="0" borderId="10" xfId="45" applyNumberFormat="1" applyFont="1" applyFill="1" applyBorder="1" applyAlignment="1">
      <alignment horizontal="center"/>
      <protection/>
    </xf>
    <xf numFmtId="0" fontId="1" fillId="0" borderId="10" xfId="45" applyFont="1" applyFill="1" applyBorder="1" applyAlignment="1">
      <alignment/>
      <protection/>
    </xf>
    <xf numFmtId="0" fontId="1" fillId="0" borderId="10" xfId="45" applyFont="1" applyFill="1" applyBorder="1">
      <alignment/>
      <protection/>
    </xf>
    <xf numFmtId="187" fontId="1" fillId="0" borderId="10" xfId="45" applyNumberFormat="1" applyFont="1" applyFill="1" applyBorder="1">
      <alignment/>
      <protection/>
    </xf>
    <xf numFmtId="0" fontId="7" fillId="0" borderId="10" xfId="45" applyFont="1" applyFill="1" applyBorder="1">
      <alignment/>
      <protection/>
    </xf>
    <xf numFmtId="0" fontId="0" fillId="0" borderId="10" xfId="45" applyFill="1" applyBorder="1" applyAlignment="1">
      <alignment horizontal="center"/>
      <protection/>
    </xf>
    <xf numFmtId="0" fontId="0" fillId="0" borderId="10" xfId="45" applyFill="1" applyBorder="1">
      <alignment/>
      <protection/>
    </xf>
    <xf numFmtId="0" fontId="0" fillId="0" borderId="10" xfId="45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31" fillId="0" borderId="10" xfId="45" applyFont="1" applyFill="1" applyBorder="1" applyAlignment="1">
      <alignment wrapText="1"/>
      <protection/>
    </xf>
    <xf numFmtId="1" fontId="12" fillId="0" borderId="10" xfId="0" applyNumberFormat="1" applyFont="1" applyFill="1" applyBorder="1" applyAlignment="1">
      <alignment horizontal="center" vertical="top"/>
    </xf>
    <xf numFmtId="187" fontId="12" fillId="0" borderId="10" xfId="0" applyNumberFormat="1" applyFont="1" applyFill="1" applyBorder="1" applyAlignment="1">
      <alignment horizontal="center" vertical="top"/>
    </xf>
    <xf numFmtId="0" fontId="1" fillId="0" borderId="10" xfId="98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3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45" applyFont="1" applyFill="1" applyBorder="1" applyAlignment="1">
      <alignment wrapText="1"/>
      <protection/>
    </xf>
    <xf numFmtId="49" fontId="12" fillId="0" borderId="13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vertical="top" wrapText="1" shrinkToFit="1"/>
    </xf>
    <xf numFmtId="49" fontId="12" fillId="0" borderId="10" xfId="0" applyNumberFormat="1" applyFont="1" applyFill="1" applyBorder="1" applyAlignment="1">
      <alignment horizontal="center" vertical="top"/>
    </xf>
    <xf numFmtId="0" fontId="31" fillId="0" borderId="10" xfId="63" applyFont="1" applyFill="1" applyBorder="1" applyAlignment="1" quotePrefix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vertical="top" wrapText="1" shrinkToFit="1"/>
    </xf>
    <xf numFmtId="185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70" applyFont="1" applyFill="1" applyBorder="1" applyAlignment="1">
      <alignment horizontal="center" vertical="center"/>
      <protection/>
    </xf>
    <xf numFmtId="2" fontId="1" fillId="0" borderId="11" xfId="70" applyNumberFormat="1" applyFont="1" applyFill="1" applyBorder="1" applyAlignment="1">
      <alignment horizontal="center" vertical="center"/>
      <protection/>
    </xf>
    <xf numFmtId="187" fontId="1" fillId="0" borderId="11" xfId="45" applyNumberFormat="1" applyFont="1" applyFill="1" applyBorder="1" applyAlignment="1">
      <alignment horizontal="center" vertical="center"/>
      <protection/>
    </xf>
    <xf numFmtId="0" fontId="1" fillId="0" borderId="11" xfId="45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94" applyFont="1" applyFill="1" applyAlignment="1">
      <alignment horizontal="center"/>
      <protection/>
    </xf>
    <xf numFmtId="0" fontId="1" fillId="0" borderId="10" xfId="0" applyNumberFormat="1" applyFont="1" applyFill="1" applyBorder="1" applyAlignment="1">
      <alignment horizontal="justify" vertical="center"/>
    </xf>
    <xf numFmtId="0" fontId="1" fillId="0" borderId="10" xfId="94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2" fontId="1" fillId="0" borderId="10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10" xfId="109" applyNumberFormat="1" applyFont="1" applyFill="1" applyBorder="1" applyAlignment="1">
      <alignment horizontal="center" vertical="center" wrapText="1"/>
      <protection/>
    </xf>
    <xf numFmtId="0" fontId="1" fillId="0" borderId="10" xfId="109" applyFont="1" applyFill="1" applyBorder="1" applyAlignment="1">
      <alignment horizontal="center" vertical="center" wrapText="1"/>
      <protection/>
    </xf>
    <xf numFmtId="2" fontId="79" fillId="0" borderId="10" xfId="0" applyNumberFormat="1" applyFont="1" applyFill="1" applyBorder="1" applyAlignment="1">
      <alignment horizontal="center" vertical="center" wrapText="1"/>
    </xf>
    <xf numFmtId="0" fontId="1" fillId="0" borderId="0" xfId="109" applyFont="1" applyFill="1" applyAlignment="1">
      <alignment horizontal="center" vertical="center" wrapText="1"/>
      <protection/>
    </xf>
    <xf numFmtId="49" fontId="2" fillId="0" borderId="18" xfId="109" applyNumberFormat="1" applyFont="1" applyFill="1" applyBorder="1" applyAlignment="1">
      <alignment horizontal="center" vertical="center" wrapText="1"/>
      <protection/>
    </xf>
    <xf numFmtId="2" fontId="1" fillId="0" borderId="18" xfId="0" applyNumberFormat="1" applyFont="1" applyFill="1" applyBorder="1" applyAlignment="1">
      <alignment horizontal="center" vertical="center" wrapText="1"/>
    </xf>
    <xf numFmtId="186" fontId="79" fillId="0" borderId="10" xfId="109" applyNumberFormat="1" applyFont="1" applyFill="1" applyBorder="1" applyAlignment="1">
      <alignment horizontal="center" vertical="center" wrapText="1"/>
      <protection/>
    </xf>
    <xf numFmtId="2" fontId="79" fillId="0" borderId="10" xfId="109" applyNumberFormat="1" applyFont="1" applyFill="1" applyBorder="1" applyAlignment="1">
      <alignment horizontal="center" vertical="center" wrapText="1"/>
      <protection/>
    </xf>
    <xf numFmtId="202" fontId="2" fillId="0" borderId="10" xfId="37" applyNumberFormat="1" applyFont="1" applyFill="1" applyBorder="1" applyAlignment="1">
      <alignment horizontal="center" vertical="center"/>
    </xf>
    <xf numFmtId="2" fontId="1" fillId="0" borderId="10" xfId="98" applyNumberFormat="1" applyFont="1" applyFill="1" applyBorder="1" applyAlignment="1">
      <alignment horizontal="center" vertical="center"/>
      <protection/>
    </xf>
    <xf numFmtId="0" fontId="1" fillId="0" borderId="10" xfId="98" applyFont="1" applyFill="1" applyBorder="1" applyAlignment="1">
      <alignment vertical="center" wrapText="1"/>
      <protection/>
    </xf>
    <xf numFmtId="185" fontId="1" fillId="0" borderId="10" xfId="98" applyNumberFormat="1" applyFont="1" applyFill="1" applyBorder="1" applyAlignment="1">
      <alignment horizontal="center" vertical="center"/>
      <protection/>
    </xf>
    <xf numFmtId="0" fontId="2" fillId="0" borderId="10" xfId="98" applyFont="1" applyFill="1" applyBorder="1" applyAlignment="1">
      <alignment horizontal="center" vertical="center" wrapText="1"/>
      <protection/>
    </xf>
    <xf numFmtId="0" fontId="7" fillId="0" borderId="10" xfId="96" applyFont="1" applyFill="1" applyBorder="1" applyAlignment="1">
      <alignment horizontal="justify" vertical="center"/>
      <protection/>
    </xf>
    <xf numFmtId="0" fontId="7" fillId="0" borderId="10" xfId="96" applyFont="1" applyFill="1" applyBorder="1" applyAlignment="1">
      <alignment horizontal="center" vertical="center"/>
      <protection/>
    </xf>
    <xf numFmtId="4" fontId="7" fillId="0" borderId="10" xfId="96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/>
    </xf>
    <xf numFmtId="0" fontId="0" fillId="0" borderId="10" xfId="96" applyFont="1" applyFill="1" applyBorder="1" applyAlignment="1">
      <alignment horizontal="left" vertical="center"/>
      <protection/>
    </xf>
    <xf numFmtId="0" fontId="7" fillId="0" borderId="10" xfId="96" applyFont="1" applyFill="1" applyBorder="1" applyAlignment="1">
      <alignment horizontal="left" vertical="center"/>
      <protection/>
    </xf>
    <xf numFmtId="186" fontId="0" fillId="0" borderId="10" xfId="0" applyNumberFormat="1" applyFont="1" applyFill="1" applyBorder="1" applyAlignment="1">
      <alignment horizontal="left" vertical="center" indent="1"/>
    </xf>
    <xf numFmtId="9" fontId="0" fillId="0" borderId="10" xfId="96" applyNumberFormat="1" applyFont="1" applyFill="1" applyBorder="1" applyAlignment="1">
      <alignment horizontal="center" vertical="center"/>
      <protection/>
    </xf>
    <xf numFmtId="4" fontId="0" fillId="0" borderId="10" xfId="96" applyNumberFormat="1" applyFont="1" applyFill="1" applyBorder="1" applyAlignment="1">
      <alignment horizontal="center" vertical="center"/>
      <protection/>
    </xf>
    <xf numFmtId="4" fontId="0" fillId="0" borderId="10" xfId="96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96" applyFont="1" applyFill="1" applyBorder="1" applyAlignment="1">
      <alignment horizontal="right" vertical="center" indent="1"/>
      <protection/>
    </xf>
    <xf numFmtId="0" fontId="80" fillId="0" borderId="0" xfId="0" applyFont="1" applyFill="1" applyAlignment="1">
      <alignment horizontal="left"/>
    </xf>
    <xf numFmtId="49" fontId="7" fillId="0" borderId="10" xfId="96" applyNumberFormat="1" applyFont="1" applyFill="1" applyBorder="1" applyAlignment="1">
      <alignment horizontal="left" vertical="center"/>
      <protection/>
    </xf>
    <xf numFmtId="0" fontId="0" fillId="0" borderId="10" xfId="96" applyFont="1" applyFill="1" applyBorder="1" applyAlignment="1">
      <alignment horizontal="left" vertical="center" indent="1"/>
      <protection/>
    </xf>
    <xf numFmtId="0" fontId="80" fillId="0" borderId="0" xfId="96" applyFont="1" applyFill="1" applyAlignment="1">
      <alignment horizontal="left"/>
      <protection/>
    </xf>
    <xf numFmtId="0" fontId="80" fillId="0" borderId="0" xfId="96" applyFont="1" applyFill="1">
      <alignment/>
      <protection/>
    </xf>
    <xf numFmtId="0" fontId="81" fillId="0" borderId="0" xfId="0" applyFont="1" applyFill="1" applyAlignment="1">
      <alignment horizontal="center"/>
    </xf>
    <xf numFmtId="0" fontId="81" fillId="0" borderId="0" xfId="0" applyFont="1" applyFill="1" applyAlignment="1">
      <alignment horizontal="left"/>
    </xf>
    <xf numFmtId="0" fontId="80" fillId="0" borderId="0" xfId="0" applyFont="1" applyFill="1" applyAlignment="1">
      <alignment horizontal="center"/>
    </xf>
    <xf numFmtId="4" fontId="80" fillId="0" borderId="0" xfId="0" applyNumberFormat="1" applyFont="1" applyFill="1" applyAlignment="1">
      <alignment horizontal="center"/>
    </xf>
    <xf numFmtId="0" fontId="1" fillId="0" borderId="0" xfId="45" applyFont="1" applyFill="1" applyAlignment="1">
      <alignment horizontal="center" vertical="center" wrapText="1"/>
      <protection/>
    </xf>
    <xf numFmtId="0" fontId="1" fillId="0" borderId="0" xfId="45" applyFont="1" applyFill="1" applyAlignment="1">
      <alignment horizontal="left" vertical="center" wrapText="1"/>
      <protection/>
    </xf>
    <xf numFmtId="2" fontId="1" fillId="0" borderId="0" xfId="0" applyNumberFormat="1" applyFont="1" applyFill="1" applyAlignment="1">
      <alignment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10" xfId="98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wrapText="1"/>
      <protection/>
    </xf>
    <xf numFmtId="0" fontId="1" fillId="0" borderId="10" xfId="46" applyFont="1" applyFill="1" applyBorder="1" applyAlignment="1">
      <alignment horizontal="center" vertical="center"/>
      <protection/>
    </xf>
    <xf numFmtId="2" fontId="1" fillId="0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2" fontId="1" fillId="0" borderId="10" xfId="46" applyNumberFormat="1" applyFont="1" applyFill="1" applyBorder="1" applyAlignment="1">
      <alignment vertical="center"/>
      <protection/>
    </xf>
    <xf numFmtId="0" fontId="42" fillId="0" borderId="10" xfId="99" applyFont="1" applyFill="1" applyBorder="1" applyAlignment="1">
      <alignment horizontal="center" vertical="top"/>
      <protection/>
    </xf>
    <xf numFmtId="2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193" fontId="12" fillId="0" borderId="10" xfId="46" applyNumberFormat="1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185" fontId="1" fillId="0" borderId="10" xfId="62" applyNumberFormat="1" applyFont="1" applyFill="1" applyBorder="1" applyAlignment="1">
      <alignment horizontal="center" vertical="center"/>
      <protection/>
    </xf>
    <xf numFmtId="2" fontId="1" fillId="0" borderId="10" xfId="62" applyNumberFormat="1" applyFont="1" applyFill="1" applyBorder="1" applyAlignment="1">
      <alignment horizontal="center" vertical="center"/>
      <protection/>
    </xf>
    <xf numFmtId="2" fontId="1" fillId="0" borderId="10" xfId="62" applyNumberFormat="1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horizontal="left" vertical="center" wrapText="1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wrapText="1"/>
      <protection/>
    </xf>
    <xf numFmtId="0" fontId="1" fillId="0" borderId="10" xfId="62" applyFont="1" applyFill="1" applyBorder="1" applyAlignment="1">
      <alignment vertical="center"/>
      <protection/>
    </xf>
    <xf numFmtId="0" fontId="43" fillId="0" borderId="10" xfId="99" applyFont="1" applyFill="1" applyBorder="1" applyAlignment="1">
      <alignment horizontal="left" vertical="top" wrapText="1"/>
      <protection/>
    </xf>
    <xf numFmtId="187" fontId="1" fillId="0" borderId="10" xfId="62" applyNumberFormat="1" applyFont="1" applyFill="1" applyBorder="1" applyAlignment="1">
      <alignment horizontal="center" vertical="center"/>
      <protection/>
    </xf>
    <xf numFmtId="186" fontId="1" fillId="0" borderId="10" xfId="62" applyNumberFormat="1" applyFont="1" applyFill="1" applyBorder="1" applyAlignment="1">
      <alignment horizontal="center" vertical="center"/>
      <protection/>
    </xf>
    <xf numFmtId="186" fontId="1" fillId="0" borderId="10" xfId="62" applyNumberFormat="1" applyFont="1" applyFill="1" applyBorder="1" applyAlignment="1">
      <alignment vertical="center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2" fillId="0" borderId="10" xfId="69" applyFont="1" applyFill="1" applyBorder="1" applyAlignment="1">
      <alignment horizontal="center" vertical="center"/>
      <protection/>
    </xf>
    <xf numFmtId="2" fontId="2" fillId="0" borderId="10" xfId="69" applyNumberFormat="1" applyFont="1" applyFill="1" applyBorder="1" applyAlignment="1">
      <alignment horizontal="center" vertical="center" wrapText="1"/>
      <protection/>
    </xf>
    <xf numFmtId="2" fontId="2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vertical="center" wrapText="1"/>
      <protection/>
    </xf>
    <xf numFmtId="0" fontId="1" fillId="0" borderId="10" xfId="69" applyFont="1" applyFill="1" applyBorder="1" applyAlignment="1">
      <alignment horizontal="center" vertical="center"/>
      <protection/>
    </xf>
    <xf numFmtId="2" fontId="1" fillId="0" borderId="10" xfId="69" applyNumberFormat="1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 quotePrefix="1">
      <alignment horizontal="center" vertical="center" wrapText="1"/>
      <protection/>
    </xf>
    <xf numFmtId="2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06" applyNumberFormat="1" applyFont="1" applyFill="1" applyBorder="1" applyAlignment="1">
      <alignment horizontal="center" vertical="center" wrapText="1"/>
    </xf>
    <xf numFmtId="175" fontId="6" fillId="0" borderId="10" xfId="106" applyFont="1" applyFill="1" applyBorder="1" applyAlignment="1">
      <alignment horizontal="center" vertical="center"/>
    </xf>
    <xf numFmtId="175" fontId="6" fillId="0" borderId="10" xfId="106" applyFont="1" applyFill="1" applyBorder="1" applyAlignment="1">
      <alignment horizontal="center" vertical="center" wrapText="1"/>
    </xf>
    <xf numFmtId="175" fontId="6" fillId="0" borderId="10" xfId="106" applyFont="1" applyFill="1" applyBorder="1" applyAlignment="1">
      <alignment horizontal="left" vertical="center" wrapText="1"/>
    </xf>
    <xf numFmtId="175" fontId="6" fillId="0" borderId="0" xfId="106" applyFont="1" applyFill="1" applyAlignment="1">
      <alignment horizontal="center" vertical="center" wrapText="1"/>
    </xf>
    <xf numFmtId="175" fontId="6" fillId="0" borderId="0" xfId="106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209" fontId="5" fillId="0" borderId="0" xfId="103" applyNumberFormat="1" applyFont="1" applyFill="1" applyAlignment="1">
      <alignment horizontal="center" vertical="center" wrapText="1"/>
    </xf>
    <xf numFmtId="2" fontId="5" fillId="0" borderId="0" xfId="106" applyNumberFormat="1" applyFont="1" applyFill="1" applyAlignment="1">
      <alignment horizontal="center" vertical="center" wrapText="1"/>
    </xf>
    <xf numFmtId="175" fontId="5" fillId="0" borderId="0" xfId="106" applyFont="1" applyFill="1" applyAlignment="1">
      <alignment horizontal="center" vertical="center" wrapText="1"/>
    </xf>
    <xf numFmtId="0" fontId="6" fillId="0" borderId="0" xfId="98" applyFon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vertical="center" wrapText="1"/>
    </xf>
    <xf numFmtId="184" fontId="6" fillId="0" borderId="0" xfId="0" applyNumberFormat="1" applyFont="1" applyFill="1" applyAlignment="1">
      <alignment horizontal="left" vertical="center" wrapText="1"/>
    </xf>
    <xf numFmtId="175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188" fontId="6" fillId="0" borderId="0" xfId="106" applyNumberFormat="1" applyFont="1" applyFill="1" applyAlignment="1">
      <alignment horizontal="center" vertical="center" wrapText="1"/>
    </xf>
    <xf numFmtId="0" fontId="6" fillId="0" borderId="0" xfId="106" applyNumberFormat="1" applyFont="1" applyFill="1" applyAlignment="1">
      <alignment horizontal="center" vertical="center" wrapText="1"/>
    </xf>
    <xf numFmtId="188" fontId="6" fillId="0" borderId="0" xfId="106" applyNumberFormat="1" applyFont="1" applyFill="1" applyAlignment="1">
      <alignment vertical="center" wrapText="1"/>
    </xf>
    <xf numFmtId="188" fontId="6" fillId="0" borderId="0" xfId="106" applyNumberFormat="1" applyFont="1" applyFill="1" applyAlignment="1">
      <alignment horizontal="left" vertical="center" wrapText="1"/>
    </xf>
    <xf numFmtId="188" fontId="6" fillId="0" borderId="0" xfId="106" applyNumberFormat="1" applyFont="1" applyFill="1" applyAlignment="1">
      <alignment vertical="center"/>
    </xf>
    <xf numFmtId="184" fontId="6" fillId="0" borderId="0" xfId="106" applyNumberFormat="1" applyFont="1" applyFill="1" applyAlignment="1">
      <alignment horizontal="center" vertical="center" wrapText="1"/>
    </xf>
    <xf numFmtId="184" fontId="6" fillId="0" borderId="0" xfId="106" applyNumberFormat="1" applyFont="1" applyFill="1" applyAlignment="1">
      <alignment vertical="center" wrapText="1"/>
    </xf>
    <xf numFmtId="184" fontId="6" fillId="0" borderId="0" xfId="106" applyNumberFormat="1" applyFont="1" applyFill="1" applyAlignment="1">
      <alignment horizontal="left" vertical="center" wrapText="1"/>
    </xf>
    <xf numFmtId="184" fontId="6" fillId="0" borderId="0" xfId="106" applyNumberFormat="1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1" fillId="0" borderId="10" xfId="3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" fontId="1" fillId="0" borderId="10" xfId="33" applyNumberFormat="1" applyFont="1" applyFill="1" applyBorder="1" applyAlignment="1">
      <alignment horizontal="center" vertical="center" wrapText="1"/>
    </xf>
    <xf numFmtId="2" fontId="1" fillId="0" borderId="10" xfId="45" applyNumberFormat="1" applyFont="1" applyFill="1" applyBorder="1" applyAlignment="1">
      <alignment horizontal="center" vertical="center" wrapText="1"/>
      <protection/>
    </xf>
    <xf numFmtId="186" fontId="1" fillId="0" borderId="10" xfId="33" applyNumberFormat="1" applyFont="1" applyFill="1" applyBorder="1" applyAlignment="1">
      <alignment horizontal="center" vertical="center" wrapText="1"/>
    </xf>
    <xf numFmtId="186" fontId="1" fillId="0" borderId="10" xfId="33" applyNumberFormat="1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5" fontId="1" fillId="0" borderId="10" xfId="33" applyFont="1" applyFill="1" applyBorder="1" applyAlignment="1">
      <alignment horizontal="center" vertical="center" wrapText="1"/>
    </xf>
    <xf numFmtId="2" fontId="0" fillId="0" borderId="10" xfId="45" applyNumberFormat="1" applyFont="1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/>
      <protection/>
    </xf>
    <xf numFmtId="2" fontId="1" fillId="0" borderId="10" xfId="52" applyNumberFormat="1" applyFont="1" applyFill="1" applyBorder="1" applyAlignment="1">
      <alignment horizontal="center" vertical="center"/>
      <protection/>
    </xf>
    <xf numFmtId="186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0" xfId="98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98" applyFont="1" applyFill="1" applyAlignment="1">
      <alignment horizontal="center" vertical="center" shrinkToFit="1"/>
      <protection/>
    </xf>
    <xf numFmtId="0" fontId="2" fillId="0" borderId="0" xfId="98" applyFont="1" applyFill="1" applyAlignment="1">
      <alignment horizontal="center" vertical="center" wrapText="1" shrinkToFit="1"/>
      <protection/>
    </xf>
    <xf numFmtId="0" fontId="4" fillId="0" borderId="0" xfId="45" applyFont="1" applyFill="1" applyAlignment="1">
      <alignment horizontal="center" vertical="center"/>
      <protection/>
    </xf>
    <xf numFmtId="0" fontId="2" fillId="0" borderId="19" xfId="45" applyFont="1" applyFill="1" applyBorder="1" applyAlignment="1">
      <alignment horizontal="left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49" fontId="2" fillId="0" borderId="11" xfId="45" applyNumberFormat="1" applyFont="1" applyFill="1" applyBorder="1" applyAlignment="1">
      <alignment horizontal="center" vertical="center" textRotation="90"/>
      <protection/>
    </xf>
    <xf numFmtId="49" fontId="2" fillId="0" borderId="12" xfId="45" applyNumberFormat="1" applyFont="1" applyFill="1" applyBorder="1" applyAlignment="1">
      <alignment horizontal="center" vertical="center" textRotation="90"/>
      <protection/>
    </xf>
    <xf numFmtId="0" fontId="2" fillId="0" borderId="17" xfId="45" applyFont="1" applyFill="1" applyBorder="1" applyAlignment="1">
      <alignment horizontal="center" vertical="center"/>
      <protection/>
    </xf>
    <xf numFmtId="0" fontId="2" fillId="0" borderId="18" xfId="45" applyFont="1" applyFill="1" applyBorder="1" applyAlignment="1">
      <alignment horizontal="center" vertical="center"/>
      <protection/>
    </xf>
    <xf numFmtId="2" fontId="2" fillId="0" borderId="10" xfId="45" applyNumberFormat="1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right" vertical="center" wrapText="1"/>
      <protection/>
    </xf>
    <xf numFmtId="0" fontId="2" fillId="0" borderId="0" xfId="45" applyFont="1" applyFill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  <protection/>
    </xf>
    <xf numFmtId="0" fontId="31" fillId="0" borderId="10" xfId="45" applyFont="1" applyFill="1" applyBorder="1" applyAlignment="1">
      <alignment horizontal="center" vertical="center"/>
      <protection/>
    </xf>
    <xf numFmtId="0" fontId="12" fillId="0" borderId="0" xfId="45" applyFont="1" applyFill="1" applyAlignment="1">
      <alignment horizontal="left"/>
      <protection/>
    </xf>
    <xf numFmtId="0" fontId="31" fillId="0" borderId="0" xfId="98" applyFont="1" applyFill="1" applyAlignment="1">
      <alignment horizontal="center" vertical="center" shrinkToFit="1"/>
      <protection/>
    </xf>
    <xf numFmtId="0" fontId="31" fillId="0" borderId="0" xfId="98" applyFont="1" applyFill="1" applyAlignment="1">
      <alignment horizontal="center" vertical="center" wrapText="1" shrinkToFit="1"/>
      <protection/>
    </xf>
    <xf numFmtId="0" fontId="12" fillId="0" borderId="19" xfId="45" applyFont="1" applyFill="1" applyBorder="1" applyAlignment="1">
      <alignment horizontal="right" vertical="center"/>
      <protection/>
    </xf>
    <xf numFmtId="0" fontId="3" fillId="0" borderId="19" xfId="45" applyFont="1" applyFill="1" applyBorder="1" applyAlignment="1">
      <alignment horizontal="right" vertical="center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1" fillId="0" borderId="0" xfId="45" applyFont="1" applyFill="1" applyAlignment="1">
      <alignment horizontal="left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98" applyFont="1" applyFill="1" applyAlignment="1">
      <alignment horizontal="center" vertical="center" wrapText="1" shrinkToFit="1"/>
      <protection/>
    </xf>
    <xf numFmtId="0" fontId="3" fillId="0" borderId="19" xfId="0" applyFont="1" applyFill="1" applyBorder="1" applyAlignment="1">
      <alignment horizontal="right" vertical="center"/>
    </xf>
    <xf numFmtId="0" fontId="11" fillId="0" borderId="17" xfId="98" applyFont="1" applyFill="1" applyBorder="1" applyAlignment="1">
      <alignment horizontal="center" vertical="center"/>
      <protection/>
    </xf>
    <xf numFmtId="0" fontId="11" fillId="0" borderId="20" xfId="98" applyFont="1" applyFill="1" applyBorder="1" applyAlignment="1">
      <alignment horizontal="center" vertical="center"/>
      <protection/>
    </xf>
    <xf numFmtId="0" fontId="11" fillId="0" borderId="18" xfId="98" applyFont="1" applyFill="1" applyBorder="1" applyAlignment="1">
      <alignment horizontal="center" vertical="center"/>
      <protection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Comma 10 2" xfId="34"/>
    <cellStyle name="Comma 19" xfId="35"/>
    <cellStyle name="Comma 2" xfId="36"/>
    <cellStyle name="Comma 2 2" xfId="37"/>
    <cellStyle name="Comma 2 3" xfId="38"/>
    <cellStyle name="Comma 2 4" xfId="39"/>
    <cellStyle name="Comma 20" xfId="40"/>
    <cellStyle name="Comma 3" xfId="41"/>
    <cellStyle name="Comma 4" xfId="42"/>
    <cellStyle name="Comma 5" xfId="43"/>
    <cellStyle name="Comma 6" xfId="44"/>
    <cellStyle name="Normal 10" xfId="45"/>
    <cellStyle name="Normal 11" xfId="46"/>
    <cellStyle name="Normal 13 3 4" xfId="47"/>
    <cellStyle name="Normal 13 5 3" xfId="48"/>
    <cellStyle name="Normal 14" xfId="49"/>
    <cellStyle name="Normal 14 3 2" xfId="50"/>
    <cellStyle name="Normal 16_axalqalaqis skola " xfId="51"/>
    <cellStyle name="Normal 2" xfId="52"/>
    <cellStyle name="Normal 2 2 2" xfId="53"/>
    <cellStyle name="Normal 2 2_MCXETA yazarma- Copy" xfId="54"/>
    <cellStyle name="Normal 2_---SUL--- GORI-HOSPITALI-BOLO" xfId="55"/>
    <cellStyle name="Normal 3" xfId="56"/>
    <cellStyle name="Normal 3 5" xfId="57"/>
    <cellStyle name="Normal 35 2" xfId="58"/>
    <cellStyle name="Normal 4" xfId="59"/>
    <cellStyle name="Normal 49" xfId="60"/>
    <cellStyle name="Normal 5" xfId="61"/>
    <cellStyle name="Normal 5 4 2" xfId="62"/>
    <cellStyle name="Normal 50" xfId="63"/>
    <cellStyle name="Normal 6" xfId="64"/>
    <cellStyle name="Normal 7" xfId="65"/>
    <cellStyle name="Normal 7 2" xfId="66"/>
    <cellStyle name="Normal 7 3" xfId="67"/>
    <cellStyle name="Normal 8" xfId="68"/>
    <cellStyle name="Normal 9" xfId="69"/>
    <cellStyle name="Normal_gare wyalsadfenigagarini 2 2" xfId="70"/>
    <cellStyle name="Percent 2" xfId="71"/>
    <cellStyle name="Percent 2 2" xfId="72"/>
    <cellStyle name="Percent 3" xfId="73"/>
    <cellStyle name="Style 1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Лист1" xfId="98"/>
    <cellStyle name="Обычный_Лист1 2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  <cellStyle name="ჩვეულებრივი 2" xfId="109"/>
    <cellStyle name="ჩვეულებრივი 2 2 2" xfId="110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68"/>
  <sheetViews>
    <sheetView tabSelected="1" view="pageBreakPreview" zoomScaleNormal="85" zoomScaleSheetLayoutView="100" workbookViewId="0" topLeftCell="A1">
      <selection activeCell="D8" sqref="D8:H17"/>
    </sheetView>
  </sheetViews>
  <sheetFormatPr defaultColWidth="9.140625" defaultRowHeight="12.75"/>
  <cols>
    <col min="1" max="1" width="3.421875" style="7" customWidth="1"/>
    <col min="2" max="2" width="7.7109375" style="7" customWidth="1"/>
    <col min="3" max="3" width="52.28125" style="7" customWidth="1"/>
    <col min="4" max="4" width="14.28125" style="4" customWidth="1"/>
    <col min="5" max="5" width="12.421875" style="4" customWidth="1"/>
    <col min="6" max="6" width="14.7109375" style="20" customWidth="1"/>
    <col min="7" max="7" width="13.421875" style="21" customWidth="1"/>
    <col min="8" max="8" width="14.8515625" style="7" customWidth="1"/>
    <col min="9" max="9" width="11.140625" style="7" customWidth="1"/>
    <col min="10" max="10" width="13.421875" style="7" bestFit="1" customWidth="1"/>
    <col min="11" max="11" width="10.28125" style="7" bestFit="1" customWidth="1"/>
    <col min="12" max="16384" width="9.140625" style="7" customWidth="1"/>
  </cols>
  <sheetData>
    <row r="1" spans="1:9" ht="15.75">
      <c r="A1" s="651" t="s">
        <v>24</v>
      </c>
      <c r="B1" s="651"/>
      <c r="C1" s="651"/>
      <c r="D1" s="651"/>
      <c r="E1" s="651"/>
      <c r="F1" s="651"/>
      <c r="G1" s="651"/>
      <c r="H1" s="651"/>
      <c r="I1" s="651"/>
    </row>
    <row r="2" spans="1:9" s="6" customFormat="1" ht="15.75">
      <c r="A2" s="652" t="e">
        <f>#REF!</f>
        <v>#REF!</v>
      </c>
      <c r="B2" s="652"/>
      <c r="C2" s="652"/>
      <c r="D2" s="652"/>
      <c r="E2" s="652"/>
      <c r="F2" s="652"/>
      <c r="G2" s="652"/>
      <c r="H2" s="652"/>
      <c r="I2" s="652"/>
    </row>
    <row r="3" spans="3:9" ht="16.5" customHeight="1">
      <c r="C3" s="4"/>
      <c r="F3" s="653" t="s">
        <v>9</v>
      </c>
      <c r="G3" s="653"/>
      <c r="H3" s="653"/>
      <c r="I3" s="653"/>
    </row>
    <row r="4" spans="1:9" ht="15.75" customHeight="1">
      <c r="A4" s="654" t="s">
        <v>10</v>
      </c>
      <c r="B4" s="655" t="s">
        <v>11</v>
      </c>
      <c r="C4" s="655" t="s">
        <v>12</v>
      </c>
      <c r="D4" s="654" t="s">
        <v>13</v>
      </c>
      <c r="E4" s="654"/>
      <c r="F4" s="654"/>
      <c r="G4" s="654"/>
      <c r="H4" s="654"/>
      <c r="I4" s="655" t="s">
        <v>14</v>
      </c>
    </row>
    <row r="5" spans="1:9" ht="23.25" customHeight="1">
      <c r="A5" s="654"/>
      <c r="B5" s="655"/>
      <c r="C5" s="655"/>
      <c r="D5" s="655" t="s">
        <v>15</v>
      </c>
      <c r="E5" s="655" t="s">
        <v>16</v>
      </c>
      <c r="F5" s="655" t="s">
        <v>17</v>
      </c>
      <c r="G5" s="655" t="s">
        <v>18</v>
      </c>
      <c r="H5" s="654" t="s">
        <v>19</v>
      </c>
      <c r="I5" s="655"/>
    </row>
    <row r="6" spans="1:9" ht="15.75">
      <c r="A6" s="654"/>
      <c r="B6" s="655"/>
      <c r="C6" s="655"/>
      <c r="D6" s="655"/>
      <c r="E6" s="655"/>
      <c r="F6" s="655"/>
      <c r="G6" s="655"/>
      <c r="H6" s="654"/>
      <c r="I6" s="655"/>
    </row>
    <row r="7" spans="1:9" ht="14.25" customHeight="1">
      <c r="A7" s="3">
        <v>1</v>
      </c>
      <c r="B7" s="5">
        <v>2</v>
      </c>
      <c r="C7" s="3">
        <v>3</v>
      </c>
      <c r="D7" s="5">
        <v>4</v>
      </c>
      <c r="E7" s="5">
        <v>5</v>
      </c>
      <c r="F7" s="5">
        <v>6</v>
      </c>
      <c r="G7" s="5">
        <v>7</v>
      </c>
      <c r="H7" s="8">
        <v>8</v>
      </c>
      <c r="I7" s="3">
        <v>9</v>
      </c>
    </row>
    <row r="8" spans="1:9" ht="15.75">
      <c r="A8" s="3">
        <v>1</v>
      </c>
      <c r="B8" s="9" t="s">
        <v>167</v>
      </c>
      <c r="C8" s="10" t="s">
        <v>510</v>
      </c>
      <c r="D8" s="33"/>
      <c r="E8" s="32"/>
      <c r="F8" s="32"/>
      <c r="G8" s="34"/>
      <c r="H8" s="32"/>
      <c r="I8" s="11"/>
    </row>
    <row r="9" spans="1:9" ht="15.75">
      <c r="A9" s="3"/>
      <c r="B9" s="9" t="s">
        <v>45</v>
      </c>
      <c r="C9" s="10" t="s">
        <v>166</v>
      </c>
      <c r="D9" s="33"/>
      <c r="E9" s="32"/>
      <c r="F9" s="32"/>
      <c r="G9" s="34"/>
      <c r="H9" s="32"/>
      <c r="I9" s="11"/>
    </row>
    <row r="10" spans="1:9" ht="15.75">
      <c r="A10" s="3"/>
      <c r="B10" s="9"/>
      <c r="C10" s="10" t="s">
        <v>2</v>
      </c>
      <c r="D10" s="33"/>
      <c r="E10" s="32"/>
      <c r="F10" s="32"/>
      <c r="G10" s="34"/>
      <c r="H10" s="32"/>
      <c r="I10" s="11"/>
    </row>
    <row r="11" spans="1:9" ht="21" customHeight="1">
      <c r="A11" s="12"/>
      <c r="B11" s="12"/>
      <c r="C11" s="13" t="s">
        <v>20</v>
      </c>
      <c r="D11" s="32"/>
      <c r="E11" s="32"/>
      <c r="F11" s="32"/>
      <c r="G11" s="32"/>
      <c r="H11" s="32"/>
      <c r="I11" s="11"/>
    </row>
    <row r="12" spans="1:9" ht="15.75">
      <c r="A12" s="12"/>
      <c r="B12" s="12"/>
      <c r="C12" s="13" t="s">
        <v>2</v>
      </c>
      <c r="D12" s="32"/>
      <c r="E12" s="32"/>
      <c r="F12" s="32"/>
      <c r="G12" s="32"/>
      <c r="H12" s="32"/>
      <c r="I12" s="11"/>
    </row>
    <row r="13" spans="1:9" ht="18.75" customHeight="1">
      <c r="A13" s="12"/>
      <c r="B13" s="12"/>
      <c r="C13" s="13" t="s">
        <v>21</v>
      </c>
      <c r="D13" s="32"/>
      <c r="E13" s="32"/>
      <c r="F13" s="32"/>
      <c r="G13" s="32"/>
      <c r="H13" s="32"/>
      <c r="I13" s="11"/>
    </row>
    <row r="14" spans="1:11" ht="17.25" customHeight="1">
      <c r="A14" s="12"/>
      <c r="B14" s="12"/>
      <c r="C14" s="13" t="s">
        <v>2</v>
      </c>
      <c r="D14" s="32"/>
      <c r="E14" s="32"/>
      <c r="F14" s="32"/>
      <c r="G14" s="32"/>
      <c r="H14" s="32"/>
      <c r="I14" s="11"/>
      <c r="J14" s="46"/>
      <c r="K14" s="47"/>
    </row>
    <row r="15" spans="1:11" ht="15.75">
      <c r="A15" s="12"/>
      <c r="B15" s="12"/>
      <c r="C15" s="44" t="s">
        <v>138</v>
      </c>
      <c r="D15" s="43"/>
      <c r="E15" s="36"/>
      <c r="F15" s="49"/>
      <c r="G15" s="32"/>
      <c r="H15" s="32"/>
      <c r="I15" s="11"/>
      <c r="J15" s="46"/>
      <c r="K15" s="47"/>
    </row>
    <row r="16" spans="1:11" ht="17.25" customHeight="1">
      <c r="A16" s="12"/>
      <c r="B16" s="12"/>
      <c r="C16" s="44" t="s">
        <v>139</v>
      </c>
      <c r="D16" s="43"/>
      <c r="E16" s="36"/>
      <c r="F16" s="49"/>
      <c r="G16" s="32"/>
      <c r="H16" s="32"/>
      <c r="I16" s="11"/>
      <c r="J16" s="46"/>
      <c r="K16" s="47"/>
    </row>
    <row r="17" spans="1:11" ht="17.25" customHeight="1">
      <c r="A17" s="51"/>
      <c r="B17" s="51"/>
      <c r="C17" s="52" t="s">
        <v>129</v>
      </c>
      <c r="D17" s="53"/>
      <c r="E17" s="53"/>
      <c r="F17" s="53"/>
      <c r="G17" s="53"/>
      <c r="H17" s="54"/>
      <c r="I17" s="11"/>
      <c r="J17" s="46"/>
      <c r="K17" s="47"/>
    </row>
    <row r="18" spans="3:11" ht="17.25" customHeight="1">
      <c r="C18" s="21"/>
      <c r="D18" s="50"/>
      <c r="E18" s="50"/>
      <c r="F18" s="50"/>
      <c r="G18" s="50"/>
      <c r="H18" s="50"/>
      <c r="I18" s="19"/>
      <c r="J18" s="55"/>
      <c r="K18" s="47"/>
    </row>
    <row r="19" spans="3:11" ht="17.25" customHeight="1">
      <c r="C19" s="21"/>
      <c r="D19" s="50"/>
      <c r="E19" s="50"/>
      <c r="F19" s="50"/>
      <c r="G19" s="50"/>
      <c r="H19" s="50"/>
      <c r="I19" s="19"/>
      <c r="J19" s="46"/>
      <c r="K19" s="47"/>
    </row>
    <row r="20" spans="3:9" ht="15.75">
      <c r="C20" s="15"/>
      <c r="D20" s="16"/>
      <c r="E20" s="16"/>
      <c r="F20" s="17"/>
      <c r="G20" s="18"/>
      <c r="H20" s="19"/>
      <c r="I20" s="35"/>
    </row>
    <row r="21" spans="2:13" s="37" customFormat="1" ht="13.5">
      <c r="B21" s="40"/>
      <c r="L21" s="40"/>
      <c r="M21" s="39"/>
    </row>
    <row r="22" s="37" customFormat="1" ht="13.5">
      <c r="C22" s="42"/>
    </row>
    <row r="23" spans="3:8" s="37" customFormat="1" ht="13.5">
      <c r="C23" s="42"/>
      <c r="G23" s="656"/>
      <c r="H23" s="656"/>
    </row>
    <row r="24" s="37" customFormat="1" ht="15" customHeight="1">
      <c r="C24" s="42"/>
    </row>
    <row r="25" spans="3:9" s="40" customFormat="1" ht="13.5">
      <c r="C25" s="38"/>
      <c r="I25" s="41"/>
    </row>
    <row r="26" spans="4:7" ht="15.75">
      <c r="D26" s="21"/>
      <c r="E26" s="7"/>
      <c r="F26" s="7"/>
      <c r="G26" s="7"/>
    </row>
    <row r="27" spans="4:7" ht="15.75">
      <c r="D27" s="21"/>
      <c r="E27" s="7"/>
      <c r="F27" s="7"/>
      <c r="G27" s="7"/>
    </row>
    <row r="40" spans="4:8" ht="15.75">
      <c r="D40" s="22"/>
      <c r="E40" s="23"/>
      <c r="F40" s="24"/>
      <c r="G40" s="25"/>
      <c r="H40" s="26"/>
    </row>
    <row r="41" spans="4:8" ht="15.75">
      <c r="D41" s="27"/>
      <c r="E41" s="23"/>
      <c r="F41" s="28"/>
      <c r="G41" s="29"/>
      <c r="H41" s="30"/>
    </row>
    <row r="42" spans="2:8" ht="15.75">
      <c r="B42" s="31"/>
      <c r="D42" s="27"/>
      <c r="E42" s="23"/>
      <c r="F42" s="28"/>
      <c r="G42" s="29"/>
      <c r="H42" s="30"/>
    </row>
    <row r="43" spans="4:8" ht="15.75">
      <c r="D43" s="27"/>
      <c r="E43" s="23"/>
      <c r="F43" s="28"/>
      <c r="G43" s="29"/>
      <c r="H43" s="30"/>
    </row>
    <row r="44" spans="2:8" ht="15.75">
      <c r="B44" s="31"/>
      <c r="D44" s="27"/>
      <c r="E44" s="23"/>
      <c r="F44" s="28"/>
      <c r="G44" s="29"/>
      <c r="H44" s="30"/>
    </row>
    <row r="45" spans="4:8" ht="15.75">
      <c r="D45" s="27"/>
      <c r="E45" s="23"/>
      <c r="F45" s="28"/>
      <c r="G45" s="29"/>
      <c r="H45" s="30"/>
    </row>
    <row r="46" spans="4:8" ht="15.75">
      <c r="D46" s="27"/>
      <c r="E46" s="23"/>
      <c r="F46" s="28"/>
      <c r="G46" s="29"/>
      <c r="H46" s="30"/>
    </row>
    <row r="47" spans="4:8" ht="15.75">
      <c r="D47" s="27"/>
      <c r="E47" s="23"/>
      <c r="F47" s="28"/>
      <c r="G47" s="29"/>
      <c r="H47" s="30"/>
    </row>
    <row r="48" spans="4:8" ht="15.75">
      <c r="D48" s="27"/>
      <c r="E48" s="23"/>
      <c r="F48" s="28"/>
      <c r="G48" s="29"/>
      <c r="H48" s="30"/>
    </row>
    <row r="49" spans="2:8" ht="15.75">
      <c r="B49" s="31"/>
      <c r="D49" s="27"/>
      <c r="E49" s="23"/>
      <c r="F49" s="28"/>
      <c r="G49" s="29"/>
      <c r="H49" s="30"/>
    </row>
    <row r="50" spans="2:8" ht="15.75">
      <c r="B50" s="31"/>
      <c r="D50" s="27"/>
      <c r="E50" s="23"/>
      <c r="F50" s="28"/>
      <c r="G50" s="29"/>
      <c r="H50" s="30"/>
    </row>
    <row r="51" spans="2:8" ht="15.75">
      <c r="B51" s="31"/>
      <c r="D51" s="27"/>
      <c r="E51" s="23"/>
      <c r="F51" s="28"/>
      <c r="G51" s="29"/>
      <c r="H51" s="30"/>
    </row>
    <row r="52" spans="4:8" ht="15.75">
      <c r="D52" s="27"/>
      <c r="E52" s="23"/>
      <c r="F52" s="28"/>
      <c r="G52" s="29"/>
      <c r="H52" s="30"/>
    </row>
    <row r="53" spans="4:8" ht="15.75">
      <c r="D53" s="27"/>
      <c r="E53" s="23"/>
      <c r="F53" s="28"/>
      <c r="G53" s="29"/>
      <c r="H53" s="30"/>
    </row>
    <row r="54" spans="4:8" ht="15.75">
      <c r="D54" s="27"/>
      <c r="E54" s="23"/>
      <c r="F54" s="28"/>
      <c r="G54" s="29"/>
      <c r="H54" s="30"/>
    </row>
    <row r="55" spans="2:8" ht="15.75">
      <c r="B55" s="31"/>
      <c r="D55" s="27"/>
      <c r="E55" s="23"/>
      <c r="F55" s="28"/>
      <c r="G55" s="29"/>
      <c r="H55" s="30"/>
    </row>
    <row r="56" spans="4:8" ht="15.75">
      <c r="D56" s="27"/>
      <c r="E56" s="23"/>
      <c r="F56" s="28"/>
      <c r="G56" s="29"/>
      <c r="H56" s="30"/>
    </row>
    <row r="57" spans="4:8" ht="15.75">
      <c r="D57" s="27"/>
      <c r="E57" s="23"/>
      <c r="F57" s="28"/>
      <c r="G57" s="29"/>
      <c r="H57" s="30"/>
    </row>
    <row r="58" spans="4:8" ht="15.75">
      <c r="D58" s="27"/>
      <c r="E58" s="23"/>
      <c r="F58" s="28"/>
      <c r="G58" s="29"/>
      <c r="H58" s="30"/>
    </row>
    <row r="59" spans="4:8" ht="15.75">
      <c r="D59" s="27"/>
      <c r="E59" s="23"/>
      <c r="F59" s="28"/>
      <c r="G59" s="29"/>
      <c r="H59" s="30"/>
    </row>
    <row r="60" spans="4:8" ht="15.75">
      <c r="D60" s="27"/>
      <c r="E60" s="23"/>
      <c r="F60" s="28"/>
      <c r="G60" s="29"/>
      <c r="H60" s="30"/>
    </row>
    <row r="61" spans="4:8" ht="15.75">
      <c r="D61" s="27"/>
      <c r="E61" s="23"/>
      <c r="F61" s="28"/>
      <c r="G61" s="29"/>
      <c r="H61" s="30"/>
    </row>
    <row r="62" spans="2:8" ht="15.75">
      <c r="B62" s="14"/>
      <c r="D62" s="27"/>
      <c r="E62" s="23"/>
      <c r="F62" s="28"/>
      <c r="G62" s="29"/>
      <c r="H62" s="30"/>
    </row>
    <row r="63" spans="4:8" ht="15.75">
      <c r="D63" s="27"/>
      <c r="E63" s="23"/>
      <c r="F63" s="28"/>
      <c r="G63" s="29"/>
      <c r="H63" s="30"/>
    </row>
    <row r="64" spans="4:8" ht="15.75">
      <c r="D64" s="27"/>
      <c r="E64" s="23"/>
      <c r="F64" s="28"/>
      <c r="G64" s="29"/>
      <c r="H64" s="30"/>
    </row>
    <row r="65" spans="4:8" ht="15.75">
      <c r="D65" s="27"/>
      <c r="E65" s="23"/>
      <c r="F65" s="28"/>
      <c r="G65" s="29"/>
      <c r="H65" s="30"/>
    </row>
    <row r="66" spans="4:8" ht="15.75">
      <c r="D66" s="27"/>
      <c r="E66" s="23"/>
      <c r="F66" s="28"/>
      <c r="G66" s="29"/>
      <c r="H66" s="30"/>
    </row>
    <row r="67" spans="4:8" ht="15.75">
      <c r="D67" s="27"/>
      <c r="E67" s="23"/>
      <c r="F67" s="28"/>
      <c r="G67" s="29"/>
      <c r="H67" s="30"/>
    </row>
    <row r="68" spans="4:8" ht="15.75">
      <c r="D68" s="27"/>
      <c r="E68" s="23"/>
      <c r="F68" s="28"/>
      <c r="G68" s="29"/>
      <c r="H68" s="30"/>
    </row>
  </sheetData>
  <sheetProtection/>
  <mergeCells count="14">
    <mergeCell ref="G23:H23"/>
    <mergeCell ref="E5:E6"/>
    <mergeCell ref="F5:F6"/>
    <mergeCell ref="G5:G6"/>
    <mergeCell ref="H5:H6"/>
    <mergeCell ref="A1:I1"/>
    <mergeCell ref="A2:I2"/>
    <mergeCell ref="F3:I3"/>
    <mergeCell ref="A4:A6"/>
    <mergeCell ref="B4:B6"/>
    <mergeCell ref="C4:C6"/>
    <mergeCell ref="D4:H4"/>
    <mergeCell ref="I4:I6"/>
    <mergeCell ref="D5:D6"/>
  </mergeCells>
  <printOptions horizontalCentered="1"/>
  <pageMargins left="0.45" right="0.25" top="0.45" bottom="0.45" header="0.3" footer="0.3"/>
  <pageSetup fitToHeight="0" fitToWidth="1" horizontalDpi="600" verticalDpi="600" orientation="landscape" paperSize="9" scale="99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Normal="85" zoomScaleSheetLayoutView="100" workbookViewId="0" topLeftCell="A1">
      <selection activeCell="D10" sqref="D10:H15"/>
    </sheetView>
  </sheetViews>
  <sheetFormatPr defaultColWidth="9.140625" defaultRowHeight="12.75"/>
  <cols>
    <col min="1" max="1" width="3.421875" style="127" customWidth="1"/>
    <col min="2" max="2" width="7.7109375" style="127" customWidth="1"/>
    <col min="3" max="3" width="65.8515625" style="127" customWidth="1"/>
    <col min="4" max="4" width="14.28125" style="162" customWidth="1"/>
    <col min="5" max="5" width="12.421875" style="162" customWidth="1"/>
    <col min="6" max="6" width="16.421875" style="164" customWidth="1"/>
    <col min="7" max="7" width="13.421875" style="165" customWidth="1"/>
    <col min="8" max="8" width="14.8515625" style="127" customWidth="1"/>
    <col min="9" max="9" width="11.140625" style="127" customWidth="1"/>
    <col min="10" max="10" width="13.421875" style="127" bestFit="1" customWidth="1"/>
    <col min="11" max="11" width="10.28125" style="127" bestFit="1" customWidth="1"/>
    <col min="12" max="16384" width="9.140625" style="127" customWidth="1"/>
  </cols>
  <sheetData>
    <row r="1" spans="1:9" ht="15.75">
      <c r="A1" s="696" t="s">
        <v>237</v>
      </c>
      <c r="B1" s="696"/>
      <c r="C1" s="696"/>
      <c r="D1" s="696"/>
      <c r="E1" s="696"/>
      <c r="F1" s="696"/>
      <c r="G1" s="696"/>
      <c r="H1" s="696"/>
      <c r="I1" s="696"/>
    </row>
    <row r="2" spans="1:9" s="132" customFormat="1" ht="15.75">
      <c r="A2" s="697" t="e">
        <f>#REF!</f>
        <v>#REF!</v>
      </c>
      <c r="B2" s="697"/>
      <c r="C2" s="697"/>
      <c r="D2" s="697"/>
      <c r="E2" s="697"/>
      <c r="F2" s="697"/>
      <c r="G2" s="697"/>
      <c r="H2" s="697"/>
      <c r="I2" s="697"/>
    </row>
    <row r="3" spans="1:9" s="132" customFormat="1" ht="15.75">
      <c r="A3" s="697" t="str">
        <f>obieqturi!C9</f>
        <v>წყალგამანწილებელი ქსელი</v>
      </c>
      <c r="B3" s="697"/>
      <c r="C3" s="697"/>
      <c r="D3" s="697"/>
      <c r="E3" s="697"/>
      <c r="F3" s="697"/>
      <c r="G3" s="697"/>
      <c r="H3" s="697"/>
      <c r="I3" s="697"/>
    </row>
    <row r="4" spans="1:9" s="132" customFormat="1" ht="15.75">
      <c r="A4" s="600"/>
      <c r="B4" s="600"/>
      <c r="C4" s="600"/>
      <c r="D4" s="600"/>
      <c r="E4" s="600"/>
      <c r="F4" s="600"/>
      <c r="G4" s="600"/>
      <c r="H4" s="600"/>
      <c r="I4" s="600"/>
    </row>
    <row r="5" spans="3:9" ht="16.5" customHeight="1">
      <c r="C5" s="162"/>
      <c r="F5" s="698" t="s">
        <v>9</v>
      </c>
      <c r="G5" s="698"/>
      <c r="H5" s="698"/>
      <c r="I5" s="698"/>
    </row>
    <row r="6" spans="1:9" ht="15.75" customHeight="1">
      <c r="A6" s="694" t="s">
        <v>10</v>
      </c>
      <c r="B6" s="693" t="s">
        <v>11</v>
      </c>
      <c r="C6" s="693" t="s">
        <v>12</v>
      </c>
      <c r="D6" s="694" t="s">
        <v>13</v>
      </c>
      <c r="E6" s="694"/>
      <c r="F6" s="694"/>
      <c r="G6" s="694"/>
      <c r="H6" s="694"/>
      <c r="I6" s="693" t="s">
        <v>14</v>
      </c>
    </row>
    <row r="7" spans="1:9" ht="15.75">
      <c r="A7" s="694"/>
      <c r="B7" s="693"/>
      <c r="C7" s="693"/>
      <c r="D7" s="693" t="s">
        <v>15</v>
      </c>
      <c r="E7" s="693" t="s">
        <v>16</v>
      </c>
      <c r="F7" s="693" t="s">
        <v>17</v>
      </c>
      <c r="G7" s="693" t="s">
        <v>18</v>
      </c>
      <c r="H7" s="694" t="s">
        <v>19</v>
      </c>
      <c r="I7" s="693"/>
    </row>
    <row r="8" spans="1:9" ht="15.75">
      <c r="A8" s="694"/>
      <c r="B8" s="693"/>
      <c r="C8" s="693"/>
      <c r="D8" s="693"/>
      <c r="E8" s="693"/>
      <c r="F8" s="693"/>
      <c r="G8" s="693"/>
      <c r="H8" s="694"/>
      <c r="I8" s="693"/>
    </row>
    <row r="9" spans="1:9" ht="14.25" customHeight="1">
      <c r="A9" s="135">
        <v>1</v>
      </c>
      <c r="B9" s="601">
        <v>2</v>
      </c>
      <c r="C9" s="135">
        <v>3</v>
      </c>
      <c r="D9" s="601">
        <v>4</v>
      </c>
      <c r="E9" s="601">
        <v>5</v>
      </c>
      <c r="F9" s="601">
        <v>6</v>
      </c>
      <c r="G9" s="601">
        <v>7</v>
      </c>
      <c r="H9" s="602">
        <v>8</v>
      </c>
      <c r="I9" s="135">
        <v>9</v>
      </c>
    </row>
    <row r="10" spans="1:9" ht="15.75">
      <c r="A10" s="135">
        <v>1</v>
      </c>
      <c r="B10" s="136" t="s">
        <v>162</v>
      </c>
      <c r="C10" s="137" t="s">
        <v>159</v>
      </c>
      <c r="D10" s="603"/>
      <c r="E10" s="604"/>
      <c r="F10" s="604"/>
      <c r="G10" s="605"/>
      <c r="H10" s="604"/>
      <c r="I10" s="141"/>
    </row>
    <row r="11" spans="1:9" ht="15.75">
      <c r="A11" s="135">
        <v>2</v>
      </c>
      <c r="B11" s="136" t="s">
        <v>163</v>
      </c>
      <c r="C11" s="137" t="s">
        <v>160</v>
      </c>
      <c r="D11" s="603"/>
      <c r="E11" s="604"/>
      <c r="F11" s="604"/>
      <c r="G11" s="605"/>
      <c r="H11" s="604"/>
      <c r="I11" s="141"/>
    </row>
    <row r="12" spans="1:9" ht="15.75">
      <c r="A12" s="135">
        <v>3</v>
      </c>
      <c r="B12" s="136" t="s">
        <v>164</v>
      </c>
      <c r="C12" s="137" t="s">
        <v>161</v>
      </c>
      <c r="D12" s="603"/>
      <c r="E12" s="604"/>
      <c r="F12" s="604"/>
      <c r="G12" s="605"/>
      <c r="H12" s="604"/>
      <c r="I12" s="141"/>
    </row>
    <row r="13" spans="1:9" ht="15.75">
      <c r="A13" s="135">
        <v>4</v>
      </c>
      <c r="B13" s="136" t="s">
        <v>165</v>
      </c>
      <c r="C13" s="137" t="s">
        <v>379</v>
      </c>
      <c r="D13" s="603"/>
      <c r="E13" s="604"/>
      <c r="F13" s="604"/>
      <c r="G13" s="605"/>
      <c r="H13" s="604"/>
      <c r="I13" s="141"/>
    </row>
    <row r="14" spans="1:9" ht="15.75">
      <c r="A14" s="135"/>
      <c r="B14" s="136"/>
      <c r="C14" s="137" t="s">
        <v>129</v>
      </c>
      <c r="D14" s="604"/>
      <c r="E14" s="604"/>
      <c r="F14" s="604"/>
      <c r="G14" s="142"/>
      <c r="H14" s="604"/>
      <c r="I14" s="141"/>
    </row>
    <row r="15" spans="3:11" ht="17.25" customHeight="1">
      <c r="C15" s="165"/>
      <c r="D15" s="606"/>
      <c r="E15" s="606"/>
      <c r="F15" s="606"/>
      <c r="G15" s="607"/>
      <c r="H15" s="606"/>
      <c r="I15" s="608"/>
      <c r="J15" s="609"/>
      <c r="K15" s="610"/>
    </row>
    <row r="16" spans="3:11" ht="17.25" customHeight="1">
      <c r="C16" s="165"/>
      <c r="D16" s="606"/>
      <c r="E16" s="606"/>
      <c r="F16" s="606"/>
      <c r="G16" s="606"/>
      <c r="H16" s="606"/>
      <c r="I16" s="608"/>
      <c r="J16" s="611"/>
      <c r="K16" s="610"/>
    </row>
    <row r="17" spans="3:9" ht="15.75">
      <c r="C17" s="612"/>
      <c r="D17" s="613"/>
      <c r="E17" s="613"/>
      <c r="F17" s="614"/>
      <c r="G17" s="615"/>
      <c r="H17" s="608"/>
      <c r="I17" s="616"/>
    </row>
    <row r="18" spans="2:13" s="103" customFormat="1" ht="13.5">
      <c r="B18" s="91"/>
      <c r="L18" s="91"/>
      <c r="M18" s="106"/>
    </row>
    <row r="19" s="103" customFormat="1" ht="13.5">
      <c r="C19" s="617"/>
    </row>
    <row r="20" spans="3:8" s="103" customFormat="1" ht="13.5">
      <c r="C20" s="617"/>
      <c r="G20" s="695"/>
      <c r="H20" s="695"/>
    </row>
    <row r="21" s="103" customFormat="1" ht="15" customHeight="1">
      <c r="C21" s="617"/>
    </row>
    <row r="22" spans="3:9" s="91" customFormat="1" ht="13.5">
      <c r="C22" s="98"/>
      <c r="I22" s="111"/>
    </row>
    <row r="23" spans="4:7" ht="15.75">
      <c r="D23" s="165"/>
      <c r="E23" s="127"/>
      <c r="F23" s="127"/>
      <c r="G23" s="127"/>
    </row>
    <row r="24" spans="4:7" ht="15.75">
      <c r="D24" s="165"/>
      <c r="E24" s="127"/>
      <c r="F24" s="127"/>
      <c r="G24" s="127"/>
    </row>
    <row r="37" spans="4:8" ht="15.75">
      <c r="D37" s="618"/>
      <c r="E37" s="619"/>
      <c r="F37" s="620"/>
      <c r="G37" s="621"/>
      <c r="H37" s="622"/>
    </row>
    <row r="38" spans="4:8" ht="15.75">
      <c r="D38" s="623"/>
      <c r="E38" s="619"/>
      <c r="F38" s="624"/>
      <c r="G38" s="625"/>
      <c r="H38" s="626"/>
    </row>
    <row r="39" spans="2:8" ht="15.75">
      <c r="B39" s="627"/>
      <c r="D39" s="623"/>
      <c r="E39" s="619"/>
      <c r="F39" s="624"/>
      <c r="G39" s="625"/>
      <c r="H39" s="626"/>
    </row>
    <row r="40" spans="4:8" ht="15.75">
      <c r="D40" s="623"/>
      <c r="E40" s="619"/>
      <c r="F40" s="624"/>
      <c r="G40" s="625"/>
      <c r="H40" s="626"/>
    </row>
    <row r="41" spans="2:8" ht="15.75">
      <c r="B41" s="627"/>
      <c r="D41" s="623"/>
      <c r="E41" s="619"/>
      <c r="F41" s="624"/>
      <c r="G41" s="625"/>
      <c r="H41" s="626"/>
    </row>
    <row r="42" spans="4:8" ht="15.75">
      <c r="D42" s="623"/>
      <c r="E42" s="619"/>
      <c r="F42" s="624"/>
      <c r="G42" s="625"/>
      <c r="H42" s="626"/>
    </row>
    <row r="43" spans="4:8" ht="15.75">
      <c r="D43" s="623"/>
      <c r="E43" s="619"/>
      <c r="F43" s="624"/>
      <c r="G43" s="625"/>
      <c r="H43" s="626"/>
    </row>
    <row r="44" spans="4:8" ht="15.75">
      <c r="D44" s="623"/>
      <c r="E44" s="619"/>
      <c r="F44" s="624"/>
      <c r="G44" s="625"/>
      <c r="H44" s="626"/>
    </row>
    <row r="45" spans="4:8" ht="15.75">
      <c r="D45" s="623"/>
      <c r="E45" s="619"/>
      <c r="F45" s="624"/>
      <c r="G45" s="625"/>
      <c r="H45" s="626"/>
    </row>
    <row r="46" spans="2:8" ht="15.75">
      <c r="B46" s="627"/>
      <c r="D46" s="623"/>
      <c r="E46" s="619"/>
      <c r="F46" s="624"/>
      <c r="G46" s="625"/>
      <c r="H46" s="626"/>
    </row>
    <row r="47" spans="2:8" ht="15.75">
      <c r="B47" s="627"/>
      <c r="D47" s="623"/>
      <c r="E47" s="619"/>
      <c r="F47" s="624"/>
      <c r="G47" s="625"/>
      <c r="H47" s="626"/>
    </row>
    <row r="48" spans="2:8" ht="15.75">
      <c r="B48" s="627"/>
      <c r="D48" s="623"/>
      <c r="E48" s="619"/>
      <c r="F48" s="624"/>
      <c r="G48" s="625"/>
      <c r="H48" s="626"/>
    </row>
    <row r="49" spans="4:8" ht="15.75">
      <c r="D49" s="623"/>
      <c r="E49" s="619"/>
      <c r="F49" s="624"/>
      <c r="G49" s="625"/>
      <c r="H49" s="626"/>
    </row>
    <row r="50" spans="4:8" ht="15.75">
      <c r="D50" s="623"/>
      <c r="E50" s="619"/>
      <c r="F50" s="624"/>
      <c r="G50" s="625"/>
      <c r="H50" s="626"/>
    </row>
    <row r="51" spans="4:8" ht="15.75">
      <c r="D51" s="623"/>
      <c r="E51" s="619"/>
      <c r="F51" s="624"/>
      <c r="G51" s="625"/>
      <c r="H51" s="626"/>
    </row>
    <row r="52" spans="2:8" ht="15.75">
      <c r="B52" s="627"/>
      <c r="D52" s="623"/>
      <c r="E52" s="619"/>
      <c r="F52" s="624"/>
      <c r="G52" s="625"/>
      <c r="H52" s="626"/>
    </row>
    <row r="53" spans="4:8" ht="15.75">
      <c r="D53" s="623"/>
      <c r="E53" s="619"/>
      <c r="F53" s="624"/>
      <c r="G53" s="625"/>
      <c r="H53" s="626"/>
    </row>
    <row r="54" spans="4:8" ht="15.75">
      <c r="D54" s="623"/>
      <c r="E54" s="619"/>
      <c r="F54" s="624"/>
      <c r="G54" s="625"/>
      <c r="H54" s="626"/>
    </row>
    <row r="55" spans="4:8" ht="15.75">
      <c r="D55" s="623"/>
      <c r="E55" s="619"/>
      <c r="F55" s="624"/>
      <c r="G55" s="625"/>
      <c r="H55" s="626"/>
    </row>
    <row r="56" spans="4:8" ht="15.75">
      <c r="D56" s="623"/>
      <c r="E56" s="619"/>
      <c r="F56" s="624"/>
      <c r="G56" s="625"/>
      <c r="H56" s="626"/>
    </row>
    <row r="57" spans="4:8" ht="15.75">
      <c r="D57" s="623"/>
      <c r="E57" s="619"/>
      <c r="F57" s="624"/>
      <c r="G57" s="625"/>
      <c r="H57" s="626"/>
    </row>
    <row r="58" spans="4:8" ht="15.75">
      <c r="D58" s="623"/>
      <c r="E58" s="619"/>
      <c r="F58" s="624"/>
      <c r="G58" s="625"/>
      <c r="H58" s="626"/>
    </row>
    <row r="59" spans="2:8" ht="15.75">
      <c r="B59" s="628"/>
      <c r="D59" s="623"/>
      <c r="E59" s="619"/>
      <c r="F59" s="624"/>
      <c r="G59" s="625"/>
      <c r="H59" s="626"/>
    </row>
    <row r="60" spans="4:8" ht="15.75">
      <c r="D60" s="623"/>
      <c r="E60" s="619"/>
      <c r="F60" s="624"/>
      <c r="G60" s="625"/>
      <c r="H60" s="626"/>
    </row>
    <row r="61" spans="4:8" ht="15.75">
      <c r="D61" s="623"/>
      <c r="E61" s="619"/>
      <c r="F61" s="624"/>
      <c r="G61" s="625"/>
      <c r="H61" s="626"/>
    </row>
    <row r="62" spans="4:8" ht="15.75">
      <c r="D62" s="623"/>
      <c r="E62" s="619"/>
      <c r="F62" s="624"/>
      <c r="G62" s="625"/>
      <c r="H62" s="626"/>
    </row>
    <row r="63" spans="4:8" ht="15.75">
      <c r="D63" s="623"/>
      <c r="E63" s="619"/>
      <c r="F63" s="624"/>
      <c r="G63" s="625"/>
      <c r="H63" s="626"/>
    </row>
    <row r="64" spans="4:8" ht="15.75">
      <c r="D64" s="623"/>
      <c r="E64" s="619"/>
      <c r="F64" s="624"/>
      <c r="G64" s="625"/>
      <c r="H64" s="626"/>
    </row>
    <row r="65" spans="4:8" ht="15.75">
      <c r="D65" s="623"/>
      <c r="E65" s="619"/>
      <c r="F65" s="624"/>
      <c r="G65" s="625"/>
      <c r="H65" s="626"/>
    </row>
  </sheetData>
  <sheetProtection/>
  <mergeCells count="15">
    <mergeCell ref="C6:C8"/>
    <mergeCell ref="D6:H6"/>
    <mergeCell ref="I6:I8"/>
    <mergeCell ref="A3:I3"/>
    <mergeCell ref="D7:D8"/>
    <mergeCell ref="E7:E8"/>
    <mergeCell ref="F7:F8"/>
    <mergeCell ref="G7:G8"/>
    <mergeCell ref="H7:H8"/>
    <mergeCell ref="G20:H20"/>
    <mergeCell ref="A1:I1"/>
    <mergeCell ref="A2:I2"/>
    <mergeCell ref="F5:I5"/>
    <mergeCell ref="A6:A8"/>
    <mergeCell ref="B6:B8"/>
  </mergeCells>
  <printOptions horizontalCentered="1"/>
  <pageMargins left="0.45" right="0.25" top="0.45" bottom="0.45" header="0.3" footer="0.3"/>
  <pageSetup fitToHeight="0" fitToWidth="1" horizontalDpi="600" verticalDpi="600" orientation="landscape" paperSize="9" scale="89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Normal="85" zoomScaleSheetLayoutView="100" workbookViewId="0" topLeftCell="A4">
      <selection activeCell="G7" sqref="G7:M34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383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tr">
        <f>2!C10</f>
        <v>მიწის სამუშაოები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1.25">
      <c r="A4" s="700" t="s">
        <v>1</v>
      </c>
      <c r="B4" s="702" t="s">
        <v>70</v>
      </c>
      <c r="C4" s="700" t="s">
        <v>51</v>
      </c>
      <c r="D4" s="700" t="s">
        <v>52</v>
      </c>
      <c r="E4" s="700" t="s">
        <v>53</v>
      </c>
      <c r="F4" s="700" t="s">
        <v>54</v>
      </c>
      <c r="G4" s="701" t="s">
        <v>55</v>
      </c>
      <c r="H4" s="701"/>
      <c r="I4" s="701" t="s">
        <v>56</v>
      </c>
      <c r="J4" s="701"/>
      <c r="K4" s="700" t="s">
        <v>57</v>
      </c>
      <c r="L4" s="700"/>
      <c r="M4" s="95" t="s">
        <v>71</v>
      </c>
      <c r="N4" s="97"/>
    </row>
    <row r="5" spans="1:14" s="98" customFormat="1" ht="11.25">
      <c r="A5" s="700"/>
      <c r="B5" s="702"/>
      <c r="C5" s="700"/>
      <c r="D5" s="700"/>
      <c r="E5" s="700"/>
      <c r="F5" s="700"/>
      <c r="G5" s="95" t="s">
        <v>58</v>
      </c>
      <c r="H5" s="101" t="s">
        <v>2</v>
      </c>
      <c r="I5" s="95" t="s">
        <v>58</v>
      </c>
      <c r="J5" s="101" t="s">
        <v>2</v>
      </c>
      <c r="K5" s="95" t="s">
        <v>58</v>
      </c>
      <c r="L5" s="101" t="s">
        <v>59</v>
      </c>
      <c r="M5" s="95" t="s">
        <v>60</v>
      </c>
      <c r="N5" s="97"/>
    </row>
    <row r="6" spans="1:14" s="98" customFormat="1" ht="11.25">
      <c r="A6" s="93">
        <v>1</v>
      </c>
      <c r="B6" s="94">
        <v>3</v>
      </c>
      <c r="C6" s="93">
        <v>2</v>
      </c>
      <c r="D6" s="93">
        <v>4</v>
      </c>
      <c r="E6" s="93">
        <v>5</v>
      </c>
      <c r="F6" s="93">
        <v>6</v>
      </c>
      <c r="G6" s="95">
        <v>7</v>
      </c>
      <c r="H6" s="96">
        <v>8</v>
      </c>
      <c r="I6" s="95">
        <v>9</v>
      </c>
      <c r="J6" s="96">
        <v>10</v>
      </c>
      <c r="K6" s="95">
        <v>11</v>
      </c>
      <c r="L6" s="96">
        <v>12</v>
      </c>
      <c r="M6" s="95">
        <v>13</v>
      </c>
      <c r="N6" s="97"/>
    </row>
    <row r="7" spans="1:18" ht="27">
      <c r="A7" s="347">
        <v>1</v>
      </c>
      <c r="B7" s="348" t="s">
        <v>94</v>
      </c>
      <c r="C7" s="349" t="s">
        <v>114</v>
      </c>
      <c r="D7" s="350" t="s">
        <v>5</v>
      </c>
      <c r="E7" s="351"/>
      <c r="F7" s="352">
        <f>393*0.44</f>
        <v>172.92</v>
      </c>
      <c r="G7" s="350"/>
      <c r="H7" s="353"/>
      <c r="I7" s="350"/>
      <c r="J7" s="353"/>
      <c r="K7" s="350"/>
      <c r="L7" s="353"/>
      <c r="M7" s="353"/>
      <c r="N7" s="354"/>
      <c r="R7" s="557"/>
    </row>
    <row r="8" spans="1:18" ht="13.5">
      <c r="A8" s="355"/>
      <c r="B8" s="356"/>
      <c r="C8" s="357" t="s">
        <v>3</v>
      </c>
      <c r="D8" s="358" t="s">
        <v>4</v>
      </c>
      <c r="E8" s="359">
        <v>0.0165</v>
      </c>
      <c r="F8" s="360">
        <f>F7*E8</f>
        <v>2.85318</v>
      </c>
      <c r="G8" s="358"/>
      <c r="H8" s="360"/>
      <c r="I8" s="361"/>
      <c r="J8" s="360"/>
      <c r="K8" s="358"/>
      <c r="L8" s="360"/>
      <c r="M8" s="360"/>
      <c r="N8" s="354"/>
      <c r="R8" s="557"/>
    </row>
    <row r="9" spans="1:18" ht="13.5">
      <c r="A9" s="355"/>
      <c r="B9" s="187" t="s">
        <v>221</v>
      </c>
      <c r="C9" s="357" t="s">
        <v>88</v>
      </c>
      <c r="D9" s="355" t="s">
        <v>87</v>
      </c>
      <c r="E9" s="359">
        <v>0.037</v>
      </c>
      <c r="F9" s="360">
        <f>E9*F7</f>
        <v>6.398039999999999</v>
      </c>
      <c r="G9" s="358"/>
      <c r="H9" s="360"/>
      <c r="I9" s="361"/>
      <c r="J9" s="360"/>
      <c r="K9" s="102"/>
      <c r="L9" s="360"/>
      <c r="M9" s="360"/>
      <c r="N9" s="354"/>
      <c r="R9" s="557"/>
    </row>
    <row r="10" spans="1:14" ht="27">
      <c r="A10" s="362">
        <v>2</v>
      </c>
      <c r="B10" s="363" t="s">
        <v>127</v>
      </c>
      <c r="C10" s="112" t="s">
        <v>128</v>
      </c>
      <c r="D10" s="113" t="s">
        <v>5</v>
      </c>
      <c r="E10" s="113"/>
      <c r="F10" s="352">
        <f>F7*0.03</f>
        <v>5.1876</v>
      </c>
      <c r="G10" s="113"/>
      <c r="H10" s="115"/>
      <c r="I10" s="118"/>
      <c r="J10" s="115"/>
      <c r="K10" s="113"/>
      <c r="L10" s="115"/>
      <c r="M10" s="115"/>
      <c r="N10" s="354"/>
    </row>
    <row r="11" spans="1:14" ht="13.5">
      <c r="A11" s="70"/>
      <c r="B11" s="94"/>
      <c r="C11" s="99" t="s">
        <v>3</v>
      </c>
      <c r="D11" s="102" t="s">
        <v>4</v>
      </c>
      <c r="E11" s="102">
        <v>2.06</v>
      </c>
      <c r="F11" s="88">
        <f>F10*E11</f>
        <v>10.686456</v>
      </c>
      <c r="G11" s="102"/>
      <c r="H11" s="88"/>
      <c r="I11" s="364"/>
      <c r="J11" s="88"/>
      <c r="K11" s="102"/>
      <c r="L11" s="88"/>
      <c r="M11" s="88"/>
      <c r="N11" s="354"/>
    </row>
    <row r="12" spans="1:14" ht="27">
      <c r="A12" s="347">
        <v>1</v>
      </c>
      <c r="B12" s="348" t="s">
        <v>94</v>
      </c>
      <c r="C12" s="349" t="s">
        <v>113</v>
      </c>
      <c r="D12" s="350" t="s">
        <v>5</v>
      </c>
      <c r="E12" s="351"/>
      <c r="F12" s="352">
        <f>393*0.53</f>
        <v>208.29000000000002</v>
      </c>
      <c r="G12" s="350"/>
      <c r="H12" s="353"/>
      <c r="I12" s="365"/>
      <c r="J12" s="353"/>
      <c r="K12" s="350"/>
      <c r="L12" s="353"/>
      <c r="M12" s="353"/>
      <c r="N12" s="354"/>
    </row>
    <row r="13" spans="1:14" ht="13.5">
      <c r="A13" s="355"/>
      <c r="B13" s="356"/>
      <c r="C13" s="357" t="s">
        <v>3</v>
      </c>
      <c r="D13" s="358" t="s">
        <v>4</v>
      </c>
      <c r="E13" s="359">
        <v>0.0215</v>
      </c>
      <c r="F13" s="360">
        <f>F12*E13</f>
        <v>4.478235</v>
      </c>
      <c r="G13" s="358"/>
      <c r="H13" s="360"/>
      <c r="I13" s="361"/>
      <c r="J13" s="360"/>
      <c r="K13" s="358"/>
      <c r="L13" s="360"/>
      <c r="M13" s="360"/>
      <c r="N13" s="354"/>
    </row>
    <row r="14" spans="1:14" ht="13.5">
      <c r="A14" s="355"/>
      <c r="B14" s="187" t="s">
        <v>221</v>
      </c>
      <c r="C14" s="357" t="s">
        <v>88</v>
      </c>
      <c r="D14" s="355" t="s">
        <v>87</v>
      </c>
      <c r="E14" s="359">
        <v>0.0482</v>
      </c>
      <c r="F14" s="360">
        <f>E14*F12</f>
        <v>10.039578</v>
      </c>
      <c r="G14" s="358"/>
      <c r="H14" s="360"/>
      <c r="I14" s="361"/>
      <c r="J14" s="360"/>
      <c r="K14" s="102"/>
      <c r="L14" s="360"/>
      <c r="M14" s="360"/>
      <c r="N14" s="354"/>
    </row>
    <row r="15" spans="1:14" ht="13.5">
      <c r="A15" s="355"/>
      <c r="B15" s="356"/>
      <c r="C15" s="357" t="s">
        <v>95</v>
      </c>
      <c r="D15" s="355" t="s">
        <v>96</v>
      </c>
      <c r="E15" s="359">
        <v>0.01</v>
      </c>
      <c r="F15" s="360">
        <f>F12*E15</f>
        <v>2.0829000000000004</v>
      </c>
      <c r="G15" s="360"/>
      <c r="H15" s="360"/>
      <c r="I15" s="361"/>
      <c r="J15" s="360"/>
      <c r="K15" s="358"/>
      <c r="L15" s="360"/>
      <c r="M15" s="360"/>
      <c r="N15" s="354"/>
    </row>
    <row r="16" spans="1:14" ht="27">
      <c r="A16" s="362">
        <v>4</v>
      </c>
      <c r="B16" s="363" t="s">
        <v>127</v>
      </c>
      <c r="C16" s="112" t="s">
        <v>126</v>
      </c>
      <c r="D16" s="113" t="s">
        <v>5</v>
      </c>
      <c r="E16" s="113"/>
      <c r="F16" s="352">
        <f>F12*0.03</f>
        <v>6.2487</v>
      </c>
      <c r="G16" s="113"/>
      <c r="H16" s="115"/>
      <c r="I16" s="118"/>
      <c r="J16" s="115"/>
      <c r="K16" s="113"/>
      <c r="L16" s="115"/>
      <c r="M16" s="115"/>
      <c r="N16" s="354"/>
    </row>
    <row r="17" spans="1:14" ht="13.5">
      <c r="A17" s="70"/>
      <c r="B17" s="94"/>
      <c r="C17" s="99" t="s">
        <v>3</v>
      </c>
      <c r="D17" s="102" t="s">
        <v>4</v>
      </c>
      <c r="E17" s="102">
        <v>2.99</v>
      </c>
      <c r="F17" s="88">
        <f>F16*E17</f>
        <v>18.683613</v>
      </c>
      <c r="G17" s="102"/>
      <c r="H17" s="88"/>
      <c r="I17" s="364"/>
      <c r="J17" s="88"/>
      <c r="K17" s="102"/>
      <c r="L17" s="88"/>
      <c r="M17" s="88"/>
      <c r="N17" s="354"/>
    </row>
    <row r="18" spans="1:14" s="103" customFormat="1" ht="27">
      <c r="A18" s="79">
        <v>3</v>
      </c>
      <c r="B18" s="366" t="s">
        <v>91</v>
      </c>
      <c r="C18" s="112" t="s">
        <v>125</v>
      </c>
      <c r="D18" s="168" t="s">
        <v>5</v>
      </c>
      <c r="E18" s="367"/>
      <c r="F18" s="115">
        <f>F7+F10+F12+F16-F25</f>
        <v>137.1963</v>
      </c>
      <c r="G18" s="368"/>
      <c r="H18" s="368"/>
      <c r="I18" s="369"/>
      <c r="J18" s="368"/>
      <c r="K18" s="370"/>
      <c r="L18" s="368"/>
      <c r="M18" s="368"/>
      <c r="N18" s="371"/>
    </row>
    <row r="19" spans="1:14" s="103" customFormat="1" ht="13.5">
      <c r="A19" s="78"/>
      <c r="B19" s="168"/>
      <c r="C19" s="372" t="s">
        <v>79</v>
      </c>
      <c r="D19" s="102" t="s">
        <v>4</v>
      </c>
      <c r="E19" s="102">
        <f>0.02</f>
        <v>0.02</v>
      </c>
      <c r="F19" s="102">
        <f>E19*F18</f>
        <v>2.743926</v>
      </c>
      <c r="G19" s="88"/>
      <c r="H19" s="102"/>
      <c r="I19" s="364"/>
      <c r="J19" s="88"/>
      <c r="K19" s="88"/>
      <c r="L19" s="88"/>
      <c r="M19" s="88"/>
      <c r="N19" s="371"/>
    </row>
    <row r="20" spans="1:14" s="103" customFormat="1" ht="13.5">
      <c r="A20" s="78"/>
      <c r="B20" s="187" t="s">
        <v>221</v>
      </c>
      <c r="C20" s="372" t="s">
        <v>92</v>
      </c>
      <c r="D20" s="102" t="s">
        <v>63</v>
      </c>
      <c r="E20" s="102">
        <f>0.0448</f>
        <v>0.0448</v>
      </c>
      <c r="F20" s="88">
        <f>E20*F18</f>
        <v>6.14639424</v>
      </c>
      <c r="G20" s="88"/>
      <c r="H20" s="102"/>
      <c r="I20" s="364"/>
      <c r="J20" s="102"/>
      <c r="K20" s="102"/>
      <c r="L20" s="373"/>
      <c r="M20" s="88"/>
      <c r="N20" s="371"/>
    </row>
    <row r="21" spans="1:14" s="103" customFormat="1" ht="13.5">
      <c r="A21" s="78"/>
      <c r="B21" s="168"/>
      <c r="C21" s="372" t="s">
        <v>29</v>
      </c>
      <c r="D21" s="102" t="s">
        <v>5</v>
      </c>
      <c r="E21" s="102">
        <f>0.0021</f>
        <v>0.0021</v>
      </c>
      <c r="F21" s="102">
        <f>E21*F18</f>
        <v>0.28811223</v>
      </c>
      <c r="G21" s="102"/>
      <c r="H21" s="102"/>
      <c r="I21" s="364"/>
      <c r="J21" s="102"/>
      <c r="K21" s="102"/>
      <c r="L21" s="373"/>
      <c r="M21" s="88"/>
      <c r="N21" s="371"/>
    </row>
    <row r="22" spans="1:14" s="103" customFormat="1" ht="27">
      <c r="A22" s="347">
        <v>4</v>
      </c>
      <c r="B22" s="348" t="s">
        <v>98</v>
      </c>
      <c r="C22" s="349" t="s">
        <v>97</v>
      </c>
      <c r="D22" s="350" t="s">
        <v>5</v>
      </c>
      <c r="E22" s="351"/>
      <c r="F22" s="352">
        <v>131</v>
      </c>
      <c r="G22" s="350"/>
      <c r="H22" s="353"/>
      <c r="I22" s="365"/>
      <c r="J22" s="353"/>
      <c r="K22" s="350"/>
      <c r="L22" s="353"/>
      <c r="M22" s="353"/>
      <c r="N22" s="371"/>
    </row>
    <row r="23" spans="1:14" s="103" customFormat="1" ht="13.5">
      <c r="A23" s="355"/>
      <c r="B23" s="356"/>
      <c r="C23" s="357" t="s">
        <v>3</v>
      </c>
      <c r="D23" s="358" t="s">
        <v>4</v>
      </c>
      <c r="E23" s="359">
        <v>1.8</v>
      </c>
      <c r="F23" s="374">
        <f>F22*E23</f>
        <v>235.8</v>
      </c>
      <c r="G23" s="358"/>
      <c r="H23" s="360"/>
      <c r="I23" s="361"/>
      <c r="J23" s="360"/>
      <c r="K23" s="358"/>
      <c r="L23" s="360"/>
      <c r="M23" s="360"/>
      <c r="N23" s="371"/>
    </row>
    <row r="24" spans="1:14" s="103" customFormat="1" ht="13.5">
      <c r="A24" s="355"/>
      <c r="B24" s="74" t="s">
        <v>216</v>
      </c>
      <c r="C24" s="357" t="s">
        <v>33</v>
      </c>
      <c r="D24" s="355" t="s">
        <v>99</v>
      </c>
      <c r="E24" s="359">
        <v>1.1</v>
      </c>
      <c r="F24" s="374">
        <f>F22*E24</f>
        <v>144.10000000000002</v>
      </c>
      <c r="G24" s="358"/>
      <c r="H24" s="360"/>
      <c r="I24" s="358"/>
      <c r="J24" s="360"/>
      <c r="K24" s="358"/>
      <c r="L24" s="360"/>
      <c r="M24" s="360"/>
      <c r="N24" s="371"/>
    </row>
    <row r="25" spans="1:14" s="103" customFormat="1" ht="27">
      <c r="A25" s="347">
        <v>5</v>
      </c>
      <c r="B25" s="348" t="s">
        <v>101</v>
      </c>
      <c r="C25" s="349" t="s">
        <v>100</v>
      </c>
      <c r="D25" s="350" t="s">
        <v>5</v>
      </c>
      <c r="E25" s="351"/>
      <c r="F25" s="352">
        <v>255.45</v>
      </c>
      <c r="G25" s="350"/>
      <c r="H25" s="353"/>
      <c r="I25" s="350"/>
      <c r="J25" s="353"/>
      <c r="K25" s="350"/>
      <c r="L25" s="353"/>
      <c r="M25" s="353"/>
      <c r="N25" s="371"/>
    </row>
    <row r="26" spans="1:14" s="103" customFormat="1" ht="13.5">
      <c r="A26" s="355"/>
      <c r="B26" s="356" t="s">
        <v>226</v>
      </c>
      <c r="C26" s="357" t="s">
        <v>102</v>
      </c>
      <c r="D26" s="375" t="s">
        <v>103</v>
      </c>
      <c r="E26" s="376">
        <v>0.00923</v>
      </c>
      <c r="F26" s="360">
        <f>F25*E26</f>
        <v>2.3578035</v>
      </c>
      <c r="G26" s="358"/>
      <c r="H26" s="360"/>
      <c r="I26" s="358"/>
      <c r="J26" s="360"/>
      <c r="K26" s="360"/>
      <c r="L26" s="373"/>
      <c r="M26" s="360"/>
      <c r="N26" s="371"/>
    </row>
    <row r="27" spans="1:14" s="103" customFormat="1" ht="13.5">
      <c r="A27" s="377">
        <v>10</v>
      </c>
      <c r="B27" s="378" t="s">
        <v>50</v>
      </c>
      <c r="C27" s="379" t="s">
        <v>93</v>
      </c>
      <c r="D27" s="380" t="s">
        <v>30</v>
      </c>
      <c r="E27" s="381"/>
      <c r="F27" s="382">
        <f>(F18*1.9)</f>
        <v>260.67297</v>
      </c>
      <c r="G27" s="380"/>
      <c r="H27" s="270"/>
      <c r="I27" s="383"/>
      <c r="J27" s="263"/>
      <c r="K27" s="384"/>
      <c r="L27" s="270"/>
      <c r="M27" s="263"/>
      <c r="N27" s="371"/>
    </row>
    <row r="28" spans="1:13" ht="13.5">
      <c r="A28" s="385"/>
      <c r="B28" s="386"/>
      <c r="C28" s="387" t="s">
        <v>129</v>
      </c>
      <c r="D28" s="388"/>
      <c r="E28" s="389"/>
      <c r="F28" s="390"/>
      <c r="G28" s="390"/>
      <c r="H28" s="391"/>
      <c r="I28" s="391"/>
      <c r="J28" s="391"/>
      <c r="K28" s="391"/>
      <c r="L28" s="391"/>
      <c r="M28" s="391"/>
    </row>
    <row r="29" spans="1:13" ht="13.5">
      <c r="A29" s="70"/>
      <c r="B29" s="392"/>
      <c r="C29" s="99" t="s">
        <v>72</v>
      </c>
      <c r="D29" s="393" t="s">
        <v>517</v>
      </c>
      <c r="E29" s="394"/>
      <c r="F29" s="395"/>
      <c r="G29" s="395"/>
      <c r="H29" s="396"/>
      <c r="I29" s="395"/>
      <c r="J29" s="396"/>
      <c r="K29" s="395"/>
      <c r="L29" s="396"/>
      <c r="M29" s="396"/>
    </row>
    <row r="30" spans="1:13" ht="13.5">
      <c r="A30" s="70"/>
      <c r="B30" s="362"/>
      <c r="C30" s="397" t="s">
        <v>2</v>
      </c>
      <c r="D30" s="393"/>
      <c r="E30" s="398"/>
      <c r="F30" s="399"/>
      <c r="G30" s="399"/>
      <c r="H30" s="400"/>
      <c r="I30" s="401"/>
      <c r="J30" s="400"/>
      <c r="K30" s="401"/>
      <c r="L30" s="400"/>
      <c r="M30" s="400"/>
    </row>
    <row r="31" spans="1:13" ht="13.5">
      <c r="A31" s="70"/>
      <c r="B31" s="402"/>
      <c r="C31" s="403" t="s">
        <v>73</v>
      </c>
      <c r="D31" s="393" t="s">
        <v>517</v>
      </c>
      <c r="E31" s="394"/>
      <c r="F31" s="395"/>
      <c r="G31" s="395"/>
      <c r="H31" s="404"/>
      <c r="I31" s="404"/>
      <c r="J31" s="404"/>
      <c r="K31" s="404"/>
      <c r="L31" s="404"/>
      <c r="M31" s="396"/>
    </row>
    <row r="32" spans="1:13" ht="13.5">
      <c r="A32" s="70"/>
      <c r="B32" s="362"/>
      <c r="C32" s="397" t="s">
        <v>2</v>
      </c>
      <c r="D32" s="393"/>
      <c r="E32" s="398"/>
      <c r="F32" s="399"/>
      <c r="G32" s="399"/>
      <c r="H32" s="401"/>
      <c r="I32" s="401"/>
      <c r="J32" s="401"/>
      <c r="K32" s="401"/>
      <c r="L32" s="401"/>
      <c r="M32" s="400"/>
    </row>
    <row r="33" spans="1:13" ht="13.5">
      <c r="A33" s="70"/>
      <c r="B33" s="402"/>
      <c r="C33" s="403" t="s">
        <v>69</v>
      </c>
      <c r="D33" s="393" t="s">
        <v>517</v>
      </c>
      <c r="E33" s="394"/>
      <c r="F33" s="395"/>
      <c r="G33" s="395"/>
      <c r="H33" s="404"/>
      <c r="I33" s="404"/>
      <c r="J33" s="404"/>
      <c r="K33" s="404"/>
      <c r="L33" s="404"/>
      <c r="M33" s="396"/>
    </row>
    <row r="34" spans="1:13" ht="13.5">
      <c r="A34" s="70"/>
      <c r="B34" s="362"/>
      <c r="C34" s="397" t="s">
        <v>78</v>
      </c>
      <c r="D34" s="399"/>
      <c r="E34" s="398"/>
      <c r="F34" s="399"/>
      <c r="G34" s="399"/>
      <c r="H34" s="401"/>
      <c r="I34" s="401"/>
      <c r="J34" s="401"/>
      <c r="K34" s="401"/>
      <c r="L34" s="401"/>
      <c r="M34" s="400"/>
    </row>
    <row r="35" spans="1:13" ht="13.5">
      <c r="A35" s="103"/>
      <c r="B35" s="104"/>
      <c r="D35" s="103"/>
      <c r="E35" s="103"/>
      <c r="F35" s="103"/>
      <c r="G35" s="103"/>
      <c r="H35" s="103"/>
      <c r="I35" s="103"/>
      <c r="J35" s="105"/>
      <c r="K35" s="103"/>
      <c r="M35" s="106"/>
    </row>
    <row r="36" spans="2:5" ht="13.5">
      <c r="B36" s="107"/>
      <c r="C36" s="108"/>
      <c r="D36" s="109"/>
      <c r="E36" s="109"/>
    </row>
    <row r="37" spans="2:8" ht="13.5">
      <c r="B37" s="107"/>
      <c r="C37" s="108"/>
      <c r="D37" s="109"/>
      <c r="E37" s="109"/>
      <c r="G37" s="699"/>
      <c r="H37" s="699"/>
    </row>
    <row r="38" ht="13.5">
      <c r="I38" s="111"/>
    </row>
  </sheetData>
  <sheetProtection/>
  <mergeCells count="13">
    <mergeCell ref="D4:D5"/>
    <mergeCell ref="E4:E5"/>
    <mergeCell ref="B4:B5"/>
    <mergeCell ref="A1:M1"/>
    <mergeCell ref="G37:H37"/>
    <mergeCell ref="F4:F5"/>
    <mergeCell ref="G4:H4"/>
    <mergeCell ref="I4:J4"/>
    <mergeCell ref="K4:L4"/>
    <mergeCell ref="A2:M2"/>
    <mergeCell ref="A3:M3"/>
    <mergeCell ref="A4:A5"/>
    <mergeCell ref="C4:C5"/>
  </mergeCells>
  <conditionalFormatting sqref="B24">
    <cfRule type="cellIs" priority="1" dxfId="0" operator="equal" stopIfTrue="1">
      <formula>8223.307275</formula>
    </cfRule>
  </conditionalFormatting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Normal="85" zoomScaleSheetLayoutView="100" workbookViewId="0" topLeftCell="A1">
      <selection activeCell="G9" sqref="G9:M27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382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tr">
        <f>2!C11</f>
        <v>მილსადენები 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89"/>
    </row>
    <row r="5" spans="1:14" s="98" customFormat="1" ht="11.25">
      <c r="A5" s="61"/>
      <c r="B5" s="75"/>
      <c r="C5" s="704"/>
      <c r="D5" s="704"/>
      <c r="E5" s="704"/>
      <c r="F5" s="704"/>
      <c r="G5" s="704"/>
      <c r="H5" s="704"/>
      <c r="I5" s="704"/>
      <c r="J5" s="704"/>
      <c r="K5" s="704"/>
      <c r="L5" s="62"/>
      <c r="M5" s="62"/>
      <c r="N5" s="62"/>
    </row>
    <row r="6" spans="1:14" s="98" customFormat="1" ht="11.25">
      <c r="A6" s="700" t="s">
        <v>1</v>
      </c>
      <c r="B6" s="702" t="s">
        <v>70</v>
      </c>
      <c r="C6" s="700" t="s">
        <v>51</v>
      </c>
      <c r="D6" s="700" t="s">
        <v>52</v>
      </c>
      <c r="E6" s="700" t="s">
        <v>53</v>
      </c>
      <c r="F6" s="700" t="s">
        <v>54</v>
      </c>
      <c r="G6" s="701" t="s">
        <v>55</v>
      </c>
      <c r="H6" s="701"/>
      <c r="I6" s="701" t="s">
        <v>56</v>
      </c>
      <c r="J6" s="701"/>
      <c r="K6" s="700" t="s">
        <v>57</v>
      </c>
      <c r="L6" s="700"/>
      <c r="M6" s="95" t="s">
        <v>71</v>
      </c>
      <c r="N6" s="97"/>
    </row>
    <row r="7" spans="1:14" s="98" customFormat="1" ht="11.25">
      <c r="A7" s="700"/>
      <c r="B7" s="702"/>
      <c r="C7" s="700"/>
      <c r="D7" s="700"/>
      <c r="E7" s="700"/>
      <c r="F7" s="700"/>
      <c r="G7" s="95" t="s">
        <v>58</v>
      </c>
      <c r="H7" s="101" t="s">
        <v>2</v>
      </c>
      <c r="I7" s="95" t="s">
        <v>58</v>
      </c>
      <c r="J7" s="101" t="s">
        <v>2</v>
      </c>
      <c r="K7" s="95" t="s">
        <v>58</v>
      </c>
      <c r="L7" s="101" t="s">
        <v>59</v>
      </c>
      <c r="M7" s="95" t="s">
        <v>60</v>
      </c>
      <c r="N7" s="97"/>
    </row>
    <row r="8" spans="1:14" s="98" customFormat="1" ht="11.25">
      <c r="A8" s="93">
        <v>1</v>
      </c>
      <c r="B8" s="94">
        <v>3</v>
      </c>
      <c r="C8" s="93">
        <v>2</v>
      </c>
      <c r="D8" s="93">
        <v>4</v>
      </c>
      <c r="E8" s="93">
        <v>5</v>
      </c>
      <c r="F8" s="93">
        <v>6</v>
      </c>
      <c r="G8" s="95">
        <v>7</v>
      </c>
      <c r="H8" s="96">
        <v>8</v>
      </c>
      <c r="I8" s="95">
        <v>9</v>
      </c>
      <c r="J8" s="96">
        <v>10</v>
      </c>
      <c r="K8" s="95">
        <v>11</v>
      </c>
      <c r="L8" s="96">
        <v>12</v>
      </c>
      <c r="M8" s="95">
        <v>13</v>
      </c>
      <c r="N8" s="97"/>
    </row>
    <row r="9" spans="1:14" ht="27">
      <c r="A9" s="377">
        <v>41</v>
      </c>
      <c r="B9" s="378" t="s">
        <v>104</v>
      </c>
      <c r="C9" s="379" t="s">
        <v>106</v>
      </c>
      <c r="D9" s="380" t="s">
        <v>7</v>
      </c>
      <c r="E9" s="381"/>
      <c r="F9" s="629">
        <f>655</f>
        <v>655</v>
      </c>
      <c r="G9" s="383"/>
      <c r="H9" s="270"/>
      <c r="I9" s="383"/>
      <c r="J9" s="263"/>
      <c r="K9" s="383"/>
      <c r="L9" s="270"/>
      <c r="M9" s="263"/>
      <c r="N9" s="354"/>
    </row>
    <row r="10" spans="1:14" ht="13.5">
      <c r="A10" s="362"/>
      <c r="B10" s="254"/>
      <c r="C10" s="99" t="s">
        <v>3</v>
      </c>
      <c r="D10" s="102" t="s">
        <v>4</v>
      </c>
      <c r="E10" s="102">
        <v>0.119</v>
      </c>
      <c r="F10" s="88">
        <f>F9*E10</f>
        <v>77.945</v>
      </c>
      <c r="G10" s="88"/>
      <c r="H10" s="88"/>
      <c r="I10" s="88"/>
      <c r="J10" s="88"/>
      <c r="K10" s="88"/>
      <c r="L10" s="88"/>
      <c r="M10" s="88"/>
      <c r="N10" s="354"/>
    </row>
    <row r="11" spans="1:14" ht="13.5">
      <c r="A11" s="362"/>
      <c r="B11" s="254"/>
      <c r="C11" s="99" t="s">
        <v>22</v>
      </c>
      <c r="D11" s="70" t="s">
        <v>0</v>
      </c>
      <c r="E11" s="102">
        <v>0.0675</v>
      </c>
      <c r="F11" s="88">
        <f>E11*F9</f>
        <v>44.212500000000006</v>
      </c>
      <c r="G11" s="88"/>
      <c r="H11" s="88"/>
      <c r="I11" s="88"/>
      <c r="J11" s="88"/>
      <c r="K11" s="88"/>
      <c r="L11" s="88"/>
      <c r="M11" s="88"/>
      <c r="N11" s="354"/>
    </row>
    <row r="12" spans="1:14" ht="13.5">
      <c r="A12" s="559"/>
      <c r="B12" s="630"/>
      <c r="C12" s="70" t="s">
        <v>64</v>
      </c>
      <c r="D12" s="70"/>
      <c r="E12" s="70"/>
      <c r="F12" s="71"/>
      <c r="G12" s="71"/>
      <c r="H12" s="71"/>
      <c r="I12" s="88"/>
      <c r="J12" s="71"/>
      <c r="K12" s="71"/>
      <c r="L12" s="71"/>
      <c r="M12" s="71"/>
      <c r="N12" s="354"/>
    </row>
    <row r="13" spans="1:14" ht="13.5">
      <c r="A13" s="559"/>
      <c r="B13" s="254" t="s">
        <v>227</v>
      </c>
      <c r="C13" s="631" t="s">
        <v>132</v>
      </c>
      <c r="D13" s="70" t="s">
        <v>7</v>
      </c>
      <c r="E13" s="70">
        <v>1.01</v>
      </c>
      <c r="F13" s="71">
        <f>E13*F9</f>
        <v>661.55</v>
      </c>
      <c r="G13" s="71"/>
      <c r="H13" s="71"/>
      <c r="I13" s="88"/>
      <c r="J13" s="71"/>
      <c r="K13" s="71"/>
      <c r="L13" s="71"/>
      <c r="M13" s="71"/>
      <c r="N13" s="354"/>
    </row>
    <row r="14" spans="1:14" ht="13.5">
      <c r="A14" s="559"/>
      <c r="B14" s="630"/>
      <c r="C14" s="99" t="s">
        <v>6</v>
      </c>
      <c r="D14" s="70" t="s">
        <v>0</v>
      </c>
      <c r="E14" s="70">
        <v>0.0216</v>
      </c>
      <c r="F14" s="71">
        <f>E14*F9</f>
        <v>14.148000000000001</v>
      </c>
      <c r="G14" s="71"/>
      <c r="H14" s="71"/>
      <c r="I14" s="88"/>
      <c r="J14" s="71"/>
      <c r="K14" s="71"/>
      <c r="L14" s="71"/>
      <c r="M14" s="71"/>
      <c r="N14" s="354"/>
    </row>
    <row r="15" spans="1:14" ht="13.5">
      <c r="A15" s="559">
        <v>26</v>
      </c>
      <c r="B15" s="632" t="s">
        <v>105</v>
      </c>
      <c r="C15" s="112" t="s">
        <v>107</v>
      </c>
      <c r="D15" s="113" t="s">
        <v>7</v>
      </c>
      <c r="E15" s="113"/>
      <c r="F15" s="115">
        <f>F9</f>
        <v>655</v>
      </c>
      <c r="G15" s="115"/>
      <c r="H15" s="115"/>
      <c r="I15" s="115"/>
      <c r="J15" s="115"/>
      <c r="K15" s="115"/>
      <c r="L15" s="115"/>
      <c r="M15" s="115"/>
      <c r="N15" s="354"/>
    </row>
    <row r="16" spans="1:14" ht="13.5">
      <c r="A16" s="362"/>
      <c r="B16" s="362"/>
      <c r="C16" s="99" t="s">
        <v>3</v>
      </c>
      <c r="D16" s="102" t="s">
        <v>4</v>
      </c>
      <c r="E16" s="102">
        <f>56.7/1000</f>
        <v>0.0567</v>
      </c>
      <c r="F16" s="88">
        <f>F15*E16</f>
        <v>37.1385</v>
      </c>
      <c r="G16" s="633"/>
      <c r="H16" s="633"/>
      <c r="I16" s="633"/>
      <c r="J16" s="633"/>
      <c r="K16" s="633"/>
      <c r="L16" s="633"/>
      <c r="M16" s="633"/>
      <c r="N16" s="354"/>
    </row>
    <row r="17" spans="1:14" ht="13.5">
      <c r="A17" s="559"/>
      <c r="B17" s="634"/>
      <c r="C17" s="70" t="s">
        <v>64</v>
      </c>
      <c r="D17" s="70"/>
      <c r="E17" s="70"/>
      <c r="F17" s="71"/>
      <c r="G17" s="635"/>
      <c r="H17" s="635"/>
      <c r="I17" s="633"/>
      <c r="J17" s="635"/>
      <c r="K17" s="635"/>
      <c r="L17" s="635"/>
      <c r="M17" s="635"/>
      <c r="N17" s="354"/>
    </row>
    <row r="18" spans="1:14" ht="13.5">
      <c r="A18" s="559"/>
      <c r="B18" s="634"/>
      <c r="C18" s="631" t="s">
        <v>90</v>
      </c>
      <c r="D18" s="70" t="s">
        <v>5</v>
      </c>
      <c r="E18" s="70">
        <f>94/1000</f>
        <v>0.094</v>
      </c>
      <c r="F18" s="71">
        <f>E18*F15</f>
        <v>61.57</v>
      </c>
      <c r="G18" s="636"/>
      <c r="H18" s="635"/>
      <c r="I18" s="633"/>
      <c r="J18" s="635"/>
      <c r="K18" s="635"/>
      <c r="L18" s="635"/>
      <c r="M18" s="635"/>
      <c r="N18" s="354"/>
    </row>
    <row r="19" spans="1:14" ht="13.5">
      <c r="A19" s="559"/>
      <c r="B19" s="634"/>
      <c r="C19" s="99" t="s">
        <v>6</v>
      </c>
      <c r="D19" s="70" t="s">
        <v>0</v>
      </c>
      <c r="E19" s="70">
        <f>0.16/1000</f>
        <v>0.00016</v>
      </c>
      <c r="F19" s="503">
        <f>E19*F15</f>
        <v>0.1048</v>
      </c>
      <c r="G19" s="635"/>
      <c r="H19" s="637"/>
      <c r="I19" s="638"/>
      <c r="J19" s="637"/>
      <c r="K19" s="637"/>
      <c r="L19" s="637"/>
      <c r="M19" s="637"/>
      <c r="N19" s="354"/>
    </row>
    <row r="20" spans="1:13" ht="13.5">
      <c r="A20" s="385"/>
      <c r="B20" s="386"/>
      <c r="C20" s="387" t="s">
        <v>129</v>
      </c>
      <c r="D20" s="388"/>
      <c r="E20" s="389"/>
      <c r="F20" s="390"/>
      <c r="G20" s="390"/>
      <c r="H20" s="391"/>
      <c r="I20" s="391"/>
      <c r="J20" s="391"/>
      <c r="K20" s="391"/>
      <c r="L20" s="391"/>
      <c r="M20" s="391"/>
    </row>
    <row r="21" spans="1:13" ht="13.5">
      <c r="A21" s="70"/>
      <c r="B21" s="392"/>
      <c r="C21" s="99" t="s">
        <v>72</v>
      </c>
      <c r="D21" s="393" t="s">
        <v>517</v>
      </c>
      <c r="E21" s="394"/>
      <c r="F21" s="395"/>
      <c r="G21" s="395"/>
      <c r="H21" s="396"/>
      <c r="I21" s="395"/>
      <c r="J21" s="396"/>
      <c r="K21" s="395"/>
      <c r="L21" s="396"/>
      <c r="M21" s="396"/>
    </row>
    <row r="22" spans="1:13" ht="13.5">
      <c r="A22" s="70"/>
      <c r="B22" s="362"/>
      <c r="C22" s="397" t="s">
        <v>2</v>
      </c>
      <c r="D22" s="393"/>
      <c r="E22" s="398"/>
      <c r="F22" s="399"/>
      <c r="G22" s="399"/>
      <c r="H22" s="400"/>
      <c r="I22" s="401"/>
      <c r="J22" s="400"/>
      <c r="K22" s="401"/>
      <c r="L22" s="400"/>
      <c r="M22" s="400"/>
    </row>
    <row r="23" spans="1:13" ht="13.5">
      <c r="A23" s="70"/>
      <c r="B23" s="402"/>
      <c r="C23" s="403" t="s">
        <v>73</v>
      </c>
      <c r="D23" s="393" t="s">
        <v>517</v>
      </c>
      <c r="E23" s="394"/>
      <c r="F23" s="395"/>
      <c r="G23" s="395"/>
      <c r="H23" s="404"/>
      <c r="I23" s="404"/>
      <c r="J23" s="404"/>
      <c r="K23" s="404"/>
      <c r="L23" s="404"/>
      <c r="M23" s="396"/>
    </row>
    <row r="24" spans="1:13" ht="13.5">
      <c r="A24" s="70"/>
      <c r="B24" s="362"/>
      <c r="C24" s="397" t="s">
        <v>2</v>
      </c>
      <c r="D24" s="393"/>
      <c r="E24" s="398"/>
      <c r="F24" s="399"/>
      <c r="G24" s="399"/>
      <c r="H24" s="401"/>
      <c r="I24" s="401"/>
      <c r="J24" s="401"/>
      <c r="K24" s="401"/>
      <c r="L24" s="401"/>
      <c r="M24" s="400"/>
    </row>
    <row r="25" spans="1:13" ht="13.5">
      <c r="A25" s="70"/>
      <c r="B25" s="402"/>
      <c r="C25" s="403" t="s">
        <v>69</v>
      </c>
      <c r="D25" s="393" t="s">
        <v>517</v>
      </c>
      <c r="E25" s="394"/>
      <c r="F25" s="395"/>
      <c r="G25" s="395"/>
      <c r="H25" s="404"/>
      <c r="I25" s="404"/>
      <c r="J25" s="404"/>
      <c r="K25" s="404"/>
      <c r="L25" s="404"/>
      <c r="M25" s="396"/>
    </row>
    <row r="26" spans="1:13" ht="13.5">
      <c r="A26" s="70"/>
      <c r="B26" s="362"/>
      <c r="C26" s="397" t="s">
        <v>78</v>
      </c>
      <c r="D26" s="399"/>
      <c r="E26" s="398"/>
      <c r="F26" s="399"/>
      <c r="G26" s="399"/>
      <c r="H26" s="401"/>
      <c r="I26" s="401"/>
      <c r="J26" s="401"/>
      <c r="K26" s="401"/>
      <c r="L26" s="401"/>
      <c r="M26" s="400"/>
    </row>
    <row r="27" spans="1:13" ht="13.5">
      <c r="A27" s="103"/>
      <c r="B27" s="104"/>
      <c r="D27" s="103"/>
      <c r="E27" s="103"/>
      <c r="F27" s="103"/>
      <c r="G27" s="103"/>
      <c r="H27" s="103"/>
      <c r="I27" s="103"/>
      <c r="J27" s="105"/>
      <c r="K27" s="103"/>
      <c r="M27" s="106"/>
    </row>
    <row r="28" spans="2:5" ht="13.5">
      <c r="B28" s="107"/>
      <c r="C28" s="108"/>
      <c r="D28" s="109"/>
      <c r="E28" s="109"/>
    </row>
    <row r="29" spans="2:8" ht="13.5">
      <c r="B29" s="107"/>
      <c r="C29" s="108"/>
      <c r="D29" s="109"/>
      <c r="E29" s="109"/>
      <c r="G29" s="699"/>
      <c r="H29" s="699"/>
    </row>
    <row r="30" ht="13.5">
      <c r="I30" s="111"/>
    </row>
  </sheetData>
  <sheetProtection/>
  <mergeCells count="15">
    <mergeCell ref="G29:H29"/>
    <mergeCell ref="F6:F7"/>
    <mergeCell ref="G6:H6"/>
    <mergeCell ref="A1:M1"/>
    <mergeCell ref="I6:J6"/>
    <mergeCell ref="K6:L6"/>
    <mergeCell ref="A2:M2"/>
    <mergeCell ref="A3:M3"/>
    <mergeCell ref="A4:M4"/>
    <mergeCell ref="C5:K5"/>
    <mergeCell ref="B6:B7"/>
    <mergeCell ref="A6:A7"/>
    <mergeCell ref="C6:C7"/>
    <mergeCell ref="D6:D7"/>
    <mergeCell ref="E6:E7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106" zoomScaleNormal="85" zoomScaleSheetLayoutView="106" workbookViewId="0" topLeftCell="A13">
      <selection activeCell="G10" sqref="G10:M34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381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89"/>
    </row>
    <row r="5" spans="1:14" s="98" customFormat="1" ht="11.25">
      <c r="A5" s="61"/>
      <c r="B5" s="75"/>
      <c r="C5" s="704"/>
      <c r="D5" s="704"/>
      <c r="E5" s="704"/>
      <c r="F5" s="704"/>
      <c r="G5" s="704"/>
      <c r="H5" s="704"/>
      <c r="I5" s="704"/>
      <c r="J5" s="704"/>
      <c r="K5" s="704"/>
      <c r="L5" s="62"/>
      <c r="M5" s="62"/>
      <c r="N5" s="62"/>
    </row>
    <row r="6" spans="1:14" s="98" customFormat="1" ht="11.25">
      <c r="A6" s="700" t="s">
        <v>1</v>
      </c>
      <c r="B6" s="702" t="s">
        <v>70</v>
      </c>
      <c r="C6" s="700" t="s">
        <v>51</v>
      </c>
      <c r="D6" s="700" t="s">
        <v>52</v>
      </c>
      <c r="E6" s="700" t="s">
        <v>53</v>
      </c>
      <c r="F6" s="700" t="s">
        <v>54</v>
      </c>
      <c r="G6" s="701" t="s">
        <v>55</v>
      </c>
      <c r="H6" s="701"/>
      <c r="I6" s="701" t="s">
        <v>56</v>
      </c>
      <c r="J6" s="701"/>
      <c r="K6" s="700" t="s">
        <v>57</v>
      </c>
      <c r="L6" s="700"/>
      <c r="M6" s="95" t="s">
        <v>71</v>
      </c>
      <c r="N6" s="97"/>
    </row>
    <row r="7" spans="1:14" s="98" customFormat="1" ht="11.25">
      <c r="A7" s="700"/>
      <c r="B7" s="702"/>
      <c r="C7" s="700"/>
      <c r="D7" s="700"/>
      <c r="E7" s="700"/>
      <c r="F7" s="700"/>
      <c r="G7" s="95" t="s">
        <v>58</v>
      </c>
      <c r="H7" s="101" t="s">
        <v>2</v>
      </c>
      <c r="I7" s="95" t="s">
        <v>58</v>
      </c>
      <c r="J7" s="101" t="s">
        <v>2</v>
      </c>
      <c r="K7" s="95" t="s">
        <v>58</v>
      </c>
      <c r="L7" s="101" t="s">
        <v>59</v>
      </c>
      <c r="M7" s="95" t="s">
        <v>60</v>
      </c>
      <c r="N7" s="97"/>
    </row>
    <row r="8" spans="1:14" s="98" customFormat="1" ht="11.25">
      <c r="A8" s="93">
        <v>1</v>
      </c>
      <c r="B8" s="94">
        <v>3</v>
      </c>
      <c r="C8" s="93">
        <v>2</v>
      </c>
      <c r="D8" s="93">
        <v>4</v>
      </c>
      <c r="E8" s="93">
        <v>5</v>
      </c>
      <c r="F8" s="93">
        <v>6</v>
      </c>
      <c r="G8" s="95">
        <v>7</v>
      </c>
      <c r="H8" s="96">
        <v>8</v>
      </c>
      <c r="I8" s="95">
        <v>9</v>
      </c>
      <c r="J8" s="96">
        <v>10</v>
      </c>
      <c r="K8" s="95">
        <v>11</v>
      </c>
      <c r="L8" s="96">
        <v>12</v>
      </c>
      <c r="M8" s="95">
        <v>13</v>
      </c>
      <c r="N8" s="97"/>
    </row>
    <row r="9" spans="1:14" ht="21">
      <c r="A9" s="705" t="s">
        <v>174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7"/>
      <c r="N9" s="354"/>
    </row>
    <row r="10" spans="1:14" ht="27">
      <c r="A10" s="347">
        <v>1</v>
      </c>
      <c r="B10" s="348" t="s">
        <v>94</v>
      </c>
      <c r="C10" s="349" t="s">
        <v>113</v>
      </c>
      <c r="D10" s="350" t="s">
        <v>5</v>
      </c>
      <c r="E10" s="351"/>
      <c r="F10" s="352">
        <v>15.24</v>
      </c>
      <c r="G10" s="358"/>
      <c r="H10" s="360"/>
      <c r="I10" s="358"/>
      <c r="J10" s="360"/>
      <c r="K10" s="358"/>
      <c r="L10" s="360"/>
      <c r="M10" s="353"/>
      <c r="N10" s="354"/>
    </row>
    <row r="11" spans="1:14" ht="13.5">
      <c r="A11" s="355"/>
      <c r="B11" s="356"/>
      <c r="C11" s="357" t="s">
        <v>3</v>
      </c>
      <c r="D11" s="358" t="s">
        <v>4</v>
      </c>
      <c r="E11" s="359">
        <v>0.0215</v>
      </c>
      <c r="F11" s="360">
        <f>F10*E11</f>
        <v>0.32765999999999995</v>
      </c>
      <c r="G11" s="358"/>
      <c r="H11" s="360"/>
      <c r="I11" s="360"/>
      <c r="J11" s="360"/>
      <c r="K11" s="358"/>
      <c r="L11" s="360"/>
      <c r="M11" s="360"/>
      <c r="N11" s="354"/>
    </row>
    <row r="12" spans="1:14" ht="13.5">
      <c r="A12" s="355"/>
      <c r="B12" s="187" t="s">
        <v>228</v>
      </c>
      <c r="C12" s="357" t="s">
        <v>88</v>
      </c>
      <c r="D12" s="355" t="s">
        <v>87</v>
      </c>
      <c r="E12" s="359">
        <v>0.0482</v>
      </c>
      <c r="F12" s="360">
        <f>E12*F10</f>
        <v>0.734568</v>
      </c>
      <c r="G12" s="358"/>
      <c r="H12" s="360"/>
      <c r="I12" s="360"/>
      <c r="J12" s="360"/>
      <c r="K12" s="102"/>
      <c r="L12" s="360"/>
      <c r="M12" s="360"/>
      <c r="N12" s="354"/>
    </row>
    <row r="13" spans="1:15" ht="13.5">
      <c r="A13" s="355"/>
      <c r="B13" s="356"/>
      <c r="C13" s="357" t="s">
        <v>95</v>
      </c>
      <c r="D13" s="355" t="s">
        <v>96</v>
      </c>
      <c r="E13" s="359">
        <v>0.01</v>
      </c>
      <c r="F13" s="360">
        <f>F10*E13</f>
        <v>0.1524</v>
      </c>
      <c r="G13" s="360"/>
      <c r="H13" s="360"/>
      <c r="I13" s="360"/>
      <c r="J13" s="360"/>
      <c r="K13" s="358"/>
      <c r="L13" s="360"/>
      <c r="M13" s="360"/>
      <c r="N13" s="354"/>
      <c r="O13" s="557"/>
    </row>
    <row r="14" spans="1:14" ht="27">
      <c r="A14" s="362">
        <v>4</v>
      </c>
      <c r="B14" s="363" t="s">
        <v>127</v>
      </c>
      <c r="C14" s="112" t="s">
        <v>126</v>
      </c>
      <c r="D14" s="113" t="s">
        <v>5</v>
      </c>
      <c r="E14" s="113"/>
      <c r="F14" s="352">
        <f>F10*0.01</f>
        <v>0.1524</v>
      </c>
      <c r="G14" s="102"/>
      <c r="H14" s="88"/>
      <c r="I14" s="88"/>
      <c r="J14" s="88"/>
      <c r="K14" s="102"/>
      <c r="L14" s="88"/>
      <c r="M14" s="115"/>
      <c r="N14" s="354"/>
    </row>
    <row r="15" spans="1:14" ht="13.5">
      <c r="A15" s="70"/>
      <c r="B15" s="94"/>
      <c r="C15" s="99" t="s">
        <v>3</v>
      </c>
      <c r="D15" s="102" t="s">
        <v>4</v>
      </c>
      <c r="E15" s="102">
        <v>2.99</v>
      </c>
      <c r="F15" s="88">
        <f>F14*E15</f>
        <v>0.4556760000000001</v>
      </c>
      <c r="G15" s="102"/>
      <c r="H15" s="88"/>
      <c r="I15" s="88"/>
      <c r="J15" s="88"/>
      <c r="K15" s="102"/>
      <c r="L15" s="88"/>
      <c r="M15" s="88"/>
      <c r="N15" s="354"/>
    </row>
    <row r="16" spans="1:14" s="103" customFormat="1" ht="13.5">
      <c r="A16" s="362">
        <v>7</v>
      </c>
      <c r="B16" s="362" t="s">
        <v>121</v>
      </c>
      <c r="C16" s="379" t="s">
        <v>133</v>
      </c>
      <c r="D16" s="362" t="s">
        <v>5</v>
      </c>
      <c r="E16" s="362"/>
      <c r="F16" s="117">
        <v>0.66</v>
      </c>
      <c r="G16" s="639"/>
      <c r="H16" s="640"/>
      <c r="I16" s="88"/>
      <c r="J16" s="640"/>
      <c r="K16" s="102"/>
      <c r="L16" s="116"/>
      <c r="M16" s="88"/>
      <c r="N16" s="371"/>
    </row>
    <row r="17" spans="1:14" s="103" customFormat="1" ht="13.5">
      <c r="A17" s="362"/>
      <c r="B17" s="77"/>
      <c r="C17" s="99" t="s">
        <v>3</v>
      </c>
      <c r="D17" s="102" t="s">
        <v>4</v>
      </c>
      <c r="E17" s="102">
        <v>0.216</v>
      </c>
      <c r="F17" s="88">
        <f>E17*F16</f>
        <v>0.14256</v>
      </c>
      <c r="G17" s="102"/>
      <c r="H17" s="88"/>
      <c r="I17" s="88"/>
      <c r="J17" s="88"/>
      <c r="K17" s="102"/>
      <c r="L17" s="88"/>
      <c r="M17" s="88"/>
      <c r="N17" s="371"/>
    </row>
    <row r="18" spans="1:14" s="103" customFormat="1" ht="13.5">
      <c r="A18" s="362"/>
      <c r="B18" s="292" t="s">
        <v>229</v>
      </c>
      <c r="C18" s="99" t="s">
        <v>116</v>
      </c>
      <c r="D18" s="70" t="s">
        <v>87</v>
      </c>
      <c r="E18" s="102">
        <v>0.0124</v>
      </c>
      <c r="F18" s="116">
        <f>E18*F16</f>
        <v>0.008184</v>
      </c>
      <c r="G18" s="102"/>
      <c r="H18" s="88"/>
      <c r="I18" s="88"/>
      <c r="J18" s="88"/>
      <c r="K18" s="121"/>
      <c r="L18" s="88"/>
      <c r="M18" s="88"/>
      <c r="N18" s="371"/>
    </row>
    <row r="19" spans="1:14" s="103" customFormat="1" ht="13.5">
      <c r="A19" s="119"/>
      <c r="B19" s="194" t="s">
        <v>224</v>
      </c>
      <c r="C19" s="403" t="s">
        <v>122</v>
      </c>
      <c r="D19" s="70" t="s">
        <v>87</v>
      </c>
      <c r="E19" s="102">
        <v>0.0258</v>
      </c>
      <c r="F19" s="641">
        <f>E19*F16</f>
        <v>0.017028</v>
      </c>
      <c r="G19" s="70"/>
      <c r="H19" s="70"/>
      <c r="I19" s="71"/>
      <c r="J19" s="70"/>
      <c r="K19" s="70"/>
      <c r="L19" s="71"/>
      <c r="M19" s="71"/>
      <c r="N19" s="371"/>
    </row>
    <row r="20" spans="1:14" s="103" customFormat="1" ht="13.5">
      <c r="A20" s="362"/>
      <c r="B20" s="194" t="s">
        <v>225</v>
      </c>
      <c r="C20" s="99" t="s">
        <v>123</v>
      </c>
      <c r="D20" s="70" t="s">
        <v>87</v>
      </c>
      <c r="E20" s="102">
        <v>0.0041</v>
      </c>
      <c r="F20" s="116">
        <f>E20*F16</f>
        <v>0.0027060000000000005</v>
      </c>
      <c r="G20" s="102"/>
      <c r="H20" s="88"/>
      <c r="I20" s="88"/>
      <c r="J20" s="88"/>
      <c r="K20" s="102"/>
      <c r="L20" s="88"/>
      <c r="M20" s="88"/>
      <c r="N20" s="371"/>
    </row>
    <row r="21" spans="1:14" s="103" customFormat="1" ht="13.5">
      <c r="A21" s="362"/>
      <c r="B21" s="254" t="s">
        <v>222</v>
      </c>
      <c r="C21" s="99" t="s">
        <v>117</v>
      </c>
      <c r="D21" s="70" t="s">
        <v>87</v>
      </c>
      <c r="E21" s="102">
        <v>0.076</v>
      </c>
      <c r="F21" s="116">
        <f>E21*F16</f>
        <v>0.05016</v>
      </c>
      <c r="G21" s="102"/>
      <c r="H21" s="88"/>
      <c r="I21" s="88"/>
      <c r="J21" s="88"/>
      <c r="K21" s="265"/>
      <c r="L21" s="88"/>
      <c r="M21" s="88"/>
      <c r="N21" s="371"/>
    </row>
    <row r="22" spans="1:13" ht="13.5">
      <c r="A22" s="362"/>
      <c r="B22" s="254" t="s">
        <v>223</v>
      </c>
      <c r="C22" s="99" t="s">
        <v>118</v>
      </c>
      <c r="D22" s="70" t="s">
        <v>87</v>
      </c>
      <c r="E22" s="102">
        <v>0.151</v>
      </c>
      <c r="F22" s="116">
        <f>E22*F16</f>
        <v>0.09966</v>
      </c>
      <c r="G22" s="102"/>
      <c r="H22" s="88"/>
      <c r="I22" s="88"/>
      <c r="J22" s="88"/>
      <c r="K22" s="265"/>
      <c r="L22" s="88"/>
      <c r="M22" s="88"/>
    </row>
    <row r="23" spans="1:13" ht="13.5">
      <c r="A23" s="362"/>
      <c r="B23" s="194" t="s">
        <v>230</v>
      </c>
      <c r="C23" s="99" t="s">
        <v>124</v>
      </c>
      <c r="D23" s="102" t="s">
        <v>87</v>
      </c>
      <c r="E23" s="102">
        <v>0.0097</v>
      </c>
      <c r="F23" s="88">
        <f>F16*E23</f>
        <v>0.006402000000000001</v>
      </c>
      <c r="G23" s="102"/>
      <c r="H23" s="88"/>
      <c r="I23" s="642"/>
      <c r="J23" s="643"/>
      <c r="K23" s="102"/>
      <c r="L23" s="88"/>
      <c r="M23" s="88"/>
    </row>
    <row r="24" spans="1:13" ht="13.5">
      <c r="A24" s="362"/>
      <c r="B24" s="74" t="s">
        <v>216</v>
      </c>
      <c r="C24" s="99" t="s">
        <v>35</v>
      </c>
      <c r="D24" s="102" t="s">
        <v>5</v>
      </c>
      <c r="E24" s="102">
        <v>1.26</v>
      </c>
      <c r="F24" s="88">
        <f>F16*E24</f>
        <v>0.8316</v>
      </c>
      <c r="G24" s="88"/>
      <c r="H24" s="88"/>
      <c r="I24" s="88"/>
      <c r="J24" s="88"/>
      <c r="K24" s="102"/>
      <c r="L24" s="88"/>
      <c r="M24" s="88"/>
    </row>
    <row r="25" spans="1:13" ht="13.5">
      <c r="A25" s="362"/>
      <c r="B25" s="194"/>
      <c r="C25" s="99" t="s">
        <v>90</v>
      </c>
      <c r="D25" s="102" t="s">
        <v>5</v>
      </c>
      <c r="E25" s="102">
        <v>0.07</v>
      </c>
      <c r="F25" s="116">
        <f>F16*E25</f>
        <v>0.046200000000000005</v>
      </c>
      <c r="G25" s="636"/>
      <c r="H25" s="88"/>
      <c r="I25" s="88"/>
      <c r="J25" s="88"/>
      <c r="K25" s="102"/>
      <c r="L25" s="88"/>
      <c r="M25" s="88"/>
    </row>
    <row r="26" spans="1:14" s="103" customFormat="1" ht="27">
      <c r="A26" s="559">
        <v>6</v>
      </c>
      <c r="B26" s="94" t="s">
        <v>119</v>
      </c>
      <c r="C26" s="112" t="s">
        <v>134</v>
      </c>
      <c r="D26" s="113" t="s">
        <v>81</v>
      </c>
      <c r="E26" s="113"/>
      <c r="F26" s="115">
        <v>7.08</v>
      </c>
      <c r="G26" s="102"/>
      <c r="H26" s="88"/>
      <c r="I26" s="88"/>
      <c r="J26" s="88"/>
      <c r="K26" s="102"/>
      <c r="L26" s="88"/>
      <c r="M26" s="115"/>
      <c r="N26" s="371"/>
    </row>
    <row r="27" spans="1:14" s="103" customFormat="1" ht="13.5">
      <c r="A27" s="119"/>
      <c r="B27" s="113"/>
      <c r="C27" s="403" t="s">
        <v>80</v>
      </c>
      <c r="D27" s="102" t="s">
        <v>63</v>
      </c>
      <c r="E27" s="102">
        <f>0.00921+0.00497</f>
        <v>0.014179999999999998</v>
      </c>
      <c r="F27" s="71">
        <f>E27*F26</f>
        <v>0.1003944</v>
      </c>
      <c r="G27" s="644"/>
      <c r="H27" s="644"/>
      <c r="I27" s="635"/>
      <c r="J27" s="644"/>
      <c r="K27" s="644"/>
      <c r="L27" s="644"/>
      <c r="M27" s="644"/>
      <c r="N27" s="371"/>
    </row>
    <row r="28" spans="1:14" s="103" customFormat="1" ht="13.5">
      <c r="A28" s="362"/>
      <c r="B28" s="94"/>
      <c r="C28" s="264" t="s">
        <v>120</v>
      </c>
      <c r="D28" s="265" t="s">
        <v>5</v>
      </c>
      <c r="E28" s="265">
        <v>1.1</v>
      </c>
      <c r="F28" s="263">
        <f>E28*F26</f>
        <v>7.788000000000001</v>
      </c>
      <c r="G28" s="644"/>
      <c r="H28" s="644"/>
      <c r="I28" s="635"/>
      <c r="J28" s="644"/>
      <c r="K28" s="644"/>
      <c r="L28" s="644"/>
      <c r="M28" s="263"/>
      <c r="N28" s="371"/>
    </row>
    <row r="29" spans="1:13" ht="27">
      <c r="A29" s="79">
        <v>3</v>
      </c>
      <c r="B29" s="366" t="s">
        <v>91</v>
      </c>
      <c r="C29" s="112" t="s">
        <v>125</v>
      </c>
      <c r="D29" s="168" t="s">
        <v>5</v>
      </c>
      <c r="E29" s="367"/>
      <c r="F29" s="115">
        <f>F10+F14</f>
        <v>15.3924</v>
      </c>
      <c r="G29" s="645"/>
      <c r="H29" s="645"/>
      <c r="I29" s="645"/>
      <c r="J29" s="645"/>
      <c r="K29" s="646"/>
      <c r="L29" s="645"/>
      <c r="M29" s="368"/>
    </row>
    <row r="30" spans="1:13" ht="13.5">
      <c r="A30" s="78"/>
      <c r="B30" s="168"/>
      <c r="C30" s="372" t="s">
        <v>79</v>
      </c>
      <c r="D30" s="102" t="s">
        <v>4</v>
      </c>
      <c r="E30" s="102">
        <f>0.02</f>
        <v>0.02</v>
      </c>
      <c r="F30" s="102">
        <f>E30*F29</f>
        <v>0.307848</v>
      </c>
      <c r="G30" s="88"/>
      <c r="H30" s="102"/>
      <c r="I30" s="88"/>
      <c r="J30" s="88"/>
      <c r="K30" s="88"/>
      <c r="L30" s="88"/>
      <c r="M30" s="88"/>
    </row>
    <row r="31" spans="1:13" ht="13.5">
      <c r="A31" s="78"/>
      <c r="B31" s="187" t="s">
        <v>228</v>
      </c>
      <c r="C31" s="372" t="s">
        <v>92</v>
      </c>
      <c r="D31" s="102" t="s">
        <v>63</v>
      </c>
      <c r="E31" s="102">
        <f>0.0448</f>
        <v>0.0448</v>
      </c>
      <c r="F31" s="88">
        <f>E31*F29</f>
        <v>0.68957952</v>
      </c>
      <c r="G31" s="88"/>
      <c r="H31" s="102"/>
      <c r="I31" s="88"/>
      <c r="J31" s="102"/>
      <c r="K31" s="102"/>
      <c r="L31" s="373"/>
      <c r="M31" s="88"/>
    </row>
    <row r="32" spans="1:13" ht="13.5">
      <c r="A32" s="78"/>
      <c r="B32" s="168"/>
      <c r="C32" s="372" t="s">
        <v>29</v>
      </c>
      <c r="D32" s="102" t="s">
        <v>5</v>
      </c>
      <c r="E32" s="102">
        <f>0.0021</f>
        <v>0.0021</v>
      </c>
      <c r="F32" s="102">
        <f>E32*F29</f>
        <v>0.03232404</v>
      </c>
      <c r="G32" s="102"/>
      <c r="H32" s="102"/>
      <c r="I32" s="88"/>
      <c r="J32" s="102"/>
      <c r="K32" s="102"/>
      <c r="L32" s="373"/>
      <c r="M32" s="88"/>
    </row>
    <row r="33" spans="1:13" ht="13.5">
      <c r="A33" s="377">
        <v>10</v>
      </c>
      <c r="B33" s="378" t="s">
        <v>50</v>
      </c>
      <c r="C33" s="379" t="s">
        <v>93</v>
      </c>
      <c r="D33" s="380" t="s">
        <v>30</v>
      </c>
      <c r="E33" s="381"/>
      <c r="F33" s="382">
        <f>(F29*1.9)</f>
        <v>29.245559999999998</v>
      </c>
      <c r="G33" s="384"/>
      <c r="H33" s="270"/>
      <c r="I33" s="647"/>
      <c r="J33" s="263"/>
      <c r="K33" s="384"/>
      <c r="L33" s="270"/>
      <c r="M33" s="263"/>
    </row>
    <row r="34" spans="1:13" ht="40.5">
      <c r="A34" s="70">
        <v>7</v>
      </c>
      <c r="B34" s="363" t="s">
        <v>86</v>
      </c>
      <c r="C34" s="397" t="s">
        <v>171</v>
      </c>
      <c r="D34" s="362" t="s">
        <v>81</v>
      </c>
      <c r="E34" s="93"/>
      <c r="F34" s="117">
        <f>(0.85*0.85*3.14*(F37+(F38/2)))</f>
        <v>3.402975</v>
      </c>
      <c r="G34" s="71"/>
      <c r="H34" s="71"/>
      <c r="I34" s="71"/>
      <c r="J34" s="71"/>
      <c r="K34" s="71"/>
      <c r="L34" s="71"/>
      <c r="M34" s="117"/>
    </row>
    <row r="35" spans="1:13" ht="13.5">
      <c r="A35" s="465"/>
      <c r="B35" s="397"/>
      <c r="C35" s="403" t="s">
        <v>75</v>
      </c>
      <c r="D35" s="102" t="s">
        <v>4</v>
      </c>
      <c r="E35" s="101">
        <f>17.2*1.15</f>
        <v>19.779999999999998</v>
      </c>
      <c r="F35" s="88">
        <f>E35*F34</f>
        <v>67.3108455</v>
      </c>
      <c r="G35" s="70"/>
      <c r="H35" s="71"/>
      <c r="I35" s="88"/>
      <c r="J35" s="88"/>
      <c r="K35" s="70"/>
      <c r="L35" s="70"/>
      <c r="M35" s="88"/>
    </row>
    <row r="36" spans="1:13" ht="13.5">
      <c r="A36" s="119"/>
      <c r="B36" s="397"/>
      <c r="C36" s="403" t="s">
        <v>29</v>
      </c>
      <c r="D36" s="102" t="s">
        <v>0</v>
      </c>
      <c r="E36" s="93">
        <f>71.4*1.15/10</f>
        <v>8.211</v>
      </c>
      <c r="F36" s="71">
        <f>E36*F34</f>
        <v>27.941827725000003</v>
      </c>
      <c r="G36" s="70"/>
      <c r="H36" s="71"/>
      <c r="I36" s="71"/>
      <c r="J36" s="70"/>
      <c r="K36" s="70"/>
      <c r="L36" s="71"/>
      <c r="M36" s="88"/>
    </row>
    <row r="37" spans="1:13" ht="13.5">
      <c r="A37" s="465"/>
      <c r="B37" s="397" t="s">
        <v>231</v>
      </c>
      <c r="C37" s="403" t="s">
        <v>172</v>
      </c>
      <c r="D37" s="102" t="s">
        <v>8</v>
      </c>
      <c r="E37" s="101"/>
      <c r="F37" s="88">
        <v>1</v>
      </c>
      <c r="G37" s="406"/>
      <c r="H37" s="418"/>
      <c r="I37" s="413"/>
      <c r="J37" s="78"/>
      <c r="K37" s="419"/>
      <c r="L37" s="419"/>
      <c r="M37" s="88"/>
    </row>
    <row r="38" spans="1:13" ht="13.5">
      <c r="A38" s="465"/>
      <c r="B38" s="397" t="s">
        <v>234</v>
      </c>
      <c r="C38" s="403" t="s">
        <v>173</v>
      </c>
      <c r="D38" s="102" t="s">
        <v>8</v>
      </c>
      <c r="E38" s="101"/>
      <c r="F38" s="88">
        <v>1</v>
      </c>
      <c r="G38" s="406"/>
      <c r="H38" s="418"/>
      <c r="I38" s="413"/>
      <c r="J38" s="78"/>
      <c r="K38" s="419"/>
      <c r="L38" s="419"/>
      <c r="M38" s="88"/>
    </row>
    <row r="39" spans="1:13" ht="13.5">
      <c r="A39" s="465"/>
      <c r="B39" s="397" t="s">
        <v>232</v>
      </c>
      <c r="C39" s="403" t="s">
        <v>169</v>
      </c>
      <c r="D39" s="102" t="s">
        <v>8</v>
      </c>
      <c r="E39" s="101"/>
      <c r="F39" s="88">
        <v>1</v>
      </c>
      <c r="G39" s="406"/>
      <c r="H39" s="418"/>
      <c r="I39" s="413"/>
      <c r="J39" s="78"/>
      <c r="K39" s="419"/>
      <c r="L39" s="419"/>
      <c r="M39" s="88"/>
    </row>
    <row r="40" spans="1:13" ht="13.5">
      <c r="A40" s="465"/>
      <c r="B40" s="397" t="s">
        <v>233</v>
      </c>
      <c r="C40" s="403" t="s">
        <v>168</v>
      </c>
      <c r="D40" s="102" t="s">
        <v>8</v>
      </c>
      <c r="E40" s="101"/>
      <c r="F40" s="88">
        <v>1</v>
      </c>
      <c r="G40" s="406"/>
      <c r="H40" s="418"/>
      <c r="I40" s="413"/>
      <c r="J40" s="78"/>
      <c r="K40" s="419"/>
      <c r="L40" s="419"/>
      <c r="M40" s="88"/>
    </row>
    <row r="41" spans="1:13" ht="13.5">
      <c r="A41" s="465"/>
      <c r="B41" s="397"/>
      <c r="C41" s="403" t="s">
        <v>170</v>
      </c>
      <c r="D41" s="102" t="s">
        <v>8</v>
      </c>
      <c r="E41" s="101"/>
      <c r="F41" s="88">
        <v>3</v>
      </c>
      <c r="G41" s="406"/>
      <c r="H41" s="418"/>
      <c r="I41" s="413"/>
      <c r="J41" s="78"/>
      <c r="K41" s="419"/>
      <c r="L41" s="419"/>
      <c r="M41" s="88"/>
    </row>
    <row r="42" spans="1:13" ht="13.5">
      <c r="A42" s="465"/>
      <c r="B42" s="397"/>
      <c r="C42" s="403" t="s">
        <v>85</v>
      </c>
      <c r="D42" s="102" t="s">
        <v>8</v>
      </c>
      <c r="E42" s="101"/>
      <c r="F42" s="88">
        <f>F39</f>
        <v>1</v>
      </c>
      <c r="G42" s="406"/>
      <c r="H42" s="418"/>
      <c r="I42" s="413"/>
      <c r="J42" s="78"/>
      <c r="K42" s="419"/>
      <c r="L42" s="419"/>
      <c r="M42" s="88"/>
    </row>
    <row r="43" spans="1:13" ht="13.5">
      <c r="A43" s="465"/>
      <c r="B43" s="397"/>
      <c r="C43" s="403" t="s">
        <v>62</v>
      </c>
      <c r="D43" s="102" t="s">
        <v>0</v>
      </c>
      <c r="E43" s="101">
        <v>6.61</v>
      </c>
      <c r="F43" s="88">
        <f>E43*F34</f>
        <v>22.49366475</v>
      </c>
      <c r="G43" s="121"/>
      <c r="H43" s="71"/>
      <c r="I43" s="413"/>
      <c r="J43" s="78"/>
      <c r="K43" s="419"/>
      <c r="L43" s="419"/>
      <c r="M43" s="88"/>
    </row>
    <row r="44" spans="1:13" ht="27">
      <c r="A44" s="465">
        <v>8</v>
      </c>
      <c r="B44" s="363" t="s">
        <v>83</v>
      </c>
      <c r="C44" s="397" t="s">
        <v>84</v>
      </c>
      <c r="D44" s="362" t="s">
        <v>82</v>
      </c>
      <c r="E44" s="93"/>
      <c r="F44" s="117">
        <f>(1.7*3.14*(F37+(F38/2)))</f>
        <v>8.007</v>
      </c>
      <c r="G44" s="270"/>
      <c r="H44" s="71"/>
      <c r="I44" s="71"/>
      <c r="J44" s="71"/>
      <c r="K44" s="71"/>
      <c r="L44" s="71"/>
      <c r="M44" s="117"/>
    </row>
    <row r="45" spans="1:13" ht="13.5">
      <c r="A45" s="465"/>
      <c r="B45" s="397"/>
      <c r="C45" s="403" t="s">
        <v>79</v>
      </c>
      <c r="D45" s="70" t="s">
        <v>67</v>
      </c>
      <c r="E45" s="101">
        <f>0.336*1.15</f>
        <v>0.3864</v>
      </c>
      <c r="F45" s="71">
        <f>E45*F44</f>
        <v>3.0939048000000002</v>
      </c>
      <c r="G45" s="270"/>
      <c r="H45" s="71"/>
      <c r="I45" s="88"/>
      <c r="J45" s="71"/>
      <c r="K45" s="71"/>
      <c r="L45" s="71"/>
      <c r="M45" s="71"/>
    </row>
    <row r="46" spans="1:13" ht="13.5">
      <c r="A46" s="465"/>
      <c r="B46" s="397"/>
      <c r="C46" s="403" t="s">
        <v>22</v>
      </c>
      <c r="D46" s="70" t="s">
        <v>0</v>
      </c>
      <c r="E46" s="101">
        <f>0.015*1.15</f>
        <v>0.017249999999999998</v>
      </c>
      <c r="F46" s="71">
        <v>14.8</v>
      </c>
      <c r="G46" s="270"/>
      <c r="H46" s="71"/>
      <c r="I46" s="71"/>
      <c r="J46" s="71"/>
      <c r="K46" s="71"/>
      <c r="L46" s="71"/>
      <c r="M46" s="71"/>
    </row>
    <row r="47" spans="1:14" s="98" customFormat="1" ht="16.5">
      <c r="A47" s="465"/>
      <c r="B47" s="397" t="s">
        <v>235</v>
      </c>
      <c r="C47" s="403" t="s">
        <v>40</v>
      </c>
      <c r="D47" s="70" t="s">
        <v>30</v>
      </c>
      <c r="E47" s="648">
        <f>0.24/100</f>
        <v>0.0024</v>
      </c>
      <c r="F47" s="503">
        <f>E47*F44</f>
        <v>0.0192168</v>
      </c>
      <c r="G47" s="270"/>
      <c r="H47" s="71"/>
      <c r="I47" s="71"/>
      <c r="J47" s="71"/>
      <c r="K47" s="71"/>
      <c r="L47" s="71"/>
      <c r="M47" s="71"/>
      <c r="N47" s="649"/>
    </row>
    <row r="48" spans="1:14" s="98" customFormat="1" ht="16.5">
      <c r="A48" s="465"/>
      <c r="B48" s="397"/>
      <c r="C48" s="650" t="s">
        <v>25</v>
      </c>
      <c r="D48" s="70" t="s">
        <v>30</v>
      </c>
      <c r="E48" s="648">
        <f>2.28/100</f>
        <v>0.022799999999999997</v>
      </c>
      <c r="F48" s="73">
        <f>E48*F44</f>
        <v>0.18255959999999996</v>
      </c>
      <c r="G48" s="71"/>
      <c r="H48" s="71"/>
      <c r="I48" s="71"/>
      <c r="J48" s="71"/>
      <c r="K48" s="71"/>
      <c r="L48" s="71"/>
      <c r="M48" s="71"/>
      <c r="N48" s="649"/>
    </row>
    <row r="49" spans="1:14" s="98" customFormat="1" ht="16.5">
      <c r="A49" s="559"/>
      <c r="B49" s="634"/>
      <c r="C49" s="99" t="s">
        <v>2</v>
      </c>
      <c r="D49" s="70"/>
      <c r="E49" s="70"/>
      <c r="F49" s="73"/>
      <c r="G49" s="70"/>
      <c r="H49" s="73"/>
      <c r="I49" s="102"/>
      <c r="J49" s="73"/>
      <c r="K49" s="70"/>
      <c r="L49" s="73"/>
      <c r="M49" s="73"/>
      <c r="N49" s="649"/>
    </row>
    <row r="50" spans="1:14" s="98" customFormat="1" ht="16.5">
      <c r="A50" s="362"/>
      <c r="B50" s="77"/>
      <c r="C50" s="112" t="s">
        <v>130</v>
      </c>
      <c r="D50" s="113" t="s">
        <v>111</v>
      </c>
      <c r="E50" s="113">
        <v>1</v>
      </c>
      <c r="F50" s="117"/>
      <c r="G50" s="639"/>
      <c r="H50" s="88"/>
      <c r="I50" s="102"/>
      <c r="J50" s="88"/>
      <c r="K50" s="102"/>
      <c r="L50" s="88"/>
      <c r="M50" s="115"/>
      <c r="N50" s="649"/>
    </row>
    <row r="51" spans="1:13" ht="13.5">
      <c r="A51" s="385"/>
      <c r="B51" s="386"/>
      <c r="C51" s="387" t="s">
        <v>129</v>
      </c>
      <c r="D51" s="388"/>
      <c r="E51" s="389"/>
      <c r="F51" s="390"/>
      <c r="G51" s="390"/>
      <c r="H51" s="391"/>
      <c r="I51" s="391"/>
      <c r="J51" s="391"/>
      <c r="K51" s="391"/>
      <c r="L51" s="391"/>
      <c r="M51" s="391"/>
    </row>
    <row r="52" spans="1:13" ht="13.5">
      <c r="A52" s="70"/>
      <c r="B52" s="392"/>
      <c r="C52" s="99" t="s">
        <v>72</v>
      </c>
      <c r="D52" s="393" t="s">
        <v>517</v>
      </c>
      <c r="E52" s="394"/>
      <c r="F52" s="395"/>
      <c r="G52" s="395"/>
      <c r="H52" s="396"/>
      <c r="I52" s="395"/>
      <c r="J52" s="396"/>
      <c r="K52" s="395"/>
      <c r="L52" s="396"/>
      <c r="M52" s="396"/>
    </row>
    <row r="53" spans="1:13" ht="13.5">
      <c r="A53" s="70"/>
      <c r="B53" s="362"/>
      <c r="C53" s="397" t="s">
        <v>2</v>
      </c>
      <c r="D53" s="393"/>
      <c r="E53" s="398"/>
      <c r="F53" s="399"/>
      <c r="G53" s="399"/>
      <c r="H53" s="400"/>
      <c r="I53" s="401"/>
      <c r="J53" s="400"/>
      <c r="K53" s="401"/>
      <c r="L53" s="400"/>
      <c r="M53" s="400"/>
    </row>
    <row r="54" spans="1:13" ht="13.5">
      <c r="A54" s="70"/>
      <c r="B54" s="402"/>
      <c r="C54" s="403" t="s">
        <v>73</v>
      </c>
      <c r="D54" s="393" t="s">
        <v>517</v>
      </c>
      <c r="E54" s="394"/>
      <c r="F54" s="395"/>
      <c r="G54" s="395"/>
      <c r="H54" s="404"/>
      <c r="I54" s="404"/>
      <c r="J54" s="404"/>
      <c r="K54" s="404"/>
      <c r="L54" s="404"/>
      <c r="M54" s="396"/>
    </row>
    <row r="55" spans="1:13" ht="13.5">
      <c r="A55" s="70"/>
      <c r="B55" s="362"/>
      <c r="C55" s="397" t="s">
        <v>2</v>
      </c>
      <c r="D55" s="393"/>
      <c r="E55" s="398"/>
      <c r="F55" s="399"/>
      <c r="G55" s="399"/>
      <c r="H55" s="401"/>
      <c r="I55" s="401"/>
      <c r="J55" s="401"/>
      <c r="K55" s="401"/>
      <c r="L55" s="401"/>
      <c r="M55" s="400"/>
    </row>
    <row r="56" spans="1:13" ht="13.5">
      <c r="A56" s="70"/>
      <c r="B56" s="402"/>
      <c r="C56" s="403" t="s">
        <v>69</v>
      </c>
      <c r="D56" s="393" t="s">
        <v>517</v>
      </c>
      <c r="E56" s="394"/>
      <c r="F56" s="395"/>
      <c r="G56" s="395"/>
      <c r="H56" s="404"/>
      <c r="I56" s="404"/>
      <c r="J56" s="404"/>
      <c r="K56" s="404"/>
      <c r="L56" s="404"/>
      <c r="M56" s="396"/>
    </row>
    <row r="57" spans="1:13" ht="13.5">
      <c r="A57" s="70"/>
      <c r="B57" s="362"/>
      <c r="C57" s="397" t="s">
        <v>78</v>
      </c>
      <c r="D57" s="399"/>
      <c r="E57" s="398"/>
      <c r="F57" s="399"/>
      <c r="G57" s="399"/>
      <c r="H57" s="401"/>
      <c r="I57" s="401"/>
      <c r="J57" s="401"/>
      <c r="K57" s="401"/>
      <c r="L57" s="401"/>
      <c r="M57" s="400"/>
    </row>
    <row r="58" spans="1:13" ht="13.5">
      <c r="A58" s="103"/>
      <c r="B58" s="104"/>
      <c r="D58" s="103"/>
      <c r="E58" s="103"/>
      <c r="F58" s="103"/>
      <c r="G58" s="103"/>
      <c r="H58" s="103"/>
      <c r="I58" s="103"/>
      <c r="J58" s="105"/>
      <c r="K58" s="103"/>
      <c r="M58" s="106"/>
    </row>
    <row r="59" spans="2:5" ht="13.5">
      <c r="B59" s="107"/>
      <c r="C59" s="108"/>
      <c r="D59" s="109"/>
      <c r="E59" s="109"/>
    </row>
    <row r="60" spans="2:8" ht="13.5">
      <c r="B60" s="107"/>
      <c r="C60" s="108"/>
      <c r="D60" s="109"/>
      <c r="E60" s="109"/>
      <c r="G60" s="699"/>
      <c r="H60" s="699"/>
    </row>
    <row r="61" ht="13.5">
      <c r="I61" s="111"/>
    </row>
  </sheetData>
  <sheetProtection/>
  <mergeCells count="16">
    <mergeCell ref="A4:M4"/>
    <mergeCell ref="C5:K5"/>
    <mergeCell ref="A6:A7"/>
    <mergeCell ref="C6:C7"/>
    <mergeCell ref="D6:D7"/>
    <mergeCell ref="E6:E7"/>
    <mergeCell ref="A1:M1"/>
    <mergeCell ref="A9:M9"/>
    <mergeCell ref="G60:H60"/>
    <mergeCell ref="F6:F7"/>
    <mergeCell ref="G6:H6"/>
    <mergeCell ref="I6:J6"/>
    <mergeCell ref="K6:L6"/>
    <mergeCell ref="B6:B7"/>
    <mergeCell ref="A2:M2"/>
    <mergeCell ref="A3:M3"/>
  </mergeCells>
  <conditionalFormatting sqref="B24">
    <cfRule type="cellIs" priority="4" dxfId="0" operator="equal" stopIfTrue="1">
      <formula>8223.307275</formula>
    </cfRule>
  </conditionalFormatting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91" r:id="rId1"/>
  <headerFooter alignWithMargins="0">
    <oddFooter>&amp;CPage &amp;P</oddFooter>
  </headerFooter>
  <rowBreaks count="1" manualBreakCount="1">
    <brk id="3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Normal="85" zoomScaleSheetLayoutView="100" workbookViewId="0" topLeftCell="A1">
      <selection activeCell="D10" sqref="D10:H17"/>
    </sheetView>
  </sheetViews>
  <sheetFormatPr defaultColWidth="9.140625" defaultRowHeight="12.75"/>
  <cols>
    <col min="1" max="1" width="3.421875" style="127" customWidth="1"/>
    <col min="2" max="2" width="7.7109375" style="127" customWidth="1"/>
    <col min="3" max="3" width="52.28125" style="127" customWidth="1"/>
    <col min="4" max="4" width="14.28125" style="162" customWidth="1"/>
    <col min="5" max="5" width="12.421875" style="162" customWidth="1"/>
    <col min="6" max="6" width="16.421875" style="164" customWidth="1"/>
    <col min="7" max="7" width="13.421875" style="165" customWidth="1"/>
    <col min="8" max="8" width="14.8515625" style="127" customWidth="1"/>
    <col min="9" max="9" width="11.140625" style="127" customWidth="1"/>
    <col min="10" max="10" width="13.421875" style="127" bestFit="1" customWidth="1"/>
    <col min="11" max="11" width="10.28125" style="127" bestFit="1" customWidth="1"/>
    <col min="12" max="16384" width="9.140625" style="127" customWidth="1"/>
  </cols>
  <sheetData>
    <row r="1" spans="1:9" ht="15.75">
      <c r="A1" s="696" t="s">
        <v>380</v>
      </c>
      <c r="B1" s="696"/>
      <c r="C1" s="696"/>
      <c r="D1" s="696"/>
      <c r="E1" s="696"/>
      <c r="F1" s="696"/>
      <c r="G1" s="696"/>
      <c r="H1" s="696"/>
      <c r="I1" s="696"/>
    </row>
    <row r="2" spans="1:9" s="132" customFormat="1" ht="15.75">
      <c r="A2" s="697" t="e">
        <f>#REF!</f>
        <v>#REF!</v>
      </c>
      <c r="B2" s="697"/>
      <c r="C2" s="697"/>
      <c r="D2" s="697"/>
      <c r="E2" s="697"/>
      <c r="F2" s="697"/>
      <c r="G2" s="697"/>
      <c r="H2" s="697"/>
      <c r="I2" s="697"/>
    </row>
    <row r="3" spans="1:9" s="132" customFormat="1" ht="15.75">
      <c r="A3" s="697" t="str">
        <f>2!C13</f>
        <v>წყალსადენის გამანაწილებელი ქსელის ფასონური ნაწილები</v>
      </c>
      <c r="B3" s="697"/>
      <c r="C3" s="697"/>
      <c r="D3" s="697"/>
      <c r="E3" s="697"/>
      <c r="F3" s="697"/>
      <c r="G3" s="697"/>
      <c r="H3" s="697"/>
      <c r="I3" s="697"/>
    </row>
    <row r="4" spans="1:9" s="132" customFormat="1" ht="15.75">
      <c r="A4" s="600"/>
      <c r="B4" s="600"/>
      <c r="C4" s="600"/>
      <c r="D4" s="600"/>
      <c r="E4" s="600"/>
      <c r="F4" s="600"/>
      <c r="G4" s="600"/>
      <c r="H4" s="600"/>
      <c r="I4" s="600"/>
    </row>
    <row r="5" spans="3:9" ht="16.5" customHeight="1">
      <c r="C5" s="162"/>
      <c r="F5" s="698" t="s">
        <v>9</v>
      </c>
      <c r="G5" s="698"/>
      <c r="H5" s="698"/>
      <c r="I5" s="698"/>
    </row>
    <row r="6" spans="1:9" ht="15.75" customHeight="1">
      <c r="A6" s="694" t="s">
        <v>10</v>
      </c>
      <c r="B6" s="693" t="s">
        <v>11</v>
      </c>
      <c r="C6" s="693" t="s">
        <v>12</v>
      </c>
      <c r="D6" s="694" t="s">
        <v>13</v>
      </c>
      <c r="E6" s="694"/>
      <c r="F6" s="694"/>
      <c r="G6" s="694"/>
      <c r="H6" s="694"/>
      <c r="I6" s="693" t="s">
        <v>14</v>
      </c>
    </row>
    <row r="7" spans="1:9" ht="15.75">
      <c r="A7" s="694"/>
      <c r="B7" s="693"/>
      <c r="C7" s="693"/>
      <c r="D7" s="693" t="s">
        <v>15</v>
      </c>
      <c r="E7" s="693" t="s">
        <v>16</v>
      </c>
      <c r="F7" s="693" t="s">
        <v>17</v>
      </c>
      <c r="G7" s="693" t="s">
        <v>18</v>
      </c>
      <c r="H7" s="694" t="s">
        <v>19</v>
      </c>
      <c r="I7" s="693"/>
    </row>
    <row r="8" spans="1:9" ht="15.75">
      <c r="A8" s="694"/>
      <c r="B8" s="693"/>
      <c r="C8" s="693"/>
      <c r="D8" s="693"/>
      <c r="E8" s="693"/>
      <c r="F8" s="693"/>
      <c r="G8" s="693"/>
      <c r="H8" s="694"/>
      <c r="I8" s="693"/>
    </row>
    <row r="9" spans="1:9" ht="14.25" customHeight="1">
      <c r="A9" s="135">
        <v>1</v>
      </c>
      <c r="B9" s="601">
        <v>2</v>
      </c>
      <c r="C9" s="135">
        <v>3</v>
      </c>
      <c r="D9" s="601">
        <v>4</v>
      </c>
      <c r="E9" s="601">
        <v>5</v>
      </c>
      <c r="F9" s="601">
        <v>6</v>
      </c>
      <c r="G9" s="601">
        <v>7</v>
      </c>
      <c r="H9" s="602">
        <v>8</v>
      </c>
      <c r="I9" s="135">
        <v>9</v>
      </c>
    </row>
    <row r="10" spans="1:9" ht="15.75">
      <c r="A10" s="135">
        <v>1</v>
      </c>
      <c r="B10" s="136" t="s">
        <v>372</v>
      </c>
      <c r="C10" s="137" t="s">
        <v>131</v>
      </c>
      <c r="D10" s="603"/>
      <c r="E10" s="604"/>
      <c r="F10" s="604"/>
      <c r="G10" s="605"/>
      <c r="H10" s="604"/>
      <c r="I10" s="141"/>
    </row>
    <row r="11" spans="1:9" ht="15.75">
      <c r="A11" s="135">
        <v>2</v>
      </c>
      <c r="B11" s="136" t="s">
        <v>373</v>
      </c>
      <c r="C11" s="137" t="s">
        <v>185</v>
      </c>
      <c r="D11" s="603"/>
      <c r="E11" s="604"/>
      <c r="F11" s="604"/>
      <c r="G11" s="605"/>
      <c r="H11" s="604"/>
      <c r="I11" s="141"/>
    </row>
    <row r="12" spans="1:9" ht="15.75">
      <c r="A12" s="135">
        <v>3</v>
      </c>
      <c r="B12" s="136" t="s">
        <v>374</v>
      </c>
      <c r="C12" s="137" t="s">
        <v>186</v>
      </c>
      <c r="D12" s="603"/>
      <c r="E12" s="604"/>
      <c r="F12" s="604"/>
      <c r="G12" s="605"/>
      <c r="H12" s="604"/>
      <c r="I12" s="141"/>
    </row>
    <row r="13" spans="1:9" ht="15.75">
      <c r="A13" s="135">
        <v>4</v>
      </c>
      <c r="B13" s="136" t="s">
        <v>375</v>
      </c>
      <c r="C13" s="137" t="s">
        <v>184</v>
      </c>
      <c r="D13" s="603"/>
      <c r="E13" s="604"/>
      <c r="F13" s="604"/>
      <c r="G13" s="605"/>
      <c r="H13" s="604"/>
      <c r="I13" s="141"/>
    </row>
    <row r="14" spans="1:9" ht="15.75">
      <c r="A14" s="135">
        <v>5</v>
      </c>
      <c r="B14" s="136" t="s">
        <v>376</v>
      </c>
      <c r="C14" s="137" t="s">
        <v>187</v>
      </c>
      <c r="D14" s="603"/>
      <c r="E14" s="604"/>
      <c r="F14" s="604"/>
      <c r="G14" s="605"/>
      <c r="H14" s="604"/>
      <c r="I14" s="141"/>
    </row>
    <row r="15" spans="1:9" ht="15.75">
      <c r="A15" s="135">
        <v>6</v>
      </c>
      <c r="B15" s="136" t="s">
        <v>377</v>
      </c>
      <c r="C15" s="137" t="s">
        <v>189</v>
      </c>
      <c r="D15" s="603"/>
      <c r="E15" s="604"/>
      <c r="F15" s="604"/>
      <c r="G15" s="605"/>
      <c r="H15" s="604"/>
      <c r="I15" s="141"/>
    </row>
    <row r="16" spans="1:9" ht="15.75">
      <c r="A16" s="135">
        <v>7</v>
      </c>
      <c r="B16" s="136" t="s">
        <v>378</v>
      </c>
      <c r="C16" s="137" t="s">
        <v>190</v>
      </c>
      <c r="D16" s="603"/>
      <c r="E16" s="604"/>
      <c r="F16" s="604"/>
      <c r="G16" s="605"/>
      <c r="H16" s="604"/>
      <c r="I16" s="141"/>
    </row>
    <row r="17" spans="1:9" ht="15.75">
      <c r="A17" s="135"/>
      <c r="B17" s="136"/>
      <c r="C17" s="137" t="s">
        <v>129</v>
      </c>
      <c r="D17" s="604"/>
      <c r="E17" s="604"/>
      <c r="F17" s="604"/>
      <c r="G17" s="142"/>
      <c r="H17" s="604"/>
      <c r="I17" s="141"/>
    </row>
    <row r="18" spans="3:11" ht="17.25" customHeight="1">
      <c r="C18" s="165"/>
      <c r="D18" s="606"/>
      <c r="E18" s="606"/>
      <c r="F18" s="606"/>
      <c r="G18" s="607"/>
      <c r="H18" s="606"/>
      <c r="I18" s="608"/>
      <c r="J18" s="609"/>
      <c r="K18" s="610"/>
    </row>
    <row r="19" spans="3:11" ht="17.25" customHeight="1">
      <c r="C19" s="165"/>
      <c r="D19" s="606"/>
      <c r="E19" s="606"/>
      <c r="F19" s="606"/>
      <c r="G19" s="606"/>
      <c r="H19" s="606"/>
      <c r="I19" s="608"/>
      <c r="J19" s="611"/>
      <c r="K19" s="610"/>
    </row>
    <row r="20" spans="3:9" ht="15.75">
      <c r="C20" s="612"/>
      <c r="D20" s="613"/>
      <c r="E20" s="613"/>
      <c r="F20" s="614"/>
      <c r="G20" s="615"/>
      <c r="H20" s="608"/>
      <c r="I20" s="616"/>
    </row>
    <row r="21" spans="2:13" s="103" customFormat="1" ht="13.5">
      <c r="B21" s="91"/>
      <c r="L21" s="91"/>
      <c r="M21" s="106"/>
    </row>
    <row r="22" s="103" customFormat="1" ht="13.5">
      <c r="C22" s="617"/>
    </row>
    <row r="23" spans="3:8" s="103" customFormat="1" ht="13.5">
      <c r="C23" s="617"/>
      <c r="G23" s="695"/>
      <c r="H23" s="695"/>
    </row>
    <row r="24" s="103" customFormat="1" ht="15" customHeight="1">
      <c r="C24" s="617"/>
    </row>
    <row r="25" spans="3:9" s="91" customFormat="1" ht="13.5">
      <c r="C25" s="98"/>
      <c r="I25" s="111"/>
    </row>
    <row r="26" spans="4:7" ht="15.75">
      <c r="D26" s="165"/>
      <c r="E26" s="127"/>
      <c r="F26" s="127"/>
      <c r="G26" s="127"/>
    </row>
    <row r="27" spans="4:7" ht="15.75">
      <c r="D27" s="165"/>
      <c r="E27" s="127"/>
      <c r="F27" s="127"/>
      <c r="G27" s="127"/>
    </row>
    <row r="40" spans="4:8" ht="15.75">
      <c r="D40" s="618"/>
      <c r="E40" s="619"/>
      <c r="F40" s="620"/>
      <c r="G40" s="621"/>
      <c r="H40" s="622"/>
    </row>
    <row r="41" spans="4:8" ht="15.75">
      <c r="D41" s="623"/>
      <c r="E41" s="619"/>
      <c r="F41" s="624"/>
      <c r="G41" s="625"/>
      <c r="H41" s="626"/>
    </row>
    <row r="42" spans="2:8" ht="15.75">
      <c r="B42" s="627"/>
      <c r="D42" s="623"/>
      <c r="E42" s="619"/>
      <c r="F42" s="624"/>
      <c r="G42" s="625"/>
      <c r="H42" s="626"/>
    </row>
    <row r="43" spans="4:8" ht="15.75">
      <c r="D43" s="623"/>
      <c r="E43" s="619"/>
      <c r="F43" s="624"/>
      <c r="G43" s="625"/>
      <c r="H43" s="626"/>
    </row>
    <row r="44" spans="2:8" ht="15.75">
      <c r="B44" s="627"/>
      <c r="D44" s="623"/>
      <c r="E44" s="619"/>
      <c r="F44" s="624"/>
      <c r="G44" s="625"/>
      <c r="H44" s="626"/>
    </row>
    <row r="45" spans="4:8" ht="15.75">
      <c r="D45" s="623"/>
      <c r="E45" s="619"/>
      <c r="F45" s="624"/>
      <c r="G45" s="625"/>
      <c r="H45" s="626"/>
    </row>
    <row r="46" spans="4:8" ht="15.75">
      <c r="D46" s="623"/>
      <c r="E46" s="619"/>
      <c r="F46" s="624"/>
      <c r="G46" s="625"/>
      <c r="H46" s="626"/>
    </row>
    <row r="47" spans="4:8" ht="15.75">
      <c r="D47" s="623"/>
      <c r="E47" s="619"/>
      <c r="F47" s="624"/>
      <c r="G47" s="625"/>
      <c r="H47" s="626"/>
    </row>
    <row r="48" spans="4:8" ht="15.75">
      <c r="D48" s="623"/>
      <c r="E48" s="619"/>
      <c r="F48" s="624"/>
      <c r="G48" s="625"/>
      <c r="H48" s="626"/>
    </row>
    <row r="49" spans="2:8" ht="15.75">
      <c r="B49" s="627"/>
      <c r="D49" s="623"/>
      <c r="E49" s="619"/>
      <c r="F49" s="624"/>
      <c r="G49" s="625"/>
      <c r="H49" s="626"/>
    </row>
    <row r="50" spans="2:8" ht="15.75">
      <c r="B50" s="627"/>
      <c r="D50" s="623"/>
      <c r="E50" s="619"/>
      <c r="F50" s="624"/>
      <c r="G50" s="625"/>
      <c r="H50" s="626"/>
    </row>
    <row r="51" spans="2:8" ht="15.75">
      <c r="B51" s="627"/>
      <c r="D51" s="623"/>
      <c r="E51" s="619"/>
      <c r="F51" s="624"/>
      <c r="G51" s="625"/>
      <c r="H51" s="626"/>
    </row>
    <row r="52" spans="4:8" ht="15.75">
      <c r="D52" s="623"/>
      <c r="E52" s="619"/>
      <c r="F52" s="624"/>
      <c r="G52" s="625"/>
      <c r="H52" s="626"/>
    </row>
    <row r="53" spans="4:8" ht="15.75">
      <c r="D53" s="623"/>
      <c r="E53" s="619"/>
      <c r="F53" s="624"/>
      <c r="G53" s="625"/>
      <c r="H53" s="626"/>
    </row>
    <row r="54" spans="4:8" ht="15.75">
      <c r="D54" s="623"/>
      <c r="E54" s="619"/>
      <c r="F54" s="624"/>
      <c r="G54" s="625"/>
      <c r="H54" s="626"/>
    </row>
    <row r="55" spans="2:8" ht="15.75">
      <c r="B55" s="627"/>
      <c r="D55" s="623"/>
      <c r="E55" s="619"/>
      <c r="F55" s="624"/>
      <c r="G55" s="625"/>
      <c r="H55" s="626"/>
    </row>
    <row r="56" spans="4:8" ht="15.75">
      <c r="D56" s="623"/>
      <c r="E56" s="619"/>
      <c r="F56" s="624"/>
      <c r="G56" s="625"/>
      <c r="H56" s="626"/>
    </row>
    <row r="57" spans="4:8" ht="15.75">
      <c r="D57" s="623"/>
      <c r="E57" s="619"/>
      <c r="F57" s="624"/>
      <c r="G57" s="625"/>
      <c r="H57" s="626"/>
    </row>
    <row r="58" spans="4:8" ht="15.75">
      <c r="D58" s="623"/>
      <c r="E58" s="619"/>
      <c r="F58" s="624"/>
      <c r="G58" s="625"/>
      <c r="H58" s="626"/>
    </row>
    <row r="59" spans="4:8" ht="15.75">
      <c r="D59" s="623"/>
      <c r="E59" s="619"/>
      <c r="F59" s="624"/>
      <c r="G59" s="625"/>
      <c r="H59" s="626"/>
    </row>
    <row r="60" spans="4:8" ht="15.75">
      <c r="D60" s="623"/>
      <c r="E60" s="619"/>
      <c r="F60" s="624"/>
      <c r="G60" s="625"/>
      <c r="H60" s="626"/>
    </row>
    <row r="61" spans="4:8" ht="15.75">
      <c r="D61" s="623"/>
      <c r="E61" s="619"/>
      <c r="F61" s="624"/>
      <c r="G61" s="625"/>
      <c r="H61" s="626"/>
    </row>
    <row r="62" spans="2:8" ht="15.75">
      <c r="B62" s="628"/>
      <c r="D62" s="623"/>
      <c r="E62" s="619"/>
      <c r="F62" s="624"/>
      <c r="G62" s="625"/>
      <c r="H62" s="626"/>
    </row>
    <row r="63" spans="4:8" ht="15.75">
      <c r="D63" s="623"/>
      <c r="E63" s="619"/>
      <c r="F63" s="624"/>
      <c r="G63" s="625"/>
      <c r="H63" s="626"/>
    </row>
    <row r="64" spans="4:8" ht="15.75">
      <c r="D64" s="623"/>
      <c r="E64" s="619"/>
      <c r="F64" s="624"/>
      <c r="G64" s="625"/>
      <c r="H64" s="626"/>
    </row>
    <row r="65" spans="4:8" ht="15.75">
      <c r="D65" s="623"/>
      <c r="E65" s="619"/>
      <c r="F65" s="624"/>
      <c r="G65" s="625"/>
      <c r="H65" s="626"/>
    </row>
    <row r="66" spans="4:8" ht="15.75">
      <c r="D66" s="623"/>
      <c r="E66" s="619"/>
      <c r="F66" s="624"/>
      <c r="G66" s="625"/>
      <c r="H66" s="626"/>
    </row>
    <row r="67" spans="4:8" ht="15.75">
      <c r="D67" s="623"/>
      <c r="E67" s="619"/>
      <c r="F67" s="624"/>
      <c r="G67" s="625"/>
      <c r="H67" s="626"/>
    </row>
    <row r="68" spans="4:8" ht="15.75">
      <c r="D68" s="623"/>
      <c r="E68" s="619"/>
      <c r="F68" s="624"/>
      <c r="G68" s="625"/>
      <c r="H68" s="626"/>
    </row>
  </sheetData>
  <sheetProtection/>
  <mergeCells count="15">
    <mergeCell ref="C6:C8"/>
    <mergeCell ref="D6:H6"/>
    <mergeCell ref="I6:I8"/>
    <mergeCell ref="A3:I3"/>
    <mergeCell ref="D7:D8"/>
    <mergeCell ref="E7:E8"/>
    <mergeCell ref="F7:F8"/>
    <mergeCell ref="G7:G8"/>
    <mergeCell ref="H7:H8"/>
    <mergeCell ref="G23:H23"/>
    <mergeCell ref="A1:I1"/>
    <mergeCell ref="A2:I2"/>
    <mergeCell ref="F5:I5"/>
    <mergeCell ref="A6:A8"/>
    <mergeCell ref="B6:B8"/>
  </mergeCells>
  <printOptions horizontalCentered="1"/>
  <pageMargins left="0.45" right="0.25" top="0.45" bottom="0.45" header="0.3" footer="0.3"/>
  <pageSetup fitToHeight="0" fitToWidth="1" horizontalDpi="600" verticalDpi="600" orientation="landscape" paperSize="9" scale="98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Normal="85" zoomScaleSheetLayoutView="100" workbookViewId="0" topLeftCell="A1">
      <selection activeCell="D19" sqref="D19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386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tr">
        <f>'2-4'!C10</f>
        <v>ურდულების მოწყობა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3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98" customFormat="1" ht="11.25">
      <c r="A6" s="700" t="s">
        <v>1</v>
      </c>
      <c r="B6" s="702" t="s">
        <v>70</v>
      </c>
      <c r="C6" s="700" t="s">
        <v>51</v>
      </c>
      <c r="D6" s="700" t="s">
        <v>52</v>
      </c>
      <c r="E6" s="700" t="s">
        <v>53</v>
      </c>
      <c r="F6" s="700" t="s">
        <v>54</v>
      </c>
      <c r="G6" s="701" t="s">
        <v>55</v>
      </c>
      <c r="H6" s="701"/>
      <c r="I6" s="701" t="s">
        <v>56</v>
      </c>
      <c r="J6" s="701"/>
      <c r="K6" s="700" t="s">
        <v>57</v>
      </c>
      <c r="L6" s="700"/>
      <c r="M6" s="95" t="s">
        <v>71</v>
      </c>
      <c r="N6" s="97"/>
    </row>
    <row r="7" spans="1:14" s="98" customFormat="1" ht="11.25">
      <c r="A7" s="700"/>
      <c r="B7" s="702"/>
      <c r="C7" s="700"/>
      <c r="D7" s="700"/>
      <c r="E7" s="700"/>
      <c r="F7" s="700"/>
      <c r="G7" s="95" t="s">
        <v>58</v>
      </c>
      <c r="H7" s="101" t="s">
        <v>2</v>
      </c>
      <c r="I7" s="95" t="s">
        <v>58</v>
      </c>
      <c r="J7" s="101" t="s">
        <v>2</v>
      </c>
      <c r="K7" s="95" t="s">
        <v>58</v>
      </c>
      <c r="L7" s="101" t="s">
        <v>59</v>
      </c>
      <c r="M7" s="95" t="s">
        <v>60</v>
      </c>
      <c r="N7" s="97"/>
    </row>
    <row r="8" spans="1:14" s="98" customFormat="1" ht="11.25">
      <c r="A8" s="93">
        <v>1</v>
      </c>
      <c r="B8" s="94">
        <v>3</v>
      </c>
      <c r="C8" s="93">
        <v>2</v>
      </c>
      <c r="D8" s="93">
        <v>4</v>
      </c>
      <c r="E8" s="93">
        <v>5</v>
      </c>
      <c r="F8" s="93">
        <v>6</v>
      </c>
      <c r="G8" s="95">
        <v>7</v>
      </c>
      <c r="H8" s="96">
        <v>8</v>
      </c>
      <c r="I8" s="95">
        <v>9</v>
      </c>
      <c r="J8" s="96">
        <v>10</v>
      </c>
      <c r="K8" s="95">
        <v>11</v>
      </c>
      <c r="L8" s="96">
        <v>12</v>
      </c>
      <c r="M8" s="95">
        <v>13</v>
      </c>
      <c r="N8" s="97"/>
    </row>
    <row r="9" spans="1:13" ht="33.75">
      <c r="A9" s="465">
        <v>4</v>
      </c>
      <c r="B9" s="363" t="s">
        <v>65</v>
      </c>
      <c r="C9" s="112" t="s">
        <v>140</v>
      </c>
      <c r="D9" s="362" t="s">
        <v>8</v>
      </c>
      <c r="E9" s="362"/>
      <c r="F9" s="117">
        <v>2</v>
      </c>
      <c r="G9" s="88"/>
      <c r="H9" s="466"/>
      <c r="I9" s="466"/>
      <c r="J9" s="466"/>
      <c r="K9" s="466"/>
      <c r="L9" s="466"/>
      <c r="M9" s="467"/>
    </row>
    <row r="10" spans="1:13" ht="13.5">
      <c r="A10" s="465"/>
      <c r="B10" s="469"/>
      <c r="C10" s="470" t="s">
        <v>66</v>
      </c>
      <c r="D10" s="471" t="s">
        <v>67</v>
      </c>
      <c r="E10" s="70">
        <f>2.29*1.15</f>
        <v>2.6334999999999997</v>
      </c>
      <c r="F10" s="466">
        <f>F9*E10</f>
        <v>5.2669999999999995</v>
      </c>
      <c r="G10" s="472"/>
      <c r="H10" s="473"/>
      <c r="I10" s="466"/>
      <c r="J10" s="466"/>
      <c r="K10" s="466"/>
      <c r="L10" s="466"/>
      <c r="M10" s="466"/>
    </row>
    <row r="11" spans="1:13" ht="13.5">
      <c r="A11" s="465"/>
      <c r="B11" s="474"/>
      <c r="C11" s="470" t="s">
        <v>68</v>
      </c>
      <c r="D11" s="471" t="s">
        <v>0</v>
      </c>
      <c r="E11" s="70">
        <f>0.09*1.15</f>
        <v>0.1035</v>
      </c>
      <c r="F11" s="466">
        <f>F9*E11</f>
        <v>0.207</v>
      </c>
      <c r="G11" s="466"/>
      <c r="H11" s="466"/>
      <c r="I11" s="466"/>
      <c r="J11" s="466"/>
      <c r="K11" s="466"/>
      <c r="L11" s="466"/>
      <c r="M11" s="466"/>
    </row>
    <row r="12" spans="1:13" ht="13.5">
      <c r="A12" s="465"/>
      <c r="B12" s="474"/>
      <c r="C12" s="70" t="s">
        <v>64</v>
      </c>
      <c r="D12" s="471"/>
      <c r="E12" s="70"/>
      <c r="F12" s="466"/>
      <c r="G12" s="466"/>
      <c r="H12" s="466"/>
      <c r="I12" s="466"/>
      <c r="J12" s="466"/>
      <c r="K12" s="466"/>
      <c r="L12" s="466"/>
      <c r="M12" s="466"/>
    </row>
    <row r="13" spans="1:13" ht="13.5">
      <c r="A13" s="465"/>
      <c r="B13" s="475" t="s">
        <v>236</v>
      </c>
      <c r="C13" s="470" t="s">
        <v>141</v>
      </c>
      <c r="D13" s="471" t="s">
        <v>8</v>
      </c>
      <c r="E13" s="70">
        <v>1</v>
      </c>
      <c r="F13" s="466">
        <f>F9*E13</f>
        <v>2</v>
      </c>
      <c r="G13" s="466"/>
      <c r="H13" s="466"/>
      <c r="I13" s="466"/>
      <c r="J13" s="466"/>
      <c r="K13" s="466"/>
      <c r="L13" s="466"/>
      <c r="M13" s="466"/>
    </row>
    <row r="14" spans="1:13" ht="13.5">
      <c r="A14" s="465"/>
      <c r="B14" s="474"/>
      <c r="C14" s="470" t="s">
        <v>6</v>
      </c>
      <c r="D14" s="471" t="s">
        <v>0</v>
      </c>
      <c r="E14" s="70">
        <v>0.68</v>
      </c>
      <c r="F14" s="466">
        <f>F9*E14</f>
        <v>1.36</v>
      </c>
      <c r="G14" s="466"/>
      <c r="H14" s="466"/>
      <c r="I14" s="466"/>
      <c r="J14" s="466"/>
      <c r="K14" s="466"/>
      <c r="L14" s="466"/>
      <c r="M14" s="466"/>
    </row>
    <row r="15" spans="1:13" ht="13.5">
      <c r="A15" s="385"/>
      <c r="B15" s="386"/>
      <c r="C15" s="387" t="s">
        <v>129</v>
      </c>
      <c r="D15" s="388"/>
      <c r="E15" s="389"/>
      <c r="F15" s="390"/>
      <c r="G15" s="390"/>
      <c r="H15" s="391"/>
      <c r="I15" s="391"/>
      <c r="J15" s="391"/>
      <c r="K15" s="391"/>
      <c r="L15" s="391"/>
      <c r="M15" s="391"/>
    </row>
    <row r="16" spans="1:13" ht="13.5">
      <c r="A16" s="70"/>
      <c r="B16" s="392"/>
      <c r="C16" s="99" t="s">
        <v>72</v>
      </c>
      <c r="D16" s="393" t="s">
        <v>517</v>
      </c>
      <c r="E16" s="394"/>
      <c r="F16" s="395"/>
      <c r="G16" s="395"/>
      <c r="H16" s="396"/>
      <c r="I16" s="395"/>
      <c r="J16" s="396"/>
      <c r="K16" s="395"/>
      <c r="L16" s="396"/>
      <c r="M16" s="396"/>
    </row>
    <row r="17" spans="1:13" ht="13.5">
      <c r="A17" s="70"/>
      <c r="B17" s="362"/>
      <c r="C17" s="397" t="s">
        <v>2</v>
      </c>
      <c r="D17" s="393"/>
      <c r="E17" s="398"/>
      <c r="F17" s="399"/>
      <c r="G17" s="399"/>
      <c r="H17" s="400"/>
      <c r="I17" s="401"/>
      <c r="J17" s="400"/>
      <c r="K17" s="401"/>
      <c r="L17" s="400"/>
      <c r="M17" s="400"/>
    </row>
    <row r="18" spans="1:13" ht="13.5">
      <c r="A18" s="70"/>
      <c r="B18" s="402"/>
      <c r="C18" s="403" t="s">
        <v>73</v>
      </c>
      <c r="D18" s="393" t="s">
        <v>517</v>
      </c>
      <c r="E18" s="394"/>
      <c r="F18" s="395"/>
      <c r="G18" s="395"/>
      <c r="H18" s="404"/>
      <c r="I18" s="404"/>
      <c r="J18" s="404"/>
      <c r="K18" s="404"/>
      <c r="L18" s="404"/>
      <c r="M18" s="396"/>
    </row>
    <row r="19" spans="1:13" ht="13.5">
      <c r="A19" s="70"/>
      <c r="B19" s="362"/>
      <c r="C19" s="397" t="s">
        <v>2</v>
      </c>
      <c r="D19" s="393"/>
      <c r="E19" s="398"/>
      <c r="F19" s="399"/>
      <c r="G19" s="399"/>
      <c r="H19" s="401"/>
      <c r="I19" s="401"/>
      <c r="J19" s="401"/>
      <c r="K19" s="401"/>
      <c r="L19" s="401"/>
      <c r="M19" s="400"/>
    </row>
    <row r="20" spans="1:13" ht="13.5">
      <c r="A20" s="70"/>
      <c r="B20" s="402"/>
      <c r="C20" s="403" t="s">
        <v>69</v>
      </c>
      <c r="D20" s="393" t="s">
        <v>517</v>
      </c>
      <c r="E20" s="394"/>
      <c r="F20" s="395"/>
      <c r="G20" s="395"/>
      <c r="H20" s="404"/>
      <c r="I20" s="404"/>
      <c r="J20" s="404"/>
      <c r="K20" s="404"/>
      <c r="L20" s="404"/>
      <c r="M20" s="396"/>
    </row>
    <row r="21" spans="1:13" ht="13.5">
      <c r="A21" s="70"/>
      <c r="B21" s="362"/>
      <c r="C21" s="397" t="s">
        <v>78</v>
      </c>
      <c r="D21" s="399"/>
      <c r="E21" s="398"/>
      <c r="F21" s="399"/>
      <c r="G21" s="399"/>
      <c r="H21" s="401"/>
      <c r="I21" s="401"/>
      <c r="J21" s="401"/>
      <c r="K21" s="401"/>
      <c r="L21" s="401"/>
      <c r="M21" s="400"/>
    </row>
    <row r="22" spans="1:13" ht="13.5">
      <c r="A22" s="103"/>
      <c r="B22" s="104"/>
      <c r="D22" s="103"/>
      <c r="E22" s="103"/>
      <c r="F22" s="103"/>
      <c r="G22" s="103"/>
      <c r="H22" s="103"/>
      <c r="I22" s="103"/>
      <c r="J22" s="105"/>
      <c r="K22" s="103"/>
      <c r="M22" s="106"/>
    </row>
    <row r="23" spans="2:5" ht="13.5">
      <c r="B23" s="107"/>
      <c r="C23" s="108"/>
      <c r="D23" s="109"/>
      <c r="E23" s="109"/>
    </row>
    <row r="24" spans="2:8" ht="13.5">
      <c r="B24" s="107"/>
      <c r="C24" s="108"/>
      <c r="D24" s="109"/>
      <c r="E24" s="109"/>
      <c r="G24" s="699"/>
      <c r="H24" s="699"/>
    </row>
    <row r="25" ht="13.5">
      <c r="I25" s="111"/>
    </row>
  </sheetData>
  <sheetProtection/>
  <mergeCells count="13">
    <mergeCell ref="A2:M2"/>
    <mergeCell ref="A3:M3"/>
    <mergeCell ref="A6:A7"/>
    <mergeCell ref="C6:C7"/>
    <mergeCell ref="D6:D7"/>
    <mergeCell ref="E6:E7"/>
    <mergeCell ref="A1:M1"/>
    <mergeCell ref="G24:H24"/>
    <mergeCell ref="F6:F7"/>
    <mergeCell ref="G6:H6"/>
    <mergeCell ref="I6:J6"/>
    <mergeCell ref="K6:L6"/>
    <mergeCell ref="B6:B7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85" zoomScaleSheetLayoutView="100" workbookViewId="0" topLeftCell="A1">
      <selection activeCell="D18" sqref="D18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511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tr">
        <f>'2-4'!C11</f>
        <v>მილტუჩა ფლანეცების მოწყობა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3" ht="15">
      <c r="A8" s="92">
        <v>9</v>
      </c>
      <c r="B8" s="586" t="s">
        <v>142</v>
      </c>
      <c r="C8" s="587" t="s">
        <v>175</v>
      </c>
      <c r="D8" s="588" t="s">
        <v>8</v>
      </c>
      <c r="E8" s="588"/>
      <c r="F8" s="589">
        <v>6</v>
      </c>
      <c r="G8" s="590"/>
      <c r="H8" s="590"/>
      <c r="I8" s="590"/>
      <c r="J8" s="590"/>
      <c r="K8" s="590"/>
      <c r="L8" s="590"/>
      <c r="M8" s="590"/>
    </row>
    <row r="9" spans="1:13" ht="15">
      <c r="A9" s="92"/>
      <c r="B9" s="591"/>
      <c r="C9" s="592" t="s">
        <v>3</v>
      </c>
      <c r="D9" s="593" t="s">
        <v>4</v>
      </c>
      <c r="E9" s="593">
        <v>1.25</v>
      </c>
      <c r="F9" s="594">
        <f>F8*E9</f>
        <v>7.5</v>
      </c>
      <c r="G9" s="594"/>
      <c r="H9" s="594"/>
      <c r="I9" s="594"/>
      <c r="J9" s="466"/>
      <c r="K9" s="594"/>
      <c r="L9" s="594"/>
      <c r="M9" s="466"/>
    </row>
    <row r="10" spans="1:13" ht="15">
      <c r="A10" s="92"/>
      <c r="B10" s="591"/>
      <c r="C10" s="592" t="s">
        <v>22</v>
      </c>
      <c r="D10" s="595" t="s">
        <v>0</v>
      </c>
      <c r="E10" s="593">
        <v>0.85</v>
      </c>
      <c r="F10" s="594">
        <f>F8*E10</f>
        <v>5.1</v>
      </c>
      <c r="G10" s="594"/>
      <c r="H10" s="594"/>
      <c r="I10" s="594"/>
      <c r="J10" s="594"/>
      <c r="K10" s="594"/>
      <c r="L10" s="466"/>
      <c r="M10" s="466"/>
    </row>
    <row r="11" spans="1:13" ht="15">
      <c r="A11" s="92"/>
      <c r="B11" s="596"/>
      <c r="C11" s="595" t="s">
        <v>64</v>
      </c>
      <c r="D11" s="595"/>
      <c r="E11" s="595"/>
      <c r="F11" s="597"/>
      <c r="G11" s="597"/>
      <c r="H11" s="597"/>
      <c r="I11" s="594"/>
      <c r="J11" s="597"/>
      <c r="K11" s="597"/>
      <c r="L11" s="597"/>
      <c r="M11" s="597"/>
    </row>
    <row r="12" spans="1:13" ht="15">
      <c r="A12" s="90"/>
      <c r="B12" s="596"/>
      <c r="C12" s="598" t="s">
        <v>176</v>
      </c>
      <c r="D12" s="595" t="s">
        <v>8</v>
      </c>
      <c r="E12" s="595">
        <v>1</v>
      </c>
      <c r="F12" s="597">
        <f>F8*E12</f>
        <v>6</v>
      </c>
      <c r="G12" s="597"/>
      <c r="H12" s="466"/>
      <c r="I12" s="594"/>
      <c r="J12" s="597"/>
      <c r="K12" s="597"/>
      <c r="L12" s="597"/>
      <c r="M12" s="466"/>
    </row>
    <row r="13" spans="1:13" ht="15">
      <c r="A13" s="90"/>
      <c r="B13" s="596"/>
      <c r="C13" s="592" t="s">
        <v>25</v>
      </c>
      <c r="D13" s="595" t="s">
        <v>37</v>
      </c>
      <c r="E13" s="593">
        <v>0.14</v>
      </c>
      <c r="F13" s="594">
        <f>F8*E13</f>
        <v>0.8400000000000001</v>
      </c>
      <c r="G13" s="594"/>
      <c r="H13" s="466"/>
      <c r="I13" s="594"/>
      <c r="J13" s="597"/>
      <c r="K13" s="597"/>
      <c r="L13" s="597"/>
      <c r="M13" s="466"/>
    </row>
    <row r="14" spans="1:13" ht="13.5">
      <c r="A14" s="385"/>
      <c r="B14" s="386"/>
      <c r="C14" s="387" t="s">
        <v>129</v>
      </c>
      <c r="D14" s="388"/>
      <c r="E14" s="389"/>
      <c r="F14" s="390"/>
      <c r="G14" s="390"/>
      <c r="H14" s="391"/>
      <c r="I14" s="391"/>
      <c r="J14" s="391"/>
      <c r="K14" s="391"/>
      <c r="L14" s="391"/>
      <c r="M14" s="391"/>
    </row>
    <row r="15" spans="1:13" ht="13.5">
      <c r="A15" s="70"/>
      <c r="B15" s="392"/>
      <c r="C15" s="99" t="s">
        <v>72</v>
      </c>
      <c r="D15" s="393" t="s">
        <v>517</v>
      </c>
      <c r="E15" s="394"/>
      <c r="F15" s="395"/>
      <c r="G15" s="395"/>
      <c r="H15" s="396"/>
      <c r="I15" s="395"/>
      <c r="J15" s="396"/>
      <c r="K15" s="395"/>
      <c r="L15" s="396"/>
      <c r="M15" s="396"/>
    </row>
    <row r="16" spans="1:13" ht="13.5">
      <c r="A16" s="70"/>
      <c r="B16" s="362"/>
      <c r="C16" s="397" t="s">
        <v>2</v>
      </c>
      <c r="D16" s="393"/>
      <c r="E16" s="398"/>
      <c r="F16" s="399"/>
      <c r="G16" s="399"/>
      <c r="H16" s="400"/>
      <c r="I16" s="401"/>
      <c r="J16" s="400"/>
      <c r="K16" s="401"/>
      <c r="L16" s="400"/>
      <c r="M16" s="400"/>
    </row>
    <row r="17" spans="1:13" ht="13.5">
      <c r="A17" s="70"/>
      <c r="B17" s="402"/>
      <c r="C17" s="403" t="s">
        <v>73</v>
      </c>
      <c r="D17" s="393" t="s">
        <v>517</v>
      </c>
      <c r="E17" s="394"/>
      <c r="F17" s="395"/>
      <c r="G17" s="395"/>
      <c r="H17" s="404"/>
      <c r="I17" s="404"/>
      <c r="J17" s="404"/>
      <c r="K17" s="404"/>
      <c r="L17" s="404"/>
      <c r="M17" s="396"/>
    </row>
    <row r="18" spans="1:13" ht="13.5">
      <c r="A18" s="70"/>
      <c r="B18" s="362"/>
      <c r="C18" s="397" t="s">
        <v>2</v>
      </c>
      <c r="D18" s="393"/>
      <c r="E18" s="398"/>
      <c r="F18" s="399"/>
      <c r="G18" s="399"/>
      <c r="H18" s="401"/>
      <c r="I18" s="401"/>
      <c r="J18" s="401"/>
      <c r="K18" s="401"/>
      <c r="L18" s="401"/>
      <c r="M18" s="400"/>
    </row>
    <row r="19" spans="1:13" ht="13.5">
      <c r="A19" s="70"/>
      <c r="B19" s="402"/>
      <c r="C19" s="403" t="s">
        <v>69</v>
      </c>
      <c r="D19" s="393" t="s">
        <v>517</v>
      </c>
      <c r="E19" s="394"/>
      <c r="F19" s="395"/>
      <c r="G19" s="395"/>
      <c r="H19" s="404"/>
      <c r="I19" s="404"/>
      <c r="J19" s="404"/>
      <c r="K19" s="404"/>
      <c r="L19" s="404"/>
      <c r="M19" s="396"/>
    </row>
    <row r="20" spans="1:13" ht="13.5">
      <c r="A20" s="70"/>
      <c r="B20" s="362"/>
      <c r="C20" s="397" t="s">
        <v>78</v>
      </c>
      <c r="D20" s="399"/>
      <c r="E20" s="398"/>
      <c r="F20" s="399"/>
      <c r="G20" s="399"/>
      <c r="H20" s="401"/>
      <c r="I20" s="401"/>
      <c r="J20" s="401"/>
      <c r="K20" s="401"/>
      <c r="L20" s="401"/>
      <c r="M20" s="400"/>
    </row>
    <row r="21" spans="1:13" ht="13.5">
      <c r="A21" s="103"/>
      <c r="B21" s="104"/>
      <c r="D21" s="103"/>
      <c r="E21" s="103"/>
      <c r="F21" s="103"/>
      <c r="G21" s="103"/>
      <c r="H21" s="103"/>
      <c r="I21" s="103"/>
      <c r="J21" s="105"/>
      <c r="K21" s="103"/>
      <c r="M21" s="106"/>
    </row>
    <row r="22" spans="2:5" ht="13.5">
      <c r="B22" s="107"/>
      <c r="C22" s="108"/>
      <c r="D22" s="109"/>
      <c r="E22" s="109"/>
    </row>
    <row r="23" spans="2:8" ht="13.5">
      <c r="B23" s="107"/>
      <c r="C23" s="108"/>
      <c r="D23" s="109"/>
      <c r="E23" s="109"/>
      <c r="G23" s="699"/>
      <c r="H23" s="699"/>
    </row>
    <row r="24" ht="13.5">
      <c r="I24" s="111"/>
    </row>
  </sheetData>
  <sheetProtection/>
  <mergeCells count="13">
    <mergeCell ref="E5:E6"/>
    <mergeCell ref="F5:F6"/>
    <mergeCell ref="G5:H5"/>
    <mergeCell ref="A1:M1"/>
    <mergeCell ref="G23:H23"/>
    <mergeCell ref="I5:J5"/>
    <mergeCell ref="K5:L5"/>
    <mergeCell ref="A2:M2"/>
    <mergeCell ref="A3:M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85" zoomScaleSheetLayoutView="100" workbookViewId="0" topLeftCell="A1">
      <selection activeCell="D18" sqref="D18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56.5742187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512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3" ht="15">
      <c r="A8" s="92">
        <v>9</v>
      </c>
      <c r="B8" s="586" t="s">
        <v>142</v>
      </c>
      <c r="C8" s="587" t="s">
        <v>177</v>
      </c>
      <c r="D8" s="588" t="s">
        <v>8</v>
      </c>
      <c r="E8" s="588"/>
      <c r="F8" s="589">
        <v>3</v>
      </c>
      <c r="G8" s="590"/>
      <c r="H8" s="590"/>
      <c r="I8" s="590"/>
      <c r="J8" s="590"/>
      <c r="K8" s="590"/>
      <c r="L8" s="590"/>
      <c r="M8" s="590"/>
    </row>
    <row r="9" spans="1:13" ht="15">
      <c r="A9" s="92"/>
      <c r="B9" s="591"/>
      <c r="C9" s="592" t="s">
        <v>3</v>
      </c>
      <c r="D9" s="593" t="s">
        <v>4</v>
      </c>
      <c r="E9" s="593">
        <v>1.25</v>
      </c>
      <c r="F9" s="594">
        <f>F8*E9</f>
        <v>3.75</v>
      </c>
      <c r="G9" s="594"/>
      <c r="H9" s="594"/>
      <c r="I9" s="594"/>
      <c r="J9" s="466"/>
      <c r="K9" s="594"/>
      <c r="L9" s="594"/>
      <c r="M9" s="466"/>
    </row>
    <row r="10" spans="1:13" ht="15">
      <c r="A10" s="92"/>
      <c r="B10" s="591"/>
      <c r="C10" s="592" t="s">
        <v>22</v>
      </c>
      <c r="D10" s="595" t="s">
        <v>0</v>
      </c>
      <c r="E10" s="593">
        <v>0.85</v>
      </c>
      <c r="F10" s="594">
        <f>F8*E10</f>
        <v>2.55</v>
      </c>
      <c r="G10" s="594"/>
      <c r="H10" s="594"/>
      <c r="I10" s="594"/>
      <c r="J10" s="594"/>
      <c r="K10" s="594"/>
      <c r="L10" s="466"/>
      <c r="M10" s="466"/>
    </row>
    <row r="11" spans="1:13" ht="15">
      <c r="A11" s="92"/>
      <c r="B11" s="596"/>
      <c r="C11" s="595" t="s">
        <v>64</v>
      </c>
      <c r="D11" s="595"/>
      <c r="E11" s="595"/>
      <c r="F11" s="597"/>
      <c r="G11" s="597"/>
      <c r="H11" s="597"/>
      <c r="I11" s="594"/>
      <c r="J11" s="597"/>
      <c r="K11" s="597"/>
      <c r="L11" s="597"/>
      <c r="M11" s="597"/>
    </row>
    <row r="12" spans="1:13" ht="15">
      <c r="A12" s="90"/>
      <c r="B12" s="596"/>
      <c r="C12" s="598" t="s">
        <v>178</v>
      </c>
      <c r="D12" s="595" t="s">
        <v>8</v>
      </c>
      <c r="E12" s="595">
        <v>1</v>
      </c>
      <c r="F12" s="597">
        <f>F8*E12</f>
        <v>3</v>
      </c>
      <c r="G12" s="597"/>
      <c r="H12" s="466"/>
      <c r="I12" s="594"/>
      <c r="J12" s="597"/>
      <c r="K12" s="597"/>
      <c r="L12" s="597"/>
      <c r="M12" s="466"/>
    </row>
    <row r="13" spans="1:13" ht="15">
      <c r="A13" s="90"/>
      <c r="B13" s="596"/>
      <c r="C13" s="592" t="s">
        <v>25</v>
      </c>
      <c r="D13" s="595" t="s">
        <v>37</v>
      </c>
      <c r="E13" s="593">
        <v>0.14</v>
      </c>
      <c r="F13" s="594">
        <f>F8*E13</f>
        <v>0.42000000000000004</v>
      </c>
      <c r="G13" s="594"/>
      <c r="H13" s="466"/>
      <c r="I13" s="594"/>
      <c r="J13" s="597"/>
      <c r="K13" s="597"/>
      <c r="L13" s="597"/>
      <c r="M13" s="466"/>
    </row>
    <row r="14" spans="1:13" ht="13.5">
      <c r="A14" s="385"/>
      <c r="B14" s="386"/>
      <c r="C14" s="387" t="s">
        <v>129</v>
      </c>
      <c r="D14" s="388"/>
      <c r="E14" s="389"/>
      <c r="F14" s="390"/>
      <c r="G14" s="390"/>
      <c r="H14" s="391"/>
      <c r="I14" s="391"/>
      <c r="J14" s="391"/>
      <c r="K14" s="391"/>
      <c r="L14" s="391"/>
      <c r="M14" s="391"/>
    </row>
    <row r="15" spans="1:13" ht="13.5">
      <c r="A15" s="70"/>
      <c r="B15" s="392"/>
      <c r="C15" s="99" t="s">
        <v>72</v>
      </c>
      <c r="D15" s="393" t="s">
        <v>517</v>
      </c>
      <c r="E15" s="394"/>
      <c r="F15" s="395"/>
      <c r="G15" s="395"/>
      <c r="H15" s="396"/>
      <c r="I15" s="395"/>
      <c r="J15" s="396"/>
      <c r="K15" s="395"/>
      <c r="L15" s="396"/>
      <c r="M15" s="396"/>
    </row>
    <row r="16" spans="1:13" ht="13.5">
      <c r="A16" s="70"/>
      <c r="B16" s="362"/>
      <c r="C16" s="397" t="s">
        <v>2</v>
      </c>
      <c r="D16" s="393"/>
      <c r="E16" s="398"/>
      <c r="F16" s="399"/>
      <c r="G16" s="399"/>
      <c r="H16" s="400"/>
      <c r="I16" s="401"/>
      <c r="J16" s="400"/>
      <c r="K16" s="401"/>
      <c r="L16" s="400"/>
      <c r="M16" s="400"/>
    </row>
    <row r="17" spans="1:13" ht="13.5">
      <c r="A17" s="70"/>
      <c r="B17" s="402"/>
      <c r="C17" s="403" t="s">
        <v>73</v>
      </c>
      <c r="D17" s="393" t="s">
        <v>517</v>
      </c>
      <c r="E17" s="394"/>
      <c r="F17" s="395"/>
      <c r="G17" s="395"/>
      <c r="H17" s="404"/>
      <c r="I17" s="404"/>
      <c r="J17" s="404"/>
      <c r="K17" s="404"/>
      <c r="L17" s="404"/>
      <c r="M17" s="396"/>
    </row>
    <row r="18" spans="1:13" ht="13.5">
      <c r="A18" s="70"/>
      <c r="B18" s="362"/>
      <c r="C18" s="397" t="s">
        <v>2</v>
      </c>
      <c r="D18" s="393"/>
      <c r="E18" s="398"/>
      <c r="F18" s="399"/>
      <c r="G18" s="399"/>
      <c r="H18" s="401"/>
      <c r="I18" s="401"/>
      <c r="J18" s="401"/>
      <c r="K18" s="401"/>
      <c r="L18" s="401"/>
      <c r="M18" s="400"/>
    </row>
    <row r="19" spans="1:13" ht="13.5">
      <c r="A19" s="70"/>
      <c r="B19" s="402"/>
      <c r="C19" s="403" t="s">
        <v>69</v>
      </c>
      <c r="D19" s="393" t="s">
        <v>517</v>
      </c>
      <c r="E19" s="394"/>
      <c r="F19" s="395"/>
      <c r="G19" s="395"/>
      <c r="H19" s="404"/>
      <c r="I19" s="404"/>
      <c r="J19" s="404"/>
      <c r="K19" s="404"/>
      <c r="L19" s="404"/>
      <c r="M19" s="396"/>
    </row>
    <row r="20" spans="1:13" ht="13.5">
      <c r="A20" s="70"/>
      <c r="B20" s="362"/>
      <c r="C20" s="397" t="s">
        <v>78</v>
      </c>
      <c r="D20" s="399"/>
      <c r="E20" s="398"/>
      <c r="F20" s="399"/>
      <c r="G20" s="399"/>
      <c r="H20" s="401"/>
      <c r="I20" s="401"/>
      <c r="J20" s="401"/>
      <c r="K20" s="401"/>
      <c r="L20" s="401"/>
      <c r="M20" s="400"/>
    </row>
    <row r="21" spans="1:13" ht="13.5">
      <c r="A21" s="103"/>
      <c r="B21" s="104"/>
      <c r="D21" s="103"/>
      <c r="E21" s="103"/>
      <c r="F21" s="103"/>
      <c r="G21" s="103"/>
      <c r="H21" s="103"/>
      <c r="I21" s="103"/>
      <c r="J21" s="105"/>
      <c r="K21" s="103"/>
      <c r="M21" s="106"/>
    </row>
    <row r="22" spans="2:5" ht="13.5">
      <c r="B22" s="107"/>
      <c r="C22" s="108"/>
      <c r="D22" s="109"/>
      <c r="E22" s="109"/>
    </row>
    <row r="23" spans="2:8" ht="13.5">
      <c r="B23" s="107"/>
      <c r="C23" s="108"/>
      <c r="D23" s="109"/>
      <c r="E23" s="109"/>
      <c r="G23" s="699"/>
      <c r="H23" s="699"/>
    </row>
    <row r="24" ht="13.5">
      <c r="I24" s="111"/>
    </row>
  </sheetData>
  <sheetProtection/>
  <mergeCells count="13">
    <mergeCell ref="E5:E6"/>
    <mergeCell ref="F5:F6"/>
    <mergeCell ref="G5:H5"/>
    <mergeCell ref="A1:M1"/>
    <mergeCell ref="G23:H23"/>
    <mergeCell ref="I5:J5"/>
    <mergeCell ref="K5:L5"/>
    <mergeCell ref="A2:M2"/>
    <mergeCell ref="A3:M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85" zoomScaleSheetLayoutView="100" workbookViewId="0" topLeftCell="A1">
      <selection activeCell="D21" sqref="D21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513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3" ht="27">
      <c r="A8" s="92">
        <v>9</v>
      </c>
      <c r="B8" s="572" t="s">
        <v>151</v>
      </c>
      <c r="C8" s="573" t="s">
        <v>180</v>
      </c>
      <c r="D8" s="572" t="s">
        <v>8</v>
      </c>
      <c r="E8" s="574"/>
      <c r="F8" s="575">
        <v>1</v>
      </c>
      <c r="G8" s="575"/>
      <c r="H8" s="575"/>
      <c r="I8" s="575"/>
      <c r="J8" s="575"/>
      <c r="K8" s="575"/>
      <c r="L8" s="575"/>
      <c r="M8" s="576"/>
    </row>
    <row r="9" spans="1:13" ht="15">
      <c r="A9" s="92"/>
      <c r="B9" s="572"/>
      <c r="C9" s="577" t="s">
        <v>3</v>
      </c>
      <c r="D9" s="572" t="s">
        <v>4</v>
      </c>
      <c r="E9" s="572">
        <v>20.7</v>
      </c>
      <c r="F9" s="575">
        <f>E9*F8</f>
        <v>20.7</v>
      </c>
      <c r="G9" s="575"/>
      <c r="H9" s="575"/>
      <c r="I9" s="575"/>
      <c r="J9" s="574"/>
      <c r="K9" s="575"/>
      <c r="L9" s="575"/>
      <c r="M9" s="576"/>
    </row>
    <row r="10" spans="1:13" ht="15">
      <c r="A10" s="92"/>
      <c r="B10" s="572"/>
      <c r="C10" s="578" t="s">
        <v>22</v>
      </c>
      <c r="D10" s="572" t="s">
        <v>87</v>
      </c>
      <c r="E10" s="575">
        <v>14.1</v>
      </c>
      <c r="F10" s="575">
        <f>F8*E10</f>
        <v>14.1</v>
      </c>
      <c r="G10" s="575"/>
      <c r="H10" s="575"/>
      <c r="I10" s="575"/>
      <c r="J10" s="575"/>
      <c r="K10" s="575"/>
      <c r="L10" s="575"/>
      <c r="M10" s="575"/>
    </row>
    <row r="11" spans="1:13" ht="15">
      <c r="A11" s="92"/>
      <c r="B11" s="572"/>
      <c r="C11" s="578" t="s">
        <v>181</v>
      </c>
      <c r="D11" s="572" t="s">
        <v>8</v>
      </c>
      <c r="E11" s="574">
        <v>1</v>
      </c>
      <c r="F11" s="575">
        <f>F8*E11</f>
        <v>1</v>
      </c>
      <c r="G11" s="575"/>
      <c r="H11" s="575"/>
      <c r="I11" s="575"/>
      <c r="J11" s="575"/>
      <c r="K11" s="575"/>
      <c r="L11" s="575"/>
      <c r="M11" s="575"/>
    </row>
    <row r="12" spans="1:13" ht="15">
      <c r="A12" s="90"/>
      <c r="B12" s="572"/>
      <c r="C12" s="578" t="s">
        <v>25</v>
      </c>
      <c r="D12" s="572" t="s">
        <v>37</v>
      </c>
      <c r="E12" s="575">
        <v>49.2</v>
      </c>
      <c r="F12" s="575">
        <f>F8*E12</f>
        <v>49.2</v>
      </c>
      <c r="G12" s="575"/>
      <c r="H12" s="575"/>
      <c r="I12" s="575"/>
      <c r="J12" s="575"/>
      <c r="K12" s="575"/>
      <c r="L12" s="575"/>
      <c r="M12" s="575"/>
    </row>
    <row r="13" spans="1:13" ht="27">
      <c r="A13" s="90"/>
      <c r="B13" s="579" t="s">
        <v>149</v>
      </c>
      <c r="C13" s="580" t="s">
        <v>182</v>
      </c>
      <c r="D13" s="572" t="s">
        <v>23</v>
      </c>
      <c r="E13" s="572"/>
      <c r="F13" s="574">
        <f>F8*0.2512</f>
        <v>0.2512</v>
      </c>
      <c r="G13" s="572"/>
      <c r="H13" s="575"/>
      <c r="I13" s="575"/>
      <c r="J13" s="572"/>
      <c r="K13" s="572"/>
      <c r="L13" s="581"/>
      <c r="M13" s="575"/>
    </row>
    <row r="14" spans="1:13" ht="15">
      <c r="A14" s="90"/>
      <c r="B14" s="582"/>
      <c r="C14" s="577" t="s">
        <v>3</v>
      </c>
      <c r="D14" s="572" t="s">
        <v>4</v>
      </c>
      <c r="E14" s="572">
        <f>28.6/100</f>
        <v>0.28600000000000003</v>
      </c>
      <c r="F14" s="575">
        <f>E14*F13</f>
        <v>0.0718432</v>
      </c>
      <c r="G14" s="581"/>
      <c r="H14" s="581"/>
      <c r="I14" s="575"/>
      <c r="J14" s="575"/>
      <c r="K14" s="581"/>
      <c r="L14" s="581"/>
      <c r="M14" s="575"/>
    </row>
    <row r="15" spans="1:13" ht="15">
      <c r="A15" s="90"/>
      <c r="B15" s="582"/>
      <c r="C15" s="577" t="s">
        <v>179</v>
      </c>
      <c r="D15" s="572"/>
      <c r="E15" s="572">
        <f>7/100</f>
        <v>0.07</v>
      </c>
      <c r="F15" s="575">
        <f>E15*F13</f>
        <v>0.017584</v>
      </c>
      <c r="G15" s="583"/>
      <c r="H15" s="575"/>
      <c r="I15" s="575"/>
      <c r="J15" s="575"/>
      <c r="K15" s="581"/>
      <c r="L15" s="581"/>
      <c r="M15" s="575"/>
    </row>
    <row r="16" spans="1:13" ht="15">
      <c r="A16" s="90"/>
      <c r="B16" s="582"/>
      <c r="C16" s="577" t="s">
        <v>29</v>
      </c>
      <c r="D16" s="572" t="s">
        <v>37</v>
      </c>
      <c r="E16" s="572">
        <f>0.3/100</f>
        <v>0.003</v>
      </c>
      <c r="F16" s="584">
        <f>E16*F13</f>
        <v>0.0007536</v>
      </c>
      <c r="G16" s="584"/>
      <c r="H16" s="584"/>
      <c r="I16" s="575"/>
      <c r="J16" s="585"/>
      <c r="K16" s="584"/>
      <c r="L16" s="584"/>
      <c r="M16" s="584"/>
    </row>
    <row r="17" spans="1:13" ht="13.5">
      <c r="A17" s="385"/>
      <c r="B17" s="386"/>
      <c r="C17" s="387" t="s">
        <v>129</v>
      </c>
      <c r="D17" s="388"/>
      <c r="E17" s="389"/>
      <c r="F17" s="390"/>
      <c r="G17" s="390"/>
      <c r="H17" s="391"/>
      <c r="I17" s="391"/>
      <c r="J17" s="391"/>
      <c r="K17" s="391"/>
      <c r="L17" s="391"/>
      <c r="M17" s="391"/>
    </row>
    <row r="18" spans="1:13" ht="13.5">
      <c r="A18" s="70"/>
      <c r="B18" s="392"/>
      <c r="C18" s="99" t="s">
        <v>72</v>
      </c>
      <c r="D18" s="393" t="s">
        <v>517</v>
      </c>
      <c r="E18" s="394"/>
      <c r="F18" s="395"/>
      <c r="G18" s="395"/>
      <c r="H18" s="396"/>
      <c r="I18" s="395"/>
      <c r="J18" s="396"/>
      <c r="K18" s="395"/>
      <c r="L18" s="396"/>
      <c r="M18" s="396"/>
    </row>
    <row r="19" spans="1:13" ht="13.5">
      <c r="A19" s="70"/>
      <c r="B19" s="362"/>
      <c r="C19" s="397" t="s">
        <v>2</v>
      </c>
      <c r="D19" s="393"/>
      <c r="E19" s="398"/>
      <c r="F19" s="399"/>
      <c r="G19" s="399"/>
      <c r="H19" s="400"/>
      <c r="I19" s="401"/>
      <c r="J19" s="400"/>
      <c r="K19" s="401"/>
      <c r="L19" s="400"/>
      <c r="M19" s="400"/>
    </row>
    <row r="20" spans="1:13" ht="13.5">
      <c r="A20" s="70"/>
      <c r="B20" s="402"/>
      <c r="C20" s="403" t="s">
        <v>73</v>
      </c>
      <c r="D20" s="393" t="s">
        <v>517</v>
      </c>
      <c r="E20" s="394"/>
      <c r="F20" s="395"/>
      <c r="G20" s="395"/>
      <c r="H20" s="404"/>
      <c r="I20" s="404"/>
      <c r="J20" s="404"/>
      <c r="K20" s="404"/>
      <c r="L20" s="404"/>
      <c r="M20" s="396"/>
    </row>
    <row r="21" spans="1:13" ht="13.5">
      <c r="A21" s="70"/>
      <c r="B21" s="362"/>
      <c r="C21" s="397" t="s">
        <v>2</v>
      </c>
      <c r="D21" s="393"/>
      <c r="E21" s="398"/>
      <c r="F21" s="399"/>
      <c r="G21" s="399"/>
      <c r="H21" s="401"/>
      <c r="I21" s="401"/>
      <c r="J21" s="401"/>
      <c r="K21" s="401"/>
      <c r="L21" s="401"/>
      <c r="M21" s="400"/>
    </row>
    <row r="22" spans="1:13" ht="13.5">
      <c r="A22" s="70"/>
      <c r="B22" s="402"/>
      <c r="C22" s="403" t="s">
        <v>69</v>
      </c>
      <c r="D22" s="393" t="s">
        <v>517</v>
      </c>
      <c r="E22" s="394"/>
      <c r="F22" s="395"/>
      <c r="G22" s="395"/>
      <c r="H22" s="404"/>
      <c r="I22" s="404"/>
      <c r="J22" s="404"/>
      <c r="K22" s="404"/>
      <c r="L22" s="404"/>
      <c r="M22" s="396"/>
    </row>
    <row r="23" spans="1:13" ht="13.5">
      <c r="A23" s="70"/>
      <c r="B23" s="362"/>
      <c r="C23" s="397" t="s">
        <v>78</v>
      </c>
      <c r="D23" s="399"/>
      <c r="E23" s="398"/>
      <c r="F23" s="399"/>
      <c r="G23" s="399"/>
      <c r="H23" s="401"/>
      <c r="I23" s="401"/>
      <c r="J23" s="401"/>
      <c r="K23" s="401"/>
      <c r="L23" s="401"/>
      <c r="M23" s="400"/>
    </row>
    <row r="24" spans="1:13" ht="13.5">
      <c r="A24" s="103"/>
      <c r="B24" s="104"/>
      <c r="D24" s="103"/>
      <c r="E24" s="103"/>
      <c r="F24" s="103"/>
      <c r="G24" s="103"/>
      <c r="H24" s="103"/>
      <c r="I24" s="103"/>
      <c r="J24" s="105"/>
      <c r="K24" s="103"/>
      <c r="M24" s="106"/>
    </row>
    <row r="25" spans="2:5" ht="13.5">
      <c r="B25" s="107"/>
      <c r="C25" s="108"/>
      <c r="D25" s="109"/>
      <c r="E25" s="109"/>
    </row>
    <row r="26" spans="2:8" ht="13.5">
      <c r="B26" s="107"/>
      <c r="C26" s="108"/>
      <c r="D26" s="109"/>
      <c r="E26" s="109"/>
      <c r="G26" s="699"/>
      <c r="H26" s="699"/>
    </row>
    <row r="27" ht="13.5">
      <c r="I27" s="111"/>
    </row>
  </sheetData>
  <sheetProtection/>
  <mergeCells count="13">
    <mergeCell ref="E5:E6"/>
    <mergeCell ref="F5:F6"/>
    <mergeCell ref="G5:H5"/>
    <mergeCell ref="A1:M1"/>
    <mergeCell ref="G26:H26"/>
    <mergeCell ref="I5:J5"/>
    <mergeCell ref="K5:L5"/>
    <mergeCell ref="A2:M2"/>
    <mergeCell ref="A3:M3"/>
    <mergeCell ref="A5:A6"/>
    <mergeCell ref="B5:B6"/>
    <mergeCell ref="C5:C6"/>
    <mergeCell ref="D5:D6"/>
  </mergeCells>
  <conditionalFormatting sqref="C16">
    <cfRule type="cellIs" priority="54" dxfId="0" operator="equal" stopIfTrue="1">
      <formula>8223.307275</formula>
    </cfRule>
  </conditionalFormatting>
  <conditionalFormatting sqref="C8 C10:C12">
    <cfRule type="cellIs" priority="53" dxfId="0" operator="equal" stopIfTrue="1">
      <formula>8223.307275</formula>
    </cfRule>
  </conditionalFormatting>
  <conditionalFormatting sqref="C13:C14">
    <cfRule type="cellIs" priority="52" dxfId="0" operator="equal" stopIfTrue="1">
      <formula>8223.307275</formula>
    </cfRule>
  </conditionalFormatting>
  <conditionalFormatting sqref="C15">
    <cfRule type="cellIs" priority="51" dxfId="0" operator="equal" stopIfTrue="1">
      <formula>8223.307275</formula>
    </cfRule>
  </conditionalFormatting>
  <conditionalFormatting sqref="C9">
    <cfRule type="cellIs" priority="50" dxfId="0" operator="equal" stopIfTrue="1">
      <formula>8223.307275</formula>
    </cfRule>
  </conditionalFormatting>
  <conditionalFormatting sqref="M10:M12">
    <cfRule type="cellIs" priority="39" dxfId="0" operator="equal" stopIfTrue="1">
      <formula>8223.307275</formula>
    </cfRule>
  </conditionalFormatting>
  <conditionalFormatting sqref="D14:F16 G16:L16 M14:M16">
    <cfRule type="cellIs" priority="49" dxfId="0" operator="equal" stopIfTrue="1">
      <formula>8223.307275</formula>
    </cfRule>
  </conditionalFormatting>
  <conditionalFormatting sqref="D8:E8 D10:D12">
    <cfRule type="cellIs" priority="48" dxfId="0" operator="equal" stopIfTrue="1">
      <formula>8223.307275</formula>
    </cfRule>
  </conditionalFormatting>
  <conditionalFormatting sqref="F8 F10:F12">
    <cfRule type="cellIs" priority="47" dxfId="0" operator="equal" stopIfTrue="1">
      <formula>8223.307275</formula>
    </cfRule>
  </conditionalFormatting>
  <conditionalFormatting sqref="G8:L8 G10:L12 G9:H9 K9:L9">
    <cfRule type="cellIs" priority="46" dxfId="0" operator="equal" stopIfTrue="1">
      <formula>8223.307275</formula>
    </cfRule>
  </conditionalFormatting>
  <conditionalFormatting sqref="E10:E12">
    <cfRule type="cellIs" priority="45" dxfId="0" operator="equal" stopIfTrue="1">
      <formula>8223.307275</formula>
    </cfRule>
  </conditionalFormatting>
  <conditionalFormatting sqref="E13:M13 G14:L14 I15:L15">
    <cfRule type="cellIs" priority="44" dxfId="0" operator="equal" stopIfTrue="1">
      <formula>8223.307275</formula>
    </cfRule>
  </conditionalFormatting>
  <conditionalFormatting sqref="I9:J9">
    <cfRule type="cellIs" priority="41" dxfId="0" operator="equal" stopIfTrue="1">
      <formula>8223.307275</formula>
    </cfRule>
  </conditionalFormatting>
  <conditionalFormatting sqref="D13">
    <cfRule type="cellIs" priority="43" dxfId="0" operator="equal" stopIfTrue="1">
      <formula>8223.307275</formula>
    </cfRule>
  </conditionalFormatting>
  <conditionalFormatting sqref="D9:F9">
    <cfRule type="cellIs" priority="42" dxfId="0" operator="equal" stopIfTrue="1">
      <formula>8223.307275</formula>
    </cfRule>
  </conditionalFormatting>
  <conditionalFormatting sqref="G15:H15">
    <cfRule type="cellIs" priority="40" dxfId="0" operator="equal" stopIfTrue="1">
      <formula>8223.307275</formula>
    </cfRule>
  </conditionalFormatting>
  <conditionalFormatting sqref="B8:B12">
    <cfRule type="cellIs" priority="38" dxfId="0" operator="equal" stopIfTrue="1">
      <formula>8223.307275</formula>
    </cfRule>
  </conditionalFormatting>
  <conditionalFormatting sqref="B13">
    <cfRule type="cellIs" priority="37" dxfId="0" operator="equal" stopIfTrue="1">
      <formula>8223.307275</formula>
    </cfRule>
  </conditionalFormatting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Normal="85" zoomScaleSheetLayoutView="100" workbookViewId="0" topLeftCell="A1">
      <selection activeCell="D18" sqref="D18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371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3" ht="15">
      <c r="A8" s="92">
        <v>10</v>
      </c>
      <c r="B8" s="561" t="s">
        <v>143</v>
      </c>
      <c r="C8" s="562" t="s">
        <v>183</v>
      </c>
      <c r="D8" s="563" t="s">
        <v>8</v>
      </c>
      <c r="E8" s="564"/>
      <c r="F8" s="564">
        <v>3</v>
      </c>
      <c r="G8" s="564"/>
      <c r="H8" s="564"/>
      <c r="I8" s="564"/>
      <c r="J8" s="564"/>
      <c r="K8" s="564"/>
      <c r="L8" s="564"/>
      <c r="M8" s="564"/>
    </row>
    <row r="9" spans="1:13" ht="15">
      <c r="A9" s="92"/>
      <c r="B9" s="565"/>
      <c r="C9" s="566" t="s">
        <v>3</v>
      </c>
      <c r="D9" s="563" t="s">
        <v>4</v>
      </c>
      <c r="E9" s="563">
        <v>3.42</v>
      </c>
      <c r="F9" s="564">
        <f>F8*E9</f>
        <v>10.26</v>
      </c>
      <c r="G9" s="567"/>
      <c r="H9" s="567"/>
      <c r="I9" s="564"/>
      <c r="J9" s="564"/>
      <c r="K9" s="567"/>
      <c r="L9" s="567"/>
      <c r="M9" s="466"/>
    </row>
    <row r="10" spans="1:13" ht="15">
      <c r="A10" s="568"/>
      <c r="B10" s="565"/>
      <c r="C10" s="566" t="s">
        <v>22</v>
      </c>
      <c r="D10" s="563" t="s">
        <v>37</v>
      </c>
      <c r="E10" s="563">
        <v>0.01</v>
      </c>
      <c r="F10" s="564">
        <f>F8*E10</f>
        <v>0.03</v>
      </c>
      <c r="G10" s="564"/>
      <c r="H10" s="564"/>
      <c r="I10" s="564"/>
      <c r="J10" s="564"/>
      <c r="K10" s="564"/>
      <c r="L10" s="569"/>
      <c r="M10" s="466"/>
    </row>
    <row r="11" spans="1:13" ht="15">
      <c r="A11" s="568"/>
      <c r="B11" s="565"/>
      <c r="C11" s="570" t="s">
        <v>25</v>
      </c>
      <c r="D11" s="571" t="s">
        <v>37</v>
      </c>
      <c r="E11" s="563">
        <f>13.6/10</f>
        <v>1.3599999999999999</v>
      </c>
      <c r="F11" s="564">
        <f>F8*E11</f>
        <v>4.08</v>
      </c>
      <c r="G11" s="564"/>
      <c r="H11" s="564"/>
      <c r="I11" s="564"/>
      <c r="J11" s="564"/>
      <c r="K11" s="564"/>
      <c r="L11" s="564"/>
      <c r="M11" s="466"/>
    </row>
    <row r="12" spans="1:13" ht="13.5">
      <c r="A12" s="385"/>
      <c r="B12" s="386"/>
      <c r="C12" s="387" t="s">
        <v>129</v>
      </c>
      <c r="D12" s="388"/>
      <c r="E12" s="389"/>
      <c r="F12" s="390"/>
      <c r="G12" s="390"/>
      <c r="H12" s="391"/>
      <c r="I12" s="391"/>
      <c r="J12" s="391"/>
      <c r="K12" s="391"/>
      <c r="L12" s="391"/>
      <c r="M12" s="391"/>
    </row>
    <row r="13" spans="1:13" ht="13.5">
      <c r="A13" s="70"/>
      <c r="B13" s="392"/>
      <c r="C13" s="99" t="s">
        <v>72</v>
      </c>
      <c r="D13" s="393" t="s">
        <v>517</v>
      </c>
      <c r="E13" s="394"/>
      <c r="F13" s="395"/>
      <c r="G13" s="395"/>
      <c r="H13" s="396"/>
      <c r="I13" s="395"/>
      <c r="J13" s="396"/>
      <c r="K13" s="395"/>
      <c r="L13" s="396"/>
      <c r="M13" s="396"/>
    </row>
    <row r="14" spans="1:13" ht="13.5">
      <c r="A14" s="70"/>
      <c r="B14" s="362"/>
      <c r="C14" s="397" t="s">
        <v>2</v>
      </c>
      <c r="D14" s="393"/>
      <c r="E14" s="398"/>
      <c r="F14" s="399"/>
      <c r="G14" s="399"/>
      <c r="H14" s="400"/>
      <c r="I14" s="401"/>
      <c r="J14" s="400"/>
      <c r="K14" s="401"/>
      <c r="L14" s="400"/>
      <c r="M14" s="400"/>
    </row>
    <row r="15" spans="1:13" ht="13.5">
      <c r="A15" s="70"/>
      <c r="B15" s="402"/>
      <c r="C15" s="403" t="s">
        <v>73</v>
      </c>
      <c r="D15" s="393" t="s">
        <v>517</v>
      </c>
      <c r="E15" s="394"/>
      <c r="F15" s="395"/>
      <c r="G15" s="395"/>
      <c r="H15" s="404"/>
      <c r="I15" s="404"/>
      <c r="J15" s="404"/>
      <c r="K15" s="404"/>
      <c r="L15" s="404"/>
      <c r="M15" s="396"/>
    </row>
    <row r="16" spans="1:13" ht="13.5">
      <c r="A16" s="70"/>
      <c r="B16" s="362"/>
      <c r="C16" s="397" t="s">
        <v>2</v>
      </c>
      <c r="D16" s="393"/>
      <c r="E16" s="398"/>
      <c r="F16" s="399"/>
      <c r="G16" s="399"/>
      <c r="H16" s="401"/>
      <c r="I16" s="401"/>
      <c r="J16" s="401"/>
      <c r="K16" s="401"/>
      <c r="L16" s="401"/>
      <c r="M16" s="400"/>
    </row>
    <row r="17" spans="1:13" ht="13.5">
      <c r="A17" s="70"/>
      <c r="B17" s="402"/>
      <c r="C17" s="403" t="s">
        <v>69</v>
      </c>
      <c r="D17" s="393" t="s">
        <v>517</v>
      </c>
      <c r="E17" s="394"/>
      <c r="F17" s="395"/>
      <c r="G17" s="395"/>
      <c r="H17" s="404"/>
      <c r="I17" s="404"/>
      <c r="J17" s="404"/>
      <c r="K17" s="404"/>
      <c r="L17" s="404"/>
      <c r="M17" s="396"/>
    </row>
    <row r="18" spans="1:13" ht="13.5">
      <c r="A18" s="70"/>
      <c r="B18" s="362"/>
      <c r="C18" s="397" t="s">
        <v>78</v>
      </c>
      <c r="D18" s="393"/>
      <c r="E18" s="398"/>
      <c r="F18" s="399"/>
      <c r="G18" s="399"/>
      <c r="H18" s="401"/>
      <c r="I18" s="401"/>
      <c r="J18" s="401"/>
      <c r="K18" s="401"/>
      <c r="L18" s="401"/>
      <c r="M18" s="400"/>
    </row>
    <row r="19" spans="1:13" ht="13.5">
      <c r="A19" s="103"/>
      <c r="B19" s="104"/>
      <c r="D19" s="103"/>
      <c r="E19" s="103"/>
      <c r="F19" s="103"/>
      <c r="G19" s="103"/>
      <c r="H19" s="103"/>
      <c r="I19" s="103"/>
      <c r="J19" s="105"/>
      <c r="K19" s="103"/>
      <c r="M19" s="106"/>
    </row>
    <row r="20" spans="2:5" ht="13.5">
      <c r="B20" s="107"/>
      <c r="C20" s="108"/>
      <c r="D20" s="109"/>
      <c r="E20" s="109"/>
    </row>
    <row r="21" spans="2:8" ht="13.5">
      <c r="B21" s="107"/>
      <c r="C21" s="108"/>
      <c r="D21" s="109"/>
      <c r="E21" s="109"/>
      <c r="G21" s="699"/>
      <c r="H21" s="699"/>
    </row>
    <row r="22" ht="13.5">
      <c r="I22" s="111"/>
    </row>
  </sheetData>
  <sheetProtection/>
  <mergeCells count="13">
    <mergeCell ref="E5:E6"/>
    <mergeCell ref="F5:F6"/>
    <mergeCell ref="G5:H5"/>
    <mergeCell ref="A1:M1"/>
    <mergeCell ref="G21:H21"/>
    <mergeCell ref="I5:J5"/>
    <mergeCell ref="K5:L5"/>
    <mergeCell ref="A2:M2"/>
    <mergeCell ref="A3:M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5" zoomScaleNormal="85" zoomScaleSheetLayoutView="85" workbookViewId="0" topLeftCell="A1">
      <selection activeCell="F23" sqref="F23"/>
    </sheetView>
  </sheetViews>
  <sheetFormatPr defaultColWidth="9.140625" defaultRowHeight="12.75"/>
  <cols>
    <col min="1" max="1" width="3.421875" style="7" customWidth="1"/>
    <col min="2" max="2" width="7.7109375" style="7" customWidth="1"/>
    <col min="3" max="3" width="52.28125" style="7" customWidth="1"/>
    <col min="4" max="4" width="14.28125" style="4" customWidth="1"/>
    <col min="5" max="5" width="12.421875" style="4" customWidth="1"/>
    <col min="6" max="6" width="16.421875" style="20" customWidth="1"/>
    <col min="7" max="7" width="13.421875" style="21" customWidth="1"/>
    <col min="8" max="8" width="14.8515625" style="7" customWidth="1"/>
    <col min="9" max="9" width="11.140625" style="7" customWidth="1"/>
    <col min="10" max="10" width="13.421875" style="7" bestFit="1" customWidth="1"/>
    <col min="11" max="11" width="10.28125" style="7" bestFit="1" customWidth="1"/>
    <col min="12" max="16384" width="9.140625" style="7" customWidth="1"/>
  </cols>
  <sheetData>
    <row r="1" spans="1:9" ht="15.75">
      <c r="A1" s="651" t="s">
        <v>24</v>
      </c>
      <c r="B1" s="651"/>
      <c r="C1" s="651"/>
      <c r="D1" s="651"/>
      <c r="E1" s="651"/>
      <c r="F1" s="651"/>
      <c r="G1" s="651"/>
      <c r="H1" s="651"/>
      <c r="I1" s="651"/>
    </row>
    <row r="2" spans="1:9" s="6" customFormat="1" ht="35.25" customHeight="1">
      <c r="A2" s="652" t="e">
        <f>#REF!</f>
        <v>#REF!</v>
      </c>
      <c r="B2" s="652"/>
      <c r="C2" s="652"/>
      <c r="D2" s="652"/>
      <c r="E2" s="652"/>
      <c r="F2" s="652"/>
      <c r="G2" s="652"/>
      <c r="H2" s="652"/>
      <c r="I2" s="652"/>
    </row>
    <row r="3" spans="3:9" ht="16.5" customHeight="1">
      <c r="C3" s="4"/>
      <c r="F3" s="653" t="s">
        <v>9</v>
      </c>
      <c r="G3" s="653"/>
      <c r="H3" s="653"/>
      <c r="I3" s="653"/>
    </row>
    <row r="4" spans="1:9" ht="15.75" customHeight="1">
      <c r="A4" s="654" t="s">
        <v>10</v>
      </c>
      <c r="B4" s="655" t="s">
        <v>11</v>
      </c>
      <c r="C4" s="655" t="s">
        <v>12</v>
      </c>
      <c r="D4" s="654" t="s">
        <v>13</v>
      </c>
      <c r="E4" s="654"/>
      <c r="F4" s="654"/>
      <c r="G4" s="654"/>
      <c r="H4" s="654"/>
      <c r="I4" s="655" t="s">
        <v>14</v>
      </c>
    </row>
    <row r="5" spans="1:9" ht="15.75">
      <c r="A5" s="654"/>
      <c r="B5" s="655"/>
      <c r="C5" s="655"/>
      <c r="D5" s="655" t="s">
        <v>15</v>
      </c>
      <c r="E5" s="655" t="s">
        <v>16</v>
      </c>
      <c r="F5" s="655" t="s">
        <v>17</v>
      </c>
      <c r="G5" s="655" t="s">
        <v>18</v>
      </c>
      <c r="H5" s="654" t="s">
        <v>19</v>
      </c>
      <c r="I5" s="655"/>
    </row>
    <row r="6" spans="1:9" ht="15.75">
      <c r="A6" s="654"/>
      <c r="B6" s="655"/>
      <c r="C6" s="655"/>
      <c r="D6" s="655"/>
      <c r="E6" s="655"/>
      <c r="F6" s="655"/>
      <c r="G6" s="655"/>
      <c r="H6" s="654"/>
      <c r="I6" s="655"/>
    </row>
    <row r="7" spans="1:9" ht="14.25" customHeight="1">
      <c r="A7" s="3">
        <v>1</v>
      </c>
      <c r="B7" s="5">
        <v>2</v>
      </c>
      <c r="C7" s="3">
        <v>3</v>
      </c>
      <c r="D7" s="5">
        <v>4</v>
      </c>
      <c r="E7" s="5">
        <v>5</v>
      </c>
      <c r="F7" s="5">
        <v>6</v>
      </c>
      <c r="G7" s="5">
        <v>7</v>
      </c>
      <c r="H7" s="8">
        <v>8</v>
      </c>
      <c r="I7" s="3">
        <v>9</v>
      </c>
    </row>
    <row r="8" spans="1:9" s="87" customFormat="1" ht="18">
      <c r="A8" s="82">
        <v>1</v>
      </c>
      <c r="B8" s="83" t="s">
        <v>48</v>
      </c>
      <c r="C8" s="84" t="s">
        <v>363</v>
      </c>
      <c r="D8" s="69"/>
      <c r="E8" s="68"/>
      <c r="F8" s="68"/>
      <c r="G8" s="85"/>
      <c r="H8" s="68"/>
      <c r="I8" s="86"/>
    </row>
    <row r="9" spans="1:9" s="87" customFormat="1" ht="15.75">
      <c r="A9" s="82"/>
      <c r="B9" s="83" t="s">
        <v>49</v>
      </c>
      <c r="C9" s="84" t="s">
        <v>508</v>
      </c>
      <c r="D9" s="69"/>
      <c r="E9" s="68"/>
      <c r="F9" s="68"/>
      <c r="G9" s="85"/>
      <c r="H9" s="68"/>
      <c r="I9" s="86"/>
    </row>
    <row r="10" spans="1:9" s="87" customFormat="1" ht="15.75">
      <c r="A10" s="82"/>
      <c r="B10" s="83" t="s">
        <v>392</v>
      </c>
      <c r="C10" s="84" t="s">
        <v>509</v>
      </c>
      <c r="D10" s="69"/>
      <c r="E10" s="68"/>
      <c r="F10" s="68"/>
      <c r="G10" s="85"/>
      <c r="H10" s="68"/>
      <c r="I10" s="86"/>
    </row>
    <row r="11" spans="1:9" s="87" customFormat="1" ht="15.75">
      <c r="A11" s="82"/>
      <c r="B11" s="83"/>
      <c r="C11" s="84" t="s">
        <v>129</v>
      </c>
      <c r="D11" s="69"/>
      <c r="E11" s="68"/>
      <c r="F11" s="68"/>
      <c r="G11" s="85"/>
      <c r="H11" s="68"/>
      <c r="I11" s="86"/>
    </row>
    <row r="12" spans="3:11" ht="17.25" customHeight="1">
      <c r="C12" s="21"/>
      <c r="D12" s="50"/>
      <c r="E12" s="50"/>
      <c r="F12" s="50"/>
      <c r="G12" s="50"/>
      <c r="H12" s="50"/>
      <c r="I12" s="19"/>
      <c r="J12" s="55"/>
      <c r="K12" s="47"/>
    </row>
    <row r="13" spans="3:11" ht="17.25" customHeight="1">
      <c r="C13" s="21"/>
      <c r="D13" s="50"/>
      <c r="E13" s="50"/>
      <c r="F13" s="50"/>
      <c r="G13" s="50"/>
      <c r="H13" s="50"/>
      <c r="I13" s="19"/>
      <c r="J13" s="46"/>
      <c r="K13" s="47"/>
    </row>
    <row r="14" spans="3:9" ht="15.75">
      <c r="C14" s="15"/>
      <c r="D14" s="16"/>
      <c r="E14" s="16"/>
      <c r="F14" s="17"/>
      <c r="G14" s="18"/>
      <c r="H14" s="19"/>
      <c r="I14" s="35"/>
    </row>
    <row r="15" spans="2:13" s="37" customFormat="1" ht="13.5">
      <c r="B15" s="40"/>
      <c r="L15" s="40"/>
      <c r="M15" s="39"/>
    </row>
    <row r="16" s="37" customFormat="1" ht="13.5">
      <c r="C16" s="42"/>
    </row>
    <row r="17" spans="3:8" s="37" customFormat="1" ht="13.5">
      <c r="C17" s="42"/>
      <c r="G17" s="656"/>
      <c r="H17" s="656"/>
    </row>
    <row r="18" s="37" customFormat="1" ht="15" customHeight="1">
      <c r="C18" s="42"/>
    </row>
    <row r="19" spans="3:9" s="40" customFormat="1" ht="13.5">
      <c r="C19" s="38"/>
      <c r="I19" s="41"/>
    </row>
    <row r="20" spans="4:7" ht="15.75">
      <c r="D20" s="21"/>
      <c r="E20" s="7"/>
      <c r="F20" s="7"/>
      <c r="G20" s="7"/>
    </row>
    <row r="21" spans="4:7" ht="15.75">
      <c r="D21" s="21"/>
      <c r="E21" s="7"/>
      <c r="F21" s="7"/>
      <c r="G21" s="7"/>
    </row>
    <row r="34" spans="4:8" ht="15.75">
      <c r="D34" s="22"/>
      <c r="E34" s="23"/>
      <c r="F34" s="24"/>
      <c r="G34" s="25"/>
      <c r="H34" s="26"/>
    </row>
    <row r="35" spans="4:8" ht="15.75">
      <c r="D35" s="27"/>
      <c r="E35" s="23"/>
      <c r="F35" s="28"/>
      <c r="G35" s="29"/>
      <c r="H35" s="30"/>
    </row>
    <row r="36" spans="2:8" ht="15.75">
      <c r="B36" s="31"/>
      <c r="D36" s="27"/>
      <c r="E36" s="23"/>
      <c r="F36" s="28"/>
      <c r="G36" s="29"/>
      <c r="H36" s="30"/>
    </row>
    <row r="37" spans="4:8" ht="15.75">
      <c r="D37" s="27"/>
      <c r="E37" s="23"/>
      <c r="F37" s="28"/>
      <c r="G37" s="29"/>
      <c r="H37" s="30"/>
    </row>
    <row r="38" spans="2:8" ht="15.75">
      <c r="B38" s="31"/>
      <c r="D38" s="27"/>
      <c r="E38" s="23"/>
      <c r="F38" s="28"/>
      <c r="G38" s="29"/>
      <c r="H38" s="30"/>
    </row>
    <row r="39" spans="4:8" ht="15.75">
      <c r="D39" s="27"/>
      <c r="E39" s="23"/>
      <c r="F39" s="28"/>
      <c r="G39" s="29"/>
      <c r="H39" s="30"/>
    </row>
    <row r="40" spans="4:8" ht="15.75">
      <c r="D40" s="27"/>
      <c r="E40" s="23"/>
      <c r="F40" s="28"/>
      <c r="G40" s="29"/>
      <c r="H40" s="30"/>
    </row>
    <row r="41" spans="4:8" ht="15.75">
      <c r="D41" s="27"/>
      <c r="E41" s="23"/>
      <c r="F41" s="28"/>
      <c r="G41" s="29"/>
      <c r="H41" s="30"/>
    </row>
    <row r="42" spans="4:8" ht="15.75">
      <c r="D42" s="27"/>
      <c r="E42" s="23"/>
      <c r="F42" s="28"/>
      <c r="G42" s="29"/>
      <c r="H42" s="30"/>
    </row>
    <row r="43" spans="2:8" ht="15.75">
      <c r="B43" s="31"/>
      <c r="D43" s="27"/>
      <c r="E43" s="23"/>
      <c r="F43" s="28"/>
      <c r="G43" s="29"/>
      <c r="H43" s="30"/>
    </row>
    <row r="44" spans="2:8" ht="15.75">
      <c r="B44" s="31"/>
      <c r="D44" s="27"/>
      <c r="E44" s="23"/>
      <c r="F44" s="28"/>
      <c r="G44" s="29"/>
      <c r="H44" s="30"/>
    </row>
    <row r="45" spans="2:8" ht="15.75">
      <c r="B45" s="31"/>
      <c r="D45" s="27"/>
      <c r="E45" s="23"/>
      <c r="F45" s="28"/>
      <c r="G45" s="29"/>
      <c r="H45" s="30"/>
    </row>
    <row r="46" spans="4:8" ht="15.75">
      <c r="D46" s="27"/>
      <c r="E46" s="23"/>
      <c r="F46" s="28"/>
      <c r="G46" s="29"/>
      <c r="H46" s="30"/>
    </row>
    <row r="47" spans="4:8" ht="15.75">
      <c r="D47" s="27"/>
      <c r="E47" s="23"/>
      <c r="F47" s="28"/>
      <c r="G47" s="29"/>
      <c r="H47" s="30"/>
    </row>
    <row r="48" spans="4:8" ht="15.75">
      <c r="D48" s="27"/>
      <c r="E48" s="23"/>
      <c r="F48" s="28"/>
      <c r="G48" s="29"/>
      <c r="H48" s="30"/>
    </row>
    <row r="49" spans="2:8" ht="15.75">
      <c r="B49" s="31"/>
      <c r="D49" s="27"/>
      <c r="E49" s="23"/>
      <c r="F49" s="28"/>
      <c r="G49" s="29"/>
      <c r="H49" s="30"/>
    </row>
    <row r="50" spans="4:8" ht="15.75">
      <c r="D50" s="27"/>
      <c r="E50" s="23"/>
      <c r="F50" s="28"/>
      <c r="G50" s="29"/>
      <c r="H50" s="30"/>
    </row>
    <row r="51" spans="4:8" ht="15.75">
      <c r="D51" s="27"/>
      <c r="E51" s="23"/>
      <c r="F51" s="28"/>
      <c r="G51" s="29"/>
      <c r="H51" s="30"/>
    </row>
    <row r="52" spans="4:8" ht="15.75">
      <c r="D52" s="27"/>
      <c r="E52" s="23"/>
      <c r="F52" s="28"/>
      <c r="G52" s="29"/>
      <c r="H52" s="30"/>
    </row>
    <row r="53" spans="4:8" ht="15.75">
      <c r="D53" s="27"/>
      <c r="E53" s="23"/>
      <c r="F53" s="28"/>
      <c r="G53" s="29"/>
      <c r="H53" s="30"/>
    </row>
    <row r="54" spans="4:8" ht="15.75">
      <c r="D54" s="27"/>
      <c r="E54" s="23"/>
      <c r="F54" s="28"/>
      <c r="G54" s="29"/>
      <c r="H54" s="30"/>
    </row>
    <row r="55" spans="4:8" ht="15.75">
      <c r="D55" s="27"/>
      <c r="E55" s="23"/>
      <c r="F55" s="28"/>
      <c r="G55" s="29"/>
      <c r="H55" s="30"/>
    </row>
    <row r="56" spans="2:8" ht="15.75">
      <c r="B56" s="14"/>
      <c r="D56" s="27"/>
      <c r="E56" s="23"/>
      <c r="F56" s="28"/>
      <c r="G56" s="29"/>
      <c r="H56" s="30"/>
    </row>
    <row r="57" spans="4:8" ht="15.75">
      <c r="D57" s="27"/>
      <c r="E57" s="23"/>
      <c r="F57" s="28"/>
      <c r="G57" s="29"/>
      <c r="H57" s="30"/>
    </row>
    <row r="58" spans="4:8" ht="15.75">
      <c r="D58" s="27"/>
      <c r="E58" s="23"/>
      <c r="F58" s="28"/>
      <c r="G58" s="29"/>
      <c r="H58" s="30"/>
    </row>
    <row r="59" spans="4:8" ht="15.75">
      <c r="D59" s="27"/>
      <c r="E59" s="23"/>
      <c r="F59" s="28"/>
      <c r="G59" s="29"/>
      <c r="H59" s="30"/>
    </row>
    <row r="60" spans="4:8" ht="15.75">
      <c r="D60" s="27"/>
      <c r="E60" s="23"/>
      <c r="F60" s="28"/>
      <c r="G60" s="29"/>
      <c r="H60" s="30"/>
    </row>
    <row r="61" spans="4:8" ht="15.75">
      <c r="D61" s="27"/>
      <c r="E61" s="23"/>
      <c r="F61" s="28"/>
      <c r="G61" s="29"/>
      <c r="H61" s="30"/>
    </row>
    <row r="62" spans="4:8" ht="15.75">
      <c r="D62" s="27"/>
      <c r="E62" s="23"/>
      <c r="F62" s="28"/>
      <c r="G62" s="29"/>
      <c r="H62" s="30"/>
    </row>
  </sheetData>
  <sheetProtection/>
  <mergeCells count="14">
    <mergeCell ref="G17:H17"/>
    <mergeCell ref="A1:I1"/>
    <mergeCell ref="A2:I2"/>
    <mergeCell ref="F3:I3"/>
    <mergeCell ref="A4:A6"/>
    <mergeCell ref="B4:B6"/>
    <mergeCell ref="C4:C6"/>
    <mergeCell ref="D4:H4"/>
    <mergeCell ref="I4:I6"/>
    <mergeCell ref="D5:D6"/>
    <mergeCell ref="E5:E6"/>
    <mergeCell ref="F5:F6"/>
    <mergeCell ref="G5:G6"/>
    <mergeCell ref="H5:H6"/>
  </mergeCells>
  <printOptions horizontalCentered="1"/>
  <pageMargins left="0.45" right="0.25" top="0.45" bottom="0.45" header="0.3" footer="0.3"/>
  <pageSetup fitToHeight="0" fitToWidth="1" horizontalDpi="600" verticalDpi="600" orientation="landscape" paperSize="9" scale="98" r:id="rId1"/>
  <headerFooter alignWithMargins="0"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85" zoomScaleSheetLayoutView="100" workbookViewId="0" topLeftCell="A4">
      <selection activeCell="D18" sqref="D18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514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4" ht="27">
      <c r="A8" s="362">
        <v>45</v>
      </c>
      <c r="B8" s="119" t="s">
        <v>34</v>
      </c>
      <c r="C8" s="112" t="s">
        <v>188</v>
      </c>
      <c r="D8" s="113" t="s">
        <v>8</v>
      </c>
      <c r="E8" s="113"/>
      <c r="F8" s="558">
        <f>SUM(F12:F12)</f>
        <v>1</v>
      </c>
      <c r="G8" s="114"/>
      <c r="H8" s="115"/>
      <c r="I8" s="113"/>
      <c r="J8" s="115"/>
      <c r="K8" s="113"/>
      <c r="L8" s="115"/>
      <c r="M8" s="115"/>
      <c r="N8" s="468"/>
    </row>
    <row r="9" spans="1:14" ht="13.5">
      <c r="A9" s="362"/>
      <c r="B9" s="70"/>
      <c r="C9" s="99" t="s">
        <v>3</v>
      </c>
      <c r="D9" s="102" t="s">
        <v>4</v>
      </c>
      <c r="E9" s="102">
        <f>3.89/10</f>
        <v>0.389</v>
      </c>
      <c r="F9" s="88">
        <f>F8*E9</f>
        <v>0.389</v>
      </c>
      <c r="G9" s="102"/>
      <c r="H9" s="88"/>
      <c r="I9" s="88"/>
      <c r="J9" s="88"/>
      <c r="K9" s="102"/>
      <c r="L9" s="88"/>
      <c r="M9" s="88"/>
      <c r="N9" s="468"/>
    </row>
    <row r="10" spans="1:14" ht="13.5">
      <c r="A10" s="362"/>
      <c r="B10" s="70"/>
      <c r="C10" s="99" t="s">
        <v>22</v>
      </c>
      <c r="D10" s="70" t="s">
        <v>0</v>
      </c>
      <c r="E10" s="102">
        <f>1.51/10</f>
        <v>0.151</v>
      </c>
      <c r="F10" s="116">
        <f>E10*F8</f>
        <v>0.151</v>
      </c>
      <c r="G10" s="102"/>
      <c r="H10" s="88"/>
      <c r="I10" s="102"/>
      <c r="J10" s="88"/>
      <c r="K10" s="102"/>
      <c r="L10" s="88"/>
      <c r="M10" s="88"/>
      <c r="N10" s="468"/>
    </row>
    <row r="11" spans="1:14" ht="13.5">
      <c r="A11" s="559"/>
      <c r="B11" s="120"/>
      <c r="C11" s="70" t="s">
        <v>64</v>
      </c>
      <c r="D11" s="70"/>
      <c r="E11" s="70"/>
      <c r="F11" s="71"/>
      <c r="G11" s="70"/>
      <c r="H11" s="71"/>
      <c r="I11" s="102"/>
      <c r="J11" s="71"/>
      <c r="K11" s="70"/>
      <c r="L11" s="71"/>
      <c r="M11" s="71"/>
      <c r="N11" s="468"/>
    </row>
    <row r="12" spans="1:13" ht="14.25">
      <c r="A12" s="559"/>
      <c r="B12" s="120"/>
      <c r="C12" s="99" t="s">
        <v>384</v>
      </c>
      <c r="D12" s="70" t="s">
        <v>8</v>
      </c>
      <c r="E12" s="70" t="s">
        <v>145</v>
      </c>
      <c r="F12" s="560">
        <v>1</v>
      </c>
      <c r="G12" s="71"/>
      <c r="H12" s="71"/>
      <c r="I12" s="102"/>
      <c r="J12" s="71"/>
      <c r="K12" s="70"/>
      <c r="L12" s="71"/>
      <c r="M12" s="71"/>
    </row>
    <row r="13" spans="1:13" ht="13.5">
      <c r="A13" s="559"/>
      <c r="B13" s="120"/>
      <c r="C13" s="99" t="s">
        <v>6</v>
      </c>
      <c r="D13" s="70" t="s">
        <v>0</v>
      </c>
      <c r="E13" s="70">
        <v>0.1</v>
      </c>
      <c r="F13" s="73">
        <f>E13*F8</f>
        <v>0.1</v>
      </c>
      <c r="G13" s="70"/>
      <c r="H13" s="73"/>
      <c r="I13" s="102"/>
      <c r="J13" s="71"/>
      <c r="K13" s="70"/>
      <c r="L13" s="71"/>
      <c r="M13" s="71"/>
    </row>
    <row r="14" spans="1:13" ht="13.5">
      <c r="A14" s="385"/>
      <c r="B14" s="386"/>
      <c r="C14" s="387" t="s">
        <v>129</v>
      </c>
      <c r="D14" s="388"/>
      <c r="E14" s="389"/>
      <c r="F14" s="390"/>
      <c r="G14" s="390"/>
      <c r="H14" s="391"/>
      <c r="I14" s="391"/>
      <c r="J14" s="391"/>
      <c r="K14" s="391"/>
      <c r="L14" s="391"/>
      <c r="M14" s="391"/>
    </row>
    <row r="15" spans="1:13" ht="13.5">
      <c r="A15" s="70"/>
      <c r="B15" s="392"/>
      <c r="C15" s="99" t="s">
        <v>72</v>
      </c>
      <c r="D15" s="393" t="s">
        <v>517</v>
      </c>
      <c r="E15" s="394"/>
      <c r="F15" s="395"/>
      <c r="G15" s="395"/>
      <c r="H15" s="396"/>
      <c r="I15" s="395"/>
      <c r="J15" s="396"/>
      <c r="K15" s="395"/>
      <c r="L15" s="396"/>
      <c r="M15" s="396"/>
    </row>
    <row r="16" spans="1:13" ht="13.5">
      <c r="A16" s="70"/>
      <c r="B16" s="362"/>
      <c r="C16" s="397" t="s">
        <v>2</v>
      </c>
      <c r="D16" s="393"/>
      <c r="E16" s="398"/>
      <c r="F16" s="399"/>
      <c r="G16" s="399"/>
      <c r="H16" s="400"/>
      <c r="I16" s="401"/>
      <c r="J16" s="400"/>
      <c r="K16" s="401"/>
      <c r="L16" s="400"/>
      <c r="M16" s="400"/>
    </row>
    <row r="17" spans="1:13" ht="13.5">
      <c r="A17" s="70"/>
      <c r="B17" s="402"/>
      <c r="C17" s="403" t="s">
        <v>73</v>
      </c>
      <c r="D17" s="393" t="s">
        <v>517</v>
      </c>
      <c r="E17" s="394"/>
      <c r="F17" s="395"/>
      <c r="G17" s="395"/>
      <c r="H17" s="404"/>
      <c r="I17" s="404"/>
      <c r="J17" s="404"/>
      <c r="K17" s="404"/>
      <c r="L17" s="404"/>
      <c r="M17" s="396"/>
    </row>
    <row r="18" spans="1:13" ht="13.5">
      <c r="A18" s="70"/>
      <c r="B18" s="362"/>
      <c r="C18" s="397" t="s">
        <v>2</v>
      </c>
      <c r="D18" s="393"/>
      <c r="E18" s="398"/>
      <c r="F18" s="399"/>
      <c r="G18" s="399"/>
      <c r="H18" s="401"/>
      <c r="I18" s="401"/>
      <c r="J18" s="401"/>
      <c r="K18" s="401"/>
      <c r="L18" s="401"/>
      <c r="M18" s="400"/>
    </row>
    <row r="19" spans="1:13" ht="13.5">
      <c r="A19" s="70"/>
      <c r="B19" s="402"/>
      <c r="C19" s="403" t="s">
        <v>69</v>
      </c>
      <c r="D19" s="393" t="s">
        <v>517</v>
      </c>
      <c r="E19" s="394"/>
      <c r="F19" s="395"/>
      <c r="G19" s="395"/>
      <c r="H19" s="404"/>
      <c r="I19" s="404"/>
      <c r="J19" s="404"/>
      <c r="K19" s="404"/>
      <c r="L19" s="404"/>
      <c r="M19" s="396"/>
    </row>
    <row r="20" spans="1:13" ht="13.5">
      <c r="A20" s="70"/>
      <c r="B20" s="362"/>
      <c r="C20" s="397" t="s">
        <v>78</v>
      </c>
      <c r="D20" s="399"/>
      <c r="E20" s="398"/>
      <c r="F20" s="399"/>
      <c r="G20" s="399"/>
      <c r="H20" s="401"/>
      <c r="I20" s="401"/>
      <c r="J20" s="401"/>
      <c r="K20" s="401"/>
      <c r="L20" s="401"/>
      <c r="M20" s="400"/>
    </row>
    <row r="21" spans="1:13" ht="13.5">
      <c r="A21" s="103"/>
      <c r="B21" s="104"/>
      <c r="D21" s="103"/>
      <c r="E21" s="103"/>
      <c r="F21" s="103"/>
      <c r="G21" s="103"/>
      <c r="H21" s="103"/>
      <c r="I21" s="103"/>
      <c r="J21" s="105"/>
      <c r="K21" s="103"/>
      <c r="M21" s="106"/>
    </row>
    <row r="22" spans="2:5" ht="13.5">
      <c r="B22" s="107"/>
      <c r="C22" s="108"/>
      <c r="D22" s="109"/>
      <c r="E22" s="109"/>
    </row>
    <row r="23" spans="2:8" ht="13.5">
      <c r="B23" s="107"/>
      <c r="C23" s="108"/>
      <c r="D23" s="109"/>
      <c r="E23" s="109"/>
      <c r="G23" s="699"/>
      <c r="H23" s="699"/>
    </row>
    <row r="24" ht="13.5">
      <c r="I24" s="111"/>
    </row>
  </sheetData>
  <sheetProtection/>
  <mergeCells count="13">
    <mergeCell ref="E5:E6"/>
    <mergeCell ref="F5:F6"/>
    <mergeCell ref="G5:H5"/>
    <mergeCell ref="A1:M1"/>
    <mergeCell ref="G23:H23"/>
    <mergeCell ref="I5:J5"/>
    <mergeCell ref="K5:L5"/>
    <mergeCell ref="A2:M2"/>
    <mergeCell ref="A3:M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85" zoomScaleSheetLayoutView="100" workbookViewId="0" topLeftCell="A1">
      <selection activeCell="D18" sqref="D18"/>
    </sheetView>
  </sheetViews>
  <sheetFormatPr defaultColWidth="9.140625" defaultRowHeight="12.75"/>
  <cols>
    <col min="1" max="1" width="3.57421875" style="91" customWidth="1"/>
    <col min="2" max="2" width="7.8515625" style="110" customWidth="1"/>
    <col min="3" max="3" width="46.28125" style="91" customWidth="1"/>
    <col min="4" max="4" width="9.28125" style="91" customWidth="1"/>
    <col min="5" max="5" width="8.421875" style="91" customWidth="1"/>
    <col min="6" max="6" width="11.7109375" style="91" customWidth="1"/>
    <col min="7" max="7" width="8.7109375" style="91" customWidth="1"/>
    <col min="8" max="8" width="12.28125" style="91" customWidth="1"/>
    <col min="9" max="9" width="9.421875" style="91" customWidth="1"/>
    <col min="10" max="10" width="10.421875" style="91" customWidth="1"/>
    <col min="11" max="11" width="8.140625" style="91" customWidth="1"/>
    <col min="12" max="12" width="9.57421875" style="91" customWidth="1"/>
    <col min="13" max="13" width="12.00390625" style="91" customWidth="1"/>
    <col min="14" max="14" width="4.00390625" style="91" customWidth="1"/>
    <col min="15" max="16384" width="9.140625" style="91" customWidth="1"/>
  </cols>
  <sheetData>
    <row r="1" spans="1:14" s="98" customFormat="1" ht="16.5">
      <c r="A1" s="662" t="s">
        <v>515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100"/>
    </row>
    <row r="2" spans="1:14" s="98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89"/>
    </row>
    <row r="3" spans="1:14" s="98" customFormat="1" ht="13.5">
      <c r="A3" s="663" t="s">
        <v>137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89"/>
    </row>
    <row r="4" spans="1:14" s="98" customFormat="1" ht="13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98" customFormat="1" ht="11.25">
      <c r="A5" s="700" t="s">
        <v>1</v>
      </c>
      <c r="B5" s="702" t="s">
        <v>70</v>
      </c>
      <c r="C5" s="700" t="s">
        <v>51</v>
      </c>
      <c r="D5" s="700" t="s">
        <v>52</v>
      </c>
      <c r="E5" s="700" t="s">
        <v>53</v>
      </c>
      <c r="F5" s="700" t="s">
        <v>54</v>
      </c>
      <c r="G5" s="701" t="s">
        <v>55</v>
      </c>
      <c r="H5" s="701"/>
      <c r="I5" s="701" t="s">
        <v>56</v>
      </c>
      <c r="J5" s="701"/>
      <c r="K5" s="700" t="s">
        <v>57</v>
      </c>
      <c r="L5" s="700"/>
      <c r="M5" s="95" t="s">
        <v>71</v>
      </c>
      <c r="N5" s="97"/>
    </row>
    <row r="6" spans="1:14" s="98" customFormat="1" ht="11.25">
      <c r="A6" s="700"/>
      <c r="B6" s="702"/>
      <c r="C6" s="700"/>
      <c r="D6" s="700"/>
      <c r="E6" s="700"/>
      <c r="F6" s="700"/>
      <c r="G6" s="95" t="s">
        <v>58</v>
      </c>
      <c r="H6" s="101" t="s">
        <v>2</v>
      </c>
      <c r="I6" s="95" t="s">
        <v>58</v>
      </c>
      <c r="J6" s="101" t="s">
        <v>2</v>
      </c>
      <c r="K6" s="95" t="s">
        <v>58</v>
      </c>
      <c r="L6" s="101" t="s">
        <v>59</v>
      </c>
      <c r="M6" s="95" t="s">
        <v>60</v>
      </c>
      <c r="N6" s="97"/>
    </row>
    <row r="7" spans="1:14" s="98" customFormat="1" ht="11.25">
      <c r="A7" s="93">
        <v>1</v>
      </c>
      <c r="B7" s="94">
        <v>3</v>
      </c>
      <c r="C7" s="93">
        <v>2</v>
      </c>
      <c r="D7" s="93">
        <v>4</v>
      </c>
      <c r="E7" s="93">
        <v>5</v>
      </c>
      <c r="F7" s="93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96">
        <v>12</v>
      </c>
      <c r="M7" s="95">
        <v>13</v>
      </c>
      <c r="N7" s="97"/>
    </row>
    <row r="8" spans="1:14" ht="27">
      <c r="A8" s="362">
        <v>45</v>
      </c>
      <c r="B8" s="77" t="s">
        <v>34</v>
      </c>
      <c r="C8" s="112" t="s">
        <v>516</v>
      </c>
      <c r="D8" s="113" t="s">
        <v>8</v>
      </c>
      <c r="E8" s="113"/>
      <c r="F8" s="558">
        <f>SUM(F12:F12)</f>
        <v>3</v>
      </c>
      <c r="G8" s="114"/>
      <c r="H8" s="115"/>
      <c r="I8" s="113"/>
      <c r="J8" s="115"/>
      <c r="K8" s="113"/>
      <c r="L8" s="115"/>
      <c r="M8" s="115"/>
      <c r="N8" s="468"/>
    </row>
    <row r="9" spans="1:14" ht="13.5">
      <c r="A9" s="362"/>
      <c r="B9" s="70"/>
      <c r="C9" s="99" t="s">
        <v>3</v>
      </c>
      <c r="D9" s="102" t="s">
        <v>4</v>
      </c>
      <c r="E9" s="102">
        <f>3.89/10</f>
        <v>0.389</v>
      </c>
      <c r="F9" s="88">
        <f>F8*E9</f>
        <v>1.167</v>
      </c>
      <c r="G9" s="102"/>
      <c r="H9" s="88"/>
      <c r="I9" s="88"/>
      <c r="J9" s="88"/>
      <c r="K9" s="102"/>
      <c r="L9" s="88"/>
      <c r="M9" s="88"/>
      <c r="N9" s="468"/>
    </row>
    <row r="10" spans="1:14" ht="13.5">
      <c r="A10" s="362"/>
      <c r="B10" s="70"/>
      <c r="C10" s="99" t="s">
        <v>22</v>
      </c>
      <c r="D10" s="70" t="s">
        <v>0</v>
      </c>
      <c r="E10" s="102">
        <f>1.51/10</f>
        <v>0.151</v>
      </c>
      <c r="F10" s="116">
        <f>E10*F8</f>
        <v>0.45299999999999996</v>
      </c>
      <c r="G10" s="102"/>
      <c r="H10" s="88"/>
      <c r="I10" s="102"/>
      <c r="J10" s="88"/>
      <c r="K10" s="102"/>
      <c r="L10" s="88"/>
      <c r="M10" s="88"/>
      <c r="N10" s="468"/>
    </row>
    <row r="11" spans="1:14" ht="13.5">
      <c r="A11" s="559"/>
      <c r="B11" s="120"/>
      <c r="C11" s="70" t="s">
        <v>64</v>
      </c>
      <c r="D11" s="70"/>
      <c r="E11" s="70"/>
      <c r="F11" s="71"/>
      <c r="G11" s="70"/>
      <c r="H11" s="71"/>
      <c r="I11" s="102"/>
      <c r="J11" s="71"/>
      <c r="K11" s="70"/>
      <c r="L11" s="71"/>
      <c r="M11" s="71"/>
      <c r="N11" s="468"/>
    </row>
    <row r="12" spans="1:13" ht="14.25">
      <c r="A12" s="559"/>
      <c r="B12" s="120"/>
      <c r="C12" s="599" t="s">
        <v>385</v>
      </c>
      <c r="D12" s="70" t="s">
        <v>8</v>
      </c>
      <c r="E12" s="70" t="s">
        <v>145</v>
      </c>
      <c r="F12" s="560">
        <v>3</v>
      </c>
      <c r="G12" s="71"/>
      <c r="H12" s="71"/>
      <c r="I12" s="102"/>
      <c r="J12" s="71"/>
      <c r="K12" s="70"/>
      <c r="L12" s="71"/>
      <c r="M12" s="71"/>
    </row>
    <row r="13" spans="1:13" ht="13.5">
      <c r="A13" s="559"/>
      <c r="B13" s="120"/>
      <c r="C13" s="99" t="s">
        <v>6</v>
      </c>
      <c r="D13" s="70" t="s">
        <v>0</v>
      </c>
      <c r="E13" s="70">
        <v>0.1</v>
      </c>
      <c r="F13" s="73">
        <f>E13*F8</f>
        <v>0.30000000000000004</v>
      </c>
      <c r="G13" s="70"/>
      <c r="H13" s="73"/>
      <c r="I13" s="102"/>
      <c r="J13" s="71"/>
      <c r="K13" s="70"/>
      <c r="L13" s="71"/>
      <c r="M13" s="71"/>
    </row>
    <row r="14" spans="1:13" ht="13.5">
      <c r="A14" s="385"/>
      <c r="B14" s="386"/>
      <c r="C14" s="387" t="s">
        <v>129</v>
      </c>
      <c r="D14" s="388"/>
      <c r="E14" s="389"/>
      <c r="F14" s="390"/>
      <c r="G14" s="390"/>
      <c r="H14" s="391"/>
      <c r="I14" s="391"/>
      <c r="J14" s="391"/>
      <c r="K14" s="391"/>
      <c r="L14" s="391"/>
      <c r="M14" s="391"/>
    </row>
    <row r="15" spans="1:13" ht="13.5">
      <c r="A15" s="70"/>
      <c r="B15" s="392"/>
      <c r="C15" s="99" t="s">
        <v>72</v>
      </c>
      <c r="D15" s="393" t="s">
        <v>517</v>
      </c>
      <c r="E15" s="394"/>
      <c r="F15" s="395"/>
      <c r="G15" s="395"/>
      <c r="H15" s="396"/>
      <c r="I15" s="395"/>
      <c r="J15" s="396"/>
      <c r="K15" s="395"/>
      <c r="L15" s="396"/>
      <c r="M15" s="396"/>
    </row>
    <row r="16" spans="1:13" ht="13.5">
      <c r="A16" s="70"/>
      <c r="B16" s="362"/>
      <c r="C16" s="397" t="s">
        <v>2</v>
      </c>
      <c r="D16" s="393"/>
      <c r="E16" s="398"/>
      <c r="F16" s="399"/>
      <c r="G16" s="399"/>
      <c r="H16" s="400"/>
      <c r="I16" s="401"/>
      <c r="J16" s="400"/>
      <c r="K16" s="401"/>
      <c r="L16" s="400"/>
      <c r="M16" s="400"/>
    </row>
    <row r="17" spans="1:13" ht="13.5">
      <c r="A17" s="70"/>
      <c r="B17" s="402"/>
      <c r="C17" s="403" t="s">
        <v>73</v>
      </c>
      <c r="D17" s="393" t="s">
        <v>517</v>
      </c>
      <c r="E17" s="394"/>
      <c r="F17" s="395"/>
      <c r="G17" s="395"/>
      <c r="H17" s="404"/>
      <c r="I17" s="404"/>
      <c r="J17" s="404"/>
      <c r="K17" s="404"/>
      <c r="L17" s="404"/>
      <c r="M17" s="396"/>
    </row>
    <row r="18" spans="1:13" ht="13.5">
      <c r="A18" s="70"/>
      <c r="B18" s="362"/>
      <c r="C18" s="397" t="s">
        <v>2</v>
      </c>
      <c r="D18" s="393"/>
      <c r="E18" s="398"/>
      <c r="F18" s="399"/>
      <c r="G18" s="399"/>
      <c r="H18" s="401"/>
      <c r="I18" s="401"/>
      <c r="J18" s="401"/>
      <c r="K18" s="401"/>
      <c r="L18" s="401"/>
      <c r="M18" s="400"/>
    </row>
    <row r="19" spans="1:13" ht="13.5">
      <c r="A19" s="70"/>
      <c r="B19" s="402"/>
      <c r="C19" s="403" t="s">
        <v>69</v>
      </c>
      <c r="D19" s="393" t="s">
        <v>517</v>
      </c>
      <c r="E19" s="394"/>
      <c r="F19" s="395"/>
      <c r="G19" s="395"/>
      <c r="H19" s="404"/>
      <c r="I19" s="404"/>
      <c r="J19" s="404"/>
      <c r="K19" s="404"/>
      <c r="L19" s="404"/>
      <c r="M19" s="396"/>
    </row>
    <row r="20" spans="1:13" ht="13.5">
      <c r="A20" s="70"/>
      <c r="B20" s="362"/>
      <c r="C20" s="397" t="s">
        <v>78</v>
      </c>
      <c r="D20" s="399"/>
      <c r="E20" s="398"/>
      <c r="F20" s="399"/>
      <c r="G20" s="399"/>
      <c r="H20" s="401"/>
      <c r="I20" s="401"/>
      <c r="J20" s="401"/>
      <c r="K20" s="401"/>
      <c r="L20" s="401"/>
      <c r="M20" s="400"/>
    </row>
    <row r="21" spans="1:13" ht="13.5">
      <c r="A21" s="103"/>
      <c r="B21" s="104"/>
      <c r="D21" s="103"/>
      <c r="E21" s="103"/>
      <c r="F21" s="103"/>
      <c r="G21" s="103"/>
      <c r="H21" s="103"/>
      <c r="I21" s="103"/>
      <c r="J21" s="105"/>
      <c r="K21" s="103"/>
      <c r="M21" s="106"/>
    </row>
    <row r="22" spans="2:5" ht="13.5">
      <c r="B22" s="107"/>
      <c r="C22" s="108"/>
      <c r="D22" s="109"/>
      <c r="E22" s="109"/>
    </row>
    <row r="23" spans="2:8" ht="13.5">
      <c r="B23" s="107"/>
      <c r="C23" s="108"/>
      <c r="D23" s="109"/>
      <c r="E23" s="109"/>
      <c r="G23" s="699"/>
      <c r="H23" s="699"/>
    </row>
    <row r="24" ht="13.5">
      <c r="I24" s="111"/>
    </row>
  </sheetData>
  <sheetProtection/>
  <mergeCells count="13">
    <mergeCell ref="E5:E6"/>
    <mergeCell ref="F5:F6"/>
    <mergeCell ref="G5:H5"/>
    <mergeCell ref="A1:M1"/>
    <mergeCell ref="I5:J5"/>
    <mergeCell ref="K5:L5"/>
    <mergeCell ref="G23:H23"/>
    <mergeCell ref="A2:M2"/>
    <mergeCell ref="A3:M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15748031496062992" header="0.31496062992125984" footer="0.31496062992125984"/>
  <pageSetup fitToHeight="0" horizontalDpi="600" verticalDpi="600" orientation="landscape" paperSize="9" scale="84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D10" sqref="D10:H14"/>
    </sheetView>
  </sheetViews>
  <sheetFormatPr defaultColWidth="9.140625" defaultRowHeight="12.75"/>
  <cols>
    <col min="1" max="1" width="3.421875" style="127" customWidth="1"/>
    <col min="2" max="2" width="11.28125" style="127" customWidth="1"/>
    <col min="3" max="3" width="52.28125" style="127" customWidth="1"/>
    <col min="4" max="4" width="14.28125" style="162" customWidth="1"/>
    <col min="5" max="5" width="10.00390625" style="163" customWidth="1"/>
    <col min="6" max="6" width="10.00390625" style="164" customWidth="1"/>
    <col min="7" max="7" width="10.00390625" style="165" customWidth="1"/>
    <col min="8" max="8" width="14.8515625" style="127" customWidth="1"/>
    <col min="9" max="9" width="11.140625" style="127" customWidth="1"/>
    <col min="10" max="10" width="13.421875" style="126" bestFit="1" customWidth="1"/>
    <col min="11" max="11" width="10.28125" style="126" bestFit="1" customWidth="1"/>
    <col min="12" max="13" width="9.140625" style="126" customWidth="1"/>
    <col min="14" max="16384" width="9.140625" style="127" customWidth="1"/>
  </cols>
  <sheetData>
    <row r="1" spans="1:9" ht="15.75">
      <c r="A1" s="651" t="s">
        <v>364</v>
      </c>
      <c r="B1" s="651"/>
      <c r="C1" s="651"/>
      <c r="D1" s="651"/>
      <c r="E1" s="651"/>
      <c r="F1" s="651"/>
      <c r="G1" s="651"/>
      <c r="H1" s="651"/>
      <c r="I1" s="651"/>
    </row>
    <row r="2" spans="1:9" ht="29.25" customHeight="1">
      <c r="A2" s="652" t="e">
        <f>#REF!</f>
        <v>#REF!</v>
      </c>
      <c r="B2" s="652"/>
      <c r="C2" s="652"/>
      <c r="D2" s="652"/>
      <c r="E2" s="652"/>
      <c r="F2" s="652"/>
      <c r="G2" s="652"/>
      <c r="H2" s="652"/>
      <c r="I2" s="652"/>
    </row>
    <row r="3" spans="1:9" ht="15.75">
      <c r="A3" s="652" t="str">
        <f>1!C8</f>
        <v>ლითონის სამარაგო 2X25 მ3 რეზერვუარი</v>
      </c>
      <c r="B3" s="652"/>
      <c r="C3" s="652"/>
      <c r="D3" s="652"/>
      <c r="E3" s="652"/>
      <c r="F3" s="652"/>
      <c r="G3" s="652"/>
      <c r="H3" s="652"/>
      <c r="I3" s="652"/>
    </row>
    <row r="5" spans="3:9" ht="15.75">
      <c r="C5" s="128"/>
      <c r="D5" s="128"/>
      <c r="E5" s="128"/>
      <c r="F5" s="661" t="s">
        <v>9</v>
      </c>
      <c r="G5" s="661"/>
      <c r="H5" s="661"/>
      <c r="I5" s="661"/>
    </row>
    <row r="6" spans="1:13" s="132" customFormat="1" ht="15.75">
      <c r="A6" s="658" t="s">
        <v>10</v>
      </c>
      <c r="B6" s="657" t="s">
        <v>238</v>
      </c>
      <c r="C6" s="657" t="s">
        <v>12</v>
      </c>
      <c r="D6" s="658" t="s">
        <v>13</v>
      </c>
      <c r="E6" s="658"/>
      <c r="F6" s="658"/>
      <c r="G6" s="658"/>
      <c r="H6" s="658"/>
      <c r="I6" s="657" t="s">
        <v>14</v>
      </c>
      <c r="J6" s="131"/>
      <c r="K6" s="131"/>
      <c r="L6" s="131"/>
      <c r="M6" s="131"/>
    </row>
    <row r="7" spans="1:13" s="132" customFormat="1" ht="15.75">
      <c r="A7" s="658"/>
      <c r="B7" s="657"/>
      <c r="C7" s="657"/>
      <c r="D7" s="657" t="s">
        <v>15</v>
      </c>
      <c r="E7" s="659" t="s">
        <v>16</v>
      </c>
      <c r="F7" s="657" t="s">
        <v>17</v>
      </c>
      <c r="G7" s="657" t="s">
        <v>18</v>
      </c>
      <c r="H7" s="658" t="s">
        <v>19</v>
      </c>
      <c r="I7" s="657"/>
      <c r="J7" s="131"/>
      <c r="K7" s="131"/>
      <c r="L7" s="131"/>
      <c r="M7" s="131"/>
    </row>
    <row r="8" spans="1:13" s="132" customFormat="1" ht="15.75">
      <c r="A8" s="658"/>
      <c r="B8" s="657"/>
      <c r="C8" s="657"/>
      <c r="D8" s="657"/>
      <c r="E8" s="659"/>
      <c r="F8" s="657"/>
      <c r="G8" s="657"/>
      <c r="H8" s="658"/>
      <c r="I8" s="657"/>
      <c r="J8" s="131"/>
      <c r="K8" s="131"/>
      <c r="L8" s="131"/>
      <c r="M8" s="131"/>
    </row>
    <row r="9" spans="1:13" s="132" customFormat="1" ht="15.75">
      <c r="A9" s="129">
        <v>1</v>
      </c>
      <c r="B9" s="130">
        <v>2</v>
      </c>
      <c r="C9" s="129">
        <v>3</v>
      </c>
      <c r="D9" s="130">
        <v>4</v>
      </c>
      <c r="E9" s="133">
        <v>5</v>
      </c>
      <c r="F9" s="130">
        <v>6</v>
      </c>
      <c r="G9" s="130">
        <v>7</v>
      </c>
      <c r="H9" s="134">
        <v>8</v>
      </c>
      <c r="I9" s="129">
        <v>9</v>
      </c>
      <c r="J9" s="131"/>
      <c r="K9" s="131"/>
      <c r="L9" s="131"/>
      <c r="M9" s="131"/>
    </row>
    <row r="10" spans="1:9" ht="15.75">
      <c r="A10" s="135">
        <v>1</v>
      </c>
      <c r="B10" s="136" t="s">
        <v>369</v>
      </c>
      <c r="C10" s="137" t="s">
        <v>239</v>
      </c>
      <c r="D10" s="138"/>
      <c r="E10" s="139"/>
      <c r="F10" s="139"/>
      <c r="G10" s="140"/>
      <c r="H10" s="139"/>
      <c r="I10" s="141"/>
    </row>
    <row r="11" spans="1:9" ht="15.75">
      <c r="A11" s="135">
        <v>2</v>
      </c>
      <c r="B11" s="136" t="s">
        <v>370</v>
      </c>
      <c r="C11" s="137" t="s">
        <v>240</v>
      </c>
      <c r="D11" s="138"/>
      <c r="E11" s="139"/>
      <c r="F11" s="139"/>
      <c r="G11" s="140"/>
      <c r="H11" s="139"/>
      <c r="I11" s="141"/>
    </row>
    <row r="12" spans="1:9" ht="15.75">
      <c r="A12" s="135"/>
      <c r="B12" s="136"/>
      <c r="C12" s="137" t="s">
        <v>2</v>
      </c>
      <c r="D12" s="138"/>
      <c r="E12" s="139"/>
      <c r="F12" s="139"/>
      <c r="G12" s="140"/>
      <c r="H12" s="139"/>
      <c r="I12" s="141"/>
    </row>
    <row r="13" spans="1:9" ht="15.75">
      <c r="A13" s="135"/>
      <c r="B13" s="136"/>
      <c r="C13" s="137" t="s">
        <v>241</v>
      </c>
      <c r="D13" s="138"/>
      <c r="E13" s="139"/>
      <c r="F13" s="139"/>
      <c r="G13" s="140"/>
      <c r="H13" s="139"/>
      <c r="I13" s="141"/>
    </row>
    <row r="14" spans="1:9" ht="15.75">
      <c r="A14" s="135"/>
      <c r="B14" s="136"/>
      <c r="C14" s="142" t="s">
        <v>2</v>
      </c>
      <c r="D14" s="138"/>
      <c r="E14" s="139"/>
      <c r="F14" s="139"/>
      <c r="G14" s="140"/>
      <c r="H14" s="139"/>
      <c r="I14" s="141"/>
    </row>
    <row r="15" spans="1:13" s="103" customFormat="1" ht="13.5">
      <c r="A15" s="143"/>
      <c r="B15" s="91"/>
      <c r="D15" s="143"/>
      <c r="E15" s="143"/>
      <c r="F15" s="143"/>
      <c r="J15" s="143"/>
      <c r="K15" s="143"/>
      <c r="L15" s="144"/>
      <c r="M15" s="145"/>
    </row>
    <row r="16" s="146" customFormat="1" ht="13.5">
      <c r="C16" s="147"/>
    </row>
    <row r="17" spans="3:8" s="146" customFormat="1" ht="13.5">
      <c r="C17" s="147"/>
      <c r="G17" s="660"/>
      <c r="H17" s="660"/>
    </row>
    <row r="18" s="146" customFormat="1" ht="13.5">
      <c r="C18" s="147"/>
    </row>
    <row r="19" spans="3:13" s="91" customFormat="1" ht="13.5">
      <c r="C19" s="98"/>
      <c r="I19" s="111"/>
      <c r="J19" s="144"/>
      <c r="K19" s="144"/>
      <c r="L19" s="144"/>
      <c r="M19" s="144"/>
    </row>
    <row r="20" s="126" customFormat="1" ht="15.75">
      <c r="D20" s="148"/>
    </row>
    <row r="21" s="126" customFormat="1" ht="15.75">
      <c r="D21" s="148"/>
    </row>
    <row r="22" spans="4:7" s="126" customFormat="1" ht="15.75">
      <c r="D22" s="128"/>
      <c r="E22" s="149"/>
      <c r="F22" s="150"/>
      <c r="G22" s="148"/>
    </row>
    <row r="23" spans="4:7" s="126" customFormat="1" ht="15.75">
      <c r="D23" s="128"/>
      <c r="E23" s="149"/>
      <c r="F23" s="150"/>
      <c r="G23" s="148"/>
    </row>
    <row r="24" spans="4:7" s="126" customFormat="1" ht="15.75">
      <c r="D24" s="128"/>
      <c r="E24" s="149"/>
      <c r="F24" s="150"/>
      <c r="G24" s="148"/>
    </row>
    <row r="25" spans="4:7" s="126" customFormat="1" ht="15.75">
      <c r="D25" s="128"/>
      <c r="E25" s="149"/>
      <c r="F25" s="150"/>
      <c r="G25" s="148"/>
    </row>
    <row r="26" spans="4:7" s="126" customFormat="1" ht="15.75">
      <c r="D26" s="128"/>
      <c r="E26" s="149"/>
      <c r="F26" s="150"/>
      <c r="G26" s="148"/>
    </row>
    <row r="27" spans="4:7" s="126" customFormat="1" ht="15.75">
      <c r="D27" s="128"/>
      <c r="E27" s="149"/>
      <c r="F27" s="150"/>
      <c r="G27" s="148"/>
    </row>
    <row r="28" spans="4:7" s="126" customFormat="1" ht="15.75">
      <c r="D28" s="128"/>
      <c r="E28" s="149"/>
      <c r="F28" s="150"/>
      <c r="G28" s="148"/>
    </row>
    <row r="29" spans="4:7" s="126" customFormat="1" ht="15.75">
      <c r="D29" s="128"/>
      <c r="E29" s="149"/>
      <c r="F29" s="150"/>
      <c r="G29" s="148"/>
    </row>
    <row r="30" spans="4:7" s="126" customFormat="1" ht="15.75">
      <c r="D30" s="128"/>
      <c r="E30" s="149"/>
      <c r="F30" s="150"/>
      <c r="G30" s="148"/>
    </row>
    <row r="31" spans="4:7" s="126" customFormat="1" ht="15.75">
      <c r="D31" s="128"/>
      <c r="E31" s="149"/>
      <c r="F31" s="150"/>
      <c r="G31" s="148"/>
    </row>
    <row r="32" spans="4:7" s="126" customFormat="1" ht="15.75">
      <c r="D32" s="128"/>
      <c r="E32" s="149"/>
      <c r="F32" s="150"/>
      <c r="G32" s="148"/>
    </row>
    <row r="33" spans="4:7" s="126" customFormat="1" ht="15.75">
      <c r="D33" s="128"/>
      <c r="E33" s="149"/>
      <c r="F33" s="150"/>
      <c r="G33" s="148"/>
    </row>
    <row r="34" spans="4:8" s="126" customFormat="1" ht="15.75">
      <c r="D34" s="151"/>
      <c r="E34" s="152"/>
      <c r="F34" s="153"/>
      <c r="G34" s="154"/>
      <c r="H34" s="155"/>
    </row>
    <row r="35" spans="4:8" s="126" customFormat="1" ht="15.75">
      <c r="D35" s="156"/>
      <c r="E35" s="152"/>
      <c r="F35" s="157"/>
      <c r="G35" s="158"/>
      <c r="H35" s="159"/>
    </row>
    <row r="36" spans="2:8" s="126" customFormat="1" ht="15.75">
      <c r="B36" s="160"/>
      <c r="D36" s="156"/>
      <c r="E36" s="152"/>
      <c r="F36" s="157"/>
      <c r="G36" s="158"/>
      <c r="H36" s="159"/>
    </row>
    <row r="37" spans="4:8" s="126" customFormat="1" ht="15.75">
      <c r="D37" s="156"/>
      <c r="E37" s="152"/>
      <c r="F37" s="157"/>
      <c r="G37" s="158"/>
      <c r="H37" s="159"/>
    </row>
    <row r="38" spans="2:8" s="126" customFormat="1" ht="15.75">
      <c r="B38" s="160"/>
      <c r="D38" s="156"/>
      <c r="E38" s="152"/>
      <c r="F38" s="157"/>
      <c r="G38" s="158"/>
      <c r="H38" s="159"/>
    </row>
    <row r="39" spans="4:8" s="126" customFormat="1" ht="15.75">
      <c r="D39" s="156"/>
      <c r="E39" s="152"/>
      <c r="F39" s="157"/>
      <c r="G39" s="158"/>
      <c r="H39" s="159"/>
    </row>
    <row r="40" spans="4:8" s="126" customFormat="1" ht="15.75">
      <c r="D40" s="156"/>
      <c r="E40" s="152"/>
      <c r="F40" s="157"/>
      <c r="G40" s="158"/>
      <c r="H40" s="159"/>
    </row>
    <row r="41" spans="4:8" s="126" customFormat="1" ht="15.75">
      <c r="D41" s="156"/>
      <c r="E41" s="152"/>
      <c r="F41" s="157"/>
      <c r="G41" s="158"/>
      <c r="H41" s="159"/>
    </row>
    <row r="42" spans="4:8" s="126" customFormat="1" ht="15.75">
      <c r="D42" s="156"/>
      <c r="E42" s="152"/>
      <c r="F42" s="157"/>
      <c r="G42" s="158"/>
      <c r="H42" s="159"/>
    </row>
    <row r="43" spans="2:8" s="126" customFormat="1" ht="15.75">
      <c r="B43" s="160"/>
      <c r="D43" s="156"/>
      <c r="E43" s="152"/>
      <c r="F43" s="157"/>
      <c r="G43" s="158"/>
      <c r="H43" s="159"/>
    </row>
    <row r="44" spans="2:8" s="126" customFormat="1" ht="15.75">
      <c r="B44" s="160"/>
      <c r="D44" s="156"/>
      <c r="E44" s="152"/>
      <c r="F44" s="157"/>
      <c r="G44" s="158"/>
      <c r="H44" s="159"/>
    </row>
    <row r="45" spans="2:8" s="126" customFormat="1" ht="15.75">
      <c r="B45" s="160"/>
      <c r="D45" s="156"/>
      <c r="E45" s="152"/>
      <c r="F45" s="157"/>
      <c r="G45" s="158"/>
      <c r="H45" s="159"/>
    </row>
    <row r="46" spans="4:8" s="126" customFormat="1" ht="15.75">
      <c r="D46" s="156"/>
      <c r="E46" s="152"/>
      <c r="F46" s="157"/>
      <c r="G46" s="158"/>
      <c r="H46" s="159"/>
    </row>
    <row r="47" spans="4:8" s="126" customFormat="1" ht="15.75">
      <c r="D47" s="156"/>
      <c r="E47" s="152"/>
      <c r="F47" s="157"/>
      <c r="G47" s="158"/>
      <c r="H47" s="159"/>
    </row>
    <row r="48" spans="4:8" s="126" customFormat="1" ht="15.75">
      <c r="D48" s="156"/>
      <c r="E48" s="152"/>
      <c r="F48" s="157"/>
      <c r="G48" s="158"/>
      <c r="H48" s="159"/>
    </row>
    <row r="49" spans="2:8" s="126" customFormat="1" ht="15.75">
      <c r="B49" s="160"/>
      <c r="D49" s="156"/>
      <c r="E49" s="152"/>
      <c r="F49" s="157"/>
      <c r="G49" s="158"/>
      <c r="H49" s="159"/>
    </row>
    <row r="50" spans="4:8" s="126" customFormat="1" ht="15.75">
      <c r="D50" s="156"/>
      <c r="E50" s="152"/>
      <c r="F50" s="157"/>
      <c r="G50" s="158"/>
      <c r="H50" s="159"/>
    </row>
    <row r="51" spans="4:8" s="126" customFormat="1" ht="15.75">
      <c r="D51" s="156"/>
      <c r="E51" s="152"/>
      <c r="F51" s="157"/>
      <c r="G51" s="158"/>
      <c r="H51" s="159"/>
    </row>
    <row r="52" spans="4:8" s="126" customFormat="1" ht="15.75">
      <c r="D52" s="156"/>
      <c r="E52" s="152"/>
      <c r="F52" s="157"/>
      <c r="G52" s="158"/>
      <c r="H52" s="159"/>
    </row>
    <row r="53" spans="4:8" s="126" customFormat="1" ht="15.75">
      <c r="D53" s="156"/>
      <c r="E53" s="152"/>
      <c r="F53" s="157"/>
      <c r="G53" s="158"/>
      <c r="H53" s="159"/>
    </row>
    <row r="54" spans="4:8" s="126" customFormat="1" ht="15.75">
      <c r="D54" s="156"/>
      <c r="E54" s="152"/>
      <c r="F54" s="157"/>
      <c r="G54" s="158"/>
      <c r="H54" s="159"/>
    </row>
    <row r="55" spans="4:8" s="126" customFormat="1" ht="15.75">
      <c r="D55" s="156"/>
      <c r="E55" s="152"/>
      <c r="F55" s="157"/>
      <c r="G55" s="158"/>
      <c r="H55" s="159"/>
    </row>
    <row r="56" spans="2:8" s="126" customFormat="1" ht="15.75">
      <c r="B56" s="161"/>
      <c r="D56" s="156"/>
      <c r="E56" s="152"/>
      <c r="F56" s="157"/>
      <c r="G56" s="158"/>
      <c r="H56" s="159"/>
    </row>
    <row r="57" spans="4:8" s="126" customFormat="1" ht="15.75">
      <c r="D57" s="156"/>
      <c r="E57" s="152"/>
      <c r="F57" s="157"/>
      <c r="G57" s="158"/>
      <c r="H57" s="159"/>
    </row>
    <row r="58" spans="4:8" s="126" customFormat="1" ht="15.75">
      <c r="D58" s="156"/>
      <c r="E58" s="152"/>
      <c r="F58" s="157"/>
      <c r="G58" s="158"/>
      <c r="H58" s="159"/>
    </row>
    <row r="59" spans="4:8" s="126" customFormat="1" ht="15.75">
      <c r="D59" s="156"/>
      <c r="E59" s="152"/>
      <c r="F59" s="157"/>
      <c r="G59" s="158"/>
      <c r="H59" s="159"/>
    </row>
    <row r="60" spans="4:8" s="126" customFormat="1" ht="15.75">
      <c r="D60" s="156"/>
      <c r="E60" s="152"/>
      <c r="F60" s="157"/>
      <c r="G60" s="158"/>
      <c r="H60" s="159"/>
    </row>
    <row r="61" spans="4:8" s="126" customFormat="1" ht="15.75">
      <c r="D61" s="156"/>
      <c r="E61" s="152"/>
      <c r="F61" s="157"/>
      <c r="G61" s="158"/>
      <c r="H61" s="159"/>
    </row>
    <row r="62" spans="4:8" s="126" customFormat="1" ht="15.75">
      <c r="D62" s="156"/>
      <c r="E62" s="152"/>
      <c r="F62" s="157"/>
      <c r="G62" s="158"/>
      <c r="H62" s="159"/>
    </row>
    <row r="63" spans="4:7" s="126" customFormat="1" ht="15.75">
      <c r="D63" s="128"/>
      <c r="E63" s="149"/>
      <c r="F63" s="150"/>
      <c r="G63" s="148"/>
    </row>
    <row r="64" spans="4:7" s="126" customFormat="1" ht="15.75">
      <c r="D64" s="128"/>
      <c r="E64" s="149"/>
      <c r="F64" s="150"/>
      <c r="G64" s="148"/>
    </row>
    <row r="65" spans="4:7" s="126" customFormat="1" ht="15.75">
      <c r="D65" s="128"/>
      <c r="E65" s="149"/>
      <c r="F65" s="150"/>
      <c r="G65" s="148"/>
    </row>
    <row r="66" spans="4:7" s="126" customFormat="1" ht="15.75">
      <c r="D66" s="128"/>
      <c r="E66" s="149"/>
      <c r="F66" s="150"/>
      <c r="G66" s="148"/>
    </row>
    <row r="67" spans="4:7" s="126" customFormat="1" ht="15.75">
      <c r="D67" s="128"/>
      <c r="E67" s="149"/>
      <c r="F67" s="150"/>
      <c r="G67" s="148"/>
    </row>
    <row r="68" spans="4:7" s="126" customFormat="1" ht="15.75">
      <c r="D68" s="128"/>
      <c r="E68" s="149"/>
      <c r="F68" s="150"/>
      <c r="G68" s="148"/>
    </row>
    <row r="69" spans="4:7" s="126" customFormat="1" ht="15.75">
      <c r="D69" s="128"/>
      <c r="E69" s="149"/>
      <c r="F69" s="150"/>
      <c r="G69" s="148"/>
    </row>
    <row r="70" spans="4:7" s="126" customFormat="1" ht="15.75">
      <c r="D70" s="128"/>
      <c r="E70" s="149"/>
      <c r="F70" s="150"/>
      <c r="G70" s="148"/>
    </row>
    <row r="71" spans="4:7" s="126" customFormat="1" ht="15.75">
      <c r="D71" s="128"/>
      <c r="E71" s="149"/>
      <c r="F71" s="150"/>
      <c r="G71" s="148"/>
    </row>
    <row r="72" spans="4:7" s="126" customFormat="1" ht="15.75">
      <c r="D72" s="128"/>
      <c r="E72" s="149"/>
      <c r="F72" s="150"/>
      <c r="G72" s="148"/>
    </row>
    <row r="73" spans="4:7" s="126" customFormat="1" ht="15.75">
      <c r="D73" s="128"/>
      <c r="E73" s="149"/>
      <c r="F73" s="150"/>
      <c r="G73" s="148"/>
    </row>
    <row r="74" spans="4:7" s="126" customFormat="1" ht="15.75">
      <c r="D74" s="128"/>
      <c r="E74" s="149"/>
      <c r="F74" s="150"/>
      <c r="G74" s="148"/>
    </row>
    <row r="75" spans="4:7" s="126" customFormat="1" ht="15.75">
      <c r="D75" s="128"/>
      <c r="E75" s="149"/>
      <c r="F75" s="150"/>
      <c r="G75" s="148"/>
    </row>
    <row r="76" spans="4:7" s="126" customFormat="1" ht="15.75">
      <c r="D76" s="128"/>
      <c r="E76" s="149"/>
      <c r="F76" s="150"/>
      <c r="G76" s="148"/>
    </row>
    <row r="77" spans="4:7" s="126" customFormat="1" ht="15.75">
      <c r="D77" s="128"/>
      <c r="E77" s="149"/>
      <c r="F77" s="150"/>
      <c r="G77" s="148"/>
    </row>
    <row r="78" spans="4:7" s="126" customFormat="1" ht="15.75">
      <c r="D78" s="128"/>
      <c r="E78" s="149"/>
      <c r="F78" s="150"/>
      <c r="G78" s="148"/>
    </row>
    <row r="79" spans="4:7" s="126" customFormat="1" ht="15.75">
      <c r="D79" s="128"/>
      <c r="E79" s="149"/>
      <c r="F79" s="150"/>
      <c r="G79" s="148"/>
    </row>
    <row r="80" spans="4:7" s="126" customFormat="1" ht="15.75">
      <c r="D80" s="128"/>
      <c r="E80" s="149"/>
      <c r="F80" s="150"/>
      <c r="G80" s="148"/>
    </row>
    <row r="81" spans="4:7" s="126" customFormat="1" ht="15.75">
      <c r="D81" s="128"/>
      <c r="E81" s="149"/>
      <c r="F81" s="150"/>
      <c r="G81" s="148"/>
    </row>
    <row r="82" spans="4:7" s="126" customFormat="1" ht="15.75">
      <c r="D82" s="128"/>
      <c r="E82" s="149"/>
      <c r="F82" s="150"/>
      <c r="G82" s="148"/>
    </row>
    <row r="83" spans="4:7" s="126" customFormat="1" ht="15.75">
      <c r="D83" s="128"/>
      <c r="E83" s="149"/>
      <c r="F83" s="150"/>
      <c r="G83" s="148"/>
    </row>
    <row r="84" spans="4:7" s="126" customFormat="1" ht="15.75">
      <c r="D84" s="128"/>
      <c r="E84" s="149"/>
      <c r="F84" s="150"/>
      <c r="G84" s="148"/>
    </row>
    <row r="85" spans="4:7" s="126" customFormat="1" ht="15.75">
      <c r="D85" s="128"/>
      <c r="E85" s="149"/>
      <c r="F85" s="150"/>
      <c r="G85" s="148"/>
    </row>
    <row r="86" spans="4:7" s="126" customFormat="1" ht="15.75">
      <c r="D86" s="128"/>
      <c r="E86" s="149"/>
      <c r="F86" s="150"/>
      <c r="G86" s="148"/>
    </row>
    <row r="87" spans="4:7" s="126" customFormat="1" ht="15.75">
      <c r="D87" s="128"/>
      <c r="E87" s="149"/>
      <c r="F87" s="150"/>
      <c r="G87" s="148"/>
    </row>
    <row r="88" spans="4:7" s="126" customFormat="1" ht="15.75">
      <c r="D88" s="128"/>
      <c r="E88" s="149"/>
      <c r="F88" s="150"/>
      <c r="G88" s="148"/>
    </row>
    <row r="89" spans="4:7" s="126" customFormat="1" ht="15.75">
      <c r="D89" s="128"/>
      <c r="E89" s="149"/>
      <c r="F89" s="150"/>
      <c r="G89" s="148"/>
    </row>
    <row r="90" spans="4:7" s="126" customFormat="1" ht="15.75">
      <c r="D90" s="128"/>
      <c r="E90" s="149"/>
      <c r="F90" s="150"/>
      <c r="G90" s="148"/>
    </row>
    <row r="91" spans="4:7" s="126" customFormat="1" ht="15.75">
      <c r="D91" s="128"/>
      <c r="E91" s="149"/>
      <c r="F91" s="150"/>
      <c r="G91" s="148"/>
    </row>
    <row r="92" spans="4:7" s="126" customFormat="1" ht="15.75">
      <c r="D92" s="128"/>
      <c r="E92" s="149"/>
      <c r="F92" s="150"/>
      <c r="G92" s="148"/>
    </row>
    <row r="93" spans="4:7" s="126" customFormat="1" ht="15.75">
      <c r="D93" s="128"/>
      <c r="E93" s="149"/>
      <c r="F93" s="150"/>
      <c r="G93" s="148"/>
    </row>
    <row r="94" spans="4:7" s="126" customFormat="1" ht="15.75">
      <c r="D94" s="128"/>
      <c r="E94" s="149"/>
      <c r="F94" s="150"/>
      <c r="G94" s="148"/>
    </row>
    <row r="95" spans="4:7" s="126" customFormat="1" ht="15.75">
      <c r="D95" s="128"/>
      <c r="E95" s="149"/>
      <c r="F95" s="150"/>
      <c r="G95" s="148"/>
    </row>
    <row r="96" spans="4:7" s="126" customFormat="1" ht="15.75">
      <c r="D96" s="128"/>
      <c r="E96" s="149"/>
      <c r="F96" s="150"/>
      <c r="G96" s="148"/>
    </row>
    <row r="97" spans="4:7" s="126" customFormat="1" ht="15.75">
      <c r="D97" s="128"/>
      <c r="E97" s="149"/>
      <c r="F97" s="150"/>
      <c r="G97" s="148"/>
    </row>
    <row r="98" spans="4:7" s="126" customFormat="1" ht="15.75">
      <c r="D98" s="128"/>
      <c r="E98" s="149"/>
      <c r="F98" s="150"/>
      <c r="G98" s="148"/>
    </row>
    <row r="99" spans="4:7" s="126" customFormat="1" ht="15.75">
      <c r="D99" s="128"/>
      <c r="E99" s="149"/>
      <c r="F99" s="150"/>
      <c r="G99" s="148"/>
    </row>
    <row r="100" spans="4:7" s="126" customFormat="1" ht="15.75">
      <c r="D100" s="128"/>
      <c r="E100" s="149"/>
      <c r="F100" s="150"/>
      <c r="G100" s="148"/>
    </row>
    <row r="101" spans="4:7" s="126" customFormat="1" ht="15.75">
      <c r="D101" s="128"/>
      <c r="E101" s="149"/>
      <c r="F101" s="150"/>
      <c r="G101" s="148"/>
    </row>
    <row r="102" spans="4:7" s="126" customFormat="1" ht="15.75">
      <c r="D102" s="128"/>
      <c r="E102" s="149"/>
      <c r="F102" s="150"/>
      <c r="G102" s="148"/>
    </row>
    <row r="103" spans="4:7" s="126" customFormat="1" ht="15.75">
      <c r="D103" s="128"/>
      <c r="E103" s="149"/>
      <c r="F103" s="150"/>
      <c r="G103" s="148"/>
    </row>
    <row r="104" spans="4:7" s="126" customFormat="1" ht="15.75">
      <c r="D104" s="128"/>
      <c r="E104" s="149"/>
      <c r="F104" s="150"/>
      <c r="G104" s="148"/>
    </row>
    <row r="105" spans="4:7" s="126" customFormat="1" ht="15.75">
      <c r="D105" s="128"/>
      <c r="E105" s="149"/>
      <c r="F105" s="150"/>
      <c r="G105" s="148"/>
    </row>
    <row r="106" spans="4:7" s="126" customFormat="1" ht="15.75">
      <c r="D106" s="128"/>
      <c r="E106" s="149"/>
      <c r="F106" s="150"/>
      <c r="G106" s="148"/>
    </row>
    <row r="107" spans="4:7" s="126" customFormat="1" ht="15.75">
      <c r="D107" s="128"/>
      <c r="E107" s="149"/>
      <c r="F107" s="150"/>
      <c r="G107" s="148"/>
    </row>
    <row r="108" spans="4:7" s="126" customFormat="1" ht="15.75">
      <c r="D108" s="128"/>
      <c r="E108" s="149"/>
      <c r="F108" s="150"/>
      <c r="G108" s="148"/>
    </row>
    <row r="109" spans="4:7" s="126" customFormat="1" ht="15.75">
      <c r="D109" s="128"/>
      <c r="E109" s="149"/>
      <c r="F109" s="150"/>
      <c r="G109" s="148"/>
    </row>
    <row r="110" spans="4:7" s="126" customFormat="1" ht="15.75">
      <c r="D110" s="128"/>
      <c r="E110" s="149"/>
      <c r="F110" s="150"/>
      <c r="G110" s="148"/>
    </row>
    <row r="111" spans="4:7" s="126" customFormat="1" ht="15.75">
      <c r="D111" s="128"/>
      <c r="E111" s="149"/>
      <c r="F111" s="150"/>
      <c r="G111" s="148"/>
    </row>
    <row r="112" spans="4:7" s="126" customFormat="1" ht="15.75">
      <c r="D112" s="128"/>
      <c r="E112" s="149"/>
      <c r="F112" s="150"/>
      <c r="G112" s="148"/>
    </row>
    <row r="113" spans="4:7" s="126" customFormat="1" ht="15.75">
      <c r="D113" s="128"/>
      <c r="E113" s="149"/>
      <c r="F113" s="150"/>
      <c r="G113" s="148"/>
    </row>
    <row r="114" spans="4:7" s="126" customFormat="1" ht="15.75">
      <c r="D114" s="128"/>
      <c r="E114" s="149"/>
      <c r="F114" s="150"/>
      <c r="G114" s="148"/>
    </row>
    <row r="115" spans="4:7" s="126" customFormat="1" ht="15.75">
      <c r="D115" s="128"/>
      <c r="E115" s="149"/>
      <c r="F115" s="150"/>
      <c r="G115" s="148"/>
    </row>
    <row r="116" spans="4:7" s="126" customFormat="1" ht="15.75">
      <c r="D116" s="128"/>
      <c r="E116" s="149"/>
      <c r="F116" s="150"/>
      <c r="G116" s="148"/>
    </row>
    <row r="117" spans="4:7" s="126" customFormat="1" ht="15.75">
      <c r="D117" s="128"/>
      <c r="E117" s="149"/>
      <c r="F117" s="150"/>
      <c r="G117" s="148"/>
    </row>
    <row r="118" spans="4:7" s="126" customFormat="1" ht="15.75">
      <c r="D118" s="128"/>
      <c r="E118" s="149"/>
      <c r="F118" s="150"/>
      <c r="G118" s="148"/>
    </row>
    <row r="119" spans="4:7" s="126" customFormat="1" ht="15.75">
      <c r="D119" s="128"/>
      <c r="E119" s="149"/>
      <c r="F119" s="150"/>
      <c r="G119" s="148"/>
    </row>
    <row r="120" spans="4:7" s="126" customFormat="1" ht="15.75">
      <c r="D120" s="128"/>
      <c r="E120" s="149"/>
      <c r="F120" s="150"/>
      <c r="G120" s="148"/>
    </row>
    <row r="121" spans="4:7" s="126" customFormat="1" ht="15.75">
      <c r="D121" s="128"/>
      <c r="E121" s="149"/>
      <c r="F121" s="150"/>
      <c r="G121" s="148"/>
    </row>
    <row r="122" spans="4:7" s="126" customFormat="1" ht="15.75">
      <c r="D122" s="128"/>
      <c r="E122" s="149"/>
      <c r="F122" s="150"/>
      <c r="G122" s="148"/>
    </row>
    <row r="123" spans="4:7" s="126" customFormat="1" ht="15.75">
      <c r="D123" s="128"/>
      <c r="E123" s="149"/>
      <c r="F123" s="150"/>
      <c r="G123" s="148"/>
    </row>
    <row r="124" spans="4:7" s="126" customFormat="1" ht="15.75">
      <c r="D124" s="128"/>
      <c r="E124" s="149"/>
      <c r="F124" s="150"/>
      <c r="G124" s="148"/>
    </row>
    <row r="125" spans="4:7" s="126" customFormat="1" ht="15.75">
      <c r="D125" s="128"/>
      <c r="E125" s="149"/>
      <c r="F125" s="150"/>
      <c r="G125" s="148"/>
    </row>
    <row r="126" spans="4:7" s="126" customFormat="1" ht="15.75">
      <c r="D126" s="128"/>
      <c r="E126" s="149"/>
      <c r="F126" s="150"/>
      <c r="G126" s="148"/>
    </row>
    <row r="127" spans="4:7" s="126" customFormat="1" ht="15.75">
      <c r="D127" s="128"/>
      <c r="E127" s="149"/>
      <c r="F127" s="150"/>
      <c r="G127" s="148"/>
    </row>
    <row r="128" spans="4:7" s="126" customFormat="1" ht="15.75">
      <c r="D128" s="128"/>
      <c r="E128" s="149"/>
      <c r="F128" s="150"/>
      <c r="G128" s="148"/>
    </row>
    <row r="129" spans="4:7" s="126" customFormat="1" ht="15.75">
      <c r="D129" s="128"/>
      <c r="E129" s="149"/>
      <c r="F129" s="150"/>
      <c r="G129" s="148"/>
    </row>
    <row r="130" spans="4:7" s="126" customFormat="1" ht="15.75">
      <c r="D130" s="128"/>
      <c r="E130" s="149"/>
      <c r="F130" s="150"/>
      <c r="G130" s="148"/>
    </row>
    <row r="131" spans="4:7" s="126" customFormat="1" ht="15.75">
      <c r="D131" s="128"/>
      <c r="E131" s="149"/>
      <c r="F131" s="150"/>
      <c r="G131" s="148"/>
    </row>
    <row r="132" spans="4:7" s="126" customFormat="1" ht="15.75">
      <c r="D132" s="128"/>
      <c r="E132" s="149"/>
      <c r="F132" s="150"/>
      <c r="G132" s="148"/>
    </row>
    <row r="133" spans="4:7" s="126" customFormat="1" ht="15.75">
      <c r="D133" s="128"/>
      <c r="E133" s="149"/>
      <c r="F133" s="150"/>
      <c r="G133" s="148"/>
    </row>
    <row r="134" spans="4:7" s="126" customFormat="1" ht="15.75">
      <c r="D134" s="128"/>
      <c r="E134" s="149"/>
      <c r="F134" s="150"/>
      <c r="G134" s="148"/>
    </row>
    <row r="135" spans="4:7" s="126" customFormat="1" ht="15.75">
      <c r="D135" s="128"/>
      <c r="E135" s="149"/>
      <c r="F135" s="150"/>
      <c r="G135" s="148"/>
    </row>
    <row r="136" spans="4:7" s="126" customFormat="1" ht="15.75">
      <c r="D136" s="128"/>
      <c r="E136" s="149"/>
      <c r="F136" s="150"/>
      <c r="G136" s="148"/>
    </row>
  </sheetData>
  <sheetProtection/>
  <mergeCells count="15">
    <mergeCell ref="G17:H17"/>
    <mergeCell ref="A1:I1"/>
    <mergeCell ref="A2:I2"/>
    <mergeCell ref="A3:I3"/>
    <mergeCell ref="F5:I5"/>
    <mergeCell ref="A6:A8"/>
    <mergeCell ref="B6:B8"/>
    <mergeCell ref="C6:C8"/>
    <mergeCell ref="D6:H6"/>
    <mergeCell ref="I6:I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P72"/>
  <sheetViews>
    <sheetView view="pageBreakPreview" zoomScale="80" zoomScaleSheetLayoutView="80" zoomScalePageLayoutView="0" workbookViewId="0" topLeftCell="A49">
      <selection activeCell="G9" sqref="G9:M70"/>
    </sheetView>
  </sheetViews>
  <sheetFormatPr defaultColWidth="8.8515625" defaultRowHeight="12.75"/>
  <cols>
    <col min="1" max="1" width="4.7109375" style="181" customWidth="1"/>
    <col min="2" max="2" width="9.7109375" style="182" customWidth="1"/>
    <col min="3" max="3" width="49.7109375" style="176" customWidth="1"/>
    <col min="4" max="10" width="9.7109375" style="176" customWidth="1"/>
    <col min="11" max="11" width="9.7109375" style="183" customWidth="1"/>
    <col min="12" max="13" width="9.7109375" style="176" customWidth="1"/>
    <col min="14" max="146" width="8.7109375" style="176" customWidth="1"/>
    <col min="147" max="16384" width="8.8515625" style="176" customWidth="1"/>
  </cols>
  <sheetData>
    <row r="1" spans="1:13" s="166" customFormat="1" ht="16.5">
      <c r="A1" s="662" t="s">
        <v>365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3" s="166" customFormat="1" ht="13.5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3" s="166" customFormat="1" ht="13.5">
      <c r="A3" s="663" t="str">
        <f>'1-1'!C10</f>
        <v>sasmeli wylis rezervuari  V=25.0 m3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s="166" customFormat="1" ht="13.5">
      <c r="A4" s="664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</row>
    <row r="5" spans="1:13" s="167" customFormat="1" ht="13.5">
      <c r="A5" s="665" t="s">
        <v>242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</row>
    <row r="6" spans="1:13" s="167" customFormat="1" ht="26.25" customHeight="1">
      <c r="A6" s="666" t="s">
        <v>1</v>
      </c>
      <c r="B6" s="667" t="s">
        <v>243</v>
      </c>
      <c r="C6" s="666" t="s">
        <v>244</v>
      </c>
      <c r="D6" s="666" t="s">
        <v>245</v>
      </c>
      <c r="E6" s="669" t="s">
        <v>246</v>
      </c>
      <c r="F6" s="670"/>
      <c r="G6" s="666" t="s">
        <v>247</v>
      </c>
      <c r="H6" s="666"/>
      <c r="I6" s="666" t="s">
        <v>248</v>
      </c>
      <c r="J6" s="666"/>
      <c r="K6" s="666" t="s">
        <v>249</v>
      </c>
      <c r="L6" s="666"/>
      <c r="M6" s="671" t="s">
        <v>2</v>
      </c>
    </row>
    <row r="7" spans="1:13" s="167" customFormat="1" ht="26.25" customHeight="1">
      <c r="A7" s="666"/>
      <c r="B7" s="668"/>
      <c r="C7" s="666"/>
      <c r="D7" s="666"/>
      <c r="E7" s="168" t="s">
        <v>250</v>
      </c>
      <c r="F7" s="79" t="s">
        <v>19</v>
      </c>
      <c r="G7" s="168" t="s">
        <v>251</v>
      </c>
      <c r="H7" s="169" t="s">
        <v>2</v>
      </c>
      <c r="I7" s="170" t="s">
        <v>251</v>
      </c>
      <c r="J7" s="79" t="s">
        <v>2</v>
      </c>
      <c r="K7" s="171" t="s">
        <v>251</v>
      </c>
      <c r="L7" s="79" t="s">
        <v>2</v>
      </c>
      <c r="M7" s="671"/>
    </row>
    <row r="8" spans="1:13" s="167" customFormat="1" ht="13.5">
      <c r="A8" s="79">
        <v>1</v>
      </c>
      <c r="B8" s="74">
        <v>2</v>
      </c>
      <c r="C8" s="79">
        <v>3</v>
      </c>
      <c r="D8" s="74">
        <v>4</v>
      </c>
      <c r="E8" s="79">
        <v>5</v>
      </c>
      <c r="F8" s="74">
        <v>6</v>
      </c>
      <c r="G8" s="80">
        <v>7</v>
      </c>
      <c r="H8" s="74">
        <v>8</v>
      </c>
      <c r="I8" s="79">
        <v>9</v>
      </c>
      <c r="J8" s="74">
        <v>10</v>
      </c>
      <c r="K8" s="172">
        <v>11</v>
      </c>
      <c r="L8" s="74">
        <v>12</v>
      </c>
      <c r="M8" s="74" t="s">
        <v>252</v>
      </c>
    </row>
    <row r="9" spans="1:14" s="409" customFormat="1" ht="50.25" customHeight="1">
      <c r="A9" s="347">
        <v>1</v>
      </c>
      <c r="B9" s="407" t="s">
        <v>253</v>
      </c>
      <c r="C9" s="171" t="s">
        <v>254</v>
      </c>
      <c r="D9" s="168" t="s">
        <v>81</v>
      </c>
      <c r="E9" s="350"/>
      <c r="F9" s="352">
        <v>15</v>
      </c>
      <c r="G9" s="350"/>
      <c r="H9" s="353"/>
      <c r="I9" s="365"/>
      <c r="J9" s="353"/>
      <c r="K9" s="350"/>
      <c r="L9" s="353"/>
      <c r="M9" s="353"/>
      <c r="N9" s="408"/>
    </row>
    <row r="10" spans="1:14" s="409" customFormat="1" ht="13.5">
      <c r="A10" s="347"/>
      <c r="B10" s="347"/>
      <c r="C10" s="357" t="s">
        <v>3</v>
      </c>
      <c r="D10" s="358" t="s">
        <v>4</v>
      </c>
      <c r="E10" s="358">
        <v>0.0215</v>
      </c>
      <c r="F10" s="360">
        <f>F9*E10</f>
        <v>0.32249999999999995</v>
      </c>
      <c r="G10" s="358"/>
      <c r="H10" s="360"/>
      <c r="I10" s="361"/>
      <c r="J10" s="360"/>
      <c r="K10" s="358"/>
      <c r="L10" s="360"/>
      <c r="M10" s="360"/>
      <c r="N10" s="408"/>
    </row>
    <row r="11" spans="1:14" s="409" customFormat="1" ht="13.5">
      <c r="A11" s="347"/>
      <c r="B11" s="410" t="s">
        <v>221</v>
      </c>
      <c r="C11" s="357" t="s">
        <v>88</v>
      </c>
      <c r="D11" s="355" t="s">
        <v>87</v>
      </c>
      <c r="E11" s="358">
        <v>0.0482</v>
      </c>
      <c r="F11" s="360">
        <f>E11*F9</f>
        <v>0.723</v>
      </c>
      <c r="G11" s="358"/>
      <c r="H11" s="360"/>
      <c r="I11" s="361"/>
      <c r="J11" s="360"/>
      <c r="K11" s="102"/>
      <c r="L11" s="360"/>
      <c r="M11" s="360"/>
      <c r="N11" s="408"/>
    </row>
    <row r="12" spans="1:13" s="167" customFormat="1" ht="15.75">
      <c r="A12" s="79">
        <v>2</v>
      </c>
      <c r="B12" s="407" t="s">
        <v>255</v>
      </c>
      <c r="C12" s="171" t="s">
        <v>256</v>
      </c>
      <c r="D12" s="168" t="s">
        <v>81</v>
      </c>
      <c r="E12" s="79"/>
      <c r="F12" s="405">
        <v>1</v>
      </c>
      <c r="G12" s="79"/>
      <c r="H12" s="79"/>
      <c r="I12" s="79"/>
      <c r="J12" s="79"/>
      <c r="K12" s="79"/>
      <c r="L12" s="405"/>
      <c r="M12" s="79"/>
    </row>
    <row r="13" spans="1:13" s="414" customFormat="1" ht="13.5">
      <c r="A13" s="79"/>
      <c r="B13" s="411"/>
      <c r="C13" s="372" t="s">
        <v>3</v>
      </c>
      <c r="D13" s="78" t="s">
        <v>4</v>
      </c>
      <c r="E13" s="78">
        <v>2.99</v>
      </c>
      <c r="F13" s="78">
        <f>E13*F12</f>
        <v>2.99</v>
      </c>
      <c r="G13" s="78"/>
      <c r="H13" s="78"/>
      <c r="I13" s="412"/>
      <c r="J13" s="78"/>
      <c r="K13" s="78"/>
      <c r="L13" s="413"/>
      <c r="M13" s="413"/>
    </row>
    <row r="14" spans="1:13" s="167" customFormat="1" ht="27">
      <c r="A14" s="79">
        <v>3</v>
      </c>
      <c r="B14" s="366" t="s">
        <v>257</v>
      </c>
      <c r="C14" s="171" t="s">
        <v>258</v>
      </c>
      <c r="D14" s="168" t="s">
        <v>81</v>
      </c>
      <c r="E14" s="79"/>
      <c r="F14" s="405">
        <v>16</v>
      </c>
      <c r="G14" s="79"/>
      <c r="H14" s="79"/>
      <c r="I14" s="415"/>
      <c r="J14" s="79"/>
      <c r="K14" s="79"/>
      <c r="L14" s="405"/>
      <c r="M14" s="405"/>
    </row>
    <row r="15" spans="1:13" s="414" customFormat="1" ht="13.5">
      <c r="A15" s="79"/>
      <c r="B15" s="411"/>
      <c r="C15" s="372" t="s">
        <v>259</v>
      </c>
      <c r="D15" s="78" t="s">
        <v>4</v>
      </c>
      <c r="E15" s="78">
        <f>9.21/1000</f>
        <v>0.009210000000000001</v>
      </c>
      <c r="F15" s="78">
        <f>E15*F14</f>
        <v>0.14736000000000002</v>
      </c>
      <c r="G15" s="78"/>
      <c r="H15" s="413"/>
      <c r="I15" s="412"/>
      <c r="J15" s="78"/>
      <c r="K15" s="78"/>
      <c r="L15" s="413"/>
      <c r="M15" s="413"/>
    </row>
    <row r="16" spans="1:13" s="416" customFormat="1" ht="21" customHeight="1">
      <c r="A16" s="79">
        <v>4</v>
      </c>
      <c r="B16" s="77" t="s">
        <v>38</v>
      </c>
      <c r="C16" s="397" t="s">
        <v>260</v>
      </c>
      <c r="D16" s="168" t="s">
        <v>81</v>
      </c>
      <c r="E16" s="362"/>
      <c r="F16" s="122">
        <v>1.6</v>
      </c>
      <c r="G16" s="362"/>
      <c r="H16" s="362"/>
      <c r="I16" s="362"/>
      <c r="J16" s="362"/>
      <c r="K16" s="362"/>
      <c r="L16" s="362"/>
      <c r="M16" s="362"/>
    </row>
    <row r="17" spans="1:13" s="416" customFormat="1" ht="13.5">
      <c r="A17" s="79"/>
      <c r="B17" s="366"/>
      <c r="C17" s="403" t="s">
        <v>75</v>
      </c>
      <c r="D17" s="102" t="s">
        <v>67</v>
      </c>
      <c r="E17" s="70">
        <v>1.37</v>
      </c>
      <c r="F17" s="71">
        <f>E17*F16</f>
        <v>2.192</v>
      </c>
      <c r="G17" s="70"/>
      <c r="H17" s="71"/>
      <c r="I17" s="71"/>
      <c r="J17" s="71"/>
      <c r="K17" s="70"/>
      <c r="L17" s="70"/>
      <c r="M17" s="71"/>
    </row>
    <row r="18" spans="1:13" s="416" customFormat="1" ht="13.5">
      <c r="A18" s="79"/>
      <c r="B18" s="74"/>
      <c r="C18" s="403" t="s">
        <v>29</v>
      </c>
      <c r="D18" s="102" t="s">
        <v>0</v>
      </c>
      <c r="E18" s="70">
        <v>0.283</v>
      </c>
      <c r="F18" s="71">
        <f>E18*F17</f>
        <v>0.620336</v>
      </c>
      <c r="G18" s="70"/>
      <c r="H18" s="70"/>
      <c r="I18" s="70"/>
      <c r="J18" s="70"/>
      <c r="K18" s="70"/>
      <c r="L18" s="71"/>
      <c r="M18" s="71"/>
    </row>
    <row r="19" spans="1:13" s="416" customFormat="1" ht="15.75">
      <c r="A19" s="79"/>
      <c r="B19" s="410" t="s">
        <v>261</v>
      </c>
      <c r="C19" s="403" t="s">
        <v>262</v>
      </c>
      <c r="D19" s="102" t="s">
        <v>32</v>
      </c>
      <c r="E19" s="70">
        <v>1.02</v>
      </c>
      <c r="F19" s="71">
        <f>E19*F16</f>
        <v>1.6320000000000001</v>
      </c>
      <c r="G19" s="417"/>
      <c r="H19" s="418"/>
      <c r="I19" s="412"/>
      <c r="J19" s="78"/>
      <c r="K19" s="419"/>
      <c r="L19" s="419"/>
      <c r="M19" s="71"/>
    </row>
    <row r="20" spans="1:13" s="416" customFormat="1" ht="13.5">
      <c r="A20" s="79"/>
      <c r="B20" s="366"/>
      <c r="C20" s="403" t="s">
        <v>6</v>
      </c>
      <c r="D20" s="102" t="s">
        <v>0</v>
      </c>
      <c r="E20" s="70">
        <v>0.62</v>
      </c>
      <c r="F20" s="71">
        <f>E20*F16</f>
        <v>0.992</v>
      </c>
      <c r="G20" s="419"/>
      <c r="H20" s="418"/>
      <c r="I20" s="412"/>
      <c r="J20" s="78"/>
      <c r="K20" s="419"/>
      <c r="L20" s="419"/>
      <c r="M20" s="71"/>
    </row>
    <row r="21" spans="1:13" s="416" customFormat="1" ht="25.5" customHeight="1">
      <c r="A21" s="79">
        <v>5</v>
      </c>
      <c r="B21" s="77" t="s">
        <v>263</v>
      </c>
      <c r="C21" s="397" t="s">
        <v>264</v>
      </c>
      <c r="D21" s="168" t="s">
        <v>81</v>
      </c>
      <c r="E21" s="362"/>
      <c r="F21" s="122">
        <v>8.8</v>
      </c>
      <c r="G21" s="362"/>
      <c r="H21" s="362"/>
      <c r="I21" s="362"/>
      <c r="J21" s="362"/>
      <c r="K21" s="362"/>
      <c r="L21" s="362"/>
      <c r="M21" s="362"/>
    </row>
    <row r="22" spans="1:13" s="416" customFormat="1" ht="13.5">
      <c r="A22" s="79"/>
      <c r="B22" s="366"/>
      <c r="C22" s="403" t="s">
        <v>75</v>
      </c>
      <c r="D22" s="102" t="s">
        <v>67</v>
      </c>
      <c r="E22" s="70">
        <v>3.83</v>
      </c>
      <c r="F22" s="71">
        <f>E22*F21</f>
        <v>33.704</v>
      </c>
      <c r="G22" s="70"/>
      <c r="H22" s="71"/>
      <c r="I22" s="71"/>
      <c r="J22" s="71"/>
      <c r="K22" s="70"/>
      <c r="L22" s="70"/>
      <c r="M22" s="71"/>
    </row>
    <row r="23" spans="1:13" s="416" customFormat="1" ht="13.5">
      <c r="A23" s="79"/>
      <c r="B23" s="74"/>
      <c r="C23" s="403" t="s">
        <v>29</v>
      </c>
      <c r="D23" s="102" t="s">
        <v>0</v>
      </c>
      <c r="E23" s="70">
        <v>1.37</v>
      </c>
      <c r="F23" s="71">
        <f>E23*F22</f>
        <v>46.17448</v>
      </c>
      <c r="G23" s="70"/>
      <c r="H23" s="70"/>
      <c r="I23" s="70"/>
      <c r="J23" s="70"/>
      <c r="K23" s="70"/>
      <c r="L23" s="71"/>
      <c r="M23" s="71"/>
    </row>
    <row r="24" spans="1:13" s="416" customFormat="1" ht="15.75">
      <c r="A24" s="79"/>
      <c r="B24" s="410" t="s">
        <v>265</v>
      </c>
      <c r="C24" s="403" t="s">
        <v>266</v>
      </c>
      <c r="D24" s="102" t="s">
        <v>32</v>
      </c>
      <c r="E24" s="70">
        <v>1.05</v>
      </c>
      <c r="F24" s="71">
        <f>E24*F21</f>
        <v>9.240000000000002</v>
      </c>
      <c r="G24" s="417"/>
      <c r="H24" s="418"/>
      <c r="I24" s="412"/>
      <c r="J24" s="78"/>
      <c r="K24" s="419"/>
      <c r="L24" s="419"/>
      <c r="M24" s="71"/>
    </row>
    <row r="25" spans="1:13" s="166" customFormat="1" ht="13.5">
      <c r="A25" s="172"/>
      <c r="B25" s="420" t="s">
        <v>267</v>
      </c>
      <c r="C25" s="421" t="s">
        <v>268</v>
      </c>
      <c r="D25" s="78" t="s">
        <v>30</v>
      </c>
      <c r="E25" s="78">
        <v>0.136</v>
      </c>
      <c r="F25" s="78">
        <f>E25*F21</f>
        <v>1.1968</v>
      </c>
      <c r="G25" s="78"/>
      <c r="H25" s="413"/>
      <c r="I25" s="412"/>
      <c r="J25" s="78"/>
      <c r="K25" s="78"/>
      <c r="L25" s="413"/>
      <c r="M25" s="413"/>
    </row>
    <row r="26" spans="1:13" s="166" customFormat="1" ht="13.5">
      <c r="A26" s="79"/>
      <c r="B26" s="411" t="s">
        <v>269</v>
      </c>
      <c r="C26" s="422" t="s">
        <v>270</v>
      </c>
      <c r="D26" s="78" t="s">
        <v>23</v>
      </c>
      <c r="E26" s="78">
        <v>0.256</v>
      </c>
      <c r="F26" s="78">
        <f>E26*F21</f>
        <v>2.2528</v>
      </c>
      <c r="G26" s="78"/>
      <c r="H26" s="413"/>
      <c r="I26" s="412"/>
      <c r="J26" s="78"/>
      <c r="K26" s="78"/>
      <c r="L26" s="413"/>
      <c r="M26" s="413"/>
    </row>
    <row r="27" spans="1:13" s="166" customFormat="1" ht="13.5">
      <c r="A27" s="79"/>
      <c r="B27" s="411" t="s">
        <v>271</v>
      </c>
      <c r="C27" s="422" t="s">
        <v>272</v>
      </c>
      <c r="D27" s="78" t="s">
        <v>5</v>
      </c>
      <c r="E27" s="78">
        <f>0.3/100</f>
        <v>0.003</v>
      </c>
      <c r="F27" s="78">
        <f>E27*F21</f>
        <v>0.026400000000000003</v>
      </c>
      <c r="G27" s="78"/>
      <c r="H27" s="413"/>
      <c r="I27" s="412"/>
      <c r="J27" s="78"/>
      <c r="K27" s="78"/>
      <c r="L27" s="413"/>
      <c r="M27" s="413"/>
    </row>
    <row r="28" spans="1:13" s="416" customFormat="1" ht="13.5">
      <c r="A28" s="79"/>
      <c r="B28" s="366"/>
      <c r="C28" s="403" t="s">
        <v>6</v>
      </c>
      <c r="D28" s="102" t="s">
        <v>0</v>
      </c>
      <c r="E28" s="70">
        <v>0.63</v>
      </c>
      <c r="F28" s="71">
        <f>E28*F21</f>
        <v>5.5440000000000005</v>
      </c>
      <c r="G28" s="419"/>
      <c r="H28" s="418"/>
      <c r="I28" s="412"/>
      <c r="J28" s="78"/>
      <c r="K28" s="419"/>
      <c r="L28" s="419"/>
      <c r="M28" s="71"/>
    </row>
    <row r="29" spans="1:13" s="427" customFormat="1" ht="20.25" customHeight="1">
      <c r="A29" s="423">
        <v>6</v>
      </c>
      <c r="B29" s="424" t="s">
        <v>273</v>
      </c>
      <c r="C29" s="425" t="s">
        <v>274</v>
      </c>
      <c r="D29" s="423" t="s">
        <v>30</v>
      </c>
      <c r="E29" s="423"/>
      <c r="F29" s="115">
        <v>5</v>
      </c>
      <c r="G29" s="426"/>
      <c r="H29" s="426"/>
      <c r="I29" s="88"/>
      <c r="J29" s="88"/>
      <c r="K29" s="426"/>
      <c r="L29" s="88"/>
      <c r="M29" s="88"/>
    </row>
    <row r="30" spans="1:13" s="430" customFormat="1" ht="13.5">
      <c r="A30" s="423"/>
      <c r="B30" s="428"/>
      <c r="C30" s="429" t="s">
        <v>3</v>
      </c>
      <c r="D30" s="426" t="s">
        <v>275</v>
      </c>
      <c r="E30" s="426">
        <v>16.5</v>
      </c>
      <c r="F30" s="426">
        <f>E30*F29</f>
        <v>82.5</v>
      </c>
      <c r="G30" s="426"/>
      <c r="H30" s="426"/>
      <c r="I30" s="88"/>
      <c r="J30" s="88"/>
      <c r="K30" s="426"/>
      <c r="L30" s="88"/>
      <c r="M30" s="88"/>
    </row>
    <row r="31" spans="1:14" s="430" customFormat="1" ht="13.5">
      <c r="A31" s="423"/>
      <c r="B31" s="428" t="s">
        <v>276</v>
      </c>
      <c r="C31" s="429" t="s">
        <v>277</v>
      </c>
      <c r="D31" s="426" t="s">
        <v>31</v>
      </c>
      <c r="E31" s="426">
        <v>1.69</v>
      </c>
      <c r="F31" s="426">
        <f>E31*F29</f>
        <v>8.45</v>
      </c>
      <c r="G31" s="426"/>
      <c r="H31" s="426"/>
      <c r="I31" s="88"/>
      <c r="J31" s="88"/>
      <c r="K31" s="426"/>
      <c r="L31" s="88"/>
      <c r="M31" s="88"/>
      <c r="N31" s="431"/>
    </row>
    <row r="32" spans="1:13" s="430" customFormat="1" ht="13.5">
      <c r="A32" s="423"/>
      <c r="B32" s="428"/>
      <c r="C32" s="432" t="s">
        <v>22</v>
      </c>
      <c r="D32" s="433" t="s">
        <v>37</v>
      </c>
      <c r="E32" s="433">
        <v>14.4</v>
      </c>
      <c r="F32" s="426">
        <f>E32*F29</f>
        <v>72</v>
      </c>
      <c r="G32" s="426"/>
      <c r="H32" s="426"/>
      <c r="I32" s="88"/>
      <c r="J32" s="88"/>
      <c r="K32" s="426"/>
      <c r="L32" s="88"/>
      <c r="M32" s="88"/>
    </row>
    <row r="33" spans="1:13" s="430" customFormat="1" ht="27">
      <c r="A33" s="423"/>
      <c r="B33" s="428"/>
      <c r="C33" s="429" t="s">
        <v>278</v>
      </c>
      <c r="D33" s="426" t="s">
        <v>8</v>
      </c>
      <c r="E33" s="426"/>
      <c r="F33" s="88">
        <v>1</v>
      </c>
      <c r="G33" s="88"/>
      <c r="H33" s="88"/>
      <c r="I33" s="88"/>
      <c r="J33" s="88"/>
      <c r="K33" s="426"/>
      <c r="L33" s="88"/>
      <c r="M33" s="88"/>
    </row>
    <row r="34" spans="1:13" s="430" customFormat="1" ht="13.5">
      <c r="A34" s="423"/>
      <c r="B34" s="428" t="s">
        <v>157</v>
      </c>
      <c r="C34" s="429" t="s">
        <v>41</v>
      </c>
      <c r="D34" s="426" t="s">
        <v>27</v>
      </c>
      <c r="E34" s="426">
        <v>35.6</v>
      </c>
      <c r="F34" s="426">
        <f>E34*F29</f>
        <v>178</v>
      </c>
      <c r="G34" s="426"/>
      <c r="H34" s="88"/>
      <c r="I34" s="88"/>
      <c r="J34" s="88"/>
      <c r="K34" s="426"/>
      <c r="L34" s="88"/>
      <c r="M34" s="88"/>
    </row>
    <row r="35" spans="1:13" s="430" customFormat="1" ht="13.5">
      <c r="A35" s="423"/>
      <c r="B35" s="428" t="s">
        <v>158</v>
      </c>
      <c r="C35" s="429" t="s">
        <v>28</v>
      </c>
      <c r="D35" s="426" t="s">
        <v>27</v>
      </c>
      <c r="E35" s="88">
        <v>3</v>
      </c>
      <c r="F35" s="426">
        <f>E35*F29</f>
        <v>15</v>
      </c>
      <c r="G35" s="88"/>
      <c r="H35" s="88"/>
      <c r="I35" s="88"/>
      <c r="J35" s="88"/>
      <c r="K35" s="426"/>
      <c r="L35" s="88"/>
      <c r="M35" s="88"/>
    </row>
    <row r="36" spans="1:13" s="430" customFormat="1" ht="13.5">
      <c r="A36" s="423"/>
      <c r="B36" s="428"/>
      <c r="C36" s="432" t="s">
        <v>25</v>
      </c>
      <c r="D36" s="433" t="s">
        <v>37</v>
      </c>
      <c r="E36" s="433">
        <v>5.3</v>
      </c>
      <c r="F36" s="426">
        <f>E36*F29</f>
        <v>26.5</v>
      </c>
      <c r="G36" s="426"/>
      <c r="H36" s="426"/>
      <c r="I36" s="88"/>
      <c r="J36" s="88"/>
      <c r="K36" s="426"/>
      <c r="L36" s="88"/>
      <c r="M36" s="88"/>
    </row>
    <row r="37" spans="1:13" s="416" customFormat="1" ht="25.5" customHeight="1">
      <c r="A37" s="79">
        <v>7</v>
      </c>
      <c r="B37" s="77" t="s">
        <v>279</v>
      </c>
      <c r="C37" s="425" t="s">
        <v>280</v>
      </c>
      <c r="D37" s="168" t="s">
        <v>81</v>
      </c>
      <c r="E37" s="362"/>
      <c r="F37" s="122">
        <v>2.6</v>
      </c>
      <c r="G37" s="362"/>
      <c r="H37" s="362"/>
      <c r="I37" s="362"/>
      <c r="J37" s="362"/>
      <c r="K37" s="362"/>
      <c r="L37" s="362"/>
      <c r="M37" s="362"/>
    </row>
    <row r="38" spans="1:13" s="416" customFormat="1" ht="13.5">
      <c r="A38" s="79"/>
      <c r="B38" s="366"/>
      <c r="C38" s="403" t="s">
        <v>75</v>
      </c>
      <c r="D38" s="102" t="s">
        <v>67</v>
      </c>
      <c r="E38" s="70">
        <v>13.8</v>
      </c>
      <c r="F38" s="71">
        <f>E38*F37</f>
        <v>35.88</v>
      </c>
      <c r="G38" s="70"/>
      <c r="H38" s="71"/>
      <c r="I38" s="71"/>
      <c r="J38" s="71"/>
      <c r="K38" s="70"/>
      <c r="L38" s="70"/>
      <c r="M38" s="71"/>
    </row>
    <row r="39" spans="1:13" s="416" customFormat="1" ht="13.5">
      <c r="A39" s="79"/>
      <c r="B39" s="74"/>
      <c r="C39" s="403" t="s">
        <v>29</v>
      </c>
      <c r="D39" s="102" t="s">
        <v>0</v>
      </c>
      <c r="E39" s="70">
        <v>0.17</v>
      </c>
      <c r="F39" s="71">
        <f>E39*F38</f>
        <v>6.099600000000001</v>
      </c>
      <c r="G39" s="70"/>
      <c r="H39" s="70"/>
      <c r="I39" s="70"/>
      <c r="J39" s="70"/>
      <c r="K39" s="70"/>
      <c r="L39" s="71"/>
      <c r="M39" s="71"/>
    </row>
    <row r="40" spans="1:13" s="416" customFormat="1" ht="13.5" customHeight="1">
      <c r="A40" s="79"/>
      <c r="B40" s="410" t="s">
        <v>281</v>
      </c>
      <c r="C40" s="403" t="s">
        <v>282</v>
      </c>
      <c r="D40" s="102" t="s">
        <v>32</v>
      </c>
      <c r="E40" s="70" t="s">
        <v>219</v>
      </c>
      <c r="F40" s="71">
        <v>51</v>
      </c>
      <c r="G40" s="434"/>
      <c r="H40" s="418"/>
      <c r="I40" s="412"/>
      <c r="J40" s="78"/>
      <c r="K40" s="419"/>
      <c r="L40" s="419"/>
      <c r="M40" s="71"/>
    </row>
    <row r="41" spans="1:13" s="416" customFormat="1" ht="13.5">
      <c r="A41" s="79"/>
      <c r="B41" s="366"/>
      <c r="C41" s="403" t="s">
        <v>6</v>
      </c>
      <c r="D41" s="102" t="s">
        <v>0</v>
      </c>
      <c r="E41" s="70">
        <v>0.9</v>
      </c>
      <c r="F41" s="71">
        <f>E41*F37</f>
        <v>2.3400000000000003</v>
      </c>
      <c r="G41" s="419"/>
      <c r="H41" s="418"/>
      <c r="I41" s="412"/>
      <c r="J41" s="78"/>
      <c r="K41" s="419"/>
      <c r="L41" s="419"/>
      <c r="M41" s="71"/>
    </row>
    <row r="42" spans="1:13" s="416" customFormat="1" ht="27">
      <c r="A42" s="79">
        <v>8</v>
      </c>
      <c r="B42" s="366" t="s">
        <v>283</v>
      </c>
      <c r="C42" s="435" t="s">
        <v>284</v>
      </c>
      <c r="D42" s="168" t="s">
        <v>82</v>
      </c>
      <c r="E42" s="362"/>
      <c r="F42" s="117">
        <v>55</v>
      </c>
      <c r="G42" s="115"/>
      <c r="H42" s="115"/>
      <c r="I42" s="115"/>
      <c r="J42" s="115"/>
      <c r="K42" s="423"/>
      <c r="L42" s="115"/>
      <c r="M42" s="115"/>
    </row>
    <row r="43" spans="1:13" s="427" customFormat="1" ht="48" customHeight="1">
      <c r="A43" s="423">
        <v>9</v>
      </c>
      <c r="B43" s="424" t="s">
        <v>285</v>
      </c>
      <c r="C43" s="425" t="s">
        <v>286</v>
      </c>
      <c r="D43" s="168" t="s">
        <v>82</v>
      </c>
      <c r="E43" s="423"/>
      <c r="F43" s="115">
        <v>63</v>
      </c>
      <c r="G43" s="426"/>
      <c r="H43" s="426"/>
      <c r="I43" s="88"/>
      <c r="J43" s="88"/>
      <c r="K43" s="426"/>
      <c r="L43" s="88"/>
      <c r="M43" s="88"/>
    </row>
    <row r="44" spans="1:13" s="430" customFormat="1" ht="13.5">
      <c r="A44" s="423"/>
      <c r="B44" s="428"/>
      <c r="C44" s="429" t="s">
        <v>3</v>
      </c>
      <c r="D44" s="102" t="s">
        <v>287</v>
      </c>
      <c r="E44" s="426">
        <v>1.28</v>
      </c>
      <c r="F44" s="426">
        <f>E44*F43</f>
        <v>80.64</v>
      </c>
      <c r="G44" s="426"/>
      <c r="H44" s="426"/>
      <c r="I44" s="88"/>
      <c r="J44" s="88"/>
      <c r="K44" s="426"/>
      <c r="L44" s="88"/>
      <c r="M44" s="88"/>
    </row>
    <row r="45" spans="1:13" s="430" customFormat="1" ht="13.5">
      <c r="A45" s="423"/>
      <c r="B45" s="428"/>
      <c r="C45" s="432" t="s">
        <v>22</v>
      </c>
      <c r="D45" s="102" t="s">
        <v>0</v>
      </c>
      <c r="E45" s="433">
        <v>0.0121</v>
      </c>
      <c r="F45" s="426">
        <f>E45*F43</f>
        <v>0.7623</v>
      </c>
      <c r="G45" s="426"/>
      <c r="H45" s="426"/>
      <c r="I45" s="88"/>
      <c r="J45" s="88"/>
      <c r="K45" s="426"/>
      <c r="L45" s="88"/>
      <c r="M45" s="88"/>
    </row>
    <row r="46" spans="1:13" s="430" customFormat="1" ht="27">
      <c r="A46" s="423"/>
      <c r="B46" s="428"/>
      <c r="C46" s="429" t="s">
        <v>288</v>
      </c>
      <c r="D46" s="102" t="s">
        <v>289</v>
      </c>
      <c r="E46" s="426">
        <v>1.2</v>
      </c>
      <c r="F46" s="426">
        <f>E46*F43</f>
        <v>75.6</v>
      </c>
      <c r="G46" s="426"/>
      <c r="H46" s="88"/>
      <c r="I46" s="88"/>
      <c r="J46" s="88"/>
      <c r="K46" s="426"/>
      <c r="L46" s="88"/>
      <c r="M46" s="88"/>
    </row>
    <row r="47" spans="1:13" s="430" customFormat="1" ht="13.5">
      <c r="A47" s="423"/>
      <c r="B47" s="428"/>
      <c r="C47" s="429" t="s">
        <v>290</v>
      </c>
      <c r="D47" s="102" t="s">
        <v>291</v>
      </c>
      <c r="E47" s="116">
        <v>0.013</v>
      </c>
      <c r="F47" s="426">
        <f>E47*F43</f>
        <v>0.819</v>
      </c>
      <c r="G47" s="88"/>
      <c r="H47" s="88"/>
      <c r="I47" s="88"/>
      <c r="J47" s="88"/>
      <c r="K47" s="426"/>
      <c r="L47" s="88"/>
      <c r="M47" s="88"/>
    </row>
    <row r="48" spans="1:13" s="416" customFormat="1" ht="25.5" customHeight="1">
      <c r="A48" s="79">
        <v>10</v>
      </c>
      <c r="B48" s="77" t="s">
        <v>292</v>
      </c>
      <c r="C48" s="397" t="s">
        <v>293</v>
      </c>
      <c r="D48" s="168" t="s">
        <v>81</v>
      </c>
      <c r="E48" s="362"/>
      <c r="F48" s="122">
        <v>25</v>
      </c>
      <c r="G48" s="362"/>
      <c r="H48" s="362"/>
      <c r="I48" s="362"/>
      <c r="J48" s="362"/>
      <c r="K48" s="362"/>
      <c r="L48" s="362"/>
      <c r="M48" s="362"/>
    </row>
    <row r="49" spans="1:13" s="416" customFormat="1" ht="13.5">
      <c r="A49" s="79"/>
      <c r="B49" s="366"/>
      <c r="C49" s="403" t="s">
        <v>75</v>
      </c>
      <c r="D49" s="102" t="s">
        <v>67</v>
      </c>
      <c r="E49" s="70">
        <v>0.0822</v>
      </c>
      <c r="F49" s="71">
        <f>E49*F48</f>
        <v>2.0549999999999997</v>
      </c>
      <c r="G49" s="70"/>
      <c r="H49" s="71"/>
      <c r="I49" s="71"/>
      <c r="J49" s="71"/>
      <c r="K49" s="70"/>
      <c r="L49" s="70"/>
      <c r="M49" s="71"/>
    </row>
    <row r="50" spans="1:13" s="416" customFormat="1" ht="13.5">
      <c r="A50" s="79"/>
      <c r="B50" s="366"/>
      <c r="C50" s="403" t="s">
        <v>6</v>
      </c>
      <c r="D50" s="102" t="s">
        <v>0</v>
      </c>
      <c r="E50" s="70">
        <v>0.0268</v>
      </c>
      <c r="F50" s="71">
        <f>E50*F48</f>
        <v>0.67</v>
      </c>
      <c r="G50" s="419"/>
      <c r="H50" s="418"/>
      <c r="I50" s="412"/>
      <c r="J50" s="78"/>
      <c r="K50" s="419"/>
      <c r="L50" s="419"/>
      <c r="M50" s="71"/>
    </row>
    <row r="51" spans="1:13" s="416" customFormat="1" ht="25.5" customHeight="1">
      <c r="A51" s="79">
        <v>11</v>
      </c>
      <c r="B51" s="77" t="s">
        <v>294</v>
      </c>
      <c r="C51" s="397" t="s">
        <v>295</v>
      </c>
      <c r="D51" s="168" t="s">
        <v>81</v>
      </c>
      <c r="E51" s="362"/>
      <c r="F51" s="122">
        <v>25</v>
      </c>
      <c r="G51" s="362"/>
      <c r="H51" s="362"/>
      <c r="I51" s="362"/>
      <c r="J51" s="362"/>
      <c r="K51" s="362"/>
      <c r="L51" s="362"/>
      <c r="M51" s="362"/>
    </row>
    <row r="52" spans="1:13" s="416" customFormat="1" ht="13.5">
      <c r="A52" s="79"/>
      <c r="B52" s="366"/>
      <c r="C52" s="403" t="s">
        <v>75</v>
      </c>
      <c r="D52" s="102" t="s">
        <v>67</v>
      </c>
      <c r="E52" s="70">
        <v>0.165</v>
      </c>
      <c r="F52" s="71">
        <f>E52*F51</f>
        <v>4.125</v>
      </c>
      <c r="G52" s="70"/>
      <c r="H52" s="71"/>
      <c r="I52" s="71"/>
      <c r="J52" s="71"/>
      <c r="K52" s="70"/>
      <c r="L52" s="70"/>
      <c r="M52" s="71"/>
    </row>
    <row r="53" spans="1:13" s="416" customFormat="1" ht="13.5">
      <c r="A53" s="79"/>
      <c r="B53" s="366"/>
      <c r="C53" s="403" t="s">
        <v>6</v>
      </c>
      <c r="D53" s="102" t="s">
        <v>0</v>
      </c>
      <c r="E53" s="70">
        <f>0.88/100</f>
        <v>0.0088</v>
      </c>
      <c r="F53" s="71">
        <f>E53*F51</f>
        <v>0.22</v>
      </c>
      <c r="G53" s="419"/>
      <c r="H53" s="418"/>
      <c r="I53" s="412"/>
      <c r="J53" s="78"/>
      <c r="K53" s="419"/>
      <c r="L53" s="419"/>
      <c r="M53" s="71"/>
    </row>
    <row r="54" spans="1:13" s="416" customFormat="1" ht="13.5">
      <c r="A54" s="79"/>
      <c r="B54" s="366"/>
      <c r="C54" s="429" t="s">
        <v>296</v>
      </c>
      <c r="D54" s="102" t="s">
        <v>27</v>
      </c>
      <c r="E54" s="426">
        <v>0.3</v>
      </c>
      <c r="F54" s="426">
        <f>E54*F51</f>
        <v>7.5</v>
      </c>
      <c r="G54" s="426"/>
      <c r="H54" s="88"/>
      <c r="I54" s="88"/>
      <c r="J54" s="88"/>
      <c r="K54" s="426"/>
      <c r="L54" s="88"/>
      <c r="M54" s="88"/>
    </row>
    <row r="55" spans="1:13" s="427" customFormat="1" ht="15.75">
      <c r="A55" s="423">
        <v>12</v>
      </c>
      <c r="B55" s="424" t="s">
        <v>297</v>
      </c>
      <c r="C55" s="425" t="s">
        <v>298</v>
      </c>
      <c r="D55" s="168" t="s">
        <v>82</v>
      </c>
      <c r="E55" s="423"/>
      <c r="F55" s="115">
        <v>30</v>
      </c>
      <c r="G55" s="426"/>
      <c r="H55" s="426"/>
      <c r="I55" s="88"/>
      <c r="J55" s="88"/>
      <c r="K55" s="426"/>
      <c r="L55" s="88"/>
      <c r="M55" s="88"/>
    </row>
    <row r="56" spans="1:13" s="430" customFormat="1" ht="13.5">
      <c r="A56" s="423"/>
      <c r="B56" s="428"/>
      <c r="C56" s="429" t="s">
        <v>3</v>
      </c>
      <c r="D56" s="102" t="s">
        <v>287</v>
      </c>
      <c r="E56" s="426">
        <v>0.031</v>
      </c>
      <c r="F56" s="426">
        <f>E56*F55</f>
        <v>0.9299999999999999</v>
      </c>
      <c r="G56" s="426"/>
      <c r="H56" s="426"/>
      <c r="I56" s="88"/>
      <c r="J56" s="88"/>
      <c r="K56" s="426"/>
      <c r="L56" s="88"/>
      <c r="M56" s="88"/>
    </row>
    <row r="57" spans="1:13" s="430" customFormat="1" ht="13.5">
      <c r="A57" s="423"/>
      <c r="B57" s="428"/>
      <c r="C57" s="432" t="s">
        <v>299</v>
      </c>
      <c r="D57" s="102" t="s">
        <v>27</v>
      </c>
      <c r="E57" s="433">
        <v>0.086</v>
      </c>
      <c r="F57" s="426">
        <f>E57*F55</f>
        <v>2.5799999999999996</v>
      </c>
      <c r="G57" s="88"/>
      <c r="H57" s="88"/>
      <c r="I57" s="88"/>
      <c r="J57" s="88"/>
      <c r="K57" s="426"/>
      <c r="L57" s="88"/>
      <c r="M57" s="88"/>
    </row>
    <row r="58" spans="1:13" s="430" customFormat="1" ht="17.25" customHeight="1">
      <c r="A58" s="423"/>
      <c r="B58" s="428"/>
      <c r="C58" s="429" t="s">
        <v>300</v>
      </c>
      <c r="D58" s="102" t="s">
        <v>27</v>
      </c>
      <c r="E58" s="426">
        <v>0.015</v>
      </c>
      <c r="F58" s="426">
        <f>E58*F55</f>
        <v>0.44999999999999996</v>
      </c>
      <c r="G58" s="426"/>
      <c r="H58" s="88"/>
      <c r="I58" s="88"/>
      <c r="J58" s="88"/>
      <c r="K58" s="426"/>
      <c r="L58" s="88"/>
      <c r="M58" s="88"/>
    </row>
    <row r="59" spans="1:13" s="427" customFormat="1" ht="27">
      <c r="A59" s="423">
        <v>13</v>
      </c>
      <c r="B59" s="424" t="s">
        <v>301</v>
      </c>
      <c r="C59" s="425" t="s">
        <v>302</v>
      </c>
      <c r="D59" s="168" t="s">
        <v>82</v>
      </c>
      <c r="E59" s="423"/>
      <c r="F59" s="115">
        <v>30</v>
      </c>
      <c r="G59" s="426"/>
      <c r="H59" s="426"/>
      <c r="I59" s="88"/>
      <c r="J59" s="88"/>
      <c r="K59" s="426"/>
      <c r="L59" s="88"/>
      <c r="M59" s="88"/>
    </row>
    <row r="60" spans="1:13" s="430" customFormat="1" ht="13.5">
      <c r="A60" s="423"/>
      <c r="B60" s="428"/>
      <c r="C60" s="429" t="s">
        <v>3</v>
      </c>
      <c r="D60" s="102" t="s">
        <v>287</v>
      </c>
      <c r="E60" s="426">
        <v>0.046</v>
      </c>
      <c r="F60" s="426">
        <f>E60*F59</f>
        <v>1.38</v>
      </c>
      <c r="G60" s="426"/>
      <c r="H60" s="426"/>
      <c r="I60" s="88"/>
      <c r="J60" s="88"/>
      <c r="K60" s="426"/>
      <c r="L60" s="88"/>
      <c r="M60" s="88"/>
    </row>
    <row r="61" spans="1:13" s="430" customFormat="1" ht="13.5">
      <c r="A61" s="423"/>
      <c r="B61" s="428"/>
      <c r="C61" s="432" t="s">
        <v>303</v>
      </c>
      <c r="D61" s="102" t="s">
        <v>27</v>
      </c>
      <c r="E61" s="436">
        <v>0.3</v>
      </c>
      <c r="F61" s="426">
        <f>E61*F59</f>
        <v>9</v>
      </c>
      <c r="G61" s="88"/>
      <c r="H61" s="88"/>
      <c r="I61" s="88"/>
      <c r="J61" s="88"/>
      <c r="K61" s="426"/>
      <c r="L61" s="88"/>
      <c r="M61" s="88"/>
    </row>
    <row r="62" spans="1:13" s="430" customFormat="1" ht="17.25" customHeight="1">
      <c r="A62" s="423"/>
      <c r="B62" s="428"/>
      <c r="C62" s="429" t="s">
        <v>300</v>
      </c>
      <c r="D62" s="102" t="s">
        <v>27</v>
      </c>
      <c r="E62" s="426">
        <v>0.12</v>
      </c>
      <c r="F62" s="426">
        <f>E62*F59</f>
        <v>3.5999999999999996</v>
      </c>
      <c r="G62" s="426"/>
      <c r="H62" s="88"/>
      <c r="I62" s="88"/>
      <c r="J62" s="88"/>
      <c r="K62" s="426"/>
      <c r="L62" s="88"/>
      <c r="M62" s="88"/>
    </row>
    <row r="63" spans="1:13" s="173" customFormat="1" ht="13.5">
      <c r="A63" s="168"/>
      <c r="B63" s="410"/>
      <c r="C63" s="437" t="s">
        <v>2</v>
      </c>
      <c r="D63" s="438"/>
      <c r="E63" s="438"/>
      <c r="F63" s="438"/>
      <c r="G63" s="413"/>
      <c r="H63" s="439"/>
      <c r="I63" s="439"/>
      <c r="J63" s="439"/>
      <c r="K63" s="440"/>
      <c r="L63" s="439"/>
      <c r="M63" s="439"/>
    </row>
    <row r="64" spans="1:146" s="175" customFormat="1" ht="13.5">
      <c r="A64" s="441"/>
      <c r="B64" s="438"/>
      <c r="C64" s="372" t="s">
        <v>518</v>
      </c>
      <c r="D64" s="439" t="s">
        <v>517</v>
      </c>
      <c r="E64" s="439"/>
      <c r="F64" s="438"/>
      <c r="G64" s="439"/>
      <c r="H64" s="442"/>
      <c r="I64" s="443"/>
      <c r="J64" s="438"/>
      <c r="K64" s="444"/>
      <c r="L64" s="438"/>
      <c r="M64" s="439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</row>
    <row r="65" spans="1:146" s="175" customFormat="1" ht="13.5">
      <c r="A65" s="441"/>
      <c r="B65" s="438"/>
      <c r="C65" s="437" t="s">
        <v>2</v>
      </c>
      <c r="D65" s="439"/>
      <c r="E65" s="439"/>
      <c r="F65" s="438"/>
      <c r="G65" s="439"/>
      <c r="H65" s="442"/>
      <c r="I65" s="443"/>
      <c r="J65" s="438"/>
      <c r="K65" s="444"/>
      <c r="L65" s="438"/>
      <c r="M65" s="439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</row>
    <row r="66" spans="1:146" s="175" customFormat="1" ht="13.5">
      <c r="A66" s="441"/>
      <c r="B66" s="438"/>
      <c r="C66" s="437" t="s">
        <v>73</v>
      </c>
      <c r="D66" s="439" t="s">
        <v>517</v>
      </c>
      <c r="E66" s="439"/>
      <c r="F66" s="438"/>
      <c r="G66" s="439"/>
      <c r="H66" s="442"/>
      <c r="I66" s="443"/>
      <c r="J66" s="438"/>
      <c r="K66" s="444"/>
      <c r="L66" s="438"/>
      <c r="M66" s="439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</row>
    <row r="67" spans="1:146" s="175" customFormat="1" ht="13.5">
      <c r="A67" s="441"/>
      <c r="B67" s="438"/>
      <c r="C67" s="437" t="s">
        <v>304</v>
      </c>
      <c r="D67" s="439"/>
      <c r="E67" s="438"/>
      <c r="F67" s="438"/>
      <c r="G67" s="445"/>
      <c r="H67" s="446"/>
      <c r="I67" s="443"/>
      <c r="J67" s="438"/>
      <c r="K67" s="444"/>
      <c r="L67" s="438"/>
      <c r="M67" s="439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</row>
    <row r="68" spans="1:13" ht="13.5">
      <c r="A68" s="447"/>
      <c r="B68" s="448"/>
      <c r="C68" s="437" t="s">
        <v>69</v>
      </c>
      <c r="D68" s="439" t="s">
        <v>517</v>
      </c>
      <c r="E68" s="449"/>
      <c r="F68" s="449"/>
      <c r="G68" s="449"/>
      <c r="H68" s="449"/>
      <c r="I68" s="449"/>
      <c r="J68" s="449"/>
      <c r="K68" s="450"/>
      <c r="L68" s="449"/>
      <c r="M68" s="439"/>
    </row>
    <row r="69" spans="1:13" ht="13.5">
      <c r="A69" s="447"/>
      <c r="B69" s="448"/>
      <c r="C69" s="445" t="s">
        <v>305</v>
      </c>
      <c r="D69" s="449"/>
      <c r="E69" s="449"/>
      <c r="F69" s="449"/>
      <c r="G69" s="449"/>
      <c r="H69" s="449"/>
      <c r="I69" s="449"/>
      <c r="J69" s="449"/>
      <c r="K69" s="450"/>
      <c r="L69" s="449"/>
      <c r="M69" s="439"/>
    </row>
    <row r="71" spans="1:12" ht="13.5">
      <c r="A71" s="177"/>
      <c r="B71" s="672"/>
      <c r="C71" s="672"/>
      <c r="D71" s="178"/>
      <c r="E71" s="178"/>
      <c r="F71" s="179"/>
      <c r="G71" s="179"/>
      <c r="H71" s="179"/>
      <c r="I71" s="180"/>
      <c r="J71" s="180"/>
      <c r="K71" s="180"/>
      <c r="L71" s="180"/>
    </row>
    <row r="72" spans="1:12" ht="13.5">
      <c r="A72" s="177"/>
      <c r="B72" s="672"/>
      <c r="C72" s="672"/>
      <c r="D72" s="178"/>
      <c r="E72" s="178"/>
      <c r="F72" s="179"/>
      <c r="G72" s="673"/>
      <c r="H72" s="673"/>
      <c r="I72" s="180"/>
      <c r="J72" s="180"/>
      <c r="K72" s="180"/>
      <c r="L72" s="180"/>
    </row>
  </sheetData>
  <sheetProtection/>
  <mergeCells count="17">
    <mergeCell ref="G6:H6"/>
    <mergeCell ref="I6:J6"/>
    <mergeCell ref="K6:L6"/>
    <mergeCell ref="M6:M7"/>
    <mergeCell ref="B71:C71"/>
    <mergeCell ref="B72:C72"/>
    <mergeCell ref="G72:H72"/>
    <mergeCell ref="A1:M1"/>
    <mergeCell ref="A2:M2"/>
    <mergeCell ref="A3:M3"/>
    <mergeCell ref="A4:M4"/>
    <mergeCell ref="A5:M5"/>
    <mergeCell ref="A6:A7"/>
    <mergeCell ref="B6:B7"/>
    <mergeCell ref="C6:C7"/>
    <mergeCell ref="D6:D7"/>
    <mergeCell ref="E6:F6"/>
  </mergeCells>
  <conditionalFormatting sqref="GE14:IU62 C13 C15:C62 B9 D9 A12:B62 D12:GD62">
    <cfRule type="cellIs" priority="1" dxfId="0" operator="equal" stopIfTrue="1">
      <formula>8223.307275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A114"/>
  <sheetViews>
    <sheetView view="pageBreakPreview" zoomScale="80" zoomScaleSheetLayoutView="80" zoomScalePageLayoutView="0" workbookViewId="0" topLeftCell="A70">
      <selection activeCell="D109" sqref="D109"/>
    </sheetView>
  </sheetViews>
  <sheetFormatPr defaultColWidth="8.8515625" defaultRowHeight="12.75"/>
  <cols>
    <col min="1" max="1" width="4.7109375" style="181" customWidth="1"/>
    <col min="2" max="2" width="9.7109375" style="182" customWidth="1"/>
    <col min="3" max="3" width="52.7109375" style="176" customWidth="1"/>
    <col min="4" max="10" width="9.7109375" style="176" customWidth="1"/>
    <col min="11" max="11" width="9.7109375" style="183" customWidth="1"/>
    <col min="12" max="13" width="9.7109375" style="176" customWidth="1"/>
    <col min="14" max="157" width="8.7109375" style="176" customWidth="1"/>
    <col min="158" max="16384" width="8.8515625" style="176" customWidth="1"/>
  </cols>
  <sheetData>
    <row r="1" spans="1:13" s="451" customFormat="1" ht="15.75" customHeight="1">
      <c r="A1" s="662" t="s">
        <v>366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3" s="451" customFormat="1" ht="15.75" customHeight="1">
      <c r="A2" s="663" t="e">
        <f>#REF!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3" s="451" customFormat="1" ht="15.75" customHeight="1">
      <c r="A3" s="663" t="str">
        <f>'1-1'!C11</f>
        <v>sasmeli wylis rezervuari  ტექნოლოგია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s="451" customFormat="1" ht="16.5">
      <c r="A4" s="674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</row>
    <row r="5" spans="1:13" s="167" customFormat="1" ht="13.5">
      <c r="A5" s="665" t="s">
        <v>242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</row>
    <row r="6" spans="1:13" s="167" customFormat="1" ht="26.25" customHeight="1">
      <c r="A6" s="666" t="s">
        <v>1</v>
      </c>
      <c r="B6" s="667" t="s">
        <v>243</v>
      </c>
      <c r="C6" s="666" t="s">
        <v>244</v>
      </c>
      <c r="D6" s="666" t="s">
        <v>245</v>
      </c>
      <c r="E6" s="669" t="s">
        <v>246</v>
      </c>
      <c r="F6" s="670"/>
      <c r="G6" s="669" t="s">
        <v>247</v>
      </c>
      <c r="H6" s="670"/>
      <c r="I6" s="669" t="s">
        <v>248</v>
      </c>
      <c r="J6" s="670"/>
      <c r="K6" s="669" t="s">
        <v>249</v>
      </c>
      <c r="L6" s="670"/>
      <c r="M6" s="671" t="s">
        <v>2</v>
      </c>
    </row>
    <row r="7" spans="1:13" s="167" customFormat="1" ht="26.25" customHeight="1">
      <c r="A7" s="666"/>
      <c r="B7" s="668"/>
      <c r="C7" s="666"/>
      <c r="D7" s="666"/>
      <c r="E7" s="168" t="s">
        <v>250</v>
      </c>
      <c r="F7" s="79" t="s">
        <v>19</v>
      </c>
      <c r="G7" s="168" t="s">
        <v>251</v>
      </c>
      <c r="H7" s="169" t="s">
        <v>2</v>
      </c>
      <c r="I7" s="170" t="s">
        <v>251</v>
      </c>
      <c r="J7" s="79" t="s">
        <v>2</v>
      </c>
      <c r="K7" s="171" t="s">
        <v>251</v>
      </c>
      <c r="L7" s="79" t="s">
        <v>2</v>
      </c>
      <c r="M7" s="671"/>
    </row>
    <row r="8" spans="1:13" s="167" customFormat="1" ht="13.5">
      <c r="A8" s="79">
        <v>1</v>
      </c>
      <c r="B8" s="74">
        <v>2</v>
      </c>
      <c r="C8" s="79">
        <v>3</v>
      </c>
      <c r="D8" s="74">
        <v>4</v>
      </c>
      <c r="E8" s="79">
        <v>5</v>
      </c>
      <c r="F8" s="74">
        <v>6</v>
      </c>
      <c r="G8" s="80">
        <v>7</v>
      </c>
      <c r="H8" s="74">
        <v>8</v>
      </c>
      <c r="I8" s="79">
        <v>9</v>
      </c>
      <c r="J8" s="74">
        <v>10</v>
      </c>
      <c r="K8" s="172">
        <v>11</v>
      </c>
      <c r="L8" s="74" t="s">
        <v>156</v>
      </c>
      <c r="M8" s="74" t="s">
        <v>252</v>
      </c>
    </row>
    <row r="9" spans="1:13" s="455" customFormat="1" ht="12.75">
      <c r="A9" s="452">
        <v>1</v>
      </c>
      <c r="B9" s="453" t="s">
        <v>306</v>
      </c>
      <c r="C9" s="454" t="s">
        <v>389</v>
      </c>
      <c r="D9" s="252" t="s">
        <v>307</v>
      </c>
      <c r="E9" s="452"/>
      <c r="F9" s="261">
        <v>55</v>
      </c>
      <c r="G9" s="452"/>
      <c r="H9" s="452"/>
      <c r="I9" s="261"/>
      <c r="J9" s="261"/>
      <c r="K9" s="452"/>
      <c r="L9" s="261"/>
      <c r="M9" s="261"/>
    </row>
    <row r="10" spans="1:13" s="459" customFormat="1" ht="12.75">
      <c r="A10" s="452"/>
      <c r="B10" s="456"/>
      <c r="C10" s="457" t="s">
        <v>308</v>
      </c>
      <c r="D10" s="458" t="s">
        <v>287</v>
      </c>
      <c r="E10" s="433">
        <v>0.863</v>
      </c>
      <c r="F10" s="433">
        <f>E10*F9</f>
        <v>47.464999999999996</v>
      </c>
      <c r="G10" s="433"/>
      <c r="H10" s="433"/>
      <c r="I10" s="263"/>
      <c r="J10" s="263"/>
      <c r="K10" s="433"/>
      <c r="L10" s="263"/>
      <c r="M10" s="263"/>
    </row>
    <row r="11" spans="1:13" s="459" customFormat="1" ht="12.75">
      <c r="A11" s="452"/>
      <c r="B11" s="456"/>
      <c r="C11" s="457" t="s">
        <v>309</v>
      </c>
      <c r="D11" s="458" t="s">
        <v>0</v>
      </c>
      <c r="E11" s="433">
        <v>0.0678</v>
      </c>
      <c r="F11" s="433">
        <f>E11*F9</f>
        <v>3.729</v>
      </c>
      <c r="G11" s="433"/>
      <c r="H11" s="433"/>
      <c r="I11" s="263"/>
      <c r="J11" s="263"/>
      <c r="K11" s="433"/>
      <c r="L11" s="263"/>
      <c r="M11" s="263"/>
    </row>
    <row r="12" spans="1:13" s="459" customFormat="1" ht="12.75">
      <c r="A12" s="452"/>
      <c r="B12" s="456"/>
      <c r="C12" s="457" t="s">
        <v>310</v>
      </c>
      <c r="D12" s="458" t="s">
        <v>311</v>
      </c>
      <c r="E12" s="436">
        <v>1</v>
      </c>
      <c r="F12" s="263">
        <f>E12*F9</f>
        <v>55</v>
      </c>
      <c r="G12" s="263"/>
      <c r="H12" s="263"/>
      <c r="I12" s="263"/>
      <c r="J12" s="263"/>
      <c r="K12" s="433"/>
      <c r="L12" s="263"/>
      <c r="M12" s="263"/>
    </row>
    <row r="13" spans="1:13" s="459" customFormat="1" ht="12.75">
      <c r="A13" s="452"/>
      <c r="B13" s="456"/>
      <c r="C13" s="457" t="s">
        <v>312</v>
      </c>
      <c r="D13" s="458" t="s">
        <v>0</v>
      </c>
      <c r="E13" s="433">
        <v>0.0424</v>
      </c>
      <c r="F13" s="433">
        <f>E13*F9</f>
        <v>2.332</v>
      </c>
      <c r="G13" s="433"/>
      <c r="H13" s="263"/>
      <c r="I13" s="263"/>
      <c r="J13" s="263"/>
      <c r="K13" s="433"/>
      <c r="L13" s="263"/>
      <c r="M13" s="263"/>
    </row>
    <row r="14" spans="1:13" s="459" customFormat="1" ht="12.75">
      <c r="A14" s="452">
        <v>2</v>
      </c>
      <c r="B14" s="453" t="s">
        <v>313</v>
      </c>
      <c r="C14" s="454" t="s">
        <v>314</v>
      </c>
      <c r="D14" s="252" t="s">
        <v>307</v>
      </c>
      <c r="E14" s="436"/>
      <c r="F14" s="261">
        <v>1</v>
      </c>
      <c r="G14" s="263"/>
      <c r="H14" s="263"/>
      <c r="I14" s="263"/>
      <c r="J14" s="263"/>
      <c r="K14" s="433"/>
      <c r="L14" s="263"/>
      <c r="M14" s="263"/>
    </row>
    <row r="15" spans="1:13" s="459" customFormat="1" ht="12.75">
      <c r="A15" s="452"/>
      <c r="B15" s="456"/>
      <c r="C15" s="457" t="s">
        <v>315</v>
      </c>
      <c r="D15" s="458" t="s">
        <v>287</v>
      </c>
      <c r="E15" s="433">
        <v>0.663</v>
      </c>
      <c r="F15" s="433">
        <f>E15*F14</f>
        <v>0.663</v>
      </c>
      <c r="G15" s="433"/>
      <c r="H15" s="433"/>
      <c r="I15" s="263"/>
      <c r="J15" s="263"/>
      <c r="K15" s="433"/>
      <c r="L15" s="263"/>
      <c r="M15" s="263"/>
    </row>
    <row r="16" spans="1:13" s="459" customFormat="1" ht="12.75">
      <c r="A16" s="452"/>
      <c r="B16" s="456"/>
      <c r="C16" s="457" t="s">
        <v>309</v>
      </c>
      <c r="D16" s="458" t="s">
        <v>0</v>
      </c>
      <c r="E16" s="433">
        <v>0.046</v>
      </c>
      <c r="F16" s="433">
        <f>E16*F14</f>
        <v>0.046</v>
      </c>
      <c r="G16" s="433"/>
      <c r="H16" s="433"/>
      <c r="I16" s="263"/>
      <c r="J16" s="263"/>
      <c r="K16" s="433"/>
      <c r="L16" s="263"/>
      <c r="M16" s="263"/>
    </row>
    <row r="17" spans="1:13" s="459" customFormat="1" ht="12.75">
      <c r="A17" s="452"/>
      <c r="B17" s="456"/>
      <c r="C17" s="457" t="s">
        <v>316</v>
      </c>
      <c r="D17" s="458" t="s">
        <v>311</v>
      </c>
      <c r="E17" s="263">
        <v>1</v>
      </c>
      <c r="F17" s="263">
        <f>E17*F14</f>
        <v>1</v>
      </c>
      <c r="G17" s="263"/>
      <c r="H17" s="263"/>
      <c r="I17" s="263"/>
      <c r="J17" s="263"/>
      <c r="K17" s="433"/>
      <c r="L17" s="263"/>
      <c r="M17" s="263"/>
    </row>
    <row r="18" spans="1:13" s="459" customFormat="1" ht="12.75">
      <c r="A18" s="452"/>
      <c r="B18" s="456"/>
      <c r="C18" s="457" t="s">
        <v>312</v>
      </c>
      <c r="D18" s="458" t="s">
        <v>0</v>
      </c>
      <c r="E18" s="433">
        <v>0.028</v>
      </c>
      <c r="F18" s="433">
        <f>E18*F14</f>
        <v>0.028</v>
      </c>
      <c r="G18" s="433"/>
      <c r="H18" s="263"/>
      <c r="I18" s="263"/>
      <c r="J18" s="263"/>
      <c r="K18" s="433"/>
      <c r="L18" s="263"/>
      <c r="M18" s="263"/>
    </row>
    <row r="19" spans="1:13" s="459" customFormat="1" ht="12.75">
      <c r="A19" s="452">
        <v>3</v>
      </c>
      <c r="B19" s="453" t="s">
        <v>313</v>
      </c>
      <c r="C19" s="454" t="s">
        <v>317</v>
      </c>
      <c r="D19" s="252" t="s">
        <v>307</v>
      </c>
      <c r="E19" s="436"/>
      <c r="F19" s="261">
        <v>4</v>
      </c>
      <c r="G19" s="263"/>
      <c r="H19" s="263"/>
      <c r="I19" s="263"/>
      <c r="J19" s="263"/>
      <c r="K19" s="433"/>
      <c r="L19" s="263"/>
      <c r="M19" s="263"/>
    </row>
    <row r="20" spans="1:13" s="459" customFormat="1" ht="12.75">
      <c r="A20" s="452"/>
      <c r="B20" s="456"/>
      <c r="C20" s="457" t="s">
        <v>315</v>
      </c>
      <c r="D20" s="458" t="s">
        <v>287</v>
      </c>
      <c r="E20" s="433">
        <v>0.663</v>
      </c>
      <c r="F20" s="433">
        <f>E20*F19</f>
        <v>2.652</v>
      </c>
      <c r="G20" s="433"/>
      <c r="H20" s="433"/>
      <c r="I20" s="263"/>
      <c r="J20" s="263"/>
      <c r="K20" s="433"/>
      <c r="L20" s="263"/>
      <c r="M20" s="263"/>
    </row>
    <row r="21" spans="1:13" s="459" customFormat="1" ht="12.75">
      <c r="A21" s="452"/>
      <c r="B21" s="456"/>
      <c r="C21" s="457" t="s">
        <v>309</v>
      </c>
      <c r="D21" s="458" t="s">
        <v>0</v>
      </c>
      <c r="E21" s="433">
        <v>0.046</v>
      </c>
      <c r="F21" s="433">
        <f>E21*F19</f>
        <v>0.184</v>
      </c>
      <c r="G21" s="433"/>
      <c r="H21" s="433"/>
      <c r="I21" s="263"/>
      <c r="J21" s="263"/>
      <c r="K21" s="433"/>
      <c r="L21" s="263"/>
      <c r="M21" s="263"/>
    </row>
    <row r="22" spans="1:13" s="459" customFormat="1" ht="12.75">
      <c r="A22" s="452"/>
      <c r="B22" s="456"/>
      <c r="C22" s="457" t="s">
        <v>318</v>
      </c>
      <c r="D22" s="458" t="s">
        <v>311</v>
      </c>
      <c r="E22" s="263">
        <v>1</v>
      </c>
      <c r="F22" s="263">
        <f>E22*F19</f>
        <v>4</v>
      </c>
      <c r="G22" s="263"/>
      <c r="H22" s="263"/>
      <c r="I22" s="263"/>
      <c r="J22" s="263"/>
      <c r="K22" s="433"/>
      <c r="L22" s="263"/>
      <c r="M22" s="263"/>
    </row>
    <row r="23" spans="1:13" s="459" customFormat="1" ht="12.75">
      <c r="A23" s="452"/>
      <c r="B23" s="456"/>
      <c r="C23" s="457" t="s">
        <v>312</v>
      </c>
      <c r="D23" s="458" t="s">
        <v>0</v>
      </c>
      <c r="E23" s="433">
        <v>0.028</v>
      </c>
      <c r="F23" s="433">
        <f>E23*F19</f>
        <v>0.112</v>
      </c>
      <c r="G23" s="433"/>
      <c r="H23" s="263"/>
      <c r="I23" s="263"/>
      <c r="J23" s="263"/>
      <c r="K23" s="433"/>
      <c r="L23" s="263"/>
      <c r="M23" s="263"/>
    </row>
    <row r="24" spans="1:13" s="459" customFormat="1" ht="12.75">
      <c r="A24" s="452">
        <v>4</v>
      </c>
      <c r="B24" s="453" t="s">
        <v>313</v>
      </c>
      <c r="C24" s="454" t="s">
        <v>388</v>
      </c>
      <c r="D24" s="252" t="s">
        <v>307</v>
      </c>
      <c r="E24" s="436"/>
      <c r="F24" s="261">
        <v>0.3</v>
      </c>
      <c r="G24" s="263"/>
      <c r="H24" s="263"/>
      <c r="I24" s="263"/>
      <c r="J24" s="263"/>
      <c r="K24" s="433"/>
      <c r="L24" s="263"/>
      <c r="M24" s="263"/>
    </row>
    <row r="25" spans="1:13" s="459" customFormat="1" ht="12.75">
      <c r="A25" s="452"/>
      <c r="B25" s="456"/>
      <c r="C25" s="457" t="s">
        <v>315</v>
      </c>
      <c r="D25" s="458" t="s">
        <v>287</v>
      </c>
      <c r="E25" s="433">
        <v>0.663</v>
      </c>
      <c r="F25" s="433">
        <f>E25*F24</f>
        <v>0.1989</v>
      </c>
      <c r="G25" s="433"/>
      <c r="H25" s="433"/>
      <c r="I25" s="263"/>
      <c r="J25" s="263"/>
      <c r="K25" s="433"/>
      <c r="L25" s="263"/>
      <c r="M25" s="263"/>
    </row>
    <row r="26" spans="1:13" s="459" customFormat="1" ht="12.75">
      <c r="A26" s="452"/>
      <c r="B26" s="456"/>
      <c r="C26" s="457" t="s">
        <v>309</v>
      </c>
      <c r="D26" s="458" t="s">
        <v>0</v>
      </c>
      <c r="E26" s="433">
        <v>0.046</v>
      </c>
      <c r="F26" s="433">
        <f>E26*F24</f>
        <v>0.0138</v>
      </c>
      <c r="G26" s="433"/>
      <c r="H26" s="433"/>
      <c r="I26" s="263"/>
      <c r="J26" s="263"/>
      <c r="K26" s="433"/>
      <c r="L26" s="263"/>
      <c r="M26" s="263"/>
    </row>
    <row r="27" spans="1:13" s="459" customFormat="1" ht="12.75">
      <c r="A27" s="452"/>
      <c r="B27" s="456"/>
      <c r="C27" s="457" t="s">
        <v>319</v>
      </c>
      <c r="D27" s="458" t="s">
        <v>311</v>
      </c>
      <c r="E27" s="263">
        <v>1</v>
      </c>
      <c r="F27" s="263">
        <f>E27*F24</f>
        <v>0.3</v>
      </c>
      <c r="G27" s="263"/>
      <c r="H27" s="263"/>
      <c r="I27" s="263"/>
      <c r="J27" s="263"/>
      <c r="K27" s="433"/>
      <c r="L27" s="263"/>
      <c r="M27" s="263"/>
    </row>
    <row r="28" spans="1:13" s="459" customFormat="1" ht="12.75">
      <c r="A28" s="452"/>
      <c r="B28" s="456"/>
      <c r="C28" s="457" t="s">
        <v>312</v>
      </c>
      <c r="D28" s="458" t="s">
        <v>0</v>
      </c>
      <c r="E28" s="433">
        <v>0.028</v>
      </c>
      <c r="F28" s="433">
        <f>E28*F24</f>
        <v>0.0084</v>
      </c>
      <c r="G28" s="433"/>
      <c r="H28" s="263"/>
      <c r="I28" s="263"/>
      <c r="J28" s="263"/>
      <c r="K28" s="433"/>
      <c r="L28" s="263"/>
      <c r="M28" s="263"/>
    </row>
    <row r="29" spans="1:13" s="459" customFormat="1" ht="27">
      <c r="A29" s="452">
        <v>5</v>
      </c>
      <c r="B29" s="453" t="s">
        <v>47</v>
      </c>
      <c r="C29" s="460" t="s">
        <v>387</v>
      </c>
      <c r="D29" s="252" t="s">
        <v>307</v>
      </c>
      <c r="E29" s="436"/>
      <c r="F29" s="261">
        <v>20</v>
      </c>
      <c r="G29" s="263"/>
      <c r="H29" s="263"/>
      <c r="I29" s="263"/>
      <c r="J29" s="263"/>
      <c r="K29" s="433"/>
      <c r="L29" s="263"/>
      <c r="M29" s="263"/>
    </row>
    <row r="30" spans="1:13" s="459" customFormat="1" ht="12.75">
      <c r="A30" s="452"/>
      <c r="B30" s="456"/>
      <c r="C30" s="457" t="s">
        <v>152</v>
      </c>
      <c r="D30" s="458" t="s">
        <v>111</v>
      </c>
      <c r="E30" s="433">
        <v>0.583</v>
      </c>
      <c r="F30" s="433">
        <f>E30*F29</f>
        <v>11.66</v>
      </c>
      <c r="G30" s="433"/>
      <c r="H30" s="433"/>
      <c r="I30" s="263"/>
      <c r="J30" s="263"/>
      <c r="K30" s="433"/>
      <c r="L30" s="263"/>
      <c r="M30" s="263"/>
    </row>
    <row r="31" spans="1:13" s="459" customFormat="1" ht="12.75">
      <c r="A31" s="452"/>
      <c r="B31" s="456"/>
      <c r="C31" s="457" t="s">
        <v>154</v>
      </c>
      <c r="D31" s="458" t="s">
        <v>0</v>
      </c>
      <c r="E31" s="433">
        <f>0.46/100</f>
        <v>0.0046</v>
      </c>
      <c r="F31" s="433">
        <f>E31*F29</f>
        <v>0.092</v>
      </c>
      <c r="G31" s="433"/>
      <c r="H31" s="433"/>
      <c r="I31" s="263"/>
      <c r="J31" s="263"/>
      <c r="K31" s="433"/>
      <c r="L31" s="263"/>
      <c r="M31" s="263"/>
    </row>
    <row r="32" spans="1:13" s="459" customFormat="1" ht="12.75">
      <c r="A32" s="452"/>
      <c r="B32" s="456"/>
      <c r="C32" s="457" t="s">
        <v>320</v>
      </c>
      <c r="D32" s="458" t="s">
        <v>311</v>
      </c>
      <c r="E32" s="263" t="s">
        <v>219</v>
      </c>
      <c r="F32" s="263">
        <f>F29</f>
        <v>20</v>
      </c>
      <c r="G32" s="263"/>
      <c r="H32" s="263"/>
      <c r="I32" s="263"/>
      <c r="J32" s="263"/>
      <c r="K32" s="433"/>
      <c r="L32" s="263"/>
      <c r="M32" s="263"/>
    </row>
    <row r="33" spans="1:13" s="459" customFormat="1" ht="12.75">
      <c r="A33" s="452"/>
      <c r="B33" s="456"/>
      <c r="C33" s="457" t="s">
        <v>155</v>
      </c>
      <c r="D33" s="458" t="s">
        <v>27</v>
      </c>
      <c r="E33" s="433">
        <v>0.235</v>
      </c>
      <c r="F33" s="433">
        <f>E33*F29</f>
        <v>4.699999999999999</v>
      </c>
      <c r="G33" s="433"/>
      <c r="H33" s="263"/>
      <c r="I33" s="263"/>
      <c r="J33" s="263"/>
      <c r="K33" s="433"/>
      <c r="L33" s="263"/>
      <c r="M33" s="263"/>
    </row>
    <row r="34" spans="1:13" s="459" customFormat="1" ht="12.75">
      <c r="A34" s="433"/>
      <c r="B34" s="461"/>
      <c r="C34" s="457" t="s">
        <v>6</v>
      </c>
      <c r="D34" s="281" t="s">
        <v>0</v>
      </c>
      <c r="E34" s="436">
        <v>0.208</v>
      </c>
      <c r="F34" s="263">
        <f>E34*F29</f>
        <v>4.16</v>
      </c>
      <c r="G34" s="263"/>
      <c r="H34" s="263"/>
      <c r="I34" s="263"/>
      <c r="J34" s="263"/>
      <c r="K34" s="433"/>
      <c r="L34" s="263"/>
      <c r="M34" s="263"/>
    </row>
    <row r="35" spans="1:157" s="59" customFormat="1" ht="13.5">
      <c r="A35" s="186">
        <v>6</v>
      </c>
      <c r="B35" s="187" t="s">
        <v>42</v>
      </c>
      <c r="C35" s="462" t="s">
        <v>321</v>
      </c>
      <c r="D35" s="186" t="s">
        <v>30</v>
      </c>
      <c r="E35" s="186"/>
      <c r="F35" s="188">
        <v>0.02</v>
      </c>
      <c r="G35" s="188"/>
      <c r="H35" s="188"/>
      <c r="I35" s="188"/>
      <c r="J35" s="188"/>
      <c r="K35" s="188"/>
      <c r="L35" s="188"/>
      <c r="M35" s="188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</row>
    <row r="36" spans="1:157" s="59" customFormat="1" ht="12.75">
      <c r="A36" s="189"/>
      <c r="B36" s="190"/>
      <c r="C36" s="191" t="s">
        <v>3</v>
      </c>
      <c r="D36" s="189" t="s">
        <v>4</v>
      </c>
      <c r="E36" s="189">
        <v>305</v>
      </c>
      <c r="F36" s="192">
        <f>E36*F35</f>
        <v>6.1000000000000005</v>
      </c>
      <c r="G36" s="192"/>
      <c r="H36" s="192"/>
      <c r="I36" s="192"/>
      <c r="J36" s="192"/>
      <c r="K36" s="192"/>
      <c r="L36" s="192"/>
      <c r="M36" s="192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</row>
    <row r="37" spans="1:13" s="459" customFormat="1" ht="12.75">
      <c r="A37" s="452"/>
      <c r="B37" s="456"/>
      <c r="C37" s="457" t="s">
        <v>154</v>
      </c>
      <c r="D37" s="458" t="s">
        <v>0</v>
      </c>
      <c r="E37" s="433">
        <v>162</v>
      </c>
      <c r="F37" s="433">
        <f>E37*F35</f>
        <v>3.24</v>
      </c>
      <c r="G37" s="433"/>
      <c r="H37" s="433"/>
      <c r="I37" s="263"/>
      <c r="J37" s="263"/>
      <c r="K37" s="433"/>
      <c r="L37" s="263"/>
      <c r="M37" s="263"/>
    </row>
    <row r="38" spans="1:157" s="59" customFormat="1" ht="13.5">
      <c r="A38" s="189"/>
      <c r="B38" s="190"/>
      <c r="C38" s="457" t="s">
        <v>322</v>
      </c>
      <c r="D38" s="458" t="s">
        <v>111</v>
      </c>
      <c r="E38" s="189" t="s">
        <v>323</v>
      </c>
      <c r="F38" s="463">
        <v>1</v>
      </c>
      <c r="G38" s="463"/>
      <c r="H38" s="263"/>
      <c r="I38" s="263"/>
      <c r="J38" s="263"/>
      <c r="K38" s="433"/>
      <c r="L38" s="263"/>
      <c r="M38" s="263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</row>
    <row r="39" spans="1:157" s="59" customFormat="1" ht="13.5">
      <c r="A39" s="189"/>
      <c r="B39" s="190"/>
      <c r="C39" s="457" t="s">
        <v>324</v>
      </c>
      <c r="D39" s="458" t="s">
        <v>111</v>
      </c>
      <c r="E39" s="189" t="s">
        <v>323</v>
      </c>
      <c r="F39" s="463">
        <v>3</v>
      </c>
      <c r="G39" s="463"/>
      <c r="H39" s="263"/>
      <c r="I39" s="263"/>
      <c r="J39" s="263"/>
      <c r="K39" s="433"/>
      <c r="L39" s="263"/>
      <c r="M39" s="263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</row>
    <row r="40" spans="1:157" s="59" customFormat="1" ht="13.5">
      <c r="A40" s="189"/>
      <c r="B40" s="190"/>
      <c r="C40" s="457" t="s">
        <v>325</v>
      </c>
      <c r="D40" s="458" t="s">
        <v>111</v>
      </c>
      <c r="E40" s="189" t="s">
        <v>323</v>
      </c>
      <c r="F40" s="463">
        <v>1</v>
      </c>
      <c r="G40" s="463"/>
      <c r="H40" s="263"/>
      <c r="I40" s="263"/>
      <c r="J40" s="263"/>
      <c r="K40" s="433"/>
      <c r="L40" s="263"/>
      <c r="M40" s="263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</row>
    <row r="41" spans="1:157" s="59" customFormat="1" ht="13.5">
      <c r="A41" s="189"/>
      <c r="B41" s="190"/>
      <c r="C41" s="457" t="s">
        <v>326</v>
      </c>
      <c r="D41" s="458" t="s">
        <v>111</v>
      </c>
      <c r="E41" s="189" t="s">
        <v>323</v>
      </c>
      <c r="F41" s="463">
        <v>1</v>
      </c>
      <c r="G41" s="463"/>
      <c r="H41" s="263"/>
      <c r="I41" s="263"/>
      <c r="J41" s="263"/>
      <c r="K41" s="433"/>
      <c r="L41" s="263"/>
      <c r="M41" s="263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</row>
    <row r="42" spans="1:157" s="59" customFormat="1" ht="12.75">
      <c r="A42" s="189"/>
      <c r="B42" s="190"/>
      <c r="C42" s="457" t="s">
        <v>327</v>
      </c>
      <c r="D42" s="458" t="s">
        <v>111</v>
      </c>
      <c r="E42" s="189" t="s">
        <v>323</v>
      </c>
      <c r="F42" s="463">
        <v>1</v>
      </c>
      <c r="G42" s="463"/>
      <c r="H42" s="263"/>
      <c r="I42" s="263"/>
      <c r="J42" s="263"/>
      <c r="K42" s="433"/>
      <c r="L42" s="263"/>
      <c r="M42" s="263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</row>
    <row r="43" spans="1:157" s="59" customFormat="1" ht="13.5">
      <c r="A43" s="189"/>
      <c r="B43" s="190"/>
      <c r="C43" s="457" t="s">
        <v>328</v>
      </c>
      <c r="D43" s="458" t="s">
        <v>111</v>
      </c>
      <c r="E43" s="189" t="s">
        <v>323</v>
      </c>
      <c r="F43" s="463">
        <v>2</v>
      </c>
      <c r="G43" s="463"/>
      <c r="H43" s="263"/>
      <c r="I43" s="263"/>
      <c r="J43" s="263"/>
      <c r="K43" s="433"/>
      <c r="L43" s="263"/>
      <c r="M43" s="263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</row>
    <row r="44" spans="1:157" s="59" customFormat="1" ht="13.5">
      <c r="A44" s="189"/>
      <c r="B44" s="190"/>
      <c r="C44" s="457" t="s">
        <v>329</v>
      </c>
      <c r="D44" s="458" t="s">
        <v>111</v>
      </c>
      <c r="E44" s="189" t="s">
        <v>323</v>
      </c>
      <c r="F44" s="463">
        <v>6</v>
      </c>
      <c r="G44" s="463"/>
      <c r="H44" s="263"/>
      <c r="I44" s="263"/>
      <c r="J44" s="263"/>
      <c r="K44" s="433"/>
      <c r="L44" s="263"/>
      <c r="M44" s="263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</row>
    <row r="45" spans="1:157" s="59" customFormat="1" ht="13.5">
      <c r="A45" s="189"/>
      <c r="B45" s="190"/>
      <c r="C45" s="457" t="s">
        <v>330</v>
      </c>
      <c r="D45" s="458" t="s">
        <v>111</v>
      </c>
      <c r="E45" s="189" t="s">
        <v>323</v>
      </c>
      <c r="F45" s="463">
        <v>2</v>
      </c>
      <c r="G45" s="463"/>
      <c r="H45" s="263"/>
      <c r="I45" s="263"/>
      <c r="J45" s="263"/>
      <c r="K45" s="433"/>
      <c r="L45" s="263"/>
      <c r="M45" s="263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</row>
    <row r="46" spans="1:157" s="59" customFormat="1" ht="12.75">
      <c r="A46" s="189"/>
      <c r="B46" s="190"/>
      <c r="C46" s="457" t="s">
        <v>331</v>
      </c>
      <c r="D46" s="458" t="s">
        <v>7</v>
      </c>
      <c r="E46" s="189" t="s">
        <v>323</v>
      </c>
      <c r="F46" s="464">
        <v>0.5</v>
      </c>
      <c r="G46" s="464"/>
      <c r="H46" s="263"/>
      <c r="I46" s="263"/>
      <c r="J46" s="263"/>
      <c r="K46" s="433"/>
      <c r="L46" s="263"/>
      <c r="M46" s="263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</row>
    <row r="47" spans="1:157" s="59" customFormat="1" ht="12.75">
      <c r="A47" s="189"/>
      <c r="B47" s="190"/>
      <c r="C47" s="457" t="s">
        <v>332</v>
      </c>
      <c r="D47" s="458" t="s">
        <v>111</v>
      </c>
      <c r="E47" s="189" t="s">
        <v>323</v>
      </c>
      <c r="F47" s="463">
        <v>1</v>
      </c>
      <c r="G47" s="463"/>
      <c r="H47" s="263"/>
      <c r="I47" s="263"/>
      <c r="J47" s="263"/>
      <c r="K47" s="433"/>
      <c r="L47" s="263"/>
      <c r="M47" s="263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</row>
    <row r="48" spans="1:13" s="459" customFormat="1" ht="12.75">
      <c r="A48" s="433"/>
      <c r="B48" s="461"/>
      <c r="C48" s="457" t="s">
        <v>6</v>
      </c>
      <c r="D48" s="281" t="s">
        <v>0</v>
      </c>
      <c r="E48" s="436">
        <v>49.2</v>
      </c>
      <c r="F48" s="263">
        <f>E48*F35</f>
        <v>0.9840000000000001</v>
      </c>
      <c r="G48" s="263"/>
      <c r="H48" s="263"/>
      <c r="I48" s="263"/>
      <c r="J48" s="263"/>
      <c r="K48" s="433"/>
      <c r="L48" s="263"/>
      <c r="M48" s="263"/>
    </row>
    <row r="49" spans="1:14" s="91" customFormat="1" ht="13.5">
      <c r="A49" s="465">
        <v>7</v>
      </c>
      <c r="B49" s="363" t="s">
        <v>333</v>
      </c>
      <c r="C49" s="462" t="s">
        <v>334</v>
      </c>
      <c r="D49" s="362" t="s">
        <v>8</v>
      </c>
      <c r="E49" s="362"/>
      <c r="F49" s="117">
        <v>1</v>
      </c>
      <c r="G49" s="88"/>
      <c r="H49" s="466"/>
      <c r="I49" s="466"/>
      <c r="J49" s="466"/>
      <c r="K49" s="466"/>
      <c r="L49" s="466"/>
      <c r="M49" s="467"/>
      <c r="N49" s="468"/>
    </row>
    <row r="50" spans="1:14" s="91" customFormat="1" ht="13.5">
      <c r="A50" s="465"/>
      <c r="B50" s="469"/>
      <c r="C50" s="470" t="s">
        <v>66</v>
      </c>
      <c r="D50" s="471" t="s">
        <v>67</v>
      </c>
      <c r="E50" s="70">
        <f>2.29</f>
        <v>2.29</v>
      </c>
      <c r="F50" s="466">
        <f>F49*E50</f>
        <v>2.29</v>
      </c>
      <c r="G50" s="472"/>
      <c r="H50" s="473"/>
      <c r="I50" s="466"/>
      <c r="J50" s="466"/>
      <c r="K50" s="466"/>
      <c r="L50" s="466"/>
      <c r="M50" s="466"/>
      <c r="N50" s="468"/>
    </row>
    <row r="51" spans="1:14" s="91" customFormat="1" ht="13.5">
      <c r="A51" s="465"/>
      <c r="B51" s="474"/>
      <c r="C51" s="470" t="s">
        <v>68</v>
      </c>
      <c r="D51" s="471" t="s">
        <v>0</v>
      </c>
      <c r="E51" s="70">
        <f>0.09</f>
        <v>0.09</v>
      </c>
      <c r="F51" s="466">
        <f>F49*E51</f>
        <v>0.09</v>
      </c>
      <c r="G51" s="466"/>
      <c r="H51" s="466"/>
      <c r="I51" s="466"/>
      <c r="J51" s="466"/>
      <c r="K51" s="466"/>
      <c r="L51" s="466"/>
      <c r="M51" s="466"/>
      <c r="N51" s="468"/>
    </row>
    <row r="52" spans="1:14" s="91" customFormat="1" ht="13.5">
      <c r="A52" s="465"/>
      <c r="B52" s="475"/>
      <c r="C52" s="476" t="s">
        <v>335</v>
      </c>
      <c r="D52" s="471" t="s">
        <v>8</v>
      </c>
      <c r="E52" s="70">
        <v>1</v>
      </c>
      <c r="F52" s="466">
        <f>F49*E52</f>
        <v>1</v>
      </c>
      <c r="G52" s="466"/>
      <c r="H52" s="466"/>
      <c r="I52" s="466"/>
      <c r="J52" s="466"/>
      <c r="K52" s="466"/>
      <c r="L52" s="466"/>
      <c r="M52" s="466"/>
      <c r="N52" s="468"/>
    </row>
    <row r="53" spans="1:14" s="91" customFormat="1" ht="13.5">
      <c r="A53" s="465"/>
      <c r="B53" s="474"/>
      <c r="C53" s="470" t="s">
        <v>6</v>
      </c>
      <c r="D53" s="471" t="s">
        <v>0</v>
      </c>
      <c r="E53" s="70">
        <v>0.68</v>
      </c>
      <c r="F53" s="466">
        <f>F49*E53</f>
        <v>0.68</v>
      </c>
      <c r="G53" s="466"/>
      <c r="H53" s="466"/>
      <c r="I53" s="466"/>
      <c r="J53" s="466"/>
      <c r="K53" s="466"/>
      <c r="L53" s="466"/>
      <c r="M53" s="466"/>
      <c r="N53" s="468"/>
    </row>
    <row r="54" spans="1:14" s="91" customFormat="1" ht="13.5">
      <c r="A54" s="465">
        <v>8</v>
      </c>
      <c r="B54" s="363" t="s">
        <v>336</v>
      </c>
      <c r="C54" s="462" t="s">
        <v>337</v>
      </c>
      <c r="D54" s="362" t="s">
        <v>8</v>
      </c>
      <c r="E54" s="362"/>
      <c r="F54" s="117">
        <v>1</v>
      </c>
      <c r="G54" s="88"/>
      <c r="H54" s="466"/>
      <c r="I54" s="466"/>
      <c r="J54" s="466"/>
      <c r="K54" s="466"/>
      <c r="L54" s="466"/>
      <c r="M54" s="467"/>
      <c r="N54" s="468"/>
    </row>
    <row r="55" spans="1:14" s="91" customFormat="1" ht="13.5">
      <c r="A55" s="465"/>
      <c r="B55" s="469"/>
      <c r="C55" s="470" t="s">
        <v>66</v>
      </c>
      <c r="D55" s="471" t="s">
        <v>67</v>
      </c>
      <c r="E55" s="70">
        <v>1.38</v>
      </c>
      <c r="F55" s="466">
        <f>F54*E55</f>
        <v>1.38</v>
      </c>
      <c r="G55" s="472"/>
      <c r="H55" s="473"/>
      <c r="I55" s="466"/>
      <c r="J55" s="466"/>
      <c r="K55" s="466"/>
      <c r="L55" s="466"/>
      <c r="M55" s="466"/>
      <c r="N55" s="468"/>
    </row>
    <row r="56" spans="1:14" s="91" customFormat="1" ht="13.5">
      <c r="A56" s="465"/>
      <c r="B56" s="474"/>
      <c r="C56" s="470" t="s">
        <v>68</v>
      </c>
      <c r="D56" s="471" t="s">
        <v>0</v>
      </c>
      <c r="E56" s="70">
        <f>0.06</f>
        <v>0.06</v>
      </c>
      <c r="F56" s="466">
        <f>F54*E56</f>
        <v>0.06</v>
      </c>
      <c r="G56" s="466"/>
      <c r="H56" s="466"/>
      <c r="I56" s="466"/>
      <c r="J56" s="466"/>
      <c r="K56" s="466"/>
      <c r="L56" s="466"/>
      <c r="M56" s="466"/>
      <c r="N56" s="468"/>
    </row>
    <row r="57" spans="1:14" s="91" customFormat="1" ht="13.5">
      <c r="A57" s="465"/>
      <c r="B57" s="475"/>
      <c r="C57" s="476" t="s">
        <v>338</v>
      </c>
      <c r="D57" s="471" t="s">
        <v>8</v>
      </c>
      <c r="E57" s="70">
        <v>1</v>
      </c>
      <c r="F57" s="466">
        <f>F54*E57</f>
        <v>1</v>
      </c>
      <c r="G57" s="466"/>
      <c r="H57" s="466"/>
      <c r="I57" s="466"/>
      <c r="J57" s="466"/>
      <c r="K57" s="466"/>
      <c r="L57" s="466"/>
      <c r="M57" s="466"/>
      <c r="N57" s="468"/>
    </row>
    <row r="58" spans="1:14" s="91" customFormat="1" ht="13.5">
      <c r="A58" s="465"/>
      <c r="B58" s="474"/>
      <c r="C58" s="470" t="s">
        <v>6</v>
      </c>
      <c r="D58" s="471" t="s">
        <v>0</v>
      </c>
      <c r="E58" s="70">
        <v>0.38</v>
      </c>
      <c r="F58" s="466">
        <f>F54*E58</f>
        <v>0.38</v>
      </c>
      <c r="G58" s="466"/>
      <c r="H58" s="466"/>
      <c r="I58" s="466"/>
      <c r="J58" s="466"/>
      <c r="K58" s="466"/>
      <c r="L58" s="466"/>
      <c r="M58" s="466"/>
      <c r="N58" s="468"/>
    </row>
    <row r="59" spans="1:14" s="91" customFormat="1" ht="13.5">
      <c r="A59" s="465">
        <v>9</v>
      </c>
      <c r="B59" s="363" t="s">
        <v>336</v>
      </c>
      <c r="C59" s="462" t="s">
        <v>339</v>
      </c>
      <c r="D59" s="362" t="s">
        <v>8</v>
      </c>
      <c r="E59" s="362"/>
      <c r="F59" s="117">
        <v>1</v>
      </c>
      <c r="G59" s="88"/>
      <c r="H59" s="466"/>
      <c r="I59" s="466"/>
      <c r="J59" s="466"/>
      <c r="K59" s="466"/>
      <c r="L59" s="466"/>
      <c r="M59" s="467"/>
      <c r="N59" s="468"/>
    </row>
    <row r="60" spans="1:14" s="91" customFormat="1" ht="13.5">
      <c r="A60" s="465"/>
      <c r="B60" s="469"/>
      <c r="C60" s="470" t="s">
        <v>66</v>
      </c>
      <c r="D60" s="471" t="s">
        <v>67</v>
      </c>
      <c r="E60" s="70">
        <v>1.38</v>
      </c>
      <c r="F60" s="466">
        <f>F59*E60</f>
        <v>1.38</v>
      </c>
      <c r="G60" s="472"/>
      <c r="H60" s="473"/>
      <c r="I60" s="466"/>
      <c r="J60" s="466"/>
      <c r="K60" s="466"/>
      <c r="L60" s="466"/>
      <c r="M60" s="466"/>
      <c r="N60" s="468"/>
    </row>
    <row r="61" spans="1:14" s="91" customFormat="1" ht="13.5">
      <c r="A61" s="465"/>
      <c r="B61" s="474"/>
      <c r="C61" s="470" t="s">
        <v>68</v>
      </c>
      <c r="D61" s="471" t="s">
        <v>0</v>
      </c>
      <c r="E61" s="70">
        <f>0.06</f>
        <v>0.06</v>
      </c>
      <c r="F61" s="466">
        <f>F59*E61</f>
        <v>0.06</v>
      </c>
      <c r="G61" s="466"/>
      <c r="H61" s="466"/>
      <c r="I61" s="466"/>
      <c r="J61" s="466"/>
      <c r="K61" s="466"/>
      <c r="L61" s="466"/>
      <c r="M61" s="466"/>
      <c r="N61" s="468"/>
    </row>
    <row r="62" spans="1:14" s="91" customFormat="1" ht="13.5">
      <c r="A62" s="465"/>
      <c r="B62" s="475"/>
      <c r="C62" s="476" t="s">
        <v>340</v>
      </c>
      <c r="D62" s="471" t="s">
        <v>8</v>
      </c>
      <c r="E62" s="70">
        <v>1</v>
      </c>
      <c r="F62" s="466">
        <f>F59*E62</f>
        <v>1</v>
      </c>
      <c r="G62" s="466"/>
      <c r="H62" s="466"/>
      <c r="I62" s="466"/>
      <c r="J62" s="466"/>
      <c r="K62" s="466"/>
      <c r="L62" s="466"/>
      <c r="M62" s="466"/>
      <c r="N62" s="468"/>
    </row>
    <row r="63" spans="1:14" s="91" customFormat="1" ht="13.5">
      <c r="A63" s="465"/>
      <c r="B63" s="474"/>
      <c r="C63" s="470" t="s">
        <v>6</v>
      </c>
      <c r="D63" s="471" t="s">
        <v>0</v>
      </c>
      <c r="E63" s="70">
        <v>0.38</v>
      </c>
      <c r="F63" s="466">
        <f>F59*E63</f>
        <v>0.38</v>
      </c>
      <c r="G63" s="466"/>
      <c r="H63" s="466"/>
      <c r="I63" s="466"/>
      <c r="J63" s="466"/>
      <c r="K63" s="466"/>
      <c r="L63" s="466"/>
      <c r="M63" s="466"/>
      <c r="N63" s="468"/>
    </row>
    <row r="64" spans="1:14" s="91" customFormat="1" ht="25.5">
      <c r="A64" s="465">
        <v>10</v>
      </c>
      <c r="B64" s="363" t="s">
        <v>34</v>
      </c>
      <c r="C64" s="462" t="s">
        <v>341</v>
      </c>
      <c r="D64" s="362" t="s">
        <v>8</v>
      </c>
      <c r="E64" s="362"/>
      <c r="F64" s="117">
        <f>F67+F68</f>
        <v>2</v>
      </c>
      <c r="G64" s="88"/>
      <c r="H64" s="466"/>
      <c r="I64" s="466"/>
      <c r="J64" s="466"/>
      <c r="K64" s="466"/>
      <c r="L64" s="466"/>
      <c r="M64" s="467"/>
      <c r="N64" s="468"/>
    </row>
    <row r="65" spans="1:14" s="91" customFormat="1" ht="13.5">
      <c r="A65" s="465"/>
      <c r="B65" s="469"/>
      <c r="C65" s="470" t="s">
        <v>66</v>
      </c>
      <c r="D65" s="471" t="s">
        <v>67</v>
      </c>
      <c r="E65" s="70">
        <f>3.89/10</f>
        <v>0.389</v>
      </c>
      <c r="F65" s="466">
        <f>F64*E65</f>
        <v>0.778</v>
      </c>
      <c r="G65" s="472"/>
      <c r="H65" s="473"/>
      <c r="I65" s="466"/>
      <c r="J65" s="466"/>
      <c r="K65" s="466"/>
      <c r="L65" s="466"/>
      <c r="M65" s="466"/>
      <c r="N65" s="468"/>
    </row>
    <row r="66" spans="1:14" s="91" customFormat="1" ht="13.5">
      <c r="A66" s="465"/>
      <c r="B66" s="474"/>
      <c r="C66" s="470" t="s">
        <v>68</v>
      </c>
      <c r="D66" s="471" t="s">
        <v>0</v>
      </c>
      <c r="E66" s="70">
        <f>1.51/10</f>
        <v>0.151</v>
      </c>
      <c r="F66" s="466">
        <f>F64*E66</f>
        <v>0.302</v>
      </c>
      <c r="G66" s="466"/>
      <c r="H66" s="466"/>
      <c r="I66" s="466"/>
      <c r="J66" s="466"/>
      <c r="K66" s="466"/>
      <c r="L66" s="466"/>
      <c r="M66" s="466"/>
      <c r="N66" s="468"/>
    </row>
    <row r="67" spans="1:14" s="91" customFormat="1" ht="13.5">
      <c r="A67" s="465"/>
      <c r="B67" s="475"/>
      <c r="C67" s="477" t="s">
        <v>342</v>
      </c>
      <c r="D67" s="478" t="s">
        <v>111</v>
      </c>
      <c r="E67" s="70" t="s">
        <v>219</v>
      </c>
      <c r="F67" s="466">
        <v>1</v>
      </c>
      <c r="G67" s="479"/>
      <c r="H67" s="466"/>
      <c r="I67" s="466"/>
      <c r="J67" s="466"/>
      <c r="K67" s="466"/>
      <c r="L67" s="466"/>
      <c r="M67" s="466"/>
      <c r="N67" s="468"/>
    </row>
    <row r="68" spans="1:14" s="91" customFormat="1" ht="13.5">
      <c r="A68" s="465"/>
      <c r="B68" s="475"/>
      <c r="C68" s="480" t="s">
        <v>343</v>
      </c>
      <c r="D68" s="481" t="s">
        <v>111</v>
      </c>
      <c r="E68" s="70" t="s">
        <v>219</v>
      </c>
      <c r="F68" s="466">
        <v>1</v>
      </c>
      <c r="G68" s="479"/>
      <c r="H68" s="466"/>
      <c r="I68" s="466"/>
      <c r="J68" s="466"/>
      <c r="K68" s="466"/>
      <c r="L68" s="466"/>
      <c r="M68" s="466"/>
      <c r="N68" s="468"/>
    </row>
    <row r="69" spans="1:14" s="91" customFormat="1" ht="13.5">
      <c r="A69" s="465"/>
      <c r="B69" s="474"/>
      <c r="C69" s="470" t="s">
        <v>6</v>
      </c>
      <c r="D69" s="471" t="s">
        <v>0</v>
      </c>
      <c r="E69" s="70">
        <f>0.24/10</f>
        <v>0.024</v>
      </c>
      <c r="F69" s="466">
        <f>F64*E69</f>
        <v>0.048</v>
      </c>
      <c r="G69" s="466"/>
      <c r="H69" s="466"/>
      <c r="I69" s="466"/>
      <c r="J69" s="466"/>
      <c r="K69" s="466"/>
      <c r="L69" s="466"/>
      <c r="M69" s="466"/>
      <c r="N69" s="468"/>
    </row>
    <row r="70" spans="1:14" s="91" customFormat="1" ht="25.5">
      <c r="A70" s="465">
        <v>11</v>
      </c>
      <c r="B70" s="363" t="s">
        <v>34</v>
      </c>
      <c r="C70" s="462" t="s">
        <v>344</v>
      </c>
      <c r="D70" s="362" t="s">
        <v>8</v>
      </c>
      <c r="E70" s="362"/>
      <c r="F70" s="117">
        <f>F73+F74</f>
        <v>2</v>
      </c>
      <c r="G70" s="88"/>
      <c r="H70" s="466"/>
      <c r="I70" s="466"/>
      <c r="J70" s="466"/>
      <c r="K70" s="466"/>
      <c r="L70" s="466"/>
      <c r="M70" s="467"/>
      <c r="N70" s="468"/>
    </row>
    <row r="71" spans="1:14" s="91" customFormat="1" ht="13.5">
      <c r="A71" s="465"/>
      <c r="B71" s="469"/>
      <c r="C71" s="470" t="s">
        <v>66</v>
      </c>
      <c r="D71" s="471" t="s">
        <v>67</v>
      </c>
      <c r="E71" s="70">
        <f>3.89/10</f>
        <v>0.389</v>
      </c>
      <c r="F71" s="466">
        <f>F70*E71</f>
        <v>0.778</v>
      </c>
      <c r="G71" s="472"/>
      <c r="H71" s="473"/>
      <c r="I71" s="466"/>
      <c r="J71" s="466"/>
      <c r="K71" s="466"/>
      <c r="L71" s="466"/>
      <c r="M71" s="466"/>
      <c r="N71" s="468"/>
    </row>
    <row r="72" spans="1:14" s="91" customFormat="1" ht="13.5">
      <c r="A72" s="465"/>
      <c r="B72" s="474"/>
      <c r="C72" s="470" t="s">
        <v>68</v>
      </c>
      <c r="D72" s="471" t="s">
        <v>0</v>
      </c>
      <c r="E72" s="70">
        <f>1.51/10</f>
        <v>0.151</v>
      </c>
      <c r="F72" s="466">
        <f>F70*E72</f>
        <v>0.302</v>
      </c>
      <c r="G72" s="466"/>
      <c r="H72" s="466"/>
      <c r="I72" s="466"/>
      <c r="J72" s="466"/>
      <c r="K72" s="466"/>
      <c r="L72" s="466"/>
      <c r="M72" s="466"/>
      <c r="N72" s="468"/>
    </row>
    <row r="73" spans="1:14" s="91" customFormat="1" ht="13.5">
      <c r="A73" s="465"/>
      <c r="B73" s="475"/>
      <c r="C73" s="482" t="s">
        <v>345</v>
      </c>
      <c r="D73" s="478" t="s">
        <v>111</v>
      </c>
      <c r="E73" s="70" t="s">
        <v>219</v>
      </c>
      <c r="F73" s="466">
        <v>1</v>
      </c>
      <c r="G73" s="479"/>
      <c r="H73" s="466"/>
      <c r="I73" s="466"/>
      <c r="J73" s="466"/>
      <c r="K73" s="466"/>
      <c r="L73" s="466"/>
      <c r="M73" s="466"/>
      <c r="N73" s="468"/>
    </row>
    <row r="74" spans="1:14" s="91" customFormat="1" ht="13.5">
      <c r="A74" s="465"/>
      <c r="B74" s="475"/>
      <c r="C74" s="482" t="s">
        <v>346</v>
      </c>
      <c r="D74" s="481" t="s">
        <v>111</v>
      </c>
      <c r="E74" s="70" t="s">
        <v>219</v>
      </c>
      <c r="F74" s="466">
        <v>1</v>
      </c>
      <c r="G74" s="479"/>
      <c r="H74" s="466"/>
      <c r="I74" s="466"/>
      <c r="J74" s="466"/>
      <c r="K74" s="466"/>
      <c r="L74" s="466"/>
      <c r="M74" s="466"/>
      <c r="N74" s="468"/>
    </row>
    <row r="75" spans="1:14" s="91" customFormat="1" ht="13.5">
      <c r="A75" s="465"/>
      <c r="B75" s="474"/>
      <c r="C75" s="470" t="s">
        <v>6</v>
      </c>
      <c r="D75" s="471" t="s">
        <v>0</v>
      </c>
      <c r="E75" s="70">
        <f>0.24/10</f>
        <v>0.024</v>
      </c>
      <c r="F75" s="466">
        <f>F70*E75</f>
        <v>0.048</v>
      </c>
      <c r="G75" s="466"/>
      <c r="H75" s="466"/>
      <c r="I75" s="466"/>
      <c r="J75" s="466"/>
      <c r="K75" s="466"/>
      <c r="L75" s="466"/>
      <c r="M75" s="466"/>
      <c r="N75" s="468"/>
    </row>
    <row r="76" spans="1:14" s="91" customFormat="1" ht="27">
      <c r="A76" s="465">
        <v>12</v>
      </c>
      <c r="B76" s="363" t="s">
        <v>34</v>
      </c>
      <c r="C76" s="483" t="s">
        <v>347</v>
      </c>
      <c r="D76" s="362" t="s">
        <v>8</v>
      </c>
      <c r="E76" s="362"/>
      <c r="F76" s="117">
        <f>F79+F80</f>
        <v>2</v>
      </c>
      <c r="G76" s="88"/>
      <c r="H76" s="466"/>
      <c r="I76" s="466"/>
      <c r="J76" s="466"/>
      <c r="K76" s="466"/>
      <c r="L76" s="466"/>
      <c r="M76" s="467"/>
      <c r="N76" s="468"/>
    </row>
    <row r="77" spans="1:14" s="91" customFormat="1" ht="13.5">
      <c r="A77" s="465"/>
      <c r="B77" s="469"/>
      <c r="C77" s="470" t="s">
        <v>66</v>
      </c>
      <c r="D77" s="471" t="s">
        <v>67</v>
      </c>
      <c r="E77" s="70">
        <f>3.89/10</f>
        <v>0.389</v>
      </c>
      <c r="F77" s="466">
        <f>F76*E77</f>
        <v>0.778</v>
      </c>
      <c r="G77" s="472"/>
      <c r="H77" s="473"/>
      <c r="I77" s="466"/>
      <c r="J77" s="466"/>
      <c r="K77" s="466"/>
      <c r="L77" s="466"/>
      <c r="M77" s="466"/>
      <c r="N77" s="468"/>
    </row>
    <row r="78" spans="1:14" s="91" customFormat="1" ht="13.5">
      <c r="A78" s="465"/>
      <c r="B78" s="474"/>
      <c r="C78" s="470" t="s">
        <v>68</v>
      </c>
      <c r="D78" s="471" t="s">
        <v>0</v>
      </c>
      <c r="E78" s="70">
        <f>1.51/10</f>
        <v>0.151</v>
      </c>
      <c r="F78" s="466">
        <f>F76*E78</f>
        <v>0.302</v>
      </c>
      <c r="G78" s="466"/>
      <c r="H78" s="466"/>
      <c r="I78" s="466"/>
      <c r="J78" s="466"/>
      <c r="K78" s="466"/>
      <c r="L78" s="466"/>
      <c r="M78" s="466"/>
      <c r="N78" s="468"/>
    </row>
    <row r="79" spans="1:14" s="91" customFormat="1" ht="13.5">
      <c r="A79" s="465"/>
      <c r="B79" s="475"/>
      <c r="C79" s="482" t="s">
        <v>348</v>
      </c>
      <c r="D79" s="478" t="s">
        <v>111</v>
      </c>
      <c r="E79" s="70" t="s">
        <v>219</v>
      </c>
      <c r="F79" s="466">
        <v>1</v>
      </c>
      <c r="G79" s="479"/>
      <c r="H79" s="466"/>
      <c r="I79" s="466"/>
      <c r="J79" s="466"/>
      <c r="K79" s="466"/>
      <c r="L79" s="466"/>
      <c r="M79" s="466"/>
      <c r="N79" s="468"/>
    </row>
    <row r="80" spans="1:14" s="91" customFormat="1" ht="13.5">
      <c r="A80" s="465"/>
      <c r="B80" s="475"/>
      <c r="C80" s="482" t="s">
        <v>349</v>
      </c>
      <c r="D80" s="481" t="s">
        <v>111</v>
      </c>
      <c r="E80" s="70" t="s">
        <v>219</v>
      </c>
      <c r="F80" s="466">
        <v>1</v>
      </c>
      <c r="G80" s="479"/>
      <c r="H80" s="466"/>
      <c r="I80" s="466"/>
      <c r="J80" s="466"/>
      <c r="K80" s="466"/>
      <c r="L80" s="466"/>
      <c r="M80" s="466"/>
      <c r="N80" s="468"/>
    </row>
    <row r="81" spans="1:14" s="91" customFormat="1" ht="13.5">
      <c r="A81" s="465"/>
      <c r="B81" s="474"/>
      <c r="C81" s="470" t="s">
        <v>6</v>
      </c>
      <c r="D81" s="471" t="s">
        <v>0</v>
      </c>
      <c r="E81" s="70">
        <f>0.24/10</f>
        <v>0.024</v>
      </c>
      <c r="F81" s="466">
        <f>F76*E81</f>
        <v>0.048</v>
      </c>
      <c r="G81" s="466"/>
      <c r="H81" s="466"/>
      <c r="I81" s="466"/>
      <c r="J81" s="466"/>
      <c r="K81" s="466"/>
      <c r="L81" s="466"/>
      <c r="M81" s="466"/>
      <c r="N81" s="468"/>
    </row>
    <row r="82" spans="1:14" s="91" customFormat="1" ht="13.5">
      <c r="A82" s="465">
        <v>13</v>
      </c>
      <c r="B82" s="363" t="s">
        <v>279</v>
      </c>
      <c r="C82" s="483" t="s">
        <v>350</v>
      </c>
      <c r="D82" s="362" t="s">
        <v>5</v>
      </c>
      <c r="E82" s="362"/>
      <c r="F82" s="117">
        <v>0.11</v>
      </c>
      <c r="G82" s="88"/>
      <c r="H82" s="466"/>
      <c r="I82" s="466"/>
      <c r="J82" s="466"/>
      <c r="K82" s="466"/>
      <c r="L82" s="466"/>
      <c r="M82" s="467"/>
      <c r="N82" s="468"/>
    </row>
    <row r="83" spans="1:14" s="91" customFormat="1" ht="13.5">
      <c r="A83" s="465"/>
      <c r="B83" s="469"/>
      <c r="C83" s="470" t="s">
        <v>66</v>
      </c>
      <c r="D83" s="471" t="s">
        <v>67</v>
      </c>
      <c r="E83" s="70">
        <v>13.8</v>
      </c>
      <c r="F83" s="466">
        <f>F82*E83</f>
        <v>1.518</v>
      </c>
      <c r="G83" s="472"/>
      <c r="H83" s="473"/>
      <c r="I83" s="466"/>
      <c r="J83" s="466"/>
      <c r="K83" s="466"/>
      <c r="L83" s="466"/>
      <c r="M83" s="466"/>
      <c r="N83" s="468"/>
    </row>
    <row r="84" spans="1:14" s="91" customFormat="1" ht="13.5">
      <c r="A84" s="465"/>
      <c r="B84" s="474"/>
      <c r="C84" s="470" t="s">
        <v>351</v>
      </c>
      <c r="D84" s="471" t="s">
        <v>5</v>
      </c>
      <c r="E84" s="70">
        <v>1.03</v>
      </c>
      <c r="F84" s="466">
        <v>1.35</v>
      </c>
      <c r="G84" s="466"/>
      <c r="H84" s="466"/>
      <c r="I84" s="466"/>
      <c r="J84" s="466"/>
      <c r="K84" s="466"/>
      <c r="L84" s="466"/>
      <c r="M84" s="466"/>
      <c r="N84" s="468"/>
    </row>
    <row r="85" spans="1:13" s="427" customFormat="1" ht="27">
      <c r="A85" s="423">
        <v>14</v>
      </c>
      <c r="B85" s="424" t="s">
        <v>285</v>
      </c>
      <c r="C85" s="483" t="s">
        <v>352</v>
      </c>
      <c r="D85" s="168" t="s">
        <v>82</v>
      </c>
      <c r="E85" s="423"/>
      <c r="F85" s="115">
        <v>2.8</v>
      </c>
      <c r="G85" s="426"/>
      <c r="H85" s="426"/>
      <c r="I85" s="88"/>
      <c r="J85" s="88"/>
      <c r="K85" s="426"/>
      <c r="L85" s="88"/>
      <c r="M85" s="88"/>
    </row>
    <row r="86" spans="1:13" s="430" customFormat="1" ht="13.5">
      <c r="A86" s="423"/>
      <c r="B86" s="428"/>
      <c r="C86" s="429" t="s">
        <v>3</v>
      </c>
      <c r="D86" s="102" t="s">
        <v>287</v>
      </c>
      <c r="E86" s="426">
        <v>1.28</v>
      </c>
      <c r="F86" s="426">
        <f>E86*F85</f>
        <v>3.5839999999999996</v>
      </c>
      <c r="G86" s="426"/>
      <c r="H86" s="426"/>
      <c r="I86" s="88"/>
      <c r="J86" s="88"/>
      <c r="K86" s="426"/>
      <c r="L86" s="88"/>
      <c r="M86" s="88"/>
    </row>
    <row r="87" spans="1:13" s="430" customFormat="1" ht="13.5">
      <c r="A87" s="423"/>
      <c r="B87" s="428"/>
      <c r="C87" s="432" t="s">
        <v>22</v>
      </c>
      <c r="D87" s="102" t="s">
        <v>0</v>
      </c>
      <c r="E87" s="433">
        <v>0.0121</v>
      </c>
      <c r="F87" s="426">
        <f>E87*F85</f>
        <v>0.03387999999999999</v>
      </c>
      <c r="G87" s="426"/>
      <c r="H87" s="426"/>
      <c r="I87" s="88"/>
      <c r="J87" s="88"/>
      <c r="K87" s="426"/>
      <c r="L87" s="88"/>
      <c r="M87" s="88"/>
    </row>
    <row r="88" spans="1:13" s="430" customFormat="1" ht="27">
      <c r="A88" s="423"/>
      <c r="B88" s="428"/>
      <c r="C88" s="429" t="s">
        <v>353</v>
      </c>
      <c r="D88" s="102" t="s">
        <v>289</v>
      </c>
      <c r="E88" s="426">
        <v>1.2</v>
      </c>
      <c r="F88" s="426">
        <f>E88*F85</f>
        <v>3.36</v>
      </c>
      <c r="G88" s="426"/>
      <c r="H88" s="88"/>
      <c r="I88" s="88"/>
      <c r="J88" s="88"/>
      <c r="K88" s="426"/>
      <c r="L88" s="88"/>
      <c r="M88" s="88"/>
    </row>
    <row r="89" spans="1:13" s="430" customFormat="1" ht="13.5">
      <c r="A89" s="423"/>
      <c r="B89" s="428"/>
      <c r="C89" s="429" t="s">
        <v>290</v>
      </c>
      <c r="D89" s="102" t="s">
        <v>291</v>
      </c>
      <c r="E89" s="116">
        <v>0.013</v>
      </c>
      <c r="F89" s="426">
        <f>E89*F85</f>
        <v>0.036399999999999995</v>
      </c>
      <c r="G89" s="88"/>
      <c r="H89" s="88"/>
      <c r="I89" s="88"/>
      <c r="J89" s="88"/>
      <c r="K89" s="426"/>
      <c r="L89" s="88"/>
      <c r="M89" s="88"/>
    </row>
    <row r="90" spans="1:13" s="427" customFormat="1" ht="15.75">
      <c r="A90" s="423">
        <v>15</v>
      </c>
      <c r="B90" s="424" t="s">
        <v>297</v>
      </c>
      <c r="C90" s="425" t="s">
        <v>298</v>
      </c>
      <c r="D90" s="168" t="s">
        <v>82</v>
      </c>
      <c r="E90" s="423"/>
      <c r="F90" s="115">
        <v>3.5</v>
      </c>
      <c r="G90" s="426"/>
      <c r="H90" s="426"/>
      <c r="I90" s="88"/>
      <c r="J90" s="88"/>
      <c r="K90" s="426"/>
      <c r="L90" s="88"/>
      <c r="M90" s="88"/>
    </row>
    <row r="91" spans="1:13" s="430" customFormat="1" ht="13.5">
      <c r="A91" s="423"/>
      <c r="B91" s="428"/>
      <c r="C91" s="429" t="s">
        <v>3</v>
      </c>
      <c r="D91" s="102" t="s">
        <v>287</v>
      </c>
      <c r="E91" s="426">
        <v>0.031</v>
      </c>
      <c r="F91" s="426">
        <f>E91*F90</f>
        <v>0.1085</v>
      </c>
      <c r="G91" s="426"/>
      <c r="H91" s="426"/>
      <c r="I91" s="88"/>
      <c r="J91" s="88"/>
      <c r="K91" s="426"/>
      <c r="L91" s="88"/>
      <c r="M91" s="88"/>
    </row>
    <row r="92" spans="1:13" s="430" customFormat="1" ht="13.5">
      <c r="A92" s="423"/>
      <c r="B92" s="428"/>
      <c r="C92" s="432" t="s">
        <v>299</v>
      </c>
      <c r="D92" s="102" t="s">
        <v>27</v>
      </c>
      <c r="E92" s="433">
        <v>0.086</v>
      </c>
      <c r="F92" s="426">
        <f>E92*F90</f>
        <v>0.301</v>
      </c>
      <c r="G92" s="88"/>
      <c r="H92" s="88"/>
      <c r="I92" s="88"/>
      <c r="J92" s="88"/>
      <c r="K92" s="426"/>
      <c r="L92" s="88"/>
      <c r="M92" s="88"/>
    </row>
    <row r="93" spans="1:13" s="430" customFormat="1" ht="17.25" customHeight="1">
      <c r="A93" s="423"/>
      <c r="B93" s="428"/>
      <c r="C93" s="429" t="s">
        <v>300</v>
      </c>
      <c r="D93" s="102" t="s">
        <v>27</v>
      </c>
      <c r="E93" s="426">
        <v>0.015</v>
      </c>
      <c r="F93" s="426">
        <f>E93*F90</f>
        <v>0.0525</v>
      </c>
      <c r="G93" s="426"/>
      <c r="H93" s="88"/>
      <c r="I93" s="88"/>
      <c r="J93" s="88"/>
      <c r="K93" s="426"/>
      <c r="L93" s="88"/>
      <c r="M93" s="88"/>
    </row>
    <row r="94" spans="1:13" s="427" customFormat="1" ht="16.5" customHeight="1">
      <c r="A94" s="423">
        <v>16</v>
      </c>
      <c r="B94" s="484" t="s">
        <v>354</v>
      </c>
      <c r="C94" s="485" t="s">
        <v>355</v>
      </c>
      <c r="D94" s="486" t="s">
        <v>111</v>
      </c>
      <c r="E94" s="423"/>
      <c r="F94" s="115">
        <v>1</v>
      </c>
      <c r="G94" s="423"/>
      <c r="H94" s="423"/>
      <c r="I94" s="115"/>
      <c r="J94" s="115"/>
      <c r="K94" s="423"/>
      <c r="L94" s="115"/>
      <c r="M94" s="115"/>
    </row>
    <row r="95" spans="1:13" s="430" customFormat="1" ht="13.5">
      <c r="A95" s="423"/>
      <c r="B95" s="428"/>
      <c r="C95" s="429" t="s">
        <v>3</v>
      </c>
      <c r="D95" s="102" t="s">
        <v>287</v>
      </c>
      <c r="E95" s="426">
        <v>1.38</v>
      </c>
      <c r="F95" s="426">
        <f>E95*F94</f>
        <v>1.38</v>
      </c>
      <c r="G95" s="426"/>
      <c r="H95" s="426"/>
      <c r="I95" s="88"/>
      <c r="J95" s="88"/>
      <c r="K95" s="426"/>
      <c r="L95" s="88"/>
      <c r="M95" s="88"/>
    </row>
    <row r="96" spans="1:13" s="430" customFormat="1" ht="13.5">
      <c r="A96" s="423"/>
      <c r="B96" s="428"/>
      <c r="C96" s="470" t="s">
        <v>6</v>
      </c>
      <c r="D96" s="102" t="s">
        <v>0</v>
      </c>
      <c r="E96" s="433">
        <v>0.38</v>
      </c>
      <c r="F96" s="426">
        <f>E96*F94</f>
        <v>0.38</v>
      </c>
      <c r="G96" s="88"/>
      <c r="H96" s="88"/>
      <c r="I96" s="88"/>
      <c r="J96" s="88"/>
      <c r="K96" s="426"/>
      <c r="L96" s="88"/>
      <c r="M96" s="88"/>
    </row>
    <row r="97" spans="1:13" s="430" customFormat="1" ht="17.25" customHeight="1">
      <c r="A97" s="423"/>
      <c r="B97" s="428"/>
      <c r="C97" s="487" t="s">
        <v>356</v>
      </c>
      <c r="D97" s="102" t="s">
        <v>27</v>
      </c>
      <c r="E97" s="88">
        <v>1</v>
      </c>
      <c r="F97" s="88">
        <f>E97*F94</f>
        <v>1</v>
      </c>
      <c r="G97" s="426"/>
      <c r="H97" s="88"/>
      <c r="I97" s="88"/>
      <c r="J97" s="88"/>
      <c r="K97" s="426"/>
      <c r="L97" s="88"/>
      <c r="M97" s="88"/>
    </row>
    <row r="98" spans="1:13" s="430" customFormat="1" ht="17.25" customHeight="1">
      <c r="A98" s="423">
        <v>17</v>
      </c>
      <c r="B98" s="428" t="s">
        <v>44</v>
      </c>
      <c r="C98" s="488" t="s">
        <v>357</v>
      </c>
      <c r="D98" s="489" t="s">
        <v>111</v>
      </c>
      <c r="E98" s="88"/>
      <c r="F98" s="490">
        <v>4</v>
      </c>
      <c r="G98" s="490"/>
      <c r="H98" s="88"/>
      <c r="I98" s="88"/>
      <c r="J98" s="88"/>
      <c r="K98" s="88"/>
      <c r="L98" s="88"/>
      <c r="M98" s="88"/>
    </row>
    <row r="99" spans="1:13" s="430" customFormat="1" ht="17.25" customHeight="1">
      <c r="A99" s="423">
        <v>18</v>
      </c>
      <c r="B99" s="428" t="s">
        <v>44</v>
      </c>
      <c r="C99" s="488" t="s">
        <v>358</v>
      </c>
      <c r="D99" s="489" t="s">
        <v>111</v>
      </c>
      <c r="E99" s="88"/>
      <c r="F99" s="490">
        <v>2</v>
      </c>
      <c r="G99" s="490"/>
      <c r="H99" s="88"/>
      <c r="I99" s="88"/>
      <c r="J99" s="88"/>
      <c r="K99" s="88"/>
      <c r="L99" s="88"/>
      <c r="M99" s="88"/>
    </row>
    <row r="100" spans="1:13" s="430" customFormat="1" ht="17.25" customHeight="1">
      <c r="A100" s="423">
        <v>19</v>
      </c>
      <c r="B100" s="428" t="s">
        <v>44</v>
      </c>
      <c r="C100" s="488" t="s">
        <v>359</v>
      </c>
      <c r="D100" s="489" t="s">
        <v>111</v>
      </c>
      <c r="E100" s="88"/>
      <c r="F100" s="490">
        <v>12</v>
      </c>
      <c r="G100" s="490"/>
      <c r="H100" s="88"/>
      <c r="I100" s="88"/>
      <c r="J100" s="88"/>
      <c r="K100" s="88"/>
      <c r="L100" s="88"/>
      <c r="M100" s="88"/>
    </row>
    <row r="101" spans="1:157" s="59" customFormat="1" ht="13.5">
      <c r="A101" s="193">
        <v>20</v>
      </c>
      <c r="B101" s="194" t="s">
        <v>46</v>
      </c>
      <c r="C101" s="491" t="s">
        <v>360</v>
      </c>
      <c r="D101" s="492" t="s">
        <v>111</v>
      </c>
      <c r="E101" s="121"/>
      <c r="F101" s="195">
        <v>1</v>
      </c>
      <c r="G101" s="196"/>
      <c r="H101" s="197"/>
      <c r="I101" s="198"/>
      <c r="J101" s="197"/>
      <c r="K101" s="198"/>
      <c r="L101" s="197"/>
      <c r="M101" s="197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</row>
    <row r="102" spans="1:157" s="59" customFormat="1" ht="13.5">
      <c r="A102" s="199"/>
      <c r="B102" s="493"/>
      <c r="C102" s="494" t="s">
        <v>75</v>
      </c>
      <c r="D102" s="492" t="s">
        <v>287</v>
      </c>
      <c r="E102" s="200">
        <v>3</v>
      </c>
      <c r="F102" s="201">
        <f>F101*E102</f>
        <v>3</v>
      </c>
      <c r="G102" s="433"/>
      <c r="H102" s="433"/>
      <c r="I102" s="263"/>
      <c r="J102" s="263"/>
      <c r="K102" s="433"/>
      <c r="L102" s="263"/>
      <c r="M102" s="263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</row>
    <row r="103" spans="1:157" s="59" customFormat="1" ht="13.5">
      <c r="A103" s="199"/>
      <c r="B103" s="493"/>
      <c r="C103" s="495" t="s">
        <v>361</v>
      </c>
      <c r="D103" s="492" t="s">
        <v>0</v>
      </c>
      <c r="E103" s="496">
        <v>0.23</v>
      </c>
      <c r="F103" s="201">
        <f>F101*E103</f>
        <v>0.23</v>
      </c>
      <c r="G103" s="202"/>
      <c r="H103" s="201"/>
      <c r="I103" s="203"/>
      <c r="J103" s="204"/>
      <c r="K103" s="203"/>
      <c r="L103" s="205"/>
      <c r="M103" s="204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</row>
    <row r="104" spans="1:157" s="59" customFormat="1" ht="13.5">
      <c r="A104" s="199"/>
      <c r="B104" s="493"/>
      <c r="C104" s="497" t="s">
        <v>362</v>
      </c>
      <c r="D104" s="492" t="s">
        <v>111</v>
      </c>
      <c r="E104" s="206">
        <v>1</v>
      </c>
      <c r="F104" s="206">
        <f>F101</f>
        <v>1</v>
      </c>
      <c r="G104" s="466"/>
      <c r="H104" s="88"/>
      <c r="I104" s="88"/>
      <c r="J104" s="88"/>
      <c r="K104" s="88"/>
      <c r="L104" s="88"/>
      <c r="M104" s="8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</row>
    <row r="105" spans="1:13" s="173" customFormat="1" ht="13.5">
      <c r="A105" s="168"/>
      <c r="B105" s="410"/>
      <c r="C105" s="437" t="s">
        <v>2</v>
      </c>
      <c r="D105" s="438"/>
      <c r="E105" s="438"/>
      <c r="F105" s="438"/>
      <c r="G105" s="413"/>
      <c r="H105" s="439"/>
      <c r="I105" s="439"/>
      <c r="J105" s="439"/>
      <c r="K105" s="440"/>
      <c r="L105" s="439"/>
      <c r="M105" s="439"/>
    </row>
    <row r="106" spans="1:146" s="175" customFormat="1" ht="13.5">
      <c r="A106" s="441"/>
      <c r="B106" s="438"/>
      <c r="C106" s="372" t="s">
        <v>518</v>
      </c>
      <c r="D106" s="439" t="s">
        <v>517</v>
      </c>
      <c r="E106" s="439"/>
      <c r="F106" s="438"/>
      <c r="G106" s="439"/>
      <c r="H106" s="442"/>
      <c r="I106" s="443"/>
      <c r="J106" s="438"/>
      <c r="K106" s="444"/>
      <c r="L106" s="438"/>
      <c r="M106" s="439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</row>
    <row r="107" spans="1:146" s="175" customFormat="1" ht="13.5">
      <c r="A107" s="441"/>
      <c r="B107" s="438"/>
      <c r="C107" s="437" t="s">
        <v>2</v>
      </c>
      <c r="D107" s="439"/>
      <c r="E107" s="439"/>
      <c r="F107" s="438"/>
      <c r="G107" s="439"/>
      <c r="H107" s="442"/>
      <c r="I107" s="443"/>
      <c r="J107" s="438"/>
      <c r="K107" s="444"/>
      <c r="L107" s="438"/>
      <c r="M107" s="439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</row>
    <row r="108" spans="1:146" s="175" customFormat="1" ht="13.5">
      <c r="A108" s="441"/>
      <c r="B108" s="438"/>
      <c r="C108" s="437" t="s">
        <v>73</v>
      </c>
      <c r="D108" s="439" t="s">
        <v>517</v>
      </c>
      <c r="E108" s="439"/>
      <c r="F108" s="438"/>
      <c r="G108" s="439"/>
      <c r="H108" s="442"/>
      <c r="I108" s="443"/>
      <c r="J108" s="438"/>
      <c r="K108" s="444"/>
      <c r="L108" s="438"/>
      <c r="M108" s="439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</row>
    <row r="109" spans="1:146" s="175" customFormat="1" ht="13.5">
      <c r="A109" s="441"/>
      <c r="B109" s="438"/>
      <c r="C109" s="437" t="s">
        <v>304</v>
      </c>
      <c r="D109" s="439"/>
      <c r="E109" s="438"/>
      <c r="F109" s="438"/>
      <c r="G109" s="445"/>
      <c r="H109" s="446"/>
      <c r="I109" s="443"/>
      <c r="J109" s="438"/>
      <c r="K109" s="444"/>
      <c r="L109" s="438"/>
      <c r="M109" s="439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</row>
    <row r="110" spans="1:13" ht="13.5">
      <c r="A110" s="447"/>
      <c r="B110" s="448"/>
      <c r="C110" s="437" t="s">
        <v>69</v>
      </c>
      <c r="D110" s="439" t="s">
        <v>517</v>
      </c>
      <c r="E110" s="449"/>
      <c r="F110" s="449"/>
      <c r="G110" s="449"/>
      <c r="H110" s="449"/>
      <c r="I110" s="449"/>
      <c r="J110" s="449"/>
      <c r="K110" s="450"/>
      <c r="L110" s="449"/>
      <c r="M110" s="439"/>
    </row>
    <row r="111" spans="1:13" ht="13.5">
      <c r="A111" s="447"/>
      <c r="B111" s="448"/>
      <c r="C111" s="445" t="s">
        <v>305</v>
      </c>
      <c r="D111" s="449"/>
      <c r="E111" s="449"/>
      <c r="F111" s="449"/>
      <c r="G111" s="449"/>
      <c r="H111" s="449"/>
      <c r="I111" s="449"/>
      <c r="J111" s="449"/>
      <c r="K111" s="450"/>
      <c r="L111" s="449"/>
      <c r="M111" s="439"/>
    </row>
    <row r="113" spans="1:12" ht="13.5">
      <c r="A113" s="177"/>
      <c r="B113" s="672"/>
      <c r="C113" s="672"/>
      <c r="D113" s="178"/>
      <c r="E113" s="178"/>
      <c r="F113" s="179"/>
      <c r="G113" s="179"/>
      <c r="H113" s="179"/>
      <c r="I113" s="180"/>
      <c r="J113" s="180"/>
      <c r="K113" s="180"/>
      <c r="L113" s="180"/>
    </row>
    <row r="114" spans="1:12" ht="13.5">
      <c r="A114" s="177"/>
      <c r="B114" s="672"/>
      <c r="C114" s="672"/>
      <c r="D114" s="178"/>
      <c r="E114" s="178"/>
      <c r="F114" s="179"/>
      <c r="G114" s="207"/>
      <c r="H114" s="207"/>
      <c r="I114" s="180"/>
      <c r="J114" s="180"/>
      <c r="K114" s="180"/>
      <c r="L114" s="180"/>
    </row>
  </sheetData>
  <sheetProtection/>
  <mergeCells count="16">
    <mergeCell ref="G6:H6"/>
    <mergeCell ref="I6:J6"/>
    <mergeCell ref="K6:L6"/>
    <mergeCell ref="M6:M7"/>
    <mergeCell ref="B113:C113"/>
    <mergeCell ref="B114:C114"/>
    <mergeCell ref="A1:M1"/>
    <mergeCell ref="A2:M2"/>
    <mergeCell ref="A3:M3"/>
    <mergeCell ref="A4:M4"/>
    <mergeCell ref="A5:M5"/>
    <mergeCell ref="A6:A7"/>
    <mergeCell ref="B6:B7"/>
    <mergeCell ref="C6:C7"/>
    <mergeCell ref="D6:D7"/>
    <mergeCell ref="E6:F6"/>
  </mergeCells>
  <conditionalFormatting sqref="A9:IU104">
    <cfRule type="cellIs" priority="1" dxfId="0" operator="equal" stopIfTrue="1">
      <formula>8223.307275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9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Normal="85" zoomScaleSheetLayoutView="100" workbookViewId="0" topLeftCell="A1">
      <selection activeCell="D9" sqref="D9:H11"/>
    </sheetView>
  </sheetViews>
  <sheetFormatPr defaultColWidth="9.140625" defaultRowHeight="12.75"/>
  <cols>
    <col min="1" max="1" width="3.421875" style="209" customWidth="1"/>
    <col min="2" max="2" width="7.7109375" style="208" customWidth="1"/>
    <col min="3" max="3" width="65.7109375" style="208" customWidth="1"/>
    <col min="4" max="4" width="14.28125" style="210" customWidth="1"/>
    <col min="5" max="5" width="12.421875" style="210" customWidth="1"/>
    <col min="6" max="6" width="16.421875" style="248" customWidth="1"/>
    <col min="7" max="7" width="13.421875" style="223" customWidth="1"/>
    <col min="8" max="8" width="14.8515625" style="208" customWidth="1"/>
    <col min="9" max="9" width="11.140625" style="208" customWidth="1"/>
    <col min="10" max="10" width="13.421875" style="208" bestFit="1" customWidth="1"/>
    <col min="11" max="11" width="10.28125" style="208" bestFit="1" customWidth="1"/>
    <col min="12" max="16384" width="9.140625" style="208" customWidth="1"/>
  </cols>
  <sheetData>
    <row r="1" spans="1:9" ht="12.75">
      <c r="A1" s="675" t="s">
        <v>24</v>
      </c>
      <c r="B1" s="675"/>
      <c r="C1" s="675"/>
      <c r="D1" s="675"/>
      <c r="E1" s="675"/>
      <c r="F1" s="675"/>
      <c r="G1" s="675"/>
      <c r="H1" s="675"/>
      <c r="I1" s="675"/>
    </row>
    <row r="2" spans="1:9" s="209" customFormat="1" ht="12.75">
      <c r="A2" s="676" t="e">
        <f>#REF!</f>
        <v>#REF!</v>
      </c>
      <c r="B2" s="676"/>
      <c r="C2" s="676"/>
      <c r="D2" s="676"/>
      <c r="E2" s="676"/>
      <c r="F2" s="676"/>
      <c r="G2" s="676"/>
      <c r="H2" s="676"/>
      <c r="I2" s="676"/>
    </row>
    <row r="3" spans="1:9" s="209" customFormat="1" ht="12.75">
      <c r="A3" s="676" t="str">
        <f>1!C9</f>
        <v>ჭაბურღილის მოწყობა</v>
      </c>
      <c r="B3" s="676"/>
      <c r="C3" s="676"/>
      <c r="D3" s="676"/>
      <c r="E3" s="676"/>
      <c r="F3" s="676"/>
      <c r="G3" s="676"/>
      <c r="H3" s="676"/>
      <c r="I3" s="676"/>
    </row>
    <row r="4" spans="3:9" ht="12.75">
      <c r="C4" s="210"/>
      <c r="F4" s="677" t="s">
        <v>9</v>
      </c>
      <c r="G4" s="677"/>
      <c r="H4" s="677"/>
      <c r="I4" s="677"/>
    </row>
    <row r="5" spans="1:9" ht="12.75">
      <c r="A5" s="678" t="s">
        <v>10</v>
      </c>
      <c r="B5" s="679" t="s">
        <v>390</v>
      </c>
      <c r="C5" s="679" t="s">
        <v>12</v>
      </c>
      <c r="D5" s="680" t="s">
        <v>13</v>
      </c>
      <c r="E5" s="680"/>
      <c r="F5" s="680"/>
      <c r="G5" s="680"/>
      <c r="H5" s="680"/>
      <c r="I5" s="679" t="s">
        <v>14</v>
      </c>
    </row>
    <row r="6" spans="1:9" ht="12.75">
      <c r="A6" s="678"/>
      <c r="B6" s="679"/>
      <c r="C6" s="679"/>
      <c r="D6" s="679" t="s">
        <v>15</v>
      </c>
      <c r="E6" s="679" t="s">
        <v>16</v>
      </c>
      <c r="F6" s="679" t="s">
        <v>17</v>
      </c>
      <c r="G6" s="679" t="s">
        <v>18</v>
      </c>
      <c r="H6" s="680" t="s">
        <v>19</v>
      </c>
      <c r="I6" s="679"/>
    </row>
    <row r="7" spans="1:9" ht="12.75">
      <c r="A7" s="678"/>
      <c r="B7" s="679"/>
      <c r="C7" s="679"/>
      <c r="D7" s="679"/>
      <c r="E7" s="679"/>
      <c r="F7" s="679"/>
      <c r="G7" s="679"/>
      <c r="H7" s="680"/>
      <c r="I7" s="679"/>
    </row>
    <row r="8" spans="1:9" ht="12.75">
      <c r="A8" s="211">
        <v>1</v>
      </c>
      <c r="B8" s="45">
        <v>2</v>
      </c>
      <c r="C8" s="56">
        <v>3</v>
      </c>
      <c r="D8" s="45">
        <v>4</v>
      </c>
      <c r="E8" s="45">
        <v>5</v>
      </c>
      <c r="F8" s="45">
        <v>6</v>
      </c>
      <c r="G8" s="45">
        <v>7</v>
      </c>
      <c r="H8" s="212">
        <v>8</v>
      </c>
      <c r="I8" s="56">
        <v>9</v>
      </c>
    </row>
    <row r="9" spans="1:9" s="216" customFormat="1" ht="12.75">
      <c r="A9" s="125">
        <v>1</v>
      </c>
      <c r="B9" s="185" t="s">
        <v>367</v>
      </c>
      <c r="C9" s="124" t="s">
        <v>144</v>
      </c>
      <c r="D9" s="213"/>
      <c r="E9" s="214"/>
      <c r="F9" s="214"/>
      <c r="G9" s="215"/>
      <c r="H9" s="214"/>
      <c r="I9" s="123"/>
    </row>
    <row r="10" spans="1:9" s="216" customFormat="1" ht="15" customHeight="1">
      <c r="A10" s="125">
        <v>2</v>
      </c>
      <c r="B10" s="185" t="s">
        <v>368</v>
      </c>
      <c r="C10" s="124" t="s">
        <v>391</v>
      </c>
      <c r="D10" s="213"/>
      <c r="E10" s="214"/>
      <c r="F10" s="214"/>
      <c r="G10" s="215"/>
      <c r="H10" s="214"/>
      <c r="I10" s="123"/>
    </row>
    <row r="11" spans="1:9" s="222" customFormat="1" ht="12.75">
      <c r="A11" s="125"/>
      <c r="B11" s="217"/>
      <c r="C11" s="218" t="s">
        <v>129</v>
      </c>
      <c r="D11" s="219"/>
      <c r="E11" s="220"/>
      <c r="F11" s="220"/>
      <c r="G11" s="221"/>
      <c r="H11" s="220"/>
      <c r="I11" s="184"/>
    </row>
    <row r="12" spans="3:11" ht="12.75">
      <c r="C12" s="223"/>
      <c r="D12" s="224"/>
      <c r="E12" s="224"/>
      <c r="F12" s="224"/>
      <c r="G12" s="224"/>
      <c r="H12" s="224"/>
      <c r="I12" s="48"/>
      <c r="J12" s="225"/>
      <c r="K12" s="226"/>
    </row>
    <row r="13" spans="3:11" ht="12.75">
      <c r="C13" s="223"/>
      <c r="D13" s="224"/>
      <c r="E13" s="224"/>
      <c r="F13" s="224"/>
      <c r="G13" s="224"/>
      <c r="H13" s="224"/>
      <c r="I13" s="48"/>
      <c r="J13" s="227"/>
      <c r="K13" s="226"/>
    </row>
    <row r="14" spans="3:9" ht="12.75">
      <c r="C14" s="228"/>
      <c r="D14" s="57"/>
      <c r="E14" s="57"/>
      <c r="F14" s="229"/>
      <c r="G14" s="230"/>
      <c r="H14" s="48"/>
      <c r="I14" s="231"/>
    </row>
    <row r="15" spans="2:13" s="232" customFormat="1" ht="12.75">
      <c r="B15" s="233"/>
      <c r="L15" s="233"/>
      <c r="M15" s="234"/>
    </row>
    <row r="16" s="232" customFormat="1" ht="12.75">
      <c r="C16" s="235"/>
    </row>
    <row r="17" spans="3:8" s="232" customFormat="1" ht="12.75">
      <c r="C17" s="235"/>
      <c r="G17" s="681"/>
      <c r="H17" s="681"/>
    </row>
    <row r="18" s="232" customFormat="1" ht="12.75">
      <c r="C18" s="235"/>
    </row>
    <row r="19" spans="1:9" s="233" customFormat="1" ht="12.75">
      <c r="A19" s="232"/>
      <c r="I19" s="236"/>
    </row>
    <row r="20" spans="4:7" ht="12.75">
      <c r="D20" s="223"/>
      <c r="E20" s="208"/>
      <c r="F20" s="208"/>
      <c r="G20" s="208"/>
    </row>
    <row r="21" spans="4:7" ht="12.75">
      <c r="D21" s="223"/>
      <c r="E21" s="208"/>
      <c r="F21" s="208"/>
      <c r="G21" s="208"/>
    </row>
    <row r="34" spans="4:8" ht="12.75">
      <c r="D34" s="237"/>
      <c r="E34" s="238"/>
      <c r="F34" s="239"/>
      <c r="G34" s="240"/>
      <c r="H34" s="241"/>
    </row>
    <row r="35" spans="4:8" ht="12.75">
      <c r="D35" s="242"/>
      <c r="E35" s="238"/>
      <c r="F35" s="243"/>
      <c r="G35" s="244"/>
      <c r="H35" s="245"/>
    </row>
    <row r="36" spans="2:8" ht="12.75">
      <c r="B36" s="246"/>
      <c r="D36" s="242"/>
      <c r="E36" s="238"/>
      <c r="F36" s="243"/>
      <c r="G36" s="244"/>
      <c r="H36" s="245"/>
    </row>
    <row r="37" spans="4:8" ht="12.75">
      <c r="D37" s="242"/>
      <c r="E37" s="238"/>
      <c r="F37" s="243"/>
      <c r="G37" s="244"/>
      <c r="H37" s="245"/>
    </row>
    <row r="38" spans="2:8" ht="12.75">
      <c r="B38" s="246"/>
      <c r="D38" s="242"/>
      <c r="E38" s="238"/>
      <c r="F38" s="243"/>
      <c r="G38" s="244"/>
      <c r="H38" s="245"/>
    </row>
    <row r="39" spans="4:8" ht="12.75">
      <c r="D39" s="242"/>
      <c r="E39" s="238"/>
      <c r="F39" s="243"/>
      <c r="G39" s="244"/>
      <c r="H39" s="245"/>
    </row>
    <row r="40" spans="4:8" ht="12.75">
      <c r="D40" s="242"/>
      <c r="E40" s="238"/>
      <c r="F40" s="243"/>
      <c r="G40" s="244"/>
      <c r="H40" s="245"/>
    </row>
    <row r="41" spans="4:8" ht="12.75">
      <c r="D41" s="242"/>
      <c r="E41" s="238"/>
      <c r="F41" s="243"/>
      <c r="G41" s="244"/>
      <c r="H41" s="245"/>
    </row>
    <row r="42" spans="4:8" ht="12.75">
      <c r="D42" s="242"/>
      <c r="E42" s="238"/>
      <c r="F42" s="243"/>
      <c r="G42" s="244"/>
      <c r="H42" s="245"/>
    </row>
    <row r="43" spans="2:8" ht="12.75">
      <c r="B43" s="246"/>
      <c r="D43" s="242"/>
      <c r="E43" s="238"/>
      <c r="F43" s="243"/>
      <c r="G43" s="244"/>
      <c r="H43" s="245"/>
    </row>
    <row r="44" spans="2:8" ht="12.75">
      <c r="B44" s="246"/>
      <c r="D44" s="242"/>
      <c r="E44" s="238"/>
      <c r="F44" s="243"/>
      <c r="G44" s="244"/>
      <c r="H44" s="245"/>
    </row>
    <row r="45" spans="2:8" ht="12.75">
      <c r="B45" s="246"/>
      <c r="D45" s="242"/>
      <c r="E45" s="238"/>
      <c r="F45" s="243"/>
      <c r="G45" s="244"/>
      <c r="H45" s="245"/>
    </row>
    <row r="46" spans="4:8" ht="12.75">
      <c r="D46" s="242"/>
      <c r="E46" s="238"/>
      <c r="F46" s="243"/>
      <c r="G46" s="244"/>
      <c r="H46" s="245"/>
    </row>
    <row r="47" spans="4:8" ht="12.75">
      <c r="D47" s="242"/>
      <c r="E47" s="238"/>
      <c r="F47" s="243"/>
      <c r="G47" s="244"/>
      <c r="H47" s="245"/>
    </row>
    <row r="48" spans="4:8" ht="12.75">
      <c r="D48" s="242"/>
      <c r="E48" s="238"/>
      <c r="F48" s="243"/>
      <c r="G48" s="244"/>
      <c r="H48" s="245"/>
    </row>
    <row r="49" spans="2:8" ht="12.75">
      <c r="B49" s="246"/>
      <c r="D49" s="242"/>
      <c r="E49" s="238"/>
      <c r="F49" s="243"/>
      <c r="G49" s="244"/>
      <c r="H49" s="245"/>
    </row>
    <row r="50" spans="4:8" ht="12.75">
      <c r="D50" s="242"/>
      <c r="E50" s="238"/>
      <c r="F50" s="243"/>
      <c r="G50" s="244"/>
      <c r="H50" s="245"/>
    </row>
    <row r="51" spans="4:8" ht="12.75">
      <c r="D51" s="242"/>
      <c r="E51" s="238"/>
      <c r="F51" s="243"/>
      <c r="G51" s="244"/>
      <c r="H51" s="245"/>
    </row>
    <row r="52" spans="4:8" ht="12.75">
      <c r="D52" s="242"/>
      <c r="E52" s="238"/>
      <c r="F52" s="243"/>
      <c r="G52" s="244"/>
      <c r="H52" s="245"/>
    </row>
    <row r="53" spans="4:8" ht="12.75">
      <c r="D53" s="242"/>
      <c r="E53" s="238"/>
      <c r="F53" s="243"/>
      <c r="G53" s="244"/>
      <c r="H53" s="245"/>
    </row>
    <row r="54" spans="4:8" ht="12.75">
      <c r="D54" s="242"/>
      <c r="E54" s="238"/>
      <c r="F54" s="243"/>
      <c r="G54" s="244"/>
      <c r="H54" s="245"/>
    </row>
    <row r="55" spans="4:8" ht="12.75">
      <c r="D55" s="242"/>
      <c r="E55" s="238"/>
      <c r="F55" s="243"/>
      <c r="G55" s="244"/>
      <c r="H55" s="245"/>
    </row>
    <row r="56" spans="2:8" ht="12.75">
      <c r="B56" s="247"/>
      <c r="D56" s="242"/>
      <c r="E56" s="238"/>
      <c r="F56" s="243"/>
      <c r="G56" s="244"/>
      <c r="H56" s="245"/>
    </row>
    <row r="57" spans="4:8" ht="12.75">
      <c r="D57" s="242"/>
      <c r="E57" s="238"/>
      <c r="F57" s="243"/>
      <c r="G57" s="244"/>
      <c r="H57" s="245"/>
    </row>
    <row r="58" spans="4:8" ht="12.75">
      <c r="D58" s="242"/>
      <c r="E58" s="238"/>
      <c r="F58" s="243"/>
      <c r="G58" s="244"/>
      <c r="H58" s="245"/>
    </row>
    <row r="59" spans="4:8" ht="12.75">
      <c r="D59" s="242"/>
      <c r="E59" s="238"/>
      <c r="F59" s="243"/>
      <c r="G59" s="244"/>
      <c r="H59" s="245"/>
    </row>
    <row r="60" spans="4:8" ht="12.75">
      <c r="D60" s="242"/>
      <c r="E60" s="238"/>
      <c r="F60" s="243"/>
      <c r="G60" s="244"/>
      <c r="H60" s="245"/>
    </row>
    <row r="61" spans="4:8" ht="12.75">
      <c r="D61" s="242"/>
      <c r="E61" s="238"/>
      <c r="F61" s="243"/>
      <c r="G61" s="244"/>
      <c r="H61" s="245"/>
    </row>
    <row r="62" spans="4:8" ht="12.75">
      <c r="D62" s="242"/>
      <c r="E62" s="238"/>
      <c r="F62" s="243"/>
      <c r="G62" s="244"/>
      <c r="H62" s="245"/>
    </row>
  </sheetData>
  <sheetProtection/>
  <mergeCells count="15">
    <mergeCell ref="E6:E7"/>
    <mergeCell ref="F6:F7"/>
    <mergeCell ref="G6:G7"/>
    <mergeCell ref="H6:H7"/>
    <mergeCell ref="G17:H17"/>
    <mergeCell ref="A1:I1"/>
    <mergeCell ref="A2:I2"/>
    <mergeCell ref="F4:I4"/>
    <mergeCell ref="A5:A7"/>
    <mergeCell ref="B5:B7"/>
    <mergeCell ref="C5:C7"/>
    <mergeCell ref="D5:H5"/>
    <mergeCell ref="I5:I7"/>
    <mergeCell ref="A3:I3"/>
    <mergeCell ref="D6:D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1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Normal="85" zoomScaleSheetLayoutView="100" workbookViewId="0" topLeftCell="A58">
      <selection activeCell="G9" sqref="G9:M83"/>
    </sheetView>
  </sheetViews>
  <sheetFormatPr defaultColWidth="9.140625" defaultRowHeight="12.75"/>
  <cols>
    <col min="1" max="1" width="3.8515625" style="253" customWidth="1"/>
    <col min="2" max="2" width="14.28125" style="253" customWidth="1"/>
    <col min="3" max="3" width="48.7109375" style="250" customWidth="1"/>
    <col min="4" max="4" width="9.28125" style="250" customWidth="1"/>
    <col min="5" max="5" width="8.421875" style="250" customWidth="1"/>
    <col min="6" max="6" width="9.7109375" style="250" customWidth="1"/>
    <col min="7" max="13" width="11.421875" style="304" customWidth="1"/>
    <col min="14" max="16384" width="9.140625" style="250" customWidth="1"/>
  </cols>
  <sheetData>
    <row r="1" spans="1:13" ht="12.75">
      <c r="A1" s="685" t="s">
        <v>135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</row>
    <row r="2" spans="1:13" ht="12.75">
      <c r="A2" s="686" t="e">
        <f>#REF!</f>
        <v>#REF!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3" ht="12.75">
      <c r="A3" s="686" t="str">
        <f>'1-2'!C9</f>
        <v>ჭაბურღილი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 ht="12.75">
      <c r="A4" s="249"/>
      <c r="B4" s="249"/>
      <c r="C4" s="687"/>
      <c r="D4" s="687"/>
      <c r="E4" s="687"/>
      <c r="F4" s="687"/>
      <c r="G4" s="687"/>
      <c r="H4" s="687"/>
      <c r="I4" s="687"/>
      <c r="J4" s="687"/>
      <c r="K4" s="687"/>
      <c r="L4" s="251"/>
      <c r="M4" s="251"/>
    </row>
    <row r="5" spans="1:13" s="253" customFormat="1" ht="18" customHeight="1">
      <c r="A5" s="682" t="s">
        <v>1</v>
      </c>
      <c r="B5" s="682" t="s">
        <v>70</v>
      </c>
      <c r="C5" s="682" t="s">
        <v>51</v>
      </c>
      <c r="D5" s="682" t="s">
        <v>52</v>
      </c>
      <c r="E5" s="682" t="s">
        <v>53</v>
      </c>
      <c r="F5" s="682" t="s">
        <v>54</v>
      </c>
      <c r="G5" s="683" t="s">
        <v>55</v>
      </c>
      <c r="H5" s="683"/>
      <c r="I5" s="683" t="s">
        <v>56</v>
      </c>
      <c r="J5" s="683"/>
      <c r="K5" s="682" t="s">
        <v>57</v>
      </c>
      <c r="L5" s="682"/>
      <c r="M5" s="186" t="s">
        <v>71</v>
      </c>
    </row>
    <row r="6" spans="1:13" s="253" customFormat="1" ht="18" customHeight="1">
      <c r="A6" s="682"/>
      <c r="B6" s="682"/>
      <c r="C6" s="682"/>
      <c r="D6" s="682"/>
      <c r="E6" s="682"/>
      <c r="F6" s="682"/>
      <c r="G6" s="186" t="s">
        <v>58</v>
      </c>
      <c r="H6" s="186" t="s">
        <v>2</v>
      </c>
      <c r="I6" s="186" t="s">
        <v>58</v>
      </c>
      <c r="J6" s="186" t="s">
        <v>2</v>
      </c>
      <c r="K6" s="186" t="s">
        <v>58</v>
      </c>
      <c r="L6" s="186" t="s">
        <v>59</v>
      </c>
      <c r="M6" s="186" t="s">
        <v>60</v>
      </c>
    </row>
    <row r="7" spans="1:13" s="253" customFormat="1" ht="18" customHeight="1">
      <c r="A7" s="252">
        <v>1</v>
      </c>
      <c r="B7" s="252">
        <v>3</v>
      </c>
      <c r="C7" s="252">
        <v>2</v>
      </c>
      <c r="D7" s="252">
        <v>4</v>
      </c>
      <c r="E7" s="252">
        <v>5</v>
      </c>
      <c r="F7" s="252">
        <v>6</v>
      </c>
      <c r="G7" s="186">
        <v>7</v>
      </c>
      <c r="H7" s="186">
        <v>8</v>
      </c>
      <c r="I7" s="189">
        <v>9</v>
      </c>
      <c r="J7" s="186">
        <v>10</v>
      </c>
      <c r="K7" s="186">
        <v>11</v>
      </c>
      <c r="L7" s="186">
        <v>12</v>
      </c>
      <c r="M7" s="186">
        <v>13</v>
      </c>
    </row>
    <row r="8" spans="1:13" s="259" customFormat="1" ht="12.75">
      <c r="A8" s="254"/>
      <c r="B8" s="254"/>
      <c r="C8" s="254" t="s">
        <v>393</v>
      </c>
      <c r="D8" s="255"/>
      <c r="E8" s="256"/>
      <c r="F8" s="255"/>
      <c r="G8" s="255"/>
      <c r="H8" s="257"/>
      <c r="I8" s="258"/>
      <c r="J8" s="257"/>
      <c r="K8" s="257"/>
      <c r="L8" s="257"/>
      <c r="M8" s="256"/>
    </row>
    <row r="9" spans="1:13" s="253" customFormat="1" ht="25.5">
      <c r="A9" s="254">
        <v>1</v>
      </c>
      <c r="B9" s="194" t="s">
        <v>394</v>
      </c>
      <c r="C9" s="260" t="s">
        <v>395</v>
      </c>
      <c r="D9" s="254" t="s">
        <v>396</v>
      </c>
      <c r="E9" s="261"/>
      <c r="F9" s="262">
        <v>0.3</v>
      </c>
      <c r="G9" s="263"/>
      <c r="H9" s="263"/>
      <c r="I9" s="263"/>
      <c r="J9" s="263"/>
      <c r="K9" s="263"/>
      <c r="L9" s="263"/>
      <c r="M9" s="263"/>
    </row>
    <row r="10" spans="1:13" s="253" customFormat="1" ht="12.75">
      <c r="A10" s="254"/>
      <c r="B10" s="194"/>
      <c r="C10" s="264" t="s">
        <v>3</v>
      </c>
      <c r="D10" s="265" t="s">
        <v>4</v>
      </c>
      <c r="E10" s="263">
        <f>61.3</f>
        <v>61.3</v>
      </c>
      <c r="F10" s="263">
        <f>F9*E10</f>
        <v>18.389999999999997</v>
      </c>
      <c r="G10" s="266"/>
      <c r="H10" s="266"/>
      <c r="I10" s="266"/>
      <c r="J10" s="266"/>
      <c r="K10" s="266"/>
      <c r="L10" s="266"/>
      <c r="M10" s="266"/>
    </row>
    <row r="11" spans="1:13" s="253" customFormat="1" ht="12.75">
      <c r="A11" s="254"/>
      <c r="B11" s="194" t="s">
        <v>397</v>
      </c>
      <c r="C11" s="264" t="s">
        <v>398</v>
      </c>
      <c r="D11" s="265" t="s">
        <v>87</v>
      </c>
      <c r="E11" s="263">
        <f>36.5</f>
        <v>36.5</v>
      </c>
      <c r="F11" s="263">
        <f>F9*E11</f>
        <v>10.95</v>
      </c>
      <c r="G11" s="266"/>
      <c r="H11" s="266"/>
      <c r="I11" s="267"/>
      <c r="J11" s="266"/>
      <c r="K11" s="266"/>
      <c r="L11" s="266"/>
      <c r="M11" s="266"/>
    </row>
    <row r="12" spans="1:13" ht="12.75">
      <c r="A12" s="254"/>
      <c r="B12" s="194"/>
      <c r="C12" s="264" t="s">
        <v>22</v>
      </c>
      <c r="D12" s="121" t="s">
        <v>0</v>
      </c>
      <c r="E12" s="263">
        <v>0.126</v>
      </c>
      <c r="F12" s="263">
        <f>E12*F9</f>
        <v>0.0378</v>
      </c>
      <c r="G12" s="266"/>
      <c r="H12" s="266"/>
      <c r="I12" s="266"/>
      <c r="J12" s="266"/>
      <c r="K12" s="266"/>
      <c r="L12" s="266"/>
      <c r="M12" s="266"/>
    </row>
    <row r="13" spans="1:13" s="253" customFormat="1" ht="12.75">
      <c r="A13" s="254"/>
      <c r="B13" s="194"/>
      <c r="C13" s="121" t="s">
        <v>61</v>
      </c>
      <c r="D13" s="265"/>
      <c r="E13" s="263"/>
      <c r="F13" s="263"/>
      <c r="G13" s="266"/>
      <c r="H13" s="266"/>
      <c r="I13" s="266"/>
      <c r="J13" s="266"/>
      <c r="K13" s="266"/>
      <c r="L13" s="266"/>
      <c r="M13" s="266"/>
    </row>
    <row r="14" spans="1:13" s="253" customFormat="1" ht="12.75">
      <c r="A14" s="254"/>
      <c r="B14" s="254" t="s">
        <v>399</v>
      </c>
      <c r="C14" s="264" t="s">
        <v>400</v>
      </c>
      <c r="D14" s="265" t="s">
        <v>7</v>
      </c>
      <c r="E14" s="263">
        <v>1.12</v>
      </c>
      <c r="F14" s="263">
        <f>F9*E14</f>
        <v>0.336</v>
      </c>
      <c r="G14" s="268"/>
      <c r="H14" s="268"/>
      <c r="I14" s="266"/>
      <c r="J14" s="268"/>
      <c r="K14" s="268"/>
      <c r="L14" s="268"/>
      <c r="M14" s="266"/>
    </row>
    <row r="15" spans="1:13" s="253" customFormat="1" ht="12.75">
      <c r="A15" s="254"/>
      <c r="B15" s="254" t="s">
        <v>401</v>
      </c>
      <c r="C15" s="264" t="s">
        <v>402</v>
      </c>
      <c r="D15" s="265" t="s">
        <v>8</v>
      </c>
      <c r="E15" s="263">
        <v>0.014</v>
      </c>
      <c r="F15" s="263">
        <f>F9*E15</f>
        <v>0.0042</v>
      </c>
      <c r="G15" s="268"/>
      <c r="H15" s="268"/>
      <c r="I15" s="266"/>
      <c r="J15" s="268"/>
      <c r="K15" s="268"/>
      <c r="L15" s="268"/>
      <c r="M15" s="266"/>
    </row>
    <row r="16" spans="1:13" s="253" customFormat="1" ht="12.75">
      <c r="A16" s="254"/>
      <c r="B16" s="254" t="s">
        <v>403</v>
      </c>
      <c r="C16" s="264" t="s">
        <v>2</v>
      </c>
      <c r="D16" s="265" t="s">
        <v>8</v>
      </c>
      <c r="E16" s="263">
        <f>0.6</f>
        <v>0.6</v>
      </c>
      <c r="F16" s="263">
        <f>F9*E16</f>
        <v>0.18</v>
      </c>
      <c r="G16" s="266"/>
      <c r="H16" s="268"/>
      <c r="I16" s="266"/>
      <c r="J16" s="266"/>
      <c r="K16" s="266"/>
      <c r="L16" s="266"/>
      <c r="M16" s="266"/>
    </row>
    <row r="17" spans="1:13" s="271" customFormat="1" ht="12.75">
      <c r="A17" s="269"/>
      <c r="B17" s="194"/>
      <c r="C17" s="264" t="s">
        <v>6</v>
      </c>
      <c r="D17" s="121" t="s">
        <v>0</v>
      </c>
      <c r="E17" s="270">
        <f>9.48</f>
        <v>9.48</v>
      </c>
      <c r="F17" s="270">
        <f>E17*F9</f>
        <v>2.844</v>
      </c>
      <c r="G17" s="268"/>
      <c r="H17" s="268"/>
      <c r="I17" s="266"/>
      <c r="J17" s="268"/>
      <c r="K17" s="268"/>
      <c r="L17" s="268"/>
      <c r="M17" s="266"/>
    </row>
    <row r="18" spans="1:13" s="271" customFormat="1" ht="25.5">
      <c r="A18" s="254">
        <v>2</v>
      </c>
      <c r="B18" s="194" t="s">
        <v>394</v>
      </c>
      <c r="C18" s="260" t="s">
        <v>404</v>
      </c>
      <c r="D18" s="254" t="s">
        <v>396</v>
      </c>
      <c r="E18" s="261"/>
      <c r="F18" s="262">
        <v>0.3</v>
      </c>
      <c r="G18" s="263"/>
      <c r="H18" s="263"/>
      <c r="I18" s="263"/>
      <c r="J18" s="263"/>
      <c r="K18" s="263"/>
      <c r="L18" s="263"/>
      <c r="M18" s="263"/>
    </row>
    <row r="19" spans="1:13" s="271" customFormat="1" ht="12.75">
      <c r="A19" s="254"/>
      <c r="B19" s="194"/>
      <c r="C19" s="264" t="s">
        <v>3</v>
      </c>
      <c r="D19" s="265" t="s">
        <v>4</v>
      </c>
      <c r="E19" s="263">
        <f>61.3</f>
        <v>61.3</v>
      </c>
      <c r="F19" s="263">
        <f>F18*E19</f>
        <v>18.389999999999997</v>
      </c>
      <c r="G19" s="266"/>
      <c r="H19" s="266"/>
      <c r="I19" s="266"/>
      <c r="J19" s="266"/>
      <c r="K19" s="266"/>
      <c r="L19" s="266"/>
      <c r="M19" s="266"/>
    </row>
    <row r="20" spans="1:13" s="271" customFormat="1" ht="12.75">
      <c r="A20" s="254"/>
      <c r="B20" s="194" t="s">
        <v>397</v>
      </c>
      <c r="C20" s="264" t="s">
        <v>398</v>
      </c>
      <c r="D20" s="265" t="s">
        <v>87</v>
      </c>
      <c r="E20" s="263">
        <f>36.5</f>
        <v>36.5</v>
      </c>
      <c r="F20" s="263">
        <f>F18*E20</f>
        <v>10.95</v>
      </c>
      <c r="G20" s="266"/>
      <c r="H20" s="266"/>
      <c r="I20" s="267"/>
      <c r="J20" s="266"/>
      <c r="K20" s="266"/>
      <c r="L20" s="266"/>
      <c r="M20" s="266"/>
    </row>
    <row r="21" spans="1:13" s="271" customFormat="1" ht="12.75">
      <c r="A21" s="254"/>
      <c r="B21" s="194"/>
      <c r="C21" s="264" t="s">
        <v>22</v>
      </c>
      <c r="D21" s="121" t="s">
        <v>0</v>
      </c>
      <c r="E21" s="263">
        <v>0.126</v>
      </c>
      <c r="F21" s="263">
        <f>E21*F18</f>
        <v>0.0378</v>
      </c>
      <c r="G21" s="266"/>
      <c r="H21" s="266"/>
      <c r="I21" s="266"/>
      <c r="J21" s="266"/>
      <c r="K21" s="266"/>
      <c r="L21" s="266"/>
      <c r="M21" s="266"/>
    </row>
    <row r="22" spans="1:13" s="271" customFormat="1" ht="12.75">
      <c r="A22" s="254"/>
      <c r="B22" s="194"/>
      <c r="C22" s="121" t="s">
        <v>61</v>
      </c>
      <c r="D22" s="265"/>
      <c r="E22" s="263"/>
      <c r="F22" s="263"/>
      <c r="G22" s="266"/>
      <c r="H22" s="266"/>
      <c r="I22" s="266"/>
      <c r="J22" s="266"/>
      <c r="K22" s="266"/>
      <c r="L22" s="266"/>
      <c r="M22" s="266"/>
    </row>
    <row r="23" spans="1:13" s="271" customFormat="1" ht="12.75">
      <c r="A23" s="254"/>
      <c r="B23" s="254" t="s">
        <v>399</v>
      </c>
      <c r="C23" s="264" t="s">
        <v>400</v>
      </c>
      <c r="D23" s="265" t="s">
        <v>7</v>
      </c>
      <c r="E23" s="263">
        <v>1.12</v>
      </c>
      <c r="F23" s="263">
        <f>F18*E23</f>
        <v>0.336</v>
      </c>
      <c r="G23" s="268"/>
      <c r="H23" s="268"/>
      <c r="I23" s="266"/>
      <c r="J23" s="268"/>
      <c r="K23" s="268"/>
      <c r="L23" s="268"/>
      <c r="M23" s="266"/>
    </row>
    <row r="24" spans="1:13" s="271" customFormat="1" ht="12.75">
      <c r="A24" s="254"/>
      <c r="B24" s="254" t="s">
        <v>401</v>
      </c>
      <c r="C24" s="264" t="s">
        <v>402</v>
      </c>
      <c r="D24" s="265" t="s">
        <v>8</v>
      </c>
      <c r="E24" s="263">
        <v>0.014</v>
      </c>
      <c r="F24" s="263">
        <f>F18*E24</f>
        <v>0.0042</v>
      </c>
      <c r="G24" s="268"/>
      <c r="H24" s="268"/>
      <c r="I24" s="266"/>
      <c r="J24" s="268"/>
      <c r="K24" s="268"/>
      <c r="L24" s="268"/>
      <c r="M24" s="266"/>
    </row>
    <row r="25" spans="1:13" s="271" customFormat="1" ht="12.75">
      <c r="A25" s="254"/>
      <c r="B25" s="254" t="s">
        <v>403</v>
      </c>
      <c r="C25" s="264" t="s">
        <v>405</v>
      </c>
      <c r="D25" s="265" t="s">
        <v>8</v>
      </c>
      <c r="E25" s="263">
        <f>0.6</f>
        <v>0.6</v>
      </c>
      <c r="F25" s="263">
        <f>F18*E25</f>
        <v>0.18</v>
      </c>
      <c r="G25" s="266"/>
      <c r="H25" s="268"/>
      <c r="I25" s="266"/>
      <c r="J25" s="266"/>
      <c r="K25" s="266"/>
      <c r="L25" s="266"/>
      <c r="M25" s="266"/>
    </row>
    <row r="26" spans="1:13" s="271" customFormat="1" ht="12.75">
      <c r="A26" s="269"/>
      <c r="B26" s="194"/>
      <c r="C26" s="264" t="s">
        <v>6</v>
      </c>
      <c r="D26" s="121" t="s">
        <v>0</v>
      </c>
      <c r="E26" s="270">
        <f>9.48</f>
        <v>9.48</v>
      </c>
      <c r="F26" s="270">
        <f>E26*F18</f>
        <v>2.844</v>
      </c>
      <c r="G26" s="268"/>
      <c r="H26" s="268"/>
      <c r="I26" s="266"/>
      <c r="J26" s="268"/>
      <c r="K26" s="268"/>
      <c r="L26" s="268"/>
      <c r="M26" s="266"/>
    </row>
    <row r="27" spans="1:13" s="253" customFormat="1" ht="25.5">
      <c r="A27" s="254">
        <v>3</v>
      </c>
      <c r="B27" s="194" t="s">
        <v>406</v>
      </c>
      <c r="C27" s="260" t="s">
        <v>407</v>
      </c>
      <c r="D27" s="254" t="s">
        <v>396</v>
      </c>
      <c r="E27" s="261"/>
      <c r="F27" s="262">
        <v>0.4</v>
      </c>
      <c r="G27" s="266"/>
      <c r="H27" s="266"/>
      <c r="I27" s="266"/>
      <c r="J27" s="266"/>
      <c r="K27" s="266"/>
      <c r="L27" s="266"/>
      <c r="M27" s="266"/>
    </row>
    <row r="28" spans="1:13" s="253" customFormat="1" ht="12.75">
      <c r="A28" s="254"/>
      <c r="B28" s="194"/>
      <c r="C28" s="264" t="s">
        <v>3</v>
      </c>
      <c r="D28" s="265" t="s">
        <v>4</v>
      </c>
      <c r="E28" s="263">
        <f>122</f>
        <v>122</v>
      </c>
      <c r="F28" s="263">
        <f>F27*E28</f>
        <v>48.800000000000004</v>
      </c>
      <c r="G28" s="266"/>
      <c r="H28" s="266"/>
      <c r="I28" s="266"/>
      <c r="J28" s="266"/>
      <c r="K28" s="266"/>
      <c r="L28" s="266"/>
      <c r="M28" s="266"/>
    </row>
    <row r="29" spans="1:13" s="253" customFormat="1" ht="12.75">
      <c r="A29" s="254"/>
      <c r="B29" s="194" t="s">
        <v>397</v>
      </c>
      <c r="C29" s="264" t="s">
        <v>398</v>
      </c>
      <c r="D29" s="265" t="s">
        <v>87</v>
      </c>
      <c r="E29" s="263">
        <f>73</f>
        <v>73</v>
      </c>
      <c r="F29" s="263">
        <f>F27*E29</f>
        <v>29.200000000000003</v>
      </c>
      <c r="G29" s="266"/>
      <c r="H29" s="266"/>
      <c r="I29" s="267"/>
      <c r="J29" s="266"/>
      <c r="K29" s="266"/>
      <c r="L29" s="266"/>
      <c r="M29" s="266"/>
    </row>
    <row r="30" spans="1:13" ht="12.75">
      <c r="A30" s="254"/>
      <c r="B30" s="194"/>
      <c r="C30" s="264" t="s">
        <v>22</v>
      </c>
      <c r="D30" s="121" t="s">
        <v>0</v>
      </c>
      <c r="E30" s="263">
        <f>0.25</f>
        <v>0.25</v>
      </c>
      <c r="F30" s="263">
        <f>E30*F27</f>
        <v>0.1</v>
      </c>
      <c r="G30" s="266"/>
      <c r="H30" s="266"/>
      <c r="I30" s="266"/>
      <c r="J30" s="266"/>
      <c r="K30" s="266"/>
      <c r="L30" s="266"/>
      <c r="M30" s="266"/>
    </row>
    <row r="31" spans="1:13" s="253" customFormat="1" ht="12.75">
      <c r="A31" s="254"/>
      <c r="B31" s="194"/>
      <c r="C31" s="121" t="s">
        <v>61</v>
      </c>
      <c r="D31" s="265"/>
      <c r="E31" s="263"/>
      <c r="F31" s="263"/>
      <c r="G31" s="266"/>
      <c r="H31" s="266"/>
      <c r="I31" s="266"/>
      <c r="J31" s="266"/>
      <c r="K31" s="266"/>
      <c r="L31" s="266"/>
      <c r="M31" s="266"/>
    </row>
    <row r="32" spans="1:13" s="253" customFormat="1" ht="12.75">
      <c r="A32" s="254"/>
      <c r="B32" s="254" t="s">
        <v>399</v>
      </c>
      <c r="C32" s="264" t="s">
        <v>400</v>
      </c>
      <c r="D32" s="265" t="s">
        <v>7</v>
      </c>
      <c r="E32" s="263">
        <f>1.5*1.4</f>
        <v>2.0999999999999996</v>
      </c>
      <c r="F32" s="263">
        <f>F27*E32</f>
        <v>0.8399999999999999</v>
      </c>
      <c r="G32" s="268"/>
      <c r="H32" s="268"/>
      <c r="I32" s="266"/>
      <c r="J32" s="268"/>
      <c r="K32" s="268"/>
      <c r="L32" s="268"/>
      <c r="M32" s="266"/>
    </row>
    <row r="33" spans="1:13" s="253" customFormat="1" ht="12.75">
      <c r="A33" s="254"/>
      <c r="B33" s="254" t="s">
        <v>401</v>
      </c>
      <c r="C33" s="264" t="s">
        <v>402</v>
      </c>
      <c r="D33" s="265" t="s">
        <v>8</v>
      </c>
      <c r="E33" s="263">
        <f>0.02*1.4</f>
        <v>0.027999999999999997</v>
      </c>
      <c r="F33" s="263">
        <f>F27*E33</f>
        <v>0.0112</v>
      </c>
      <c r="G33" s="268"/>
      <c r="H33" s="268"/>
      <c r="I33" s="266"/>
      <c r="J33" s="268"/>
      <c r="K33" s="268"/>
      <c r="L33" s="268"/>
      <c r="M33" s="266"/>
    </row>
    <row r="34" spans="1:13" s="253" customFormat="1" ht="12.75">
      <c r="A34" s="254"/>
      <c r="B34" s="254" t="s">
        <v>403</v>
      </c>
      <c r="C34" s="264" t="s">
        <v>405</v>
      </c>
      <c r="D34" s="265" t="s">
        <v>8</v>
      </c>
      <c r="E34" s="263">
        <v>2.1</v>
      </c>
      <c r="F34" s="263">
        <f>F27*E34</f>
        <v>0.8400000000000001</v>
      </c>
      <c r="G34" s="266"/>
      <c r="H34" s="268"/>
      <c r="I34" s="266"/>
      <c r="J34" s="266"/>
      <c r="K34" s="266"/>
      <c r="L34" s="266"/>
      <c r="M34" s="266"/>
    </row>
    <row r="35" spans="1:13" s="271" customFormat="1" ht="12.75">
      <c r="A35" s="269"/>
      <c r="B35" s="194"/>
      <c r="C35" s="264" t="s">
        <v>6</v>
      </c>
      <c r="D35" s="121" t="s">
        <v>0</v>
      </c>
      <c r="E35" s="270">
        <f>15.8</f>
        <v>15.8</v>
      </c>
      <c r="F35" s="270">
        <f>E35*F27</f>
        <v>6.32</v>
      </c>
      <c r="G35" s="268"/>
      <c r="H35" s="268"/>
      <c r="I35" s="266"/>
      <c r="J35" s="268"/>
      <c r="K35" s="268"/>
      <c r="L35" s="268"/>
      <c r="M35" s="266"/>
    </row>
    <row r="36" spans="1:13" s="253" customFormat="1" ht="12.75">
      <c r="A36" s="254">
        <v>6</v>
      </c>
      <c r="B36" s="194" t="s">
        <v>408</v>
      </c>
      <c r="C36" s="260" t="s">
        <v>409</v>
      </c>
      <c r="D36" s="254" t="s">
        <v>396</v>
      </c>
      <c r="E36" s="261"/>
      <c r="F36" s="262">
        <v>0.6</v>
      </c>
      <c r="G36" s="266"/>
      <c r="H36" s="266"/>
      <c r="I36" s="266"/>
      <c r="J36" s="266"/>
      <c r="K36" s="266"/>
      <c r="L36" s="266"/>
      <c r="M36" s="266"/>
    </row>
    <row r="37" spans="1:13" s="253" customFormat="1" ht="12.75">
      <c r="A37" s="254"/>
      <c r="B37" s="194"/>
      <c r="C37" s="264" t="s">
        <v>3</v>
      </c>
      <c r="D37" s="265" t="s">
        <v>4</v>
      </c>
      <c r="E37" s="263">
        <v>19</v>
      </c>
      <c r="F37" s="263">
        <f>F36*E37</f>
        <v>11.4</v>
      </c>
      <c r="G37" s="266"/>
      <c r="H37" s="266"/>
      <c r="I37" s="266"/>
      <c r="J37" s="266"/>
      <c r="K37" s="266"/>
      <c r="L37" s="266"/>
      <c r="M37" s="266"/>
    </row>
    <row r="38" spans="1:13" ht="12.75">
      <c r="A38" s="254"/>
      <c r="B38" s="194"/>
      <c r="C38" s="264" t="s">
        <v>410</v>
      </c>
      <c r="D38" s="121" t="s">
        <v>87</v>
      </c>
      <c r="E38" s="263">
        <v>8.62</v>
      </c>
      <c r="F38" s="263">
        <f>E38*F36</f>
        <v>5.172</v>
      </c>
      <c r="G38" s="266"/>
      <c r="H38" s="266"/>
      <c r="I38" s="267"/>
      <c r="J38" s="266"/>
      <c r="K38" s="266"/>
      <c r="L38" s="266"/>
      <c r="M38" s="266"/>
    </row>
    <row r="39" spans="1:13" s="253" customFormat="1" ht="12.75">
      <c r="A39" s="254"/>
      <c r="B39" s="194"/>
      <c r="C39" s="121" t="s">
        <v>61</v>
      </c>
      <c r="D39" s="265"/>
      <c r="E39" s="263"/>
      <c r="F39" s="263"/>
      <c r="G39" s="266"/>
      <c r="H39" s="266"/>
      <c r="I39" s="266"/>
      <c r="J39" s="266"/>
      <c r="K39" s="266"/>
      <c r="L39" s="266"/>
      <c r="M39" s="266"/>
    </row>
    <row r="40" spans="1:13" s="271" customFormat="1" ht="12.75">
      <c r="A40" s="272"/>
      <c r="B40" s="269" t="s">
        <v>411</v>
      </c>
      <c r="C40" s="264" t="s">
        <v>412</v>
      </c>
      <c r="D40" s="121" t="s">
        <v>7</v>
      </c>
      <c r="E40" s="270">
        <v>100</v>
      </c>
      <c r="F40" s="270">
        <f>F36*E40</f>
        <v>60</v>
      </c>
      <c r="G40" s="268"/>
      <c r="H40" s="268"/>
      <c r="I40" s="266"/>
      <c r="J40" s="268"/>
      <c r="K40" s="268"/>
      <c r="L40" s="268"/>
      <c r="M40" s="268"/>
    </row>
    <row r="41" spans="1:13" s="271" customFormat="1" ht="12.75">
      <c r="A41" s="269"/>
      <c r="B41" s="194"/>
      <c r="C41" s="264" t="s">
        <v>6</v>
      </c>
      <c r="D41" s="121" t="s">
        <v>0</v>
      </c>
      <c r="E41" s="270">
        <v>4.51</v>
      </c>
      <c r="F41" s="270">
        <f>E41*F36</f>
        <v>2.706</v>
      </c>
      <c r="G41" s="268"/>
      <c r="H41" s="268"/>
      <c r="I41" s="266"/>
      <c r="J41" s="268"/>
      <c r="K41" s="268"/>
      <c r="L41" s="268"/>
      <c r="M41" s="268"/>
    </row>
    <row r="42" spans="1:13" s="253" customFormat="1" ht="25.5">
      <c r="A42" s="254">
        <v>7</v>
      </c>
      <c r="B42" s="194" t="s">
        <v>408</v>
      </c>
      <c r="C42" s="260" t="s">
        <v>413</v>
      </c>
      <c r="D42" s="254" t="s">
        <v>396</v>
      </c>
      <c r="E42" s="261"/>
      <c r="F42" s="262">
        <v>0.4</v>
      </c>
      <c r="G42" s="266"/>
      <c r="H42" s="266"/>
      <c r="I42" s="266"/>
      <c r="J42" s="266"/>
      <c r="K42" s="266"/>
      <c r="L42" s="266"/>
      <c r="M42" s="266"/>
    </row>
    <row r="43" spans="1:13" s="253" customFormat="1" ht="12.75">
      <c r="A43" s="254"/>
      <c r="B43" s="194"/>
      <c r="C43" s="264" t="s">
        <v>3</v>
      </c>
      <c r="D43" s="265" t="s">
        <v>4</v>
      </c>
      <c r="E43" s="263">
        <v>19</v>
      </c>
      <c r="F43" s="263">
        <f>F42*E43</f>
        <v>7.6000000000000005</v>
      </c>
      <c r="G43" s="266"/>
      <c r="H43" s="266"/>
      <c r="I43" s="266"/>
      <c r="J43" s="266"/>
      <c r="K43" s="266"/>
      <c r="L43" s="266"/>
      <c r="M43" s="266"/>
    </row>
    <row r="44" spans="1:13" ht="12.75">
      <c r="A44" s="254"/>
      <c r="B44" s="194" t="s">
        <v>414</v>
      </c>
      <c r="C44" s="264" t="s">
        <v>410</v>
      </c>
      <c r="D44" s="121" t="s">
        <v>87</v>
      </c>
      <c r="E44" s="263">
        <v>8.62</v>
      </c>
      <c r="F44" s="263">
        <f>E44*F42</f>
        <v>3.448</v>
      </c>
      <c r="G44" s="266"/>
      <c r="H44" s="266"/>
      <c r="I44" s="267"/>
      <c r="J44" s="266"/>
      <c r="K44" s="266"/>
      <c r="L44" s="266"/>
      <c r="M44" s="266"/>
    </row>
    <row r="45" spans="1:13" s="253" customFormat="1" ht="12.75">
      <c r="A45" s="254"/>
      <c r="B45" s="194"/>
      <c r="C45" s="121" t="s">
        <v>61</v>
      </c>
      <c r="D45" s="265"/>
      <c r="E45" s="263"/>
      <c r="F45" s="263"/>
      <c r="G45" s="266"/>
      <c r="H45" s="266"/>
      <c r="I45" s="266"/>
      <c r="J45" s="266"/>
      <c r="K45" s="266"/>
      <c r="L45" s="266"/>
      <c r="M45" s="266"/>
    </row>
    <row r="46" spans="1:13" s="271" customFormat="1" ht="12.75">
      <c r="A46" s="272"/>
      <c r="B46" s="269" t="s">
        <v>415</v>
      </c>
      <c r="C46" s="264" t="s">
        <v>416</v>
      </c>
      <c r="D46" s="121" t="s">
        <v>7</v>
      </c>
      <c r="E46" s="270">
        <v>100</v>
      </c>
      <c r="F46" s="270">
        <f>F42*E46</f>
        <v>40</v>
      </c>
      <c r="G46" s="268"/>
      <c r="H46" s="268"/>
      <c r="I46" s="266"/>
      <c r="J46" s="268"/>
      <c r="K46" s="268"/>
      <c r="L46" s="268"/>
      <c r="M46" s="268"/>
    </row>
    <row r="47" spans="1:13" s="271" customFormat="1" ht="12.75">
      <c r="A47" s="269"/>
      <c r="B47" s="194"/>
      <c r="C47" s="264" t="s">
        <v>6</v>
      </c>
      <c r="D47" s="121" t="s">
        <v>0</v>
      </c>
      <c r="E47" s="270">
        <v>4.51</v>
      </c>
      <c r="F47" s="270">
        <f>E47*F42</f>
        <v>1.804</v>
      </c>
      <c r="G47" s="268"/>
      <c r="H47" s="268"/>
      <c r="I47" s="266"/>
      <c r="J47" s="268"/>
      <c r="K47" s="268"/>
      <c r="L47" s="268"/>
      <c r="M47" s="268"/>
    </row>
    <row r="48" spans="1:13" s="271" customFormat="1" ht="12.75">
      <c r="A48" s="254">
        <v>10</v>
      </c>
      <c r="B48" s="194" t="s">
        <v>417</v>
      </c>
      <c r="C48" s="260" t="s">
        <v>418</v>
      </c>
      <c r="D48" s="254" t="s">
        <v>419</v>
      </c>
      <c r="E48" s="261"/>
      <c r="F48" s="262">
        <v>10</v>
      </c>
      <c r="G48" s="266"/>
      <c r="H48" s="266"/>
      <c r="I48" s="266"/>
      <c r="J48" s="266"/>
      <c r="K48" s="266"/>
      <c r="L48" s="266"/>
      <c r="M48" s="266"/>
    </row>
    <row r="49" spans="1:13" s="271" customFormat="1" ht="12.75">
      <c r="A49" s="254"/>
      <c r="B49" s="194"/>
      <c r="C49" s="264" t="s">
        <v>3</v>
      </c>
      <c r="D49" s="265" t="s">
        <v>4</v>
      </c>
      <c r="E49" s="263">
        <f>0.43*0.8</f>
        <v>0.34400000000000003</v>
      </c>
      <c r="F49" s="263">
        <f>F48*E49</f>
        <v>3.4400000000000004</v>
      </c>
      <c r="G49" s="266"/>
      <c r="H49" s="266"/>
      <c r="I49" s="266"/>
      <c r="J49" s="266"/>
      <c r="K49" s="266"/>
      <c r="L49" s="266"/>
      <c r="M49" s="266"/>
    </row>
    <row r="50" spans="1:13" s="271" customFormat="1" ht="12.75">
      <c r="A50" s="254"/>
      <c r="B50" s="194" t="s">
        <v>397</v>
      </c>
      <c r="C50" s="264" t="s">
        <v>398</v>
      </c>
      <c r="D50" s="265" t="s">
        <v>87</v>
      </c>
      <c r="E50" s="263">
        <f>0.22*0.8</f>
        <v>0.17600000000000002</v>
      </c>
      <c r="F50" s="263">
        <f>F48*E50</f>
        <v>1.7600000000000002</v>
      </c>
      <c r="G50" s="266"/>
      <c r="H50" s="266"/>
      <c r="I50" s="267"/>
      <c r="J50" s="266"/>
      <c r="K50" s="266"/>
      <c r="L50" s="266"/>
      <c r="M50" s="266"/>
    </row>
    <row r="51" spans="1:13" s="253" customFormat="1" ht="25.5">
      <c r="A51" s="254">
        <v>11</v>
      </c>
      <c r="B51" s="194" t="s">
        <v>420</v>
      </c>
      <c r="C51" s="260" t="s">
        <v>421</v>
      </c>
      <c r="D51" s="254" t="s">
        <v>5</v>
      </c>
      <c r="E51" s="261"/>
      <c r="F51" s="262">
        <f>(((3.14/4*(0.377*0.377-0.217*0.219))*87)+((3.14/4*(0.219+0.219-0.114*0.114))*250))/10</f>
        <v>8.986815177</v>
      </c>
      <c r="G51" s="266"/>
      <c r="H51" s="266"/>
      <c r="I51" s="266"/>
      <c r="J51" s="266"/>
      <c r="K51" s="266"/>
      <c r="L51" s="266"/>
      <c r="M51" s="266"/>
    </row>
    <row r="52" spans="1:13" s="253" customFormat="1" ht="12.75">
      <c r="A52" s="254"/>
      <c r="B52" s="194"/>
      <c r="C52" s="264" t="s">
        <v>3</v>
      </c>
      <c r="D52" s="265" t="s">
        <v>4</v>
      </c>
      <c r="E52" s="263">
        <v>92.7</v>
      </c>
      <c r="F52" s="263">
        <f>F51*E52</f>
        <v>833.0777669079</v>
      </c>
      <c r="G52" s="266"/>
      <c r="H52" s="266"/>
      <c r="I52" s="266"/>
      <c r="J52" s="266"/>
      <c r="K52" s="266"/>
      <c r="L52" s="266"/>
      <c r="M52" s="266"/>
    </row>
    <row r="53" spans="1:13" s="259" customFormat="1" ht="12.75">
      <c r="A53" s="254"/>
      <c r="B53" s="194"/>
      <c r="C53" s="264" t="s">
        <v>422</v>
      </c>
      <c r="D53" s="265" t="s">
        <v>5</v>
      </c>
      <c r="E53" s="263">
        <v>10.1</v>
      </c>
      <c r="F53" s="263">
        <f>F51*E53</f>
        <v>90.7668332877</v>
      </c>
      <c r="G53" s="266"/>
      <c r="H53" s="266"/>
      <c r="I53" s="267"/>
      <c r="J53" s="273"/>
      <c r="K53" s="266"/>
      <c r="L53" s="266"/>
      <c r="M53" s="266"/>
    </row>
    <row r="54" spans="1:13" s="259" customFormat="1" ht="25.5">
      <c r="A54" s="254">
        <v>12</v>
      </c>
      <c r="B54" s="194" t="s">
        <v>423</v>
      </c>
      <c r="C54" s="260" t="s">
        <v>424</v>
      </c>
      <c r="D54" s="254" t="s">
        <v>425</v>
      </c>
      <c r="E54" s="261"/>
      <c r="F54" s="262">
        <v>5</v>
      </c>
      <c r="G54" s="266"/>
      <c r="H54" s="266"/>
      <c r="I54" s="266"/>
      <c r="J54" s="266"/>
      <c r="K54" s="266"/>
      <c r="L54" s="266"/>
      <c r="M54" s="266"/>
    </row>
    <row r="55" spans="1:13" s="259" customFormat="1" ht="12.75">
      <c r="A55" s="254"/>
      <c r="B55" s="194"/>
      <c r="C55" s="264" t="s">
        <v>3</v>
      </c>
      <c r="D55" s="265" t="s">
        <v>4</v>
      </c>
      <c r="E55" s="263">
        <v>31.4</v>
      </c>
      <c r="F55" s="263">
        <f>F54*E55</f>
        <v>157</v>
      </c>
      <c r="G55" s="266"/>
      <c r="H55" s="266"/>
      <c r="I55" s="266"/>
      <c r="J55" s="266"/>
      <c r="K55" s="266"/>
      <c r="L55" s="266"/>
      <c r="M55" s="266"/>
    </row>
    <row r="56" spans="1:13" s="259" customFormat="1" ht="12.75">
      <c r="A56" s="254"/>
      <c r="B56" s="194" t="s">
        <v>397</v>
      </c>
      <c r="C56" s="264" t="s">
        <v>398</v>
      </c>
      <c r="D56" s="265" t="s">
        <v>87</v>
      </c>
      <c r="E56" s="263">
        <v>1.7</v>
      </c>
      <c r="F56" s="263">
        <f>F54*E56</f>
        <v>8.5</v>
      </c>
      <c r="G56" s="266"/>
      <c r="H56" s="266"/>
      <c r="I56" s="267"/>
      <c r="J56" s="266"/>
      <c r="K56" s="266"/>
      <c r="L56" s="266"/>
      <c r="M56" s="266"/>
    </row>
    <row r="57" spans="1:13" s="259" customFormat="1" ht="12.75">
      <c r="A57" s="254"/>
      <c r="B57" s="194" t="s">
        <v>426</v>
      </c>
      <c r="C57" s="264" t="s">
        <v>427</v>
      </c>
      <c r="D57" s="265" t="s">
        <v>87</v>
      </c>
      <c r="E57" s="263">
        <v>24</v>
      </c>
      <c r="F57" s="263">
        <f>F54*E57</f>
        <v>120</v>
      </c>
      <c r="G57" s="266"/>
      <c r="H57" s="266"/>
      <c r="I57" s="267"/>
      <c r="J57" s="266"/>
      <c r="K57" s="266"/>
      <c r="L57" s="266"/>
      <c r="M57" s="266"/>
    </row>
    <row r="58" spans="1:13" s="259" customFormat="1" ht="12.75">
      <c r="A58" s="252">
        <v>13</v>
      </c>
      <c r="B58" s="252" t="s">
        <v>428</v>
      </c>
      <c r="C58" s="274" t="s">
        <v>429</v>
      </c>
      <c r="D58" s="186" t="s">
        <v>5</v>
      </c>
      <c r="E58" s="188"/>
      <c r="F58" s="275">
        <v>3</v>
      </c>
      <c r="G58" s="188"/>
      <c r="H58" s="188"/>
      <c r="I58" s="192"/>
      <c r="J58" s="188"/>
      <c r="K58" s="188"/>
      <c r="L58" s="188"/>
      <c r="M58" s="188"/>
    </row>
    <row r="59" spans="1:13" s="259" customFormat="1" ht="12.75">
      <c r="A59" s="252"/>
      <c r="B59" s="252"/>
      <c r="C59" s="191" t="s">
        <v>3</v>
      </c>
      <c r="D59" s="189" t="s">
        <v>4</v>
      </c>
      <c r="E59" s="192">
        <v>3.88</v>
      </c>
      <c r="F59" s="192">
        <f>F58*E59</f>
        <v>11.64</v>
      </c>
      <c r="G59" s="192"/>
      <c r="H59" s="276"/>
      <c r="I59" s="192"/>
      <c r="J59" s="276"/>
      <c r="K59" s="276"/>
      <c r="L59" s="276"/>
      <c r="M59" s="276"/>
    </row>
    <row r="60" spans="1:13" s="259" customFormat="1" ht="12.75">
      <c r="A60" s="252">
        <v>14</v>
      </c>
      <c r="B60" s="252" t="s">
        <v>136</v>
      </c>
      <c r="C60" s="277" t="s">
        <v>430</v>
      </c>
      <c r="D60" s="252" t="s">
        <v>5</v>
      </c>
      <c r="E60" s="278"/>
      <c r="F60" s="278">
        <v>1.5</v>
      </c>
      <c r="G60" s="188"/>
      <c r="H60" s="279"/>
      <c r="I60" s="192"/>
      <c r="J60" s="279"/>
      <c r="K60" s="279"/>
      <c r="L60" s="279"/>
      <c r="M60" s="279"/>
    </row>
    <row r="61" spans="1:13" s="259" customFormat="1" ht="12.75">
      <c r="A61" s="269"/>
      <c r="B61" s="252"/>
      <c r="C61" s="280" t="s">
        <v>431</v>
      </c>
      <c r="D61" s="281" t="s">
        <v>4</v>
      </c>
      <c r="E61" s="282">
        <v>3.16</v>
      </c>
      <c r="F61" s="282">
        <f>F60*E61</f>
        <v>4.74</v>
      </c>
      <c r="G61" s="282"/>
      <c r="H61" s="283"/>
      <c r="I61" s="282"/>
      <c r="J61" s="283"/>
      <c r="K61" s="283"/>
      <c r="L61" s="283"/>
      <c r="M61" s="283"/>
    </row>
    <row r="62" spans="1:13" s="259" customFormat="1" ht="12.75">
      <c r="A62" s="269"/>
      <c r="B62" s="284" t="s">
        <v>216</v>
      </c>
      <c r="C62" s="280" t="s">
        <v>432</v>
      </c>
      <c r="D62" s="189" t="s">
        <v>433</v>
      </c>
      <c r="E62" s="282">
        <v>1.25</v>
      </c>
      <c r="F62" s="282">
        <f>F60*E62</f>
        <v>1.875</v>
      </c>
      <c r="G62" s="282"/>
      <c r="H62" s="283"/>
      <c r="I62" s="282"/>
      <c r="J62" s="283"/>
      <c r="K62" s="283"/>
      <c r="L62" s="283"/>
      <c r="M62" s="283"/>
    </row>
    <row r="63" spans="1:13" s="259" customFormat="1" ht="12.75">
      <c r="A63" s="269"/>
      <c r="B63" s="285"/>
      <c r="C63" s="191" t="s">
        <v>6</v>
      </c>
      <c r="D63" s="281" t="s">
        <v>0</v>
      </c>
      <c r="E63" s="282">
        <v>0.01</v>
      </c>
      <c r="F63" s="282">
        <f>F60*E63</f>
        <v>0.015</v>
      </c>
      <c r="G63" s="282"/>
      <c r="H63" s="283"/>
      <c r="I63" s="282"/>
      <c r="J63" s="283"/>
      <c r="K63" s="283"/>
      <c r="L63" s="283"/>
      <c r="M63" s="283"/>
    </row>
    <row r="64" spans="1:13" s="259" customFormat="1" ht="25.5">
      <c r="A64" s="252">
        <v>15</v>
      </c>
      <c r="B64" s="252" t="s">
        <v>136</v>
      </c>
      <c r="C64" s="277" t="s">
        <v>434</v>
      </c>
      <c r="D64" s="252" t="s">
        <v>5</v>
      </c>
      <c r="E64" s="278"/>
      <c r="F64" s="278">
        <v>5</v>
      </c>
      <c r="G64" s="188"/>
      <c r="H64" s="279"/>
      <c r="I64" s="192"/>
      <c r="J64" s="279"/>
      <c r="K64" s="279"/>
      <c r="L64" s="279"/>
      <c r="M64" s="279"/>
    </row>
    <row r="65" spans="1:13" s="259" customFormat="1" ht="12.75">
      <c r="A65" s="269"/>
      <c r="B65" s="252"/>
      <c r="C65" s="280" t="s">
        <v>431</v>
      </c>
      <c r="D65" s="281" t="s">
        <v>4</v>
      </c>
      <c r="E65" s="282">
        <v>12.5</v>
      </c>
      <c r="F65" s="282">
        <f>F64*E65</f>
        <v>62.5</v>
      </c>
      <c r="G65" s="282"/>
      <c r="H65" s="283"/>
      <c r="I65" s="282"/>
      <c r="J65" s="283"/>
      <c r="K65" s="283"/>
      <c r="L65" s="283"/>
      <c r="M65" s="283"/>
    </row>
    <row r="66" spans="1:13" s="259" customFormat="1" ht="12.75">
      <c r="A66" s="269"/>
      <c r="B66" s="284" t="s">
        <v>216</v>
      </c>
      <c r="C66" s="280" t="s">
        <v>432</v>
      </c>
      <c r="D66" s="189" t="s">
        <v>433</v>
      </c>
      <c r="E66" s="282">
        <v>1</v>
      </c>
      <c r="F66" s="282">
        <f>F64*E66</f>
        <v>5</v>
      </c>
      <c r="G66" s="282"/>
      <c r="H66" s="283"/>
      <c r="I66" s="282"/>
      <c r="J66" s="283"/>
      <c r="K66" s="283"/>
      <c r="L66" s="283"/>
      <c r="M66" s="283"/>
    </row>
    <row r="67" spans="1:13" s="259" customFormat="1" ht="12.75">
      <c r="A67" s="269"/>
      <c r="B67" s="285"/>
      <c r="C67" s="191" t="s">
        <v>6</v>
      </c>
      <c r="D67" s="281" t="s">
        <v>0</v>
      </c>
      <c r="E67" s="282">
        <v>0.01</v>
      </c>
      <c r="F67" s="282">
        <f>F64*E67</f>
        <v>0.05</v>
      </c>
      <c r="G67" s="282"/>
      <c r="H67" s="283"/>
      <c r="I67" s="282"/>
      <c r="J67" s="283"/>
      <c r="K67" s="283"/>
      <c r="L67" s="283"/>
      <c r="M67" s="283"/>
    </row>
    <row r="68" spans="1:13" s="259" customFormat="1" ht="25.5">
      <c r="A68" s="252">
        <v>16</v>
      </c>
      <c r="B68" s="252" t="s">
        <v>435</v>
      </c>
      <c r="C68" s="277" t="s">
        <v>436</v>
      </c>
      <c r="D68" s="252" t="s">
        <v>437</v>
      </c>
      <c r="E68" s="188"/>
      <c r="F68" s="275">
        <v>0.02</v>
      </c>
      <c r="G68" s="192"/>
      <c r="H68" s="276"/>
      <c r="I68" s="192"/>
      <c r="J68" s="276"/>
      <c r="K68" s="276"/>
      <c r="L68" s="276"/>
      <c r="M68" s="276"/>
    </row>
    <row r="69" spans="1:13" s="259" customFormat="1" ht="12.75">
      <c r="A69" s="252"/>
      <c r="B69" s="252"/>
      <c r="C69" s="191" t="s">
        <v>3</v>
      </c>
      <c r="D69" s="189" t="s">
        <v>4</v>
      </c>
      <c r="E69" s="192">
        <v>450</v>
      </c>
      <c r="F69" s="192">
        <f>F68*E69</f>
        <v>9</v>
      </c>
      <c r="G69" s="192"/>
      <c r="H69" s="276"/>
      <c r="I69" s="192"/>
      <c r="J69" s="276"/>
      <c r="K69" s="276"/>
      <c r="L69" s="276"/>
      <c r="M69" s="276"/>
    </row>
    <row r="70" spans="1:13" s="259" customFormat="1" ht="12.75">
      <c r="A70" s="252"/>
      <c r="B70" s="252"/>
      <c r="C70" s="191" t="s">
        <v>22</v>
      </c>
      <c r="D70" s="281" t="s">
        <v>0</v>
      </c>
      <c r="E70" s="192">
        <v>37</v>
      </c>
      <c r="F70" s="192">
        <f>E70*F68</f>
        <v>0.74</v>
      </c>
      <c r="G70" s="192"/>
      <c r="H70" s="276"/>
      <c r="I70" s="192"/>
      <c r="J70" s="276"/>
      <c r="K70" s="276"/>
      <c r="L70" s="276"/>
      <c r="M70" s="276"/>
    </row>
    <row r="71" spans="1:13" s="259" customFormat="1" ht="12.75">
      <c r="A71" s="252"/>
      <c r="B71" s="252"/>
      <c r="C71" s="281" t="s">
        <v>61</v>
      </c>
      <c r="D71" s="189"/>
      <c r="E71" s="192"/>
      <c r="F71" s="192"/>
      <c r="G71" s="192"/>
      <c r="H71" s="276"/>
      <c r="I71" s="192"/>
      <c r="J71" s="276"/>
      <c r="K71" s="276"/>
      <c r="L71" s="276"/>
      <c r="M71" s="276"/>
    </row>
    <row r="72" spans="1:13" s="259" customFormat="1" ht="12.75">
      <c r="A72" s="252"/>
      <c r="B72" s="252" t="s">
        <v>438</v>
      </c>
      <c r="C72" s="191" t="s">
        <v>439</v>
      </c>
      <c r="D72" s="189" t="s">
        <v>5</v>
      </c>
      <c r="E72" s="192">
        <v>102</v>
      </c>
      <c r="F72" s="192">
        <f>F68*E72</f>
        <v>2.04</v>
      </c>
      <c r="G72" s="282"/>
      <c r="H72" s="283"/>
      <c r="I72" s="192"/>
      <c r="J72" s="283"/>
      <c r="K72" s="283"/>
      <c r="L72" s="283"/>
      <c r="M72" s="283"/>
    </row>
    <row r="73" spans="1:13" s="259" customFormat="1" ht="12.75">
      <c r="A73" s="252"/>
      <c r="B73" s="252" t="s">
        <v>217</v>
      </c>
      <c r="C73" s="191" t="s">
        <v>440</v>
      </c>
      <c r="D73" s="189" t="s">
        <v>23</v>
      </c>
      <c r="E73" s="192">
        <v>161</v>
      </c>
      <c r="F73" s="192">
        <f>F68*E73</f>
        <v>3.22</v>
      </c>
      <c r="G73" s="282"/>
      <c r="H73" s="283"/>
      <c r="I73" s="192"/>
      <c r="J73" s="283"/>
      <c r="K73" s="283"/>
      <c r="L73" s="283"/>
      <c r="M73" s="283"/>
    </row>
    <row r="74" spans="1:13" s="259" customFormat="1" ht="12.75">
      <c r="A74" s="252"/>
      <c r="B74" s="252" t="s">
        <v>441</v>
      </c>
      <c r="C74" s="191" t="s">
        <v>442</v>
      </c>
      <c r="D74" s="189" t="s">
        <v>5</v>
      </c>
      <c r="E74" s="192">
        <v>1.72</v>
      </c>
      <c r="F74" s="192">
        <f>F68*E74</f>
        <v>0.0344</v>
      </c>
      <c r="G74" s="282"/>
      <c r="H74" s="283"/>
      <c r="I74" s="192"/>
      <c r="J74" s="283"/>
      <c r="K74" s="283"/>
      <c r="L74" s="283"/>
      <c r="M74" s="283"/>
    </row>
    <row r="75" spans="1:13" s="259" customFormat="1" ht="12.75">
      <c r="A75" s="269"/>
      <c r="B75" s="252"/>
      <c r="C75" s="191" t="s">
        <v>6</v>
      </c>
      <c r="D75" s="281" t="s">
        <v>0</v>
      </c>
      <c r="E75" s="282">
        <v>28</v>
      </c>
      <c r="F75" s="282">
        <f>E75*F68</f>
        <v>0.56</v>
      </c>
      <c r="G75" s="282"/>
      <c r="H75" s="283"/>
      <c r="I75" s="192"/>
      <c r="J75" s="283"/>
      <c r="K75" s="283"/>
      <c r="L75" s="283"/>
      <c r="M75" s="283"/>
    </row>
    <row r="76" spans="1:13" s="259" customFormat="1" ht="12.75">
      <c r="A76" s="254"/>
      <c r="B76" s="254"/>
      <c r="C76" s="286" t="s">
        <v>2</v>
      </c>
      <c r="D76" s="265"/>
      <c r="E76" s="256"/>
      <c r="F76" s="256"/>
      <c r="G76" s="287"/>
      <c r="H76" s="287"/>
      <c r="I76" s="288"/>
      <c r="J76" s="287"/>
      <c r="K76" s="287"/>
      <c r="L76" s="287"/>
      <c r="M76" s="287"/>
    </row>
    <row r="77" spans="1:13" s="259" customFormat="1" ht="12.75">
      <c r="A77" s="254"/>
      <c r="B77" s="289"/>
      <c r="C77" s="264" t="s">
        <v>72</v>
      </c>
      <c r="D77" s="290" t="s">
        <v>517</v>
      </c>
      <c r="E77" s="291"/>
      <c r="F77" s="291"/>
      <c r="G77" s="291"/>
      <c r="H77" s="291"/>
      <c r="I77" s="291"/>
      <c r="J77" s="291"/>
      <c r="K77" s="291"/>
      <c r="L77" s="291"/>
      <c r="M77" s="291"/>
    </row>
    <row r="78" spans="1:13" s="259" customFormat="1" ht="12.75">
      <c r="A78" s="254"/>
      <c r="B78" s="254"/>
      <c r="C78" s="286" t="s">
        <v>2</v>
      </c>
      <c r="D78" s="290"/>
      <c r="E78" s="256"/>
      <c r="F78" s="256"/>
      <c r="G78" s="256"/>
      <c r="H78" s="256"/>
      <c r="I78" s="291"/>
      <c r="J78" s="256"/>
      <c r="K78" s="256"/>
      <c r="L78" s="256"/>
      <c r="M78" s="256"/>
    </row>
    <row r="79" spans="1:13" s="259" customFormat="1" ht="12.75">
      <c r="A79" s="254"/>
      <c r="B79" s="293"/>
      <c r="C79" s="294" t="s">
        <v>73</v>
      </c>
      <c r="D79" s="290" t="s">
        <v>517</v>
      </c>
      <c r="E79" s="291"/>
      <c r="F79" s="291"/>
      <c r="G79" s="291"/>
      <c r="H79" s="291"/>
      <c r="I79" s="291"/>
      <c r="J79" s="291"/>
      <c r="K79" s="291"/>
      <c r="L79" s="291"/>
      <c r="M79" s="291"/>
    </row>
    <row r="80" spans="1:13" s="259" customFormat="1" ht="12.75">
      <c r="A80" s="254"/>
      <c r="B80" s="254"/>
      <c r="C80" s="286" t="s">
        <v>2</v>
      </c>
      <c r="D80" s="290"/>
      <c r="E80" s="256"/>
      <c r="F80" s="256"/>
      <c r="G80" s="256"/>
      <c r="H80" s="256"/>
      <c r="I80" s="291"/>
      <c r="J80" s="256"/>
      <c r="K80" s="256"/>
      <c r="L80" s="256"/>
      <c r="M80" s="256"/>
    </row>
    <row r="81" spans="1:13" s="259" customFormat="1" ht="12.75">
      <c r="A81" s="254"/>
      <c r="B81" s="293"/>
      <c r="C81" s="294" t="s">
        <v>69</v>
      </c>
      <c r="D81" s="290" t="s">
        <v>517</v>
      </c>
      <c r="E81" s="291"/>
      <c r="F81" s="291"/>
      <c r="G81" s="291"/>
      <c r="H81" s="291"/>
      <c r="I81" s="291"/>
      <c r="J81" s="291"/>
      <c r="K81" s="291"/>
      <c r="L81" s="291"/>
      <c r="M81" s="291"/>
    </row>
    <row r="82" spans="1:13" s="259" customFormat="1" ht="12.75">
      <c r="A82" s="254"/>
      <c r="B82" s="254"/>
      <c r="C82" s="286" t="s">
        <v>78</v>
      </c>
      <c r="D82" s="290"/>
      <c r="E82" s="256"/>
      <c r="F82" s="256"/>
      <c r="G82" s="256"/>
      <c r="H82" s="256"/>
      <c r="I82" s="291"/>
      <c r="J82" s="256"/>
      <c r="K82" s="256"/>
      <c r="L82" s="256"/>
      <c r="M82" s="256"/>
    </row>
    <row r="83" spans="1:13" s="259" customFormat="1" ht="12.75">
      <c r="A83" s="295"/>
      <c r="B83" s="295"/>
      <c r="C83" s="296"/>
      <c r="D83" s="297"/>
      <c r="E83" s="298"/>
      <c r="F83" s="297"/>
      <c r="G83" s="297"/>
      <c r="H83" s="299"/>
      <c r="I83" s="300"/>
      <c r="J83" s="299"/>
      <c r="K83" s="299"/>
      <c r="L83" s="299"/>
      <c r="M83" s="298"/>
    </row>
    <row r="84" spans="3:13" s="301" customFormat="1" ht="12.75">
      <c r="C84" s="302"/>
      <c r="D84" s="303"/>
      <c r="E84" s="303"/>
      <c r="F84" s="303"/>
      <c r="G84" s="304"/>
      <c r="H84" s="304"/>
      <c r="I84" s="304"/>
      <c r="J84" s="305"/>
      <c r="K84" s="305"/>
      <c r="L84" s="305"/>
      <c r="M84" s="305"/>
    </row>
    <row r="85" spans="3:13" s="301" customFormat="1" ht="12.75">
      <c r="C85" s="302"/>
      <c r="D85" s="303"/>
      <c r="E85" s="303"/>
      <c r="F85" s="684"/>
      <c r="G85" s="684"/>
      <c r="H85" s="684"/>
      <c r="I85" s="684"/>
      <c r="J85" s="305"/>
      <c r="K85" s="305"/>
      <c r="L85" s="305"/>
      <c r="M85" s="305"/>
    </row>
  </sheetData>
  <sheetProtection/>
  <mergeCells count="14">
    <mergeCell ref="A1:M1"/>
    <mergeCell ref="A2:M2"/>
    <mergeCell ref="A3:M3"/>
    <mergeCell ref="C4:K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F85:I85"/>
  </mergeCells>
  <conditionalFormatting sqref="B66 B62">
    <cfRule type="cellIs" priority="1" dxfId="0" operator="equal" stopIfTrue="1">
      <formula>8223.307275</formula>
    </cfRule>
  </conditionalFormatting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83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Normal="85" zoomScaleSheetLayoutView="100" workbookViewId="0" topLeftCell="A1">
      <selection activeCell="D101" sqref="D101:D106"/>
    </sheetView>
  </sheetViews>
  <sheetFormatPr defaultColWidth="9.140625" defaultRowHeight="12.75"/>
  <cols>
    <col min="1" max="1" width="4.00390625" style="253" customWidth="1"/>
    <col min="2" max="2" width="10.57421875" style="346" customWidth="1"/>
    <col min="3" max="3" width="52.140625" style="250" customWidth="1"/>
    <col min="4" max="4" width="9.28125" style="250" customWidth="1"/>
    <col min="5" max="5" width="8.421875" style="250" customWidth="1"/>
    <col min="6" max="6" width="9.7109375" style="250" customWidth="1"/>
    <col min="7" max="13" width="10.00390625" style="250" customWidth="1"/>
    <col min="14" max="16384" width="9.140625" style="250" customWidth="1"/>
  </cols>
  <sheetData>
    <row r="1" spans="1:13" ht="12.75">
      <c r="A1" s="685" t="s">
        <v>115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</row>
    <row r="2" spans="1:13" ht="12.75">
      <c r="A2" s="686" t="e">
        <f>#REF!</f>
        <v>#REF!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3" ht="12.75">
      <c r="A3" s="686" t="str">
        <f>'1-2'!C10</f>
        <v>ჭაბურღილის ტუმბოს წყლის მიწოდების სათავისის მოწყობა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 ht="12.75">
      <c r="A4" s="249"/>
      <c r="B4" s="249"/>
      <c r="C4" s="687"/>
      <c r="D4" s="687"/>
      <c r="E4" s="687"/>
      <c r="F4" s="687"/>
      <c r="G4" s="687"/>
      <c r="H4" s="687"/>
      <c r="I4" s="687"/>
      <c r="J4" s="687"/>
      <c r="K4" s="687"/>
      <c r="L4" s="251"/>
      <c r="M4" s="251"/>
    </row>
    <row r="5" spans="1:13" s="253" customFormat="1" ht="15.75" customHeight="1">
      <c r="A5" s="682" t="s">
        <v>1</v>
      </c>
      <c r="B5" s="682" t="s">
        <v>70</v>
      </c>
      <c r="C5" s="682" t="s">
        <v>51</v>
      </c>
      <c r="D5" s="682" t="s">
        <v>52</v>
      </c>
      <c r="E5" s="682" t="s">
        <v>53</v>
      </c>
      <c r="F5" s="682" t="s">
        <v>54</v>
      </c>
      <c r="G5" s="683" t="s">
        <v>55</v>
      </c>
      <c r="H5" s="683"/>
      <c r="I5" s="683" t="s">
        <v>56</v>
      </c>
      <c r="J5" s="683"/>
      <c r="K5" s="682" t="s">
        <v>57</v>
      </c>
      <c r="L5" s="682"/>
      <c r="M5" s="186" t="s">
        <v>71</v>
      </c>
    </row>
    <row r="6" spans="1:13" s="253" customFormat="1" ht="15.75" customHeight="1">
      <c r="A6" s="682"/>
      <c r="B6" s="682"/>
      <c r="C6" s="682"/>
      <c r="D6" s="682"/>
      <c r="E6" s="682"/>
      <c r="F6" s="682"/>
      <c r="G6" s="186" t="s">
        <v>58</v>
      </c>
      <c r="H6" s="186" t="s">
        <v>2</v>
      </c>
      <c r="I6" s="186" t="s">
        <v>58</v>
      </c>
      <c r="J6" s="186" t="s">
        <v>2</v>
      </c>
      <c r="K6" s="186" t="s">
        <v>58</v>
      </c>
      <c r="L6" s="186" t="s">
        <v>59</v>
      </c>
      <c r="M6" s="186" t="s">
        <v>60</v>
      </c>
    </row>
    <row r="7" spans="1:13" s="253" customFormat="1" ht="15.75" customHeight="1">
      <c r="A7" s="252">
        <v>1</v>
      </c>
      <c r="B7" s="252">
        <v>2</v>
      </c>
      <c r="C7" s="252">
        <v>3</v>
      </c>
      <c r="D7" s="252">
        <v>4</v>
      </c>
      <c r="E7" s="252">
        <v>5</v>
      </c>
      <c r="F7" s="252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</row>
    <row r="8" spans="1:13" s="259" customFormat="1" ht="12.75">
      <c r="A8" s="252"/>
      <c r="B8" s="252"/>
      <c r="C8" s="252" t="s">
        <v>443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s="253" customFormat="1" ht="25.5">
      <c r="A9" s="252">
        <v>1</v>
      </c>
      <c r="B9" s="252" t="s">
        <v>444</v>
      </c>
      <c r="C9" s="277" t="s">
        <v>445</v>
      </c>
      <c r="D9" s="186" t="s">
        <v>7</v>
      </c>
      <c r="E9" s="188"/>
      <c r="F9" s="278">
        <v>75</v>
      </c>
      <c r="G9" s="188"/>
      <c r="H9" s="188"/>
      <c r="I9" s="188"/>
      <c r="J9" s="188"/>
      <c r="K9" s="188"/>
      <c r="L9" s="188"/>
      <c r="M9" s="188"/>
    </row>
    <row r="10" spans="1:13" ht="12.75">
      <c r="A10" s="252"/>
      <c r="B10" s="252"/>
      <c r="C10" s="191" t="s">
        <v>3</v>
      </c>
      <c r="D10" s="189" t="s">
        <v>4</v>
      </c>
      <c r="E10" s="192">
        <v>0.345</v>
      </c>
      <c r="F10" s="192">
        <f>F9*E10</f>
        <v>25.874999999999996</v>
      </c>
      <c r="G10" s="192"/>
      <c r="H10" s="192"/>
      <c r="I10" s="192"/>
      <c r="J10" s="192"/>
      <c r="K10" s="192"/>
      <c r="L10" s="192"/>
      <c r="M10" s="192"/>
    </row>
    <row r="11" spans="1:13" ht="12.75">
      <c r="A11" s="252"/>
      <c r="B11" s="252"/>
      <c r="C11" s="191" t="s">
        <v>22</v>
      </c>
      <c r="D11" s="281" t="s">
        <v>0</v>
      </c>
      <c r="E11" s="192">
        <v>0.0267</v>
      </c>
      <c r="F11" s="192">
        <f>E11*F9</f>
        <v>2.0025</v>
      </c>
      <c r="G11" s="192"/>
      <c r="H11" s="192"/>
      <c r="I11" s="192"/>
      <c r="J11" s="192"/>
      <c r="K11" s="192"/>
      <c r="L11" s="192"/>
      <c r="M11" s="192"/>
    </row>
    <row r="12" spans="1:13" s="271" customFormat="1" ht="12.75">
      <c r="A12" s="269"/>
      <c r="B12" s="285"/>
      <c r="C12" s="281" t="s">
        <v>64</v>
      </c>
      <c r="D12" s="281"/>
      <c r="E12" s="282"/>
      <c r="F12" s="282"/>
      <c r="G12" s="282"/>
      <c r="H12" s="282"/>
      <c r="I12" s="192"/>
      <c r="J12" s="282"/>
      <c r="K12" s="282"/>
      <c r="L12" s="282"/>
      <c r="M12" s="282"/>
    </row>
    <row r="13" spans="1:13" s="271" customFormat="1" ht="12.75">
      <c r="A13" s="269"/>
      <c r="B13" s="252" t="s">
        <v>446</v>
      </c>
      <c r="C13" s="307" t="s">
        <v>447</v>
      </c>
      <c r="D13" s="281" t="s">
        <v>7</v>
      </c>
      <c r="E13" s="282">
        <v>1.01</v>
      </c>
      <c r="F13" s="282">
        <f>E13*F9</f>
        <v>75.75</v>
      </c>
      <c r="G13" s="282"/>
      <c r="H13" s="282"/>
      <c r="I13" s="192"/>
      <c r="J13" s="282"/>
      <c r="K13" s="282"/>
      <c r="L13" s="282"/>
      <c r="M13" s="282"/>
    </row>
    <row r="14" spans="1:13" s="271" customFormat="1" ht="12.75">
      <c r="A14" s="269"/>
      <c r="B14" s="285"/>
      <c r="C14" s="191" t="s">
        <v>6</v>
      </c>
      <c r="D14" s="281" t="s">
        <v>0</v>
      </c>
      <c r="E14" s="282">
        <v>0.0006</v>
      </c>
      <c r="F14" s="282">
        <f>E14*F9</f>
        <v>0.045</v>
      </c>
      <c r="G14" s="282"/>
      <c r="H14" s="282"/>
      <c r="I14" s="192"/>
      <c r="J14" s="282"/>
      <c r="K14" s="282"/>
      <c r="L14" s="282"/>
      <c r="M14" s="282"/>
    </row>
    <row r="15" spans="1:13" s="271" customFormat="1" ht="25.5">
      <c r="A15" s="269">
        <v>2</v>
      </c>
      <c r="B15" s="252" t="s">
        <v>448</v>
      </c>
      <c r="C15" s="277" t="s">
        <v>449</v>
      </c>
      <c r="D15" s="186" t="s">
        <v>450</v>
      </c>
      <c r="E15" s="188"/>
      <c r="F15" s="278">
        <v>4.8</v>
      </c>
      <c r="G15" s="188"/>
      <c r="H15" s="188"/>
      <c r="I15" s="188"/>
      <c r="J15" s="188"/>
      <c r="K15" s="188"/>
      <c r="L15" s="188"/>
      <c r="M15" s="188"/>
    </row>
    <row r="16" spans="1:13" s="271" customFormat="1" ht="12.75">
      <c r="A16" s="269"/>
      <c r="B16" s="285"/>
      <c r="C16" s="191" t="s">
        <v>2</v>
      </c>
      <c r="D16" s="189" t="s">
        <v>4</v>
      </c>
      <c r="E16" s="192">
        <v>3.89</v>
      </c>
      <c r="F16" s="192">
        <f>F15*E16</f>
        <v>18.672</v>
      </c>
      <c r="G16" s="192"/>
      <c r="H16" s="192"/>
      <c r="I16" s="192"/>
      <c r="J16" s="192"/>
      <c r="K16" s="192"/>
      <c r="L16" s="192"/>
      <c r="M16" s="192"/>
    </row>
    <row r="17" spans="1:13" s="271" customFormat="1" ht="12.75">
      <c r="A17" s="269"/>
      <c r="B17" s="285"/>
      <c r="C17" s="191" t="s">
        <v>22</v>
      </c>
      <c r="D17" s="281" t="s">
        <v>0</v>
      </c>
      <c r="E17" s="192">
        <v>1.51</v>
      </c>
      <c r="F17" s="192">
        <f>E17*F15</f>
        <v>7.247999999999999</v>
      </c>
      <c r="G17" s="192"/>
      <c r="H17" s="192"/>
      <c r="I17" s="192"/>
      <c r="J17" s="192"/>
      <c r="K17" s="192"/>
      <c r="L17" s="192"/>
      <c r="M17" s="192"/>
    </row>
    <row r="18" spans="1:13" s="271" customFormat="1" ht="12.75">
      <c r="A18" s="269"/>
      <c r="B18" s="285"/>
      <c r="C18" s="281" t="s">
        <v>64</v>
      </c>
      <c r="D18" s="281"/>
      <c r="E18" s="282"/>
      <c r="F18" s="282"/>
      <c r="G18" s="282"/>
      <c r="H18" s="282"/>
      <c r="I18" s="192"/>
      <c r="J18" s="282"/>
      <c r="K18" s="282"/>
      <c r="L18" s="282"/>
      <c r="M18" s="282"/>
    </row>
    <row r="19" spans="1:13" s="271" customFormat="1" ht="12.75">
      <c r="A19" s="269"/>
      <c r="B19" s="252" t="s">
        <v>451</v>
      </c>
      <c r="C19" s="307" t="s">
        <v>452</v>
      </c>
      <c r="D19" s="281" t="s">
        <v>8</v>
      </c>
      <c r="E19" s="282">
        <v>10</v>
      </c>
      <c r="F19" s="282">
        <f>E19*F15</f>
        <v>48</v>
      </c>
      <c r="G19" s="282"/>
      <c r="H19" s="282"/>
      <c r="I19" s="192"/>
      <c r="J19" s="282"/>
      <c r="K19" s="282"/>
      <c r="L19" s="282"/>
      <c r="M19" s="282"/>
    </row>
    <row r="20" spans="1:13" s="271" customFormat="1" ht="12.75">
      <c r="A20" s="269"/>
      <c r="B20" s="285"/>
      <c r="C20" s="191" t="s">
        <v>6</v>
      </c>
      <c r="D20" s="281" t="s">
        <v>0</v>
      </c>
      <c r="E20" s="282">
        <v>0.24</v>
      </c>
      <c r="F20" s="282">
        <f>E20*F15</f>
        <v>1.152</v>
      </c>
      <c r="G20" s="282"/>
      <c r="H20" s="282"/>
      <c r="I20" s="192"/>
      <c r="J20" s="282"/>
      <c r="K20" s="282"/>
      <c r="L20" s="282"/>
      <c r="M20" s="282"/>
    </row>
    <row r="21" spans="1:13" s="271" customFormat="1" ht="25.5">
      <c r="A21" s="308" t="s">
        <v>43</v>
      </c>
      <c r="B21" s="309" t="s">
        <v>453</v>
      </c>
      <c r="C21" s="310" t="s">
        <v>454</v>
      </c>
      <c r="D21" s="311" t="s">
        <v>8</v>
      </c>
      <c r="E21" s="312"/>
      <c r="F21" s="312">
        <v>1</v>
      </c>
      <c r="G21" s="313"/>
      <c r="H21" s="313"/>
      <c r="I21" s="313"/>
      <c r="J21" s="313"/>
      <c r="K21" s="313"/>
      <c r="L21" s="314"/>
      <c r="M21" s="313"/>
    </row>
    <row r="22" spans="1:13" s="271" customFormat="1" ht="12.75">
      <c r="A22" s="308"/>
      <c r="B22" s="315"/>
      <c r="C22" s="316" t="s">
        <v>3</v>
      </c>
      <c r="D22" s="317" t="s">
        <v>4</v>
      </c>
      <c r="E22" s="313">
        <v>12.5</v>
      </c>
      <c r="F22" s="313">
        <f>F21*E22</f>
        <v>12.5</v>
      </c>
      <c r="G22" s="314"/>
      <c r="H22" s="314"/>
      <c r="I22" s="313"/>
      <c r="J22" s="313"/>
      <c r="K22" s="314"/>
      <c r="L22" s="314"/>
      <c r="M22" s="313"/>
    </row>
    <row r="23" spans="1:13" s="271" customFormat="1" ht="12.75">
      <c r="A23" s="308"/>
      <c r="B23" s="315"/>
      <c r="C23" s="316" t="s">
        <v>29</v>
      </c>
      <c r="D23" s="317" t="s">
        <v>37</v>
      </c>
      <c r="E23" s="313">
        <v>8.13</v>
      </c>
      <c r="F23" s="313">
        <f>F21*E23</f>
        <v>8.13</v>
      </c>
      <c r="G23" s="313"/>
      <c r="H23" s="313"/>
      <c r="I23" s="313"/>
      <c r="J23" s="314"/>
      <c r="K23" s="313"/>
      <c r="L23" s="313"/>
      <c r="M23" s="313"/>
    </row>
    <row r="24" spans="1:13" s="271" customFormat="1" ht="25.5">
      <c r="A24" s="308"/>
      <c r="B24" s="311" t="s">
        <v>455</v>
      </c>
      <c r="C24" s="318" t="s">
        <v>456</v>
      </c>
      <c r="D24" s="317" t="s">
        <v>8</v>
      </c>
      <c r="E24" s="313">
        <v>1</v>
      </c>
      <c r="F24" s="313">
        <f>F21*E24</f>
        <v>1</v>
      </c>
      <c r="G24" s="313"/>
      <c r="H24" s="313"/>
      <c r="I24" s="313"/>
      <c r="J24" s="314"/>
      <c r="K24" s="313"/>
      <c r="L24" s="314"/>
      <c r="M24" s="313"/>
    </row>
    <row r="25" spans="1:13" s="271" customFormat="1" ht="12.75">
      <c r="A25" s="308"/>
      <c r="B25" s="252" t="s">
        <v>446</v>
      </c>
      <c r="C25" s="318" t="s">
        <v>457</v>
      </c>
      <c r="D25" s="317" t="s">
        <v>7</v>
      </c>
      <c r="E25" s="313">
        <v>1</v>
      </c>
      <c r="F25" s="313">
        <f>F21*E25</f>
        <v>1</v>
      </c>
      <c r="G25" s="282"/>
      <c r="H25" s="313"/>
      <c r="I25" s="313"/>
      <c r="J25" s="314"/>
      <c r="K25" s="313"/>
      <c r="L25" s="314"/>
      <c r="M25" s="313"/>
    </row>
    <row r="26" spans="1:13" s="271" customFormat="1" ht="12.75">
      <c r="A26" s="308"/>
      <c r="B26" s="315" t="s">
        <v>458</v>
      </c>
      <c r="C26" s="318" t="s">
        <v>459</v>
      </c>
      <c r="D26" s="317" t="s">
        <v>8</v>
      </c>
      <c r="E26" s="313">
        <v>1</v>
      </c>
      <c r="F26" s="313">
        <f>F21*E26</f>
        <v>1</v>
      </c>
      <c r="G26" s="313"/>
      <c r="H26" s="313"/>
      <c r="I26" s="313"/>
      <c r="J26" s="314"/>
      <c r="K26" s="313"/>
      <c r="L26" s="314"/>
      <c r="M26" s="313"/>
    </row>
    <row r="27" spans="1:13" s="271" customFormat="1" ht="12.75">
      <c r="A27" s="308"/>
      <c r="B27" s="315" t="s">
        <v>460</v>
      </c>
      <c r="C27" s="318" t="s">
        <v>36</v>
      </c>
      <c r="D27" s="317" t="s">
        <v>8</v>
      </c>
      <c r="E27" s="313">
        <v>1</v>
      </c>
      <c r="F27" s="313">
        <f>F21*E27</f>
        <v>1</v>
      </c>
      <c r="G27" s="313"/>
      <c r="H27" s="313"/>
      <c r="I27" s="313"/>
      <c r="J27" s="314"/>
      <c r="K27" s="313"/>
      <c r="L27" s="314"/>
      <c r="M27" s="313"/>
    </row>
    <row r="28" spans="1:13" s="271" customFormat="1" ht="12.75">
      <c r="A28" s="308"/>
      <c r="B28" s="315"/>
      <c r="C28" s="316" t="s">
        <v>25</v>
      </c>
      <c r="D28" s="319" t="s">
        <v>37</v>
      </c>
      <c r="E28" s="320">
        <v>4.39</v>
      </c>
      <c r="F28" s="320">
        <f>F21*E28</f>
        <v>4.39</v>
      </c>
      <c r="G28" s="313"/>
      <c r="H28" s="313"/>
      <c r="I28" s="321"/>
      <c r="J28" s="321"/>
      <c r="K28" s="321"/>
      <c r="L28" s="321"/>
      <c r="M28" s="313"/>
    </row>
    <row r="29" spans="1:13" s="271" customFormat="1" ht="25.5">
      <c r="A29" s="252">
        <v>4</v>
      </c>
      <c r="B29" s="252" t="s">
        <v>444</v>
      </c>
      <c r="C29" s="277" t="s">
        <v>461</v>
      </c>
      <c r="D29" s="186" t="s">
        <v>7</v>
      </c>
      <c r="E29" s="188"/>
      <c r="F29" s="278">
        <v>9</v>
      </c>
      <c r="G29" s="188"/>
      <c r="H29" s="188"/>
      <c r="I29" s="188"/>
      <c r="J29" s="188"/>
      <c r="K29" s="188"/>
      <c r="L29" s="188"/>
      <c r="M29" s="188"/>
    </row>
    <row r="30" spans="1:13" s="271" customFormat="1" ht="12.75">
      <c r="A30" s="252"/>
      <c r="B30" s="252"/>
      <c r="C30" s="191" t="s">
        <v>3</v>
      </c>
      <c r="D30" s="189" t="s">
        <v>4</v>
      </c>
      <c r="E30" s="192">
        <v>0.345</v>
      </c>
      <c r="F30" s="192">
        <f>F29*E30</f>
        <v>3.1049999999999995</v>
      </c>
      <c r="G30" s="192"/>
      <c r="H30" s="192"/>
      <c r="I30" s="192"/>
      <c r="J30" s="192"/>
      <c r="K30" s="192"/>
      <c r="L30" s="192"/>
      <c r="M30" s="192"/>
    </row>
    <row r="31" spans="1:13" s="271" customFormat="1" ht="12.75">
      <c r="A31" s="252"/>
      <c r="B31" s="252"/>
      <c r="C31" s="191" t="s">
        <v>22</v>
      </c>
      <c r="D31" s="281" t="s">
        <v>0</v>
      </c>
      <c r="E31" s="192">
        <v>0.0267</v>
      </c>
      <c r="F31" s="192">
        <f>E31*F29</f>
        <v>0.2403</v>
      </c>
      <c r="G31" s="192"/>
      <c r="H31" s="192"/>
      <c r="I31" s="192"/>
      <c r="J31" s="192"/>
      <c r="K31" s="192"/>
      <c r="L31" s="192"/>
      <c r="M31" s="192"/>
    </row>
    <row r="32" spans="1:13" s="271" customFormat="1" ht="12.75">
      <c r="A32" s="269"/>
      <c r="B32" s="285"/>
      <c r="C32" s="281" t="s">
        <v>64</v>
      </c>
      <c r="D32" s="281"/>
      <c r="E32" s="282"/>
      <c r="F32" s="282"/>
      <c r="G32" s="282"/>
      <c r="H32" s="282"/>
      <c r="I32" s="192"/>
      <c r="J32" s="282"/>
      <c r="K32" s="282"/>
      <c r="L32" s="282"/>
      <c r="M32" s="282"/>
    </row>
    <row r="33" spans="1:13" s="271" customFormat="1" ht="12.75">
      <c r="A33" s="269"/>
      <c r="B33" s="252" t="s">
        <v>446</v>
      </c>
      <c r="C33" s="307" t="s">
        <v>447</v>
      </c>
      <c r="D33" s="281" t="s">
        <v>7</v>
      </c>
      <c r="E33" s="282">
        <v>1.01</v>
      </c>
      <c r="F33" s="282">
        <f>E33*F29</f>
        <v>9.09</v>
      </c>
      <c r="G33" s="282"/>
      <c r="H33" s="282"/>
      <c r="I33" s="192"/>
      <c r="J33" s="282"/>
      <c r="K33" s="282"/>
      <c r="L33" s="282"/>
      <c r="M33" s="282"/>
    </row>
    <row r="34" spans="1:13" s="271" customFormat="1" ht="12.75">
      <c r="A34" s="269"/>
      <c r="B34" s="285"/>
      <c r="C34" s="191" t="s">
        <v>6</v>
      </c>
      <c r="D34" s="281" t="s">
        <v>0</v>
      </c>
      <c r="E34" s="282">
        <v>0.0006</v>
      </c>
      <c r="F34" s="282">
        <f>E34*F29</f>
        <v>0.005399999999999999</v>
      </c>
      <c r="G34" s="282"/>
      <c r="H34" s="282"/>
      <c r="I34" s="192"/>
      <c r="J34" s="282"/>
      <c r="K34" s="282"/>
      <c r="L34" s="282"/>
      <c r="M34" s="282"/>
    </row>
    <row r="35" spans="1:13" s="271" customFormat="1" ht="25.5">
      <c r="A35" s="322">
        <v>5</v>
      </c>
      <c r="B35" s="309" t="s">
        <v>149</v>
      </c>
      <c r="C35" s="323" t="s">
        <v>462</v>
      </c>
      <c r="D35" s="311" t="s">
        <v>23</v>
      </c>
      <c r="E35" s="312"/>
      <c r="F35" s="312">
        <v>0.5</v>
      </c>
      <c r="G35" s="313"/>
      <c r="H35" s="313"/>
      <c r="I35" s="313"/>
      <c r="J35" s="313"/>
      <c r="K35" s="313"/>
      <c r="L35" s="314"/>
      <c r="M35" s="313"/>
    </row>
    <row r="36" spans="1:13" s="271" customFormat="1" ht="12.75">
      <c r="A36" s="322"/>
      <c r="B36" s="315"/>
      <c r="C36" s="316" t="s">
        <v>3</v>
      </c>
      <c r="D36" s="317" t="s">
        <v>4</v>
      </c>
      <c r="E36" s="313">
        <f>28.6/100</f>
        <v>0.28600000000000003</v>
      </c>
      <c r="F36" s="313">
        <f>E36*F35</f>
        <v>0.14300000000000002</v>
      </c>
      <c r="G36" s="314"/>
      <c r="H36" s="314"/>
      <c r="I36" s="313"/>
      <c r="J36" s="313"/>
      <c r="K36" s="314"/>
      <c r="L36" s="314"/>
      <c r="M36" s="313"/>
    </row>
    <row r="37" spans="1:13" s="271" customFormat="1" ht="12.75">
      <c r="A37" s="322"/>
      <c r="B37" s="194" t="s">
        <v>463</v>
      </c>
      <c r="C37" s="316" t="s">
        <v>150</v>
      </c>
      <c r="D37" s="317" t="s">
        <v>27</v>
      </c>
      <c r="E37" s="313">
        <f>7/100</f>
        <v>0.07</v>
      </c>
      <c r="F37" s="313">
        <f>E37*F35</f>
        <v>0.035</v>
      </c>
      <c r="G37" s="313"/>
      <c r="H37" s="313"/>
      <c r="I37" s="313"/>
      <c r="J37" s="314"/>
      <c r="K37" s="313"/>
      <c r="L37" s="313"/>
      <c r="M37" s="313"/>
    </row>
    <row r="38" spans="1:13" s="271" customFormat="1" ht="12.75">
      <c r="A38" s="322"/>
      <c r="B38" s="324"/>
      <c r="C38" s="316" t="s">
        <v>25</v>
      </c>
      <c r="D38" s="317" t="s">
        <v>37</v>
      </c>
      <c r="E38" s="313">
        <f>0.3/100</f>
        <v>0.003</v>
      </c>
      <c r="F38" s="313">
        <f>E38*F35</f>
        <v>0.0015</v>
      </c>
      <c r="G38" s="313"/>
      <c r="H38" s="313"/>
      <c r="I38" s="313"/>
      <c r="J38" s="314"/>
      <c r="K38" s="313"/>
      <c r="L38" s="314"/>
      <c r="M38" s="313"/>
    </row>
    <row r="39" spans="1:13" s="271" customFormat="1" ht="25.5">
      <c r="A39" s="322">
        <v>6</v>
      </c>
      <c r="B39" s="311" t="s">
        <v>151</v>
      </c>
      <c r="C39" s="325" t="s">
        <v>464</v>
      </c>
      <c r="D39" s="311" t="s">
        <v>8</v>
      </c>
      <c r="E39" s="312"/>
      <c r="F39" s="312">
        <v>4</v>
      </c>
      <c r="G39" s="313"/>
      <c r="H39" s="313"/>
      <c r="I39" s="313"/>
      <c r="J39" s="313"/>
      <c r="K39" s="313"/>
      <c r="L39" s="313"/>
      <c r="M39" s="326"/>
    </row>
    <row r="40" spans="1:13" s="271" customFormat="1" ht="12.75">
      <c r="A40" s="322"/>
      <c r="B40" s="311"/>
      <c r="C40" s="316" t="s">
        <v>3</v>
      </c>
      <c r="D40" s="317" t="s">
        <v>4</v>
      </c>
      <c r="E40" s="313">
        <f>134/1000</f>
        <v>0.134</v>
      </c>
      <c r="F40" s="313">
        <f>E40*F39</f>
        <v>0.536</v>
      </c>
      <c r="G40" s="313"/>
      <c r="H40" s="313"/>
      <c r="I40" s="313"/>
      <c r="J40" s="313"/>
      <c r="K40" s="313"/>
      <c r="L40" s="313"/>
      <c r="M40" s="326"/>
    </row>
    <row r="41" spans="1:13" s="271" customFormat="1" ht="12.75">
      <c r="A41" s="322"/>
      <c r="B41" s="311"/>
      <c r="C41" s="327" t="s">
        <v>22</v>
      </c>
      <c r="D41" s="317" t="s">
        <v>87</v>
      </c>
      <c r="E41" s="313">
        <f>129/1000</f>
        <v>0.129</v>
      </c>
      <c r="F41" s="313">
        <f>F39*E41</f>
        <v>0.516</v>
      </c>
      <c r="G41" s="313"/>
      <c r="H41" s="313"/>
      <c r="I41" s="313"/>
      <c r="J41" s="313"/>
      <c r="K41" s="313"/>
      <c r="L41" s="313"/>
      <c r="M41" s="313"/>
    </row>
    <row r="42" spans="1:13" s="271" customFormat="1" ht="12.75">
      <c r="A42" s="322"/>
      <c r="B42" s="311" t="s">
        <v>455</v>
      </c>
      <c r="C42" s="327" t="s">
        <v>465</v>
      </c>
      <c r="D42" s="317" t="s">
        <v>30</v>
      </c>
      <c r="E42" s="313">
        <v>1</v>
      </c>
      <c r="F42" s="313">
        <f>F39*E42</f>
        <v>4</v>
      </c>
      <c r="G42" s="313"/>
      <c r="H42" s="313"/>
      <c r="I42" s="313"/>
      <c r="J42" s="313"/>
      <c r="K42" s="313"/>
      <c r="L42" s="313"/>
      <c r="M42" s="313"/>
    </row>
    <row r="43" spans="1:13" s="271" customFormat="1" ht="12.75">
      <c r="A43" s="322"/>
      <c r="B43" s="311"/>
      <c r="C43" s="327" t="s">
        <v>25</v>
      </c>
      <c r="D43" s="317" t="s">
        <v>37</v>
      </c>
      <c r="E43" s="313">
        <v>4.92</v>
      </c>
      <c r="F43" s="313">
        <f>F39*E43</f>
        <v>19.68</v>
      </c>
      <c r="G43" s="313"/>
      <c r="H43" s="313"/>
      <c r="I43" s="313"/>
      <c r="J43" s="313"/>
      <c r="K43" s="313"/>
      <c r="L43" s="313"/>
      <c r="M43" s="313"/>
    </row>
    <row r="44" spans="1:13" s="271" customFormat="1" ht="25.5">
      <c r="A44" s="322">
        <v>7</v>
      </c>
      <c r="B44" s="309" t="s">
        <v>149</v>
      </c>
      <c r="C44" s="323" t="s">
        <v>466</v>
      </c>
      <c r="D44" s="311" t="s">
        <v>23</v>
      </c>
      <c r="E44" s="312"/>
      <c r="F44" s="312">
        <v>0.14</v>
      </c>
      <c r="G44" s="313"/>
      <c r="H44" s="313"/>
      <c r="I44" s="313"/>
      <c r="J44" s="313"/>
      <c r="K44" s="313"/>
      <c r="L44" s="314"/>
      <c r="M44" s="313"/>
    </row>
    <row r="45" spans="1:13" s="271" customFormat="1" ht="12.75">
      <c r="A45" s="322"/>
      <c r="B45" s="315"/>
      <c r="C45" s="316" t="s">
        <v>3</v>
      </c>
      <c r="D45" s="317" t="s">
        <v>4</v>
      </c>
      <c r="E45" s="313">
        <f>28.6/100</f>
        <v>0.28600000000000003</v>
      </c>
      <c r="F45" s="313">
        <f>E45*F44</f>
        <v>0.040040000000000006</v>
      </c>
      <c r="G45" s="314"/>
      <c r="H45" s="314"/>
      <c r="I45" s="313"/>
      <c r="J45" s="313"/>
      <c r="K45" s="314"/>
      <c r="L45" s="314"/>
      <c r="M45" s="313"/>
    </row>
    <row r="46" spans="1:13" s="271" customFormat="1" ht="12.75">
      <c r="A46" s="322"/>
      <c r="B46" s="194" t="s">
        <v>463</v>
      </c>
      <c r="C46" s="316" t="s">
        <v>150</v>
      </c>
      <c r="D46" s="317" t="s">
        <v>27</v>
      </c>
      <c r="E46" s="313">
        <f>7/100</f>
        <v>0.07</v>
      </c>
      <c r="F46" s="313">
        <f>E46*F44</f>
        <v>0.009800000000000001</v>
      </c>
      <c r="G46" s="313"/>
      <c r="H46" s="313"/>
      <c r="I46" s="313"/>
      <c r="J46" s="314"/>
      <c r="K46" s="313"/>
      <c r="L46" s="313"/>
      <c r="M46" s="313"/>
    </row>
    <row r="47" spans="1:13" s="271" customFormat="1" ht="12.75">
      <c r="A47" s="322"/>
      <c r="B47" s="324"/>
      <c r="C47" s="316" t="s">
        <v>25</v>
      </c>
      <c r="D47" s="317" t="s">
        <v>37</v>
      </c>
      <c r="E47" s="313">
        <f>0.3/100</f>
        <v>0.003</v>
      </c>
      <c r="F47" s="313">
        <f>E47*F44</f>
        <v>0.00042000000000000007</v>
      </c>
      <c r="G47" s="313"/>
      <c r="H47" s="313"/>
      <c r="I47" s="313"/>
      <c r="J47" s="314"/>
      <c r="K47" s="313"/>
      <c r="L47" s="314"/>
      <c r="M47" s="313"/>
    </row>
    <row r="48" spans="1:13" s="271" customFormat="1" ht="25.5">
      <c r="A48" s="322">
        <v>8</v>
      </c>
      <c r="B48" s="311" t="s">
        <v>151</v>
      </c>
      <c r="C48" s="325" t="s">
        <v>467</v>
      </c>
      <c r="D48" s="311" t="s">
        <v>8</v>
      </c>
      <c r="E48" s="312"/>
      <c r="F48" s="312">
        <v>7</v>
      </c>
      <c r="G48" s="313"/>
      <c r="H48" s="313"/>
      <c r="I48" s="313"/>
      <c r="J48" s="313"/>
      <c r="K48" s="313"/>
      <c r="L48" s="313"/>
      <c r="M48" s="326"/>
    </row>
    <row r="49" spans="1:13" s="271" customFormat="1" ht="12.75">
      <c r="A49" s="322"/>
      <c r="B49" s="311"/>
      <c r="C49" s="316" t="s">
        <v>3</v>
      </c>
      <c r="D49" s="317" t="s">
        <v>4</v>
      </c>
      <c r="E49" s="313">
        <f>134/1000</f>
        <v>0.134</v>
      </c>
      <c r="F49" s="313">
        <f>E49*F48</f>
        <v>0.9380000000000001</v>
      </c>
      <c r="G49" s="313"/>
      <c r="H49" s="313"/>
      <c r="I49" s="313"/>
      <c r="J49" s="313"/>
      <c r="K49" s="313"/>
      <c r="L49" s="313"/>
      <c r="M49" s="326"/>
    </row>
    <row r="50" spans="1:13" s="271" customFormat="1" ht="12.75">
      <c r="A50" s="322"/>
      <c r="B50" s="311"/>
      <c r="C50" s="327" t="s">
        <v>22</v>
      </c>
      <c r="D50" s="317" t="s">
        <v>87</v>
      </c>
      <c r="E50" s="313">
        <f>129/1000</f>
        <v>0.129</v>
      </c>
      <c r="F50" s="313">
        <f>F48*E50</f>
        <v>0.903</v>
      </c>
      <c r="G50" s="313"/>
      <c r="H50" s="313"/>
      <c r="I50" s="313"/>
      <c r="J50" s="313"/>
      <c r="K50" s="313"/>
      <c r="L50" s="313"/>
      <c r="M50" s="313"/>
    </row>
    <row r="51" spans="1:13" s="271" customFormat="1" ht="12.75">
      <c r="A51" s="322"/>
      <c r="B51" s="311" t="s">
        <v>468</v>
      </c>
      <c r="C51" s="327" t="s">
        <v>469</v>
      </c>
      <c r="D51" s="317" t="s">
        <v>30</v>
      </c>
      <c r="E51" s="313">
        <v>1</v>
      </c>
      <c r="F51" s="313">
        <f>F48*E51</f>
        <v>7</v>
      </c>
      <c r="G51" s="313"/>
      <c r="H51" s="313"/>
      <c r="I51" s="313"/>
      <c r="J51" s="313"/>
      <c r="K51" s="313"/>
      <c r="L51" s="313"/>
      <c r="M51" s="313"/>
    </row>
    <row r="52" spans="1:13" s="271" customFormat="1" ht="12.75">
      <c r="A52" s="322"/>
      <c r="B52" s="311"/>
      <c r="C52" s="327" t="s">
        <v>25</v>
      </c>
      <c r="D52" s="317" t="s">
        <v>37</v>
      </c>
      <c r="E52" s="313">
        <v>4.92</v>
      </c>
      <c r="F52" s="313">
        <f>F48*E52</f>
        <v>34.44</v>
      </c>
      <c r="G52" s="313"/>
      <c r="H52" s="313"/>
      <c r="I52" s="313"/>
      <c r="J52" s="313"/>
      <c r="K52" s="313"/>
      <c r="L52" s="313"/>
      <c r="M52" s="313"/>
    </row>
    <row r="53" spans="1:13" s="271" customFormat="1" ht="25.5">
      <c r="A53" s="322">
        <v>9</v>
      </c>
      <c r="B53" s="309" t="s">
        <v>149</v>
      </c>
      <c r="C53" s="323" t="s">
        <v>470</v>
      </c>
      <c r="D53" s="311" t="s">
        <v>23</v>
      </c>
      <c r="E53" s="312"/>
      <c r="F53" s="312">
        <v>0.14</v>
      </c>
      <c r="G53" s="313"/>
      <c r="H53" s="313"/>
      <c r="I53" s="313"/>
      <c r="J53" s="313"/>
      <c r="K53" s="313"/>
      <c r="L53" s="314"/>
      <c r="M53" s="313"/>
    </row>
    <row r="54" spans="1:13" s="271" customFormat="1" ht="12.75">
      <c r="A54" s="322"/>
      <c r="B54" s="315"/>
      <c r="C54" s="316" t="s">
        <v>3</v>
      </c>
      <c r="D54" s="317" t="s">
        <v>4</v>
      </c>
      <c r="E54" s="313">
        <f>28.6/100</f>
        <v>0.28600000000000003</v>
      </c>
      <c r="F54" s="313">
        <f>E54*F53</f>
        <v>0.040040000000000006</v>
      </c>
      <c r="G54" s="314"/>
      <c r="H54" s="314"/>
      <c r="I54" s="313"/>
      <c r="J54" s="313"/>
      <c r="K54" s="314"/>
      <c r="L54" s="314"/>
      <c r="M54" s="313"/>
    </row>
    <row r="55" spans="1:13" s="271" customFormat="1" ht="12.75">
      <c r="A55" s="322"/>
      <c r="B55" s="194" t="s">
        <v>463</v>
      </c>
      <c r="C55" s="316" t="s">
        <v>150</v>
      </c>
      <c r="D55" s="317" t="s">
        <v>27</v>
      </c>
      <c r="E55" s="313">
        <f>7/100</f>
        <v>0.07</v>
      </c>
      <c r="F55" s="313">
        <f>E55*F53</f>
        <v>0.009800000000000001</v>
      </c>
      <c r="G55" s="313"/>
      <c r="H55" s="313"/>
      <c r="I55" s="313"/>
      <c r="J55" s="314"/>
      <c r="K55" s="313"/>
      <c r="L55" s="313"/>
      <c r="M55" s="313"/>
    </row>
    <row r="56" spans="1:13" s="271" customFormat="1" ht="12.75">
      <c r="A56" s="322"/>
      <c r="B56" s="324"/>
      <c r="C56" s="316" t="s">
        <v>25</v>
      </c>
      <c r="D56" s="317" t="s">
        <v>37</v>
      </c>
      <c r="E56" s="313">
        <f>0.3/100</f>
        <v>0.003</v>
      </c>
      <c r="F56" s="313">
        <f>E56*F53</f>
        <v>0.00042000000000000007</v>
      </c>
      <c r="G56" s="313"/>
      <c r="H56" s="313"/>
      <c r="I56" s="313"/>
      <c r="J56" s="314"/>
      <c r="K56" s="313"/>
      <c r="L56" s="314"/>
      <c r="M56" s="313"/>
    </row>
    <row r="57" spans="1:13" s="271" customFormat="1" ht="12.75">
      <c r="A57" s="308" t="s">
        <v>471</v>
      </c>
      <c r="B57" s="309" t="s">
        <v>453</v>
      </c>
      <c r="C57" s="310" t="s">
        <v>472</v>
      </c>
      <c r="D57" s="311" t="s">
        <v>8</v>
      </c>
      <c r="E57" s="312"/>
      <c r="F57" s="312">
        <v>5</v>
      </c>
      <c r="G57" s="313"/>
      <c r="H57" s="313"/>
      <c r="I57" s="313"/>
      <c r="J57" s="313"/>
      <c r="K57" s="313"/>
      <c r="L57" s="314"/>
      <c r="M57" s="313"/>
    </row>
    <row r="58" spans="1:13" s="271" customFormat="1" ht="12.75">
      <c r="A58" s="308"/>
      <c r="B58" s="315"/>
      <c r="C58" s="316" t="s">
        <v>3</v>
      </c>
      <c r="D58" s="317" t="s">
        <v>4</v>
      </c>
      <c r="E58" s="313">
        <v>12.5</v>
      </c>
      <c r="F58" s="313">
        <f>F57*E58</f>
        <v>62.5</v>
      </c>
      <c r="G58" s="314"/>
      <c r="H58" s="314"/>
      <c r="I58" s="313"/>
      <c r="J58" s="313"/>
      <c r="K58" s="314"/>
      <c r="L58" s="314"/>
      <c r="M58" s="313"/>
    </row>
    <row r="59" spans="1:13" s="271" customFormat="1" ht="12.75">
      <c r="A59" s="308"/>
      <c r="B59" s="315"/>
      <c r="C59" s="316" t="s">
        <v>29</v>
      </c>
      <c r="D59" s="317" t="s">
        <v>37</v>
      </c>
      <c r="E59" s="313">
        <v>8.13</v>
      </c>
      <c r="F59" s="313">
        <f>F57*E59</f>
        <v>40.650000000000006</v>
      </c>
      <c r="G59" s="313"/>
      <c r="H59" s="313"/>
      <c r="I59" s="313"/>
      <c r="J59" s="314"/>
      <c r="K59" s="313"/>
      <c r="L59" s="313"/>
      <c r="M59" s="313"/>
    </row>
    <row r="60" spans="1:13" s="271" customFormat="1" ht="12.75">
      <c r="A60" s="308"/>
      <c r="B60" s="315" t="s">
        <v>473</v>
      </c>
      <c r="C60" s="318" t="s">
        <v>474</v>
      </c>
      <c r="D60" s="317" t="s">
        <v>8</v>
      </c>
      <c r="E60" s="313">
        <v>1</v>
      </c>
      <c r="F60" s="313">
        <f>F57*E60</f>
        <v>5</v>
      </c>
      <c r="G60" s="313"/>
      <c r="H60" s="313"/>
      <c r="I60" s="313"/>
      <c r="J60" s="314"/>
      <c r="K60" s="313"/>
      <c r="L60" s="314"/>
      <c r="M60" s="313"/>
    </row>
    <row r="61" spans="1:13" s="271" customFormat="1" ht="12.75">
      <c r="A61" s="308"/>
      <c r="B61" s="315"/>
      <c r="C61" s="316" t="s">
        <v>25</v>
      </c>
      <c r="D61" s="319" t="s">
        <v>37</v>
      </c>
      <c r="E61" s="320">
        <v>4.39</v>
      </c>
      <c r="F61" s="320">
        <f>F57*E61</f>
        <v>21.95</v>
      </c>
      <c r="G61" s="313"/>
      <c r="H61" s="313"/>
      <c r="I61" s="321"/>
      <c r="J61" s="321"/>
      <c r="K61" s="321"/>
      <c r="L61" s="321"/>
      <c r="M61" s="313"/>
    </row>
    <row r="62" spans="1:13" s="271" customFormat="1" ht="12.75">
      <c r="A62" s="308" t="s">
        <v>475</v>
      </c>
      <c r="B62" s="309" t="s">
        <v>453</v>
      </c>
      <c r="C62" s="310" t="s">
        <v>476</v>
      </c>
      <c r="D62" s="311" t="s">
        <v>8</v>
      </c>
      <c r="E62" s="312"/>
      <c r="F62" s="312">
        <v>5</v>
      </c>
      <c r="G62" s="313"/>
      <c r="H62" s="313"/>
      <c r="I62" s="313"/>
      <c r="J62" s="313"/>
      <c r="K62" s="313"/>
      <c r="L62" s="314"/>
      <c r="M62" s="313"/>
    </row>
    <row r="63" spans="1:13" s="271" customFormat="1" ht="12.75">
      <c r="A63" s="308"/>
      <c r="B63" s="315"/>
      <c r="C63" s="316" t="s">
        <v>3</v>
      </c>
      <c r="D63" s="317" t="s">
        <v>4</v>
      </c>
      <c r="E63" s="313">
        <v>12.5</v>
      </c>
      <c r="F63" s="313">
        <f>F62*E63</f>
        <v>62.5</v>
      </c>
      <c r="G63" s="314"/>
      <c r="H63" s="314"/>
      <c r="I63" s="313"/>
      <c r="J63" s="313"/>
      <c r="K63" s="314"/>
      <c r="L63" s="314"/>
      <c r="M63" s="313"/>
    </row>
    <row r="64" spans="1:13" s="271" customFormat="1" ht="12.75">
      <c r="A64" s="308"/>
      <c r="B64" s="315"/>
      <c r="C64" s="316" t="s">
        <v>29</v>
      </c>
      <c r="D64" s="317" t="s">
        <v>37</v>
      </c>
      <c r="E64" s="313">
        <v>8.13</v>
      </c>
      <c r="F64" s="313">
        <f>F62*E64</f>
        <v>40.650000000000006</v>
      </c>
      <c r="G64" s="313"/>
      <c r="H64" s="313"/>
      <c r="I64" s="313"/>
      <c r="J64" s="314"/>
      <c r="K64" s="313"/>
      <c r="L64" s="313"/>
      <c r="M64" s="313"/>
    </row>
    <row r="65" spans="1:13" s="271" customFormat="1" ht="12.75">
      <c r="A65" s="308"/>
      <c r="B65" s="315" t="s">
        <v>477</v>
      </c>
      <c r="C65" s="318" t="s">
        <v>478</v>
      </c>
      <c r="D65" s="317" t="s">
        <v>8</v>
      </c>
      <c r="E65" s="313">
        <v>1</v>
      </c>
      <c r="F65" s="313">
        <f>F62*E65</f>
        <v>5</v>
      </c>
      <c r="G65" s="313"/>
      <c r="H65" s="313"/>
      <c r="I65" s="313"/>
      <c r="J65" s="314"/>
      <c r="K65" s="313"/>
      <c r="L65" s="314"/>
      <c r="M65" s="313"/>
    </row>
    <row r="66" spans="1:13" s="271" customFormat="1" ht="12.75">
      <c r="A66" s="308"/>
      <c r="B66" s="315"/>
      <c r="C66" s="316" t="s">
        <v>25</v>
      </c>
      <c r="D66" s="319" t="s">
        <v>37</v>
      </c>
      <c r="E66" s="320">
        <v>4.39</v>
      </c>
      <c r="F66" s="320">
        <f>F62*E66</f>
        <v>21.95</v>
      </c>
      <c r="G66" s="313"/>
      <c r="H66" s="313"/>
      <c r="I66" s="321"/>
      <c r="J66" s="321"/>
      <c r="K66" s="321"/>
      <c r="L66" s="321"/>
      <c r="M66" s="313"/>
    </row>
    <row r="67" spans="1:13" s="271" customFormat="1" ht="12.75">
      <c r="A67" s="308" t="s">
        <v>156</v>
      </c>
      <c r="B67" s="309" t="s">
        <v>453</v>
      </c>
      <c r="C67" s="310" t="s">
        <v>479</v>
      </c>
      <c r="D67" s="311" t="s">
        <v>8</v>
      </c>
      <c r="E67" s="312"/>
      <c r="F67" s="312">
        <v>5</v>
      </c>
      <c r="G67" s="313"/>
      <c r="H67" s="313"/>
      <c r="I67" s="313"/>
      <c r="J67" s="313"/>
      <c r="K67" s="313"/>
      <c r="L67" s="314"/>
      <c r="M67" s="313"/>
    </row>
    <row r="68" spans="1:13" s="271" customFormat="1" ht="12.75">
      <c r="A68" s="308"/>
      <c r="B68" s="315"/>
      <c r="C68" s="316" t="s">
        <v>3</v>
      </c>
      <c r="D68" s="317" t="s">
        <v>4</v>
      </c>
      <c r="E68" s="313">
        <v>12.5</v>
      </c>
      <c r="F68" s="313">
        <f>F67*E68</f>
        <v>62.5</v>
      </c>
      <c r="G68" s="314"/>
      <c r="H68" s="314"/>
      <c r="I68" s="313"/>
      <c r="J68" s="313"/>
      <c r="K68" s="314"/>
      <c r="L68" s="314"/>
      <c r="M68" s="313"/>
    </row>
    <row r="69" spans="1:13" s="271" customFormat="1" ht="12.75">
      <c r="A69" s="308"/>
      <c r="B69" s="315"/>
      <c r="C69" s="316" t="s">
        <v>29</v>
      </c>
      <c r="D69" s="317" t="s">
        <v>37</v>
      </c>
      <c r="E69" s="313">
        <v>8.13</v>
      </c>
      <c r="F69" s="313">
        <f>F67*E69</f>
        <v>40.650000000000006</v>
      </c>
      <c r="G69" s="313"/>
      <c r="H69" s="313"/>
      <c r="I69" s="313"/>
      <c r="J69" s="314"/>
      <c r="K69" s="313"/>
      <c r="L69" s="313"/>
      <c r="M69" s="313"/>
    </row>
    <row r="70" spans="1:13" s="271" customFormat="1" ht="12.75">
      <c r="A70" s="308"/>
      <c r="B70" s="315" t="s">
        <v>480</v>
      </c>
      <c r="C70" s="318" t="s">
        <v>481</v>
      </c>
      <c r="D70" s="317" t="s">
        <v>8</v>
      </c>
      <c r="E70" s="313">
        <v>1</v>
      </c>
      <c r="F70" s="313">
        <f>F67*E70</f>
        <v>5</v>
      </c>
      <c r="G70" s="313"/>
      <c r="H70" s="313"/>
      <c r="I70" s="313"/>
      <c r="J70" s="314"/>
      <c r="K70" s="313"/>
      <c r="L70" s="314"/>
      <c r="M70" s="313"/>
    </row>
    <row r="71" spans="1:13" s="271" customFormat="1" ht="12.75">
      <c r="A71" s="308"/>
      <c r="B71" s="315"/>
      <c r="C71" s="316" t="s">
        <v>25</v>
      </c>
      <c r="D71" s="319" t="s">
        <v>37</v>
      </c>
      <c r="E71" s="320">
        <v>4.39</v>
      </c>
      <c r="F71" s="320">
        <f>F67*E71</f>
        <v>21.95</v>
      </c>
      <c r="G71" s="313"/>
      <c r="H71" s="313"/>
      <c r="I71" s="321"/>
      <c r="J71" s="321"/>
      <c r="K71" s="321"/>
      <c r="L71" s="321"/>
      <c r="M71" s="313"/>
    </row>
    <row r="72" spans="1:13" s="271" customFormat="1" ht="38.25">
      <c r="A72" s="269">
        <v>13</v>
      </c>
      <c r="B72" s="252" t="s">
        <v>482</v>
      </c>
      <c r="C72" s="277" t="s">
        <v>483</v>
      </c>
      <c r="D72" s="186" t="s">
        <v>7</v>
      </c>
      <c r="E72" s="188"/>
      <c r="F72" s="278">
        <v>75</v>
      </c>
      <c r="G72" s="188"/>
      <c r="H72" s="188"/>
      <c r="I72" s="188"/>
      <c r="J72" s="188"/>
      <c r="K72" s="188"/>
      <c r="L72" s="188"/>
      <c r="M72" s="188"/>
    </row>
    <row r="73" spans="1:13" s="271" customFormat="1" ht="12.75">
      <c r="A73" s="269"/>
      <c r="B73" s="285"/>
      <c r="C73" s="191" t="s">
        <v>3</v>
      </c>
      <c r="D73" s="189" t="s">
        <v>4</v>
      </c>
      <c r="E73" s="192">
        <v>0.0283</v>
      </c>
      <c r="F73" s="192">
        <f>F72*E73</f>
        <v>2.1225</v>
      </c>
      <c r="G73" s="192"/>
      <c r="H73" s="192"/>
      <c r="I73" s="192"/>
      <c r="J73" s="192"/>
      <c r="K73" s="192"/>
      <c r="L73" s="192"/>
      <c r="M73" s="192"/>
    </row>
    <row r="74" spans="1:13" s="271" customFormat="1" ht="12.75">
      <c r="A74" s="269"/>
      <c r="B74" s="285"/>
      <c r="C74" s="281" t="s">
        <v>64</v>
      </c>
      <c r="D74" s="281"/>
      <c r="E74" s="282"/>
      <c r="F74" s="282"/>
      <c r="G74" s="282"/>
      <c r="H74" s="282"/>
      <c r="I74" s="192"/>
      <c r="J74" s="282"/>
      <c r="K74" s="282"/>
      <c r="L74" s="282"/>
      <c r="M74" s="282"/>
    </row>
    <row r="75" spans="1:13" s="271" customFormat="1" ht="12.75">
      <c r="A75" s="269"/>
      <c r="B75" s="285"/>
      <c r="C75" s="307" t="s">
        <v>90</v>
      </c>
      <c r="D75" s="281" t="s">
        <v>5</v>
      </c>
      <c r="E75" s="282">
        <v>2.31</v>
      </c>
      <c r="F75" s="282">
        <f>E75*F72</f>
        <v>173.25</v>
      </c>
      <c r="G75" s="282"/>
      <c r="H75" s="282"/>
      <c r="I75" s="192"/>
      <c r="J75" s="282"/>
      <c r="K75" s="282"/>
      <c r="L75" s="282"/>
      <c r="M75" s="282"/>
    </row>
    <row r="76" spans="1:13" s="271" customFormat="1" ht="12.75">
      <c r="A76" s="269"/>
      <c r="B76" s="285"/>
      <c r="C76" s="191" t="s">
        <v>6</v>
      </c>
      <c r="D76" s="281" t="s">
        <v>0</v>
      </c>
      <c r="E76" s="282">
        <v>0</v>
      </c>
      <c r="F76" s="282">
        <f>E76*F72</f>
        <v>0</v>
      </c>
      <c r="G76" s="282"/>
      <c r="H76" s="282"/>
      <c r="I76" s="192"/>
      <c r="J76" s="282"/>
      <c r="K76" s="282"/>
      <c r="L76" s="282"/>
      <c r="M76" s="282"/>
    </row>
    <row r="77" spans="1:13" s="271" customFormat="1" ht="12.75">
      <c r="A77" s="252">
        <v>14</v>
      </c>
      <c r="B77" s="252" t="s">
        <v>428</v>
      </c>
      <c r="C77" s="274" t="s">
        <v>484</v>
      </c>
      <c r="D77" s="186" t="s">
        <v>5</v>
      </c>
      <c r="E77" s="188"/>
      <c r="F77" s="275">
        <v>2</v>
      </c>
      <c r="G77" s="188"/>
      <c r="H77" s="188"/>
      <c r="I77" s="188"/>
      <c r="J77" s="188"/>
      <c r="K77" s="188"/>
      <c r="L77" s="188"/>
      <c r="M77" s="188"/>
    </row>
    <row r="78" spans="1:13" s="271" customFormat="1" ht="12.75">
      <c r="A78" s="252"/>
      <c r="B78" s="252"/>
      <c r="C78" s="191" t="s">
        <v>3</v>
      </c>
      <c r="D78" s="189" t="s">
        <v>4</v>
      </c>
      <c r="E78" s="192">
        <v>3.88</v>
      </c>
      <c r="F78" s="192">
        <f>F77*E78</f>
        <v>7.76</v>
      </c>
      <c r="G78" s="192"/>
      <c r="H78" s="192"/>
      <c r="I78" s="192"/>
      <c r="J78" s="192"/>
      <c r="K78" s="192"/>
      <c r="L78" s="192"/>
      <c r="M78" s="192"/>
    </row>
    <row r="79" spans="1:13" s="259" customFormat="1" ht="25.5">
      <c r="A79" s="252">
        <v>16</v>
      </c>
      <c r="B79" s="252" t="s">
        <v>435</v>
      </c>
      <c r="C79" s="277" t="s">
        <v>436</v>
      </c>
      <c r="D79" s="252" t="s">
        <v>437</v>
      </c>
      <c r="E79" s="188"/>
      <c r="F79" s="275">
        <v>0.005</v>
      </c>
      <c r="G79" s="192"/>
      <c r="H79" s="192"/>
      <c r="I79" s="192"/>
      <c r="J79" s="192"/>
      <c r="K79" s="192"/>
      <c r="L79" s="192"/>
      <c r="M79" s="192"/>
    </row>
    <row r="80" spans="1:13" s="259" customFormat="1" ht="12.75">
      <c r="A80" s="252"/>
      <c r="B80" s="252"/>
      <c r="C80" s="191" t="s">
        <v>3</v>
      </c>
      <c r="D80" s="189" t="s">
        <v>4</v>
      </c>
      <c r="E80" s="192">
        <v>450</v>
      </c>
      <c r="F80" s="192">
        <f>F79*E80</f>
        <v>2.25</v>
      </c>
      <c r="G80" s="192"/>
      <c r="H80" s="192"/>
      <c r="I80" s="192"/>
      <c r="J80" s="192"/>
      <c r="K80" s="192"/>
      <c r="L80" s="192"/>
      <c r="M80" s="192"/>
    </row>
    <row r="81" spans="1:13" s="259" customFormat="1" ht="12.75">
      <c r="A81" s="252"/>
      <c r="B81" s="252"/>
      <c r="C81" s="191" t="s">
        <v>22</v>
      </c>
      <c r="D81" s="281" t="s">
        <v>0</v>
      </c>
      <c r="E81" s="192">
        <v>37</v>
      </c>
      <c r="F81" s="192">
        <f>E81*F79</f>
        <v>0.185</v>
      </c>
      <c r="G81" s="192"/>
      <c r="H81" s="192"/>
      <c r="I81" s="192"/>
      <c r="J81" s="192"/>
      <c r="K81" s="192"/>
      <c r="L81" s="192"/>
      <c r="M81" s="192"/>
    </row>
    <row r="82" spans="1:13" s="259" customFormat="1" ht="12.75">
      <c r="A82" s="252"/>
      <c r="B82" s="252"/>
      <c r="C82" s="281" t="s">
        <v>61</v>
      </c>
      <c r="D82" s="189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1:13" s="259" customFormat="1" ht="12.75">
      <c r="A83" s="252"/>
      <c r="B83" s="252" t="s">
        <v>438</v>
      </c>
      <c r="C83" s="191" t="s">
        <v>439</v>
      </c>
      <c r="D83" s="189" t="s">
        <v>5</v>
      </c>
      <c r="E83" s="192">
        <v>102</v>
      </c>
      <c r="F83" s="192">
        <f>F79*E83</f>
        <v>0.51</v>
      </c>
      <c r="G83" s="282"/>
      <c r="H83" s="282"/>
      <c r="I83" s="192"/>
      <c r="J83" s="282"/>
      <c r="K83" s="282"/>
      <c r="L83" s="282"/>
      <c r="M83" s="282"/>
    </row>
    <row r="84" spans="1:13" s="259" customFormat="1" ht="12.75">
      <c r="A84" s="252"/>
      <c r="B84" s="252" t="s">
        <v>217</v>
      </c>
      <c r="C84" s="191" t="s">
        <v>440</v>
      </c>
      <c r="D84" s="189" t="s">
        <v>23</v>
      </c>
      <c r="E84" s="192">
        <v>161</v>
      </c>
      <c r="F84" s="192">
        <f>F79*E84</f>
        <v>0.805</v>
      </c>
      <c r="G84" s="282"/>
      <c r="H84" s="282"/>
      <c r="I84" s="192"/>
      <c r="J84" s="282"/>
      <c r="K84" s="282"/>
      <c r="L84" s="282"/>
      <c r="M84" s="282"/>
    </row>
    <row r="85" spans="1:13" s="259" customFormat="1" ht="12.75">
      <c r="A85" s="252"/>
      <c r="B85" s="252" t="s">
        <v>441</v>
      </c>
      <c r="C85" s="191" t="s">
        <v>442</v>
      </c>
      <c r="D85" s="189" t="s">
        <v>5</v>
      </c>
      <c r="E85" s="192">
        <v>1.72</v>
      </c>
      <c r="F85" s="192">
        <f>F79*E85</f>
        <v>0.0086</v>
      </c>
      <c r="G85" s="282"/>
      <c r="H85" s="282"/>
      <c r="I85" s="192"/>
      <c r="J85" s="282"/>
      <c r="K85" s="282"/>
      <c r="L85" s="282"/>
      <c r="M85" s="282"/>
    </row>
    <row r="86" spans="1:13" s="259" customFormat="1" ht="12.75">
      <c r="A86" s="269"/>
      <c r="B86" s="252"/>
      <c r="C86" s="191" t="s">
        <v>6</v>
      </c>
      <c r="D86" s="281" t="s">
        <v>0</v>
      </c>
      <c r="E86" s="282">
        <v>28</v>
      </c>
      <c r="F86" s="282">
        <f>E86*F79</f>
        <v>0.14</v>
      </c>
      <c r="G86" s="282"/>
      <c r="H86" s="282"/>
      <c r="I86" s="192"/>
      <c r="J86" s="282"/>
      <c r="K86" s="282"/>
      <c r="L86" s="282"/>
      <c r="M86" s="282"/>
    </row>
    <row r="87" spans="1:13" s="271" customFormat="1" ht="25.5">
      <c r="A87" s="252">
        <v>15</v>
      </c>
      <c r="B87" s="252" t="s">
        <v>435</v>
      </c>
      <c r="C87" s="277" t="s">
        <v>485</v>
      </c>
      <c r="D87" s="186" t="s">
        <v>5</v>
      </c>
      <c r="E87" s="188"/>
      <c r="F87" s="278">
        <v>1</v>
      </c>
      <c r="G87" s="188"/>
      <c r="H87" s="188"/>
      <c r="I87" s="188"/>
      <c r="J87" s="188"/>
      <c r="K87" s="188"/>
      <c r="L87" s="188"/>
      <c r="M87" s="188"/>
    </row>
    <row r="88" spans="1:13" s="271" customFormat="1" ht="12.75">
      <c r="A88" s="252"/>
      <c r="B88" s="252"/>
      <c r="C88" s="191" t="s">
        <v>79</v>
      </c>
      <c r="D88" s="189" t="s">
        <v>5</v>
      </c>
      <c r="E88" s="328">
        <v>4.5</v>
      </c>
      <c r="F88" s="328">
        <f>E88*F87</f>
        <v>4.5</v>
      </c>
      <c r="G88" s="328"/>
      <c r="H88" s="328"/>
      <c r="I88" s="328"/>
      <c r="J88" s="328"/>
      <c r="K88" s="329"/>
      <c r="L88" s="328"/>
      <c r="M88" s="329"/>
    </row>
    <row r="89" spans="1:13" s="271" customFormat="1" ht="12.75">
      <c r="A89" s="252"/>
      <c r="B89" s="252"/>
      <c r="C89" s="191" t="s">
        <v>25</v>
      </c>
      <c r="D89" s="189" t="s">
        <v>0</v>
      </c>
      <c r="E89" s="328">
        <v>0.37</v>
      </c>
      <c r="F89" s="328">
        <f>E89*F87</f>
        <v>0.37</v>
      </c>
      <c r="G89" s="328"/>
      <c r="H89" s="328"/>
      <c r="I89" s="328"/>
      <c r="J89" s="328"/>
      <c r="K89" s="329"/>
      <c r="L89" s="328"/>
      <c r="M89" s="329"/>
    </row>
    <row r="90" spans="1:13" s="271" customFormat="1" ht="12.75">
      <c r="A90" s="252"/>
      <c r="B90" s="252" t="s">
        <v>486</v>
      </c>
      <c r="C90" s="191" t="s">
        <v>26</v>
      </c>
      <c r="D90" s="189" t="s">
        <v>5</v>
      </c>
      <c r="E90" s="328">
        <v>1.02</v>
      </c>
      <c r="F90" s="328">
        <f>E90*F87</f>
        <v>1.02</v>
      </c>
      <c r="G90" s="282"/>
      <c r="H90" s="328"/>
      <c r="I90" s="328"/>
      <c r="J90" s="328"/>
      <c r="K90" s="329"/>
      <c r="L90" s="328"/>
      <c r="M90" s="329"/>
    </row>
    <row r="91" spans="1:13" s="271" customFormat="1" ht="12.75">
      <c r="A91" s="252"/>
      <c r="B91" s="252" t="s">
        <v>217</v>
      </c>
      <c r="C91" s="191" t="s">
        <v>77</v>
      </c>
      <c r="D91" s="189" t="s">
        <v>23</v>
      </c>
      <c r="E91" s="328">
        <v>1.61</v>
      </c>
      <c r="F91" s="328">
        <f>E91*F87</f>
        <v>1.61</v>
      </c>
      <c r="G91" s="282"/>
      <c r="H91" s="328"/>
      <c r="I91" s="328"/>
      <c r="J91" s="328"/>
      <c r="K91" s="329"/>
      <c r="L91" s="328"/>
      <c r="M91" s="329"/>
    </row>
    <row r="92" spans="1:13" s="271" customFormat="1" ht="12.75">
      <c r="A92" s="252"/>
      <c r="B92" s="252" t="s">
        <v>441</v>
      </c>
      <c r="C92" s="191" t="s">
        <v>487</v>
      </c>
      <c r="D92" s="189" t="s">
        <v>5</v>
      </c>
      <c r="E92" s="328">
        <f>1.72/100</f>
        <v>0.0172</v>
      </c>
      <c r="F92" s="328">
        <f>E92*F87</f>
        <v>0.0172</v>
      </c>
      <c r="G92" s="282"/>
      <c r="H92" s="328"/>
      <c r="I92" s="328"/>
      <c r="J92" s="328"/>
      <c r="K92" s="329"/>
      <c r="L92" s="328"/>
      <c r="M92" s="329"/>
    </row>
    <row r="93" spans="1:13" s="271" customFormat="1" ht="12.75">
      <c r="A93" s="252"/>
      <c r="B93" s="252"/>
      <c r="C93" s="191" t="s">
        <v>25</v>
      </c>
      <c r="D93" s="189" t="s">
        <v>0</v>
      </c>
      <c r="E93" s="328">
        <v>0.28</v>
      </c>
      <c r="F93" s="328">
        <f>E93*F87</f>
        <v>0.28</v>
      </c>
      <c r="G93" s="282"/>
      <c r="H93" s="328"/>
      <c r="I93" s="328"/>
      <c r="J93" s="328"/>
      <c r="K93" s="329"/>
      <c r="L93" s="328"/>
      <c r="M93" s="329"/>
    </row>
    <row r="94" spans="1:13" s="271" customFormat="1" ht="25.5">
      <c r="A94" s="252">
        <v>16</v>
      </c>
      <c r="B94" s="252" t="s">
        <v>488</v>
      </c>
      <c r="C94" s="274" t="s">
        <v>489</v>
      </c>
      <c r="D94" s="252" t="s">
        <v>108</v>
      </c>
      <c r="E94" s="278"/>
      <c r="F94" s="278">
        <v>1</v>
      </c>
      <c r="G94" s="278"/>
      <c r="H94" s="282"/>
      <c r="I94" s="278"/>
      <c r="J94" s="278"/>
      <c r="K94" s="278"/>
      <c r="L94" s="278"/>
      <c r="M94" s="192"/>
    </row>
    <row r="95" spans="1:13" s="271" customFormat="1" ht="12.75">
      <c r="A95" s="252"/>
      <c r="B95" s="252"/>
      <c r="C95" s="280" t="s">
        <v>109</v>
      </c>
      <c r="D95" s="281" t="s">
        <v>4</v>
      </c>
      <c r="E95" s="282">
        <v>15.8</v>
      </c>
      <c r="F95" s="282">
        <f>F94*E95</f>
        <v>15.8</v>
      </c>
      <c r="G95" s="282"/>
      <c r="H95" s="282"/>
      <c r="I95" s="282"/>
      <c r="J95" s="282"/>
      <c r="K95" s="282"/>
      <c r="L95" s="282"/>
      <c r="M95" s="282"/>
    </row>
    <row r="96" spans="1:13" s="271" customFormat="1" ht="12.75">
      <c r="A96" s="252"/>
      <c r="B96" s="252"/>
      <c r="C96" s="191" t="s">
        <v>89</v>
      </c>
      <c r="D96" s="281" t="s">
        <v>0</v>
      </c>
      <c r="E96" s="282">
        <v>1.36</v>
      </c>
      <c r="F96" s="282">
        <f>F94*E96</f>
        <v>1.36</v>
      </c>
      <c r="G96" s="282"/>
      <c r="H96" s="282"/>
      <c r="I96" s="282"/>
      <c r="J96" s="282"/>
      <c r="K96" s="282"/>
      <c r="L96" s="282"/>
      <c r="M96" s="282"/>
    </row>
    <row r="97" spans="1:13" s="271" customFormat="1" ht="12.75">
      <c r="A97" s="252"/>
      <c r="B97" s="252"/>
      <c r="C97" s="281" t="s">
        <v>64</v>
      </c>
      <c r="D97" s="281"/>
      <c r="E97" s="282"/>
      <c r="F97" s="282"/>
      <c r="G97" s="282"/>
      <c r="H97" s="282"/>
      <c r="I97" s="282"/>
      <c r="J97" s="282"/>
      <c r="K97" s="282"/>
      <c r="L97" s="282"/>
      <c r="M97" s="282"/>
    </row>
    <row r="98" spans="1:13" s="271" customFormat="1" ht="12.75">
      <c r="A98" s="252"/>
      <c r="B98" s="252" t="s">
        <v>490</v>
      </c>
      <c r="C98" s="191" t="s">
        <v>491</v>
      </c>
      <c r="D98" s="281" t="s">
        <v>110</v>
      </c>
      <c r="E98" s="282">
        <v>1</v>
      </c>
      <c r="F98" s="282">
        <f>E98*F94</f>
        <v>1</v>
      </c>
      <c r="G98" s="282"/>
      <c r="H98" s="282"/>
      <c r="I98" s="282"/>
      <c r="J98" s="282"/>
      <c r="K98" s="282"/>
      <c r="L98" s="282"/>
      <c r="M98" s="282"/>
    </row>
    <row r="99" spans="1:13" s="271" customFormat="1" ht="12.75">
      <c r="A99" s="252"/>
      <c r="B99" s="252"/>
      <c r="C99" s="191" t="s">
        <v>6</v>
      </c>
      <c r="D99" s="281" t="s">
        <v>0</v>
      </c>
      <c r="E99" s="282">
        <v>1.92</v>
      </c>
      <c r="F99" s="282">
        <f>E99*F94</f>
        <v>1.92</v>
      </c>
      <c r="G99" s="282"/>
      <c r="H99" s="282"/>
      <c r="I99" s="282"/>
      <c r="J99" s="282"/>
      <c r="K99" s="282"/>
      <c r="L99" s="282"/>
      <c r="M99" s="282"/>
    </row>
    <row r="100" spans="1:13" s="259" customFormat="1" ht="12.75">
      <c r="A100" s="252"/>
      <c r="B100" s="252"/>
      <c r="C100" s="274" t="s">
        <v>2</v>
      </c>
      <c r="D100" s="189"/>
      <c r="E100" s="330"/>
      <c r="F100" s="330"/>
      <c r="G100" s="330"/>
      <c r="H100" s="330"/>
      <c r="I100" s="330"/>
      <c r="J100" s="330"/>
      <c r="K100" s="330"/>
      <c r="L100" s="330"/>
      <c r="M100" s="330"/>
    </row>
    <row r="101" spans="1:13" s="259" customFormat="1" ht="12.75">
      <c r="A101" s="252"/>
      <c r="B101" s="285"/>
      <c r="C101" s="191" t="s">
        <v>72</v>
      </c>
      <c r="D101" s="344" t="s">
        <v>517</v>
      </c>
      <c r="E101" s="329"/>
      <c r="F101" s="329"/>
      <c r="G101" s="329"/>
      <c r="H101" s="329"/>
      <c r="I101" s="329"/>
      <c r="J101" s="329"/>
      <c r="K101" s="329"/>
      <c r="L101" s="329"/>
      <c r="M101" s="329"/>
    </row>
    <row r="102" spans="1:13" s="259" customFormat="1" ht="12.75">
      <c r="A102" s="252"/>
      <c r="B102" s="252"/>
      <c r="C102" s="274" t="s">
        <v>2</v>
      </c>
      <c r="D102" s="344"/>
      <c r="E102" s="330"/>
      <c r="F102" s="330"/>
      <c r="G102" s="330"/>
      <c r="H102" s="330"/>
      <c r="I102" s="330"/>
      <c r="J102" s="330"/>
      <c r="K102" s="330"/>
      <c r="L102" s="330"/>
      <c r="M102" s="330"/>
    </row>
    <row r="103" spans="1:13" s="259" customFormat="1" ht="12.75">
      <c r="A103" s="252"/>
      <c r="B103" s="252"/>
      <c r="C103" s="280" t="s">
        <v>73</v>
      </c>
      <c r="D103" s="344" t="s">
        <v>517</v>
      </c>
      <c r="E103" s="329"/>
      <c r="F103" s="329"/>
      <c r="G103" s="329"/>
      <c r="H103" s="329"/>
      <c r="I103" s="329"/>
      <c r="J103" s="329"/>
      <c r="K103" s="329"/>
      <c r="L103" s="329"/>
      <c r="M103" s="329"/>
    </row>
    <row r="104" spans="1:13" s="259" customFormat="1" ht="12.75">
      <c r="A104" s="252"/>
      <c r="B104" s="252"/>
      <c r="C104" s="274" t="s">
        <v>2</v>
      </c>
      <c r="D104" s="344"/>
      <c r="E104" s="330"/>
      <c r="F104" s="330"/>
      <c r="G104" s="330"/>
      <c r="H104" s="330"/>
      <c r="I104" s="330"/>
      <c r="J104" s="330"/>
      <c r="K104" s="330"/>
      <c r="L104" s="330"/>
      <c r="M104" s="330"/>
    </row>
    <row r="105" spans="1:13" s="259" customFormat="1" ht="12.75">
      <c r="A105" s="252"/>
      <c r="B105" s="252"/>
      <c r="C105" s="280" t="s">
        <v>69</v>
      </c>
      <c r="D105" s="344" t="s">
        <v>517</v>
      </c>
      <c r="E105" s="329"/>
      <c r="F105" s="329"/>
      <c r="G105" s="329"/>
      <c r="H105" s="329"/>
      <c r="I105" s="329"/>
      <c r="J105" s="329"/>
      <c r="K105" s="329"/>
      <c r="L105" s="329"/>
      <c r="M105" s="329"/>
    </row>
    <row r="106" spans="1:13" s="259" customFormat="1" ht="12.75">
      <c r="A106" s="252"/>
      <c r="B106" s="252"/>
      <c r="C106" s="274" t="s">
        <v>492</v>
      </c>
      <c r="D106" s="189"/>
      <c r="E106" s="330"/>
      <c r="F106" s="330"/>
      <c r="G106" s="330"/>
      <c r="H106" s="330"/>
      <c r="I106" s="330"/>
      <c r="J106" s="330"/>
      <c r="K106" s="330"/>
      <c r="L106" s="330"/>
      <c r="M106" s="330"/>
    </row>
    <row r="107" spans="1:13" s="259" customFormat="1" ht="12.75">
      <c r="A107" s="252"/>
      <c r="B107" s="252"/>
      <c r="C107" s="252" t="s">
        <v>493</v>
      </c>
      <c r="D107" s="306"/>
      <c r="E107" s="330"/>
      <c r="F107" s="330"/>
      <c r="G107" s="330"/>
      <c r="H107" s="330"/>
      <c r="I107" s="330"/>
      <c r="J107" s="330"/>
      <c r="K107" s="330"/>
      <c r="L107" s="330"/>
      <c r="M107" s="330"/>
    </row>
    <row r="108" spans="1:13" s="253" customFormat="1" ht="42" customHeight="1">
      <c r="A108" s="252">
        <v>26</v>
      </c>
      <c r="B108" s="252" t="s">
        <v>448</v>
      </c>
      <c r="C108" s="277" t="s">
        <v>494</v>
      </c>
      <c r="D108" s="252" t="s">
        <v>495</v>
      </c>
      <c r="E108" s="188"/>
      <c r="F108" s="275">
        <f>1</f>
        <v>1</v>
      </c>
      <c r="G108" s="192"/>
      <c r="H108" s="192"/>
      <c r="I108" s="192"/>
      <c r="J108" s="192"/>
      <c r="K108" s="192"/>
      <c r="L108" s="192"/>
      <c r="M108" s="192"/>
    </row>
    <row r="109" spans="1:13" s="253" customFormat="1" ht="12.75">
      <c r="A109" s="252"/>
      <c r="B109" s="252"/>
      <c r="C109" s="191" t="s">
        <v>3</v>
      </c>
      <c r="D109" s="189" t="s">
        <v>495</v>
      </c>
      <c r="E109" s="192">
        <v>1</v>
      </c>
      <c r="F109" s="192">
        <f>F108*E109</f>
        <v>1</v>
      </c>
      <c r="G109" s="192"/>
      <c r="H109" s="192"/>
      <c r="I109" s="192"/>
      <c r="J109" s="192"/>
      <c r="K109" s="192"/>
      <c r="L109" s="192"/>
      <c r="M109" s="192"/>
    </row>
    <row r="110" spans="1:13" s="253" customFormat="1" ht="12.75">
      <c r="A110" s="252"/>
      <c r="B110" s="252"/>
      <c r="C110" s="281" t="s">
        <v>61</v>
      </c>
      <c r="D110" s="189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1:13" s="271" customFormat="1" ht="12.75">
      <c r="A111" s="269"/>
      <c r="B111" s="252" t="s">
        <v>44</v>
      </c>
      <c r="C111" s="191" t="s">
        <v>496</v>
      </c>
      <c r="D111" s="281" t="s">
        <v>8</v>
      </c>
      <c r="E111" s="282">
        <v>1</v>
      </c>
      <c r="F111" s="282">
        <f>E111*F108</f>
        <v>1</v>
      </c>
      <c r="G111" s="282"/>
      <c r="H111" s="282"/>
      <c r="I111" s="192"/>
      <c r="J111" s="282"/>
      <c r="K111" s="282"/>
      <c r="L111" s="282"/>
      <c r="M111" s="282"/>
    </row>
    <row r="112" spans="1:13" s="271" customFormat="1" ht="14.25" customHeight="1">
      <c r="A112" s="252"/>
      <c r="B112" s="252" t="s">
        <v>44</v>
      </c>
      <c r="C112" s="280" t="s">
        <v>497</v>
      </c>
      <c r="D112" s="281" t="s">
        <v>8</v>
      </c>
      <c r="E112" s="282">
        <v>1</v>
      </c>
      <c r="F112" s="282">
        <f>E112*F109</f>
        <v>1</v>
      </c>
      <c r="G112" s="282"/>
      <c r="H112" s="282"/>
      <c r="I112" s="192"/>
      <c r="J112" s="282"/>
      <c r="K112" s="282"/>
      <c r="L112" s="282"/>
      <c r="M112" s="282"/>
    </row>
    <row r="113" spans="1:13" s="271" customFormat="1" ht="16.5" customHeight="1">
      <c r="A113" s="186"/>
      <c r="B113" s="252" t="s">
        <v>44</v>
      </c>
      <c r="C113" s="280" t="s">
        <v>498</v>
      </c>
      <c r="D113" s="281" t="s">
        <v>7</v>
      </c>
      <c r="E113" s="282"/>
      <c r="F113" s="282">
        <v>20</v>
      </c>
      <c r="G113" s="282"/>
      <c r="H113" s="282"/>
      <c r="I113" s="192"/>
      <c r="J113" s="282"/>
      <c r="K113" s="282"/>
      <c r="L113" s="282"/>
      <c r="M113" s="282"/>
    </row>
    <row r="114" spans="1:13" s="271" customFormat="1" ht="12.75">
      <c r="A114" s="331">
        <v>5</v>
      </c>
      <c r="B114" s="332" t="s">
        <v>499</v>
      </c>
      <c r="C114" s="333" t="s">
        <v>500</v>
      </c>
      <c r="D114" s="334" t="s">
        <v>8</v>
      </c>
      <c r="E114" s="335"/>
      <c r="F114" s="335">
        <v>1</v>
      </c>
      <c r="G114" s="336"/>
      <c r="H114" s="336"/>
      <c r="I114" s="336"/>
      <c r="J114" s="336"/>
      <c r="K114" s="336"/>
      <c r="L114" s="336"/>
      <c r="M114" s="336"/>
    </row>
    <row r="115" spans="1:13" s="271" customFormat="1" ht="12.75">
      <c r="A115" s="331"/>
      <c r="B115" s="337"/>
      <c r="C115" s="338" t="s">
        <v>501</v>
      </c>
      <c r="D115" s="339" t="s">
        <v>502</v>
      </c>
      <c r="E115" s="336">
        <v>0.22</v>
      </c>
      <c r="F115" s="336">
        <f>F114*E115</f>
        <v>0.22</v>
      </c>
      <c r="G115" s="340"/>
      <c r="H115" s="340"/>
      <c r="I115" s="341"/>
      <c r="J115" s="336"/>
      <c r="K115" s="336"/>
      <c r="L115" s="336"/>
      <c r="M115" s="336"/>
    </row>
    <row r="116" spans="1:13" s="271" customFormat="1" ht="12.75">
      <c r="A116" s="331"/>
      <c r="B116" s="252" t="s">
        <v>44</v>
      </c>
      <c r="C116" s="342" t="s">
        <v>503</v>
      </c>
      <c r="D116" s="343" t="s">
        <v>8</v>
      </c>
      <c r="E116" s="336">
        <v>1</v>
      </c>
      <c r="F116" s="336">
        <f>E116*F114</f>
        <v>1</v>
      </c>
      <c r="G116" s="340"/>
      <c r="H116" s="340"/>
      <c r="I116" s="341"/>
      <c r="J116" s="336"/>
      <c r="K116" s="336"/>
      <c r="L116" s="336"/>
      <c r="M116" s="336"/>
    </row>
    <row r="117" spans="1:13" s="259" customFormat="1" ht="12.75">
      <c r="A117" s="252"/>
      <c r="B117" s="252"/>
      <c r="C117" s="274" t="s">
        <v>2</v>
      </c>
      <c r="D117" s="189"/>
      <c r="E117" s="330"/>
      <c r="F117" s="330"/>
      <c r="G117" s="330"/>
      <c r="H117" s="330"/>
      <c r="I117" s="330"/>
      <c r="J117" s="330"/>
      <c r="K117" s="330"/>
      <c r="L117" s="330"/>
      <c r="M117" s="330"/>
    </row>
    <row r="118" spans="1:13" s="259" customFormat="1" ht="12.75">
      <c r="A118" s="252"/>
      <c r="B118" s="285"/>
      <c r="C118" s="191" t="s">
        <v>72</v>
      </c>
      <c r="D118" s="344" t="s">
        <v>517</v>
      </c>
      <c r="E118" s="329"/>
      <c r="F118" s="329"/>
      <c r="G118" s="329"/>
      <c r="H118" s="329"/>
      <c r="I118" s="329"/>
      <c r="J118" s="329"/>
      <c r="K118" s="329"/>
      <c r="L118" s="329"/>
      <c r="M118" s="329"/>
    </row>
    <row r="119" spans="1:13" s="259" customFormat="1" ht="12.75">
      <c r="A119" s="252"/>
      <c r="B119" s="252"/>
      <c r="C119" s="274" t="s">
        <v>2</v>
      </c>
      <c r="D119" s="344"/>
      <c r="E119" s="330"/>
      <c r="F119" s="330"/>
      <c r="G119" s="330"/>
      <c r="H119" s="330"/>
      <c r="I119" s="330"/>
      <c r="J119" s="330"/>
      <c r="K119" s="330"/>
      <c r="L119" s="330"/>
      <c r="M119" s="330"/>
    </row>
    <row r="120" spans="1:13" s="259" customFormat="1" ht="12.75">
      <c r="A120" s="252"/>
      <c r="B120" s="252"/>
      <c r="C120" s="280" t="s">
        <v>504</v>
      </c>
      <c r="D120" s="344" t="s">
        <v>517</v>
      </c>
      <c r="E120" s="329"/>
      <c r="F120" s="329"/>
      <c r="G120" s="329"/>
      <c r="H120" s="329"/>
      <c r="I120" s="329"/>
      <c r="J120" s="329"/>
      <c r="K120" s="329"/>
      <c r="L120" s="329"/>
      <c r="M120" s="329"/>
    </row>
    <row r="121" spans="1:13" s="259" customFormat="1" ht="12.75">
      <c r="A121" s="252"/>
      <c r="B121" s="252"/>
      <c r="C121" s="274" t="s">
        <v>2</v>
      </c>
      <c r="D121" s="344"/>
      <c r="E121" s="330"/>
      <c r="F121" s="330"/>
      <c r="G121" s="330"/>
      <c r="H121" s="330"/>
      <c r="I121" s="330"/>
      <c r="J121" s="330"/>
      <c r="K121" s="330"/>
      <c r="L121" s="330"/>
      <c r="M121" s="330"/>
    </row>
    <row r="122" spans="1:13" s="259" customFormat="1" ht="12.75">
      <c r="A122" s="252"/>
      <c r="B122" s="252"/>
      <c r="C122" s="280" t="s">
        <v>505</v>
      </c>
      <c r="D122" s="344" t="s">
        <v>517</v>
      </c>
      <c r="E122" s="329"/>
      <c r="F122" s="329"/>
      <c r="G122" s="329"/>
      <c r="H122" s="329"/>
      <c r="I122" s="329"/>
      <c r="J122" s="329"/>
      <c r="K122" s="329"/>
      <c r="L122" s="329"/>
      <c r="M122" s="329"/>
    </row>
    <row r="123" spans="1:13" s="259" customFormat="1" ht="12.75">
      <c r="A123" s="252"/>
      <c r="B123" s="252"/>
      <c r="C123" s="274" t="s">
        <v>506</v>
      </c>
      <c r="D123" s="189"/>
      <c r="E123" s="330"/>
      <c r="F123" s="330"/>
      <c r="G123" s="330"/>
      <c r="H123" s="330"/>
      <c r="I123" s="330"/>
      <c r="J123" s="330"/>
      <c r="K123" s="330"/>
      <c r="L123" s="330"/>
      <c r="M123" s="330"/>
    </row>
    <row r="124" spans="1:13" s="253" customFormat="1" ht="12.75">
      <c r="A124" s="252"/>
      <c r="B124" s="252"/>
      <c r="C124" s="274" t="s">
        <v>507</v>
      </c>
      <c r="D124" s="189"/>
      <c r="E124" s="330"/>
      <c r="F124" s="330"/>
      <c r="G124" s="330"/>
      <c r="H124" s="330"/>
      <c r="I124" s="330"/>
      <c r="J124" s="330"/>
      <c r="K124" s="330"/>
      <c r="L124" s="330"/>
      <c r="M124" s="330"/>
    </row>
    <row r="125" spans="2:13" s="253" customFormat="1" ht="1.5" customHeight="1">
      <c r="B125" s="345"/>
      <c r="C125" s="250"/>
      <c r="L125" s="250"/>
      <c r="M125" s="346"/>
    </row>
    <row r="126" spans="3:9" s="301" customFormat="1" ht="12.75">
      <c r="C126" s="302"/>
      <c r="D126" s="303"/>
      <c r="E126" s="303"/>
      <c r="F126" s="303"/>
      <c r="G126" s="250"/>
      <c r="H126" s="250"/>
      <c r="I126" s="250"/>
    </row>
    <row r="127" spans="3:9" s="301" customFormat="1" ht="12.75">
      <c r="C127" s="302"/>
      <c r="D127" s="303"/>
      <c r="E127" s="303"/>
      <c r="F127" s="684"/>
      <c r="G127" s="684"/>
      <c r="H127" s="684"/>
      <c r="I127" s="684"/>
    </row>
  </sheetData>
  <sheetProtection/>
  <autoFilter ref="A7:O123"/>
  <mergeCells count="14">
    <mergeCell ref="A1:M1"/>
    <mergeCell ref="A2:M2"/>
    <mergeCell ref="A3:M3"/>
    <mergeCell ref="C4:K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F127:I127"/>
  </mergeCells>
  <conditionalFormatting sqref="I28:M28 D28:G28 I24:L27 M21:M27 D21:F27 C21:C28 C35:C71 B35 B48:B53 G21:L23 D35:M35 M36:M38 D36:L40 D48:L49 B24 B39:B44 H24:H28 G24 G26:G27 D41:M47 D50:M71">
    <cfRule type="cellIs" priority="1" dxfId="0" operator="equal" stopIfTrue="1">
      <formula>8223.307275</formula>
    </cfRule>
  </conditionalFormatting>
  <printOptions horizontalCentered="1"/>
  <pageMargins left="0.25" right="0.25" top="0.75" bottom="0.75" header="0.3" footer="0.3"/>
  <pageSetup fitToHeight="0" horizontalDpi="600" verticalDpi="600" orientation="landscape" paperSize="9" scale="71" r:id="rId1"/>
  <headerFooter alignWithMargins="0">
    <oddFooter>&amp;CPage &amp;P</oddFooter>
  </headerFooter>
  <rowBreaks count="2" manualBreakCount="2">
    <brk id="38" max="12" man="1"/>
    <brk id="7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SheetLayoutView="100" zoomScalePageLayoutView="0" workbookViewId="0" topLeftCell="A31">
      <selection activeCell="G8" sqref="G8:M59"/>
    </sheetView>
  </sheetViews>
  <sheetFormatPr defaultColWidth="7.00390625" defaultRowHeight="12.75"/>
  <cols>
    <col min="1" max="1" width="3.8515625" style="63" customWidth="1"/>
    <col min="2" max="2" width="14.00390625" style="63" customWidth="1"/>
    <col min="3" max="3" width="66.57421875" style="64" customWidth="1"/>
    <col min="4" max="4" width="9.421875" style="65" customWidth="1"/>
    <col min="5" max="5" width="9.140625" style="65" customWidth="1"/>
    <col min="6" max="6" width="11.140625" style="65" bestFit="1" customWidth="1"/>
    <col min="7" max="7" width="9.140625" style="65" customWidth="1"/>
    <col min="8" max="8" width="10.421875" style="66" customWidth="1"/>
    <col min="9" max="9" width="9.140625" style="65" customWidth="1"/>
    <col min="10" max="10" width="10.7109375" style="66" customWidth="1"/>
    <col min="11" max="11" width="9.140625" style="65" customWidth="1"/>
    <col min="12" max="12" width="10.140625" style="66" customWidth="1"/>
    <col min="13" max="13" width="11.140625" style="66" customWidth="1"/>
    <col min="14" max="133" width="9.140625" style="67" customWidth="1"/>
    <col min="134" max="134" width="2.57421875" style="67" customWidth="1"/>
    <col min="135" max="135" width="9.140625" style="67" customWidth="1"/>
    <col min="136" max="136" width="47.8515625" style="67" customWidth="1"/>
    <col min="137" max="137" width="6.7109375" style="67" customWidth="1"/>
    <col min="138" max="138" width="7.421875" style="67" customWidth="1"/>
    <col min="139" max="139" width="7.00390625" style="67" customWidth="1"/>
    <col min="140" max="140" width="8.57421875" style="67" customWidth="1"/>
    <col min="141" max="141" width="12.00390625" style="67" customWidth="1"/>
    <col min="142" max="142" width="4.7109375" style="67" customWidth="1"/>
    <col min="143" max="143" width="9.140625" style="67" customWidth="1"/>
    <col min="144" max="144" width="11.7109375" style="67" customWidth="1"/>
    <col min="145" max="16384" width="7.00390625" style="67" customWidth="1"/>
  </cols>
  <sheetData>
    <row r="1" spans="1:13" s="60" customFormat="1" ht="16.5">
      <c r="A1" s="662" t="s">
        <v>135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3" s="60" customFormat="1" ht="13.5">
      <c r="A2" s="663" t="e">
        <f>obieqturi!A2</f>
        <v>#REF!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3" s="60" customFormat="1" ht="13.5">
      <c r="A3" s="663" t="str">
        <f>1!C10</f>
        <v>რეზერვუარის და ჭაბურღილის SemoRobva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s="60" customFormat="1" ht="11.25">
      <c r="A4" s="61"/>
      <c r="B4" s="75"/>
      <c r="C4" s="688"/>
      <c r="D4" s="688"/>
      <c r="E4" s="688"/>
      <c r="F4" s="688"/>
      <c r="G4" s="688"/>
      <c r="H4" s="688"/>
      <c r="I4" s="688"/>
      <c r="J4" s="688"/>
      <c r="K4" s="688"/>
      <c r="L4" s="62"/>
      <c r="M4" s="62"/>
    </row>
    <row r="5" spans="1:13" s="60" customFormat="1" ht="11.25">
      <c r="A5" s="689" t="s">
        <v>1</v>
      </c>
      <c r="B5" s="690" t="s">
        <v>70</v>
      </c>
      <c r="C5" s="689" t="s">
        <v>51</v>
      </c>
      <c r="D5" s="689" t="s">
        <v>52</v>
      </c>
      <c r="E5" s="689" t="s">
        <v>53</v>
      </c>
      <c r="F5" s="689" t="s">
        <v>54</v>
      </c>
      <c r="G5" s="691" t="s">
        <v>55</v>
      </c>
      <c r="H5" s="691"/>
      <c r="I5" s="691" t="s">
        <v>56</v>
      </c>
      <c r="J5" s="691"/>
      <c r="K5" s="689" t="s">
        <v>57</v>
      </c>
      <c r="L5" s="689"/>
      <c r="M5" s="1" t="s">
        <v>71</v>
      </c>
    </row>
    <row r="6" spans="1:13" s="60" customFormat="1" ht="11.25">
      <c r="A6" s="689"/>
      <c r="B6" s="690"/>
      <c r="C6" s="689"/>
      <c r="D6" s="689"/>
      <c r="E6" s="689"/>
      <c r="F6" s="689"/>
      <c r="G6" s="1" t="s">
        <v>58</v>
      </c>
      <c r="H6" s="1" t="s">
        <v>2</v>
      </c>
      <c r="I6" s="1" t="s">
        <v>58</v>
      </c>
      <c r="J6" s="1" t="s">
        <v>2</v>
      </c>
      <c r="K6" s="1" t="s">
        <v>58</v>
      </c>
      <c r="L6" s="1" t="s">
        <v>59</v>
      </c>
      <c r="M6" s="1" t="s">
        <v>60</v>
      </c>
    </row>
    <row r="7" spans="1:13" s="59" customFormat="1" ht="12.75">
      <c r="A7" s="2">
        <v>1</v>
      </c>
      <c r="B7" s="76">
        <v>3</v>
      </c>
      <c r="C7" s="2">
        <v>2</v>
      </c>
      <c r="D7" s="2">
        <v>4</v>
      </c>
      <c r="E7" s="2">
        <v>5</v>
      </c>
      <c r="F7" s="2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s="59" customFormat="1" ht="13.5">
      <c r="A8" s="79">
        <v>1</v>
      </c>
      <c r="B8" s="77" t="s">
        <v>74</v>
      </c>
      <c r="C8" s="112" t="s">
        <v>192</v>
      </c>
      <c r="D8" s="113" t="s">
        <v>5</v>
      </c>
      <c r="E8" s="113"/>
      <c r="F8" s="122">
        <v>4.22</v>
      </c>
      <c r="G8" s="113"/>
      <c r="H8" s="115"/>
      <c r="I8" s="113"/>
      <c r="J8" s="115"/>
      <c r="K8" s="113"/>
      <c r="L8" s="115"/>
      <c r="M8" s="115"/>
    </row>
    <row r="9" spans="1:13" s="59" customFormat="1" ht="13.5">
      <c r="A9" s="78"/>
      <c r="B9" s="74"/>
      <c r="C9" s="99" t="s">
        <v>3</v>
      </c>
      <c r="D9" s="102" t="s">
        <v>4</v>
      </c>
      <c r="E9" s="102">
        <v>3.88</v>
      </c>
      <c r="F9" s="88">
        <f>F8*E9</f>
        <v>16.3736</v>
      </c>
      <c r="G9" s="102"/>
      <c r="H9" s="88"/>
      <c r="I9" s="102"/>
      <c r="J9" s="88"/>
      <c r="K9" s="102"/>
      <c r="L9" s="88"/>
      <c r="M9" s="88"/>
    </row>
    <row r="10" spans="1:13" s="59" customFormat="1" ht="27">
      <c r="A10" s="79">
        <v>2</v>
      </c>
      <c r="B10" s="77" t="s">
        <v>74</v>
      </c>
      <c r="C10" s="112" t="s">
        <v>191</v>
      </c>
      <c r="D10" s="113" t="s">
        <v>5</v>
      </c>
      <c r="E10" s="113"/>
      <c r="F10" s="122">
        <v>1.8</v>
      </c>
      <c r="G10" s="113"/>
      <c r="H10" s="115"/>
      <c r="I10" s="113"/>
      <c r="J10" s="115"/>
      <c r="K10" s="113"/>
      <c r="L10" s="115"/>
      <c r="M10" s="115"/>
    </row>
    <row r="11" spans="1:13" s="59" customFormat="1" ht="13.5">
      <c r="A11" s="78"/>
      <c r="B11" s="74"/>
      <c r="C11" s="99" t="s">
        <v>3</v>
      </c>
      <c r="D11" s="102" t="s">
        <v>4</v>
      </c>
      <c r="E11" s="102">
        <v>3.88</v>
      </c>
      <c r="F11" s="88">
        <f>F10*E11</f>
        <v>6.984</v>
      </c>
      <c r="G11" s="102"/>
      <c r="H11" s="88"/>
      <c r="I11" s="102"/>
      <c r="J11" s="88"/>
      <c r="K11" s="102"/>
      <c r="L11" s="88"/>
      <c r="M11" s="88"/>
    </row>
    <row r="12" spans="1:13" s="59" customFormat="1" ht="27">
      <c r="A12" s="79">
        <v>3</v>
      </c>
      <c r="B12" s="77" t="s">
        <v>38</v>
      </c>
      <c r="C12" s="397" t="s">
        <v>193</v>
      </c>
      <c r="D12" s="362" t="s">
        <v>5</v>
      </c>
      <c r="E12" s="362"/>
      <c r="F12" s="122">
        <v>2.6</v>
      </c>
      <c r="G12" s="362"/>
      <c r="H12" s="362"/>
      <c r="I12" s="362"/>
      <c r="J12" s="362"/>
      <c r="K12" s="362"/>
      <c r="L12" s="362"/>
      <c r="M12" s="362"/>
    </row>
    <row r="13" spans="1:13" s="59" customFormat="1" ht="13.5">
      <c r="A13" s="79"/>
      <c r="B13" s="366"/>
      <c r="C13" s="403" t="s">
        <v>75</v>
      </c>
      <c r="D13" s="102" t="s">
        <v>67</v>
      </c>
      <c r="E13" s="70">
        <v>4.5</v>
      </c>
      <c r="F13" s="71">
        <f>E13*F12</f>
        <v>11.700000000000001</v>
      </c>
      <c r="G13" s="70"/>
      <c r="H13" s="71"/>
      <c r="I13" s="70"/>
      <c r="J13" s="71"/>
      <c r="K13" s="70"/>
      <c r="L13" s="70"/>
      <c r="M13" s="71"/>
    </row>
    <row r="14" spans="1:13" s="59" customFormat="1" ht="13.5">
      <c r="A14" s="78"/>
      <c r="B14" s="74"/>
      <c r="C14" s="403" t="s">
        <v>29</v>
      </c>
      <c r="D14" s="102" t="s">
        <v>0</v>
      </c>
      <c r="E14" s="70">
        <v>0.47</v>
      </c>
      <c r="F14" s="71">
        <f>E14*F13</f>
        <v>5.4990000000000006</v>
      </c>
      <c r="G14" s="70"/>
      <c r="H14" s="70"/>
      <c r="I14" s="70"/>
      <c r="J14" s="70"/>
      <c r="K14" s="70"/>
      <c r="L14" s="71"/>
      <c r="M14" s="71"/>
    </row>
    <row r="15" spans="1:13" s="59" customFormat="1" ht="15.75">
      <c r="A15" s="78"/>
      <c r="B15" s="366" t="s">
        <v>220</v>
      </c>
      <c r="C15" s="403" t="s">
        <v>76</v>
      </c>
      <c r="D15" s="102" t="s">
        <v>32</v>
      </c>
      <c r="E15" s="70">
        <v>1.02</v>
      </c>
      <c r="F15" s="71">
        <f>E15*F12</f>
        <v>2.652</v>
      </c>
      <c r="G15" s="419"/>
      <c r="H15" s="418"/>
      <c r="I15" s="412"/>
      <c r="J15" s="78"/>
      <c r="K15" s="419"/>
      <c r="L15" s="419"/>
      <c r="M15" s="71"/>
    </row>
    <row r="16" spans="1:13" s="59" customFormat="1" ht="13.5">
      <c r="A16" s="78"/>
      <c r="B16" s="76" t="s">
        <v>217</v>
      </c>
      <c r="C16" s="403" t="s">
        <v>77</v>
      </c>
      <c r="D16" s="102" t="s">
        <v>23</v>
      </c>
      <c r="E16" s="70">
        <v>1.61</v>
      </c>
      <c r="F16" s="71">
        <f>E16*F12</f>
        <v>4.186000000000001</v>
      </c>
      <c r="G16" s="419"/>
      <c r="H16" s="418"/>
      <c r="I16" s="412"/>
      <c r="J16" s="78"/>
      <c r="K16" s="419"/>
      <c r="L16" s="419"/>
      <c r="M16" s="71"/>
    </row>
    <row r="17" spans="1:13" s="59" customFormat="1" ht="13.5">
      <c r="A17" s="78"/>
      <c r="B17" s="366"/>
      <c r="C17" s="403" t="s">
        <v>39</v>
      </c>
      <c r="D17" s="102" t="s">
        <v>5</v>
      </c>
      <c r="E17" s="70">
        <f>0.0172</f>
        <v>0.0172</v>
      </c>
      <c r="F17" s="71">
        <f>E17*F12</f>
        <v>0.04472</v>
      </c>
      <c r="G17" s="419"/>
      <c r="H17" s="418"/>
      <c r="I17" s="412"/>
      <c r="J17" s="78"/>
      <c r="K17" s="419"/>
      <c r="L17" s="419"/>
      <c r="M17" s="71"/>
    </row>
    <row r="18" spans="1:13" s="59" customFormat="1" ht="13.5">
      <c r="A18" s="78"/>
      <c r="B18" s="366"/>
      <c r="C18" s="403" t="s">
        <v>6</v>
      </c>
      <c r="D18" s="102" t="s">
        <v>0</v>
      </c>
      <c r="E18" s="70">
        <v>0.28</v>
      </c>
      <c r="F18" s="71">
        <f>E18*F12</f>
        <v>0.7280000000000001</v>
      </c>
      <c r="G18" s="419"/>
      <c r="H18" s="418"/>
      <c r="I18" s="412"/>
      <c r="J18" s="78"/>
      <c r="K18" s="419"/>
      <c r="L18" s="419"/>
      <c r="M18" s="71"/>
    </row>
    <row r="19" spans="1:13" s="59" customFormat="1" ht="27">
      <c r="A19" s="78">
        <v>4</v>
      </c>
      <c r="B19" s="77" t="s">
        <v>38</v>
      </c>
      <c r="C19" s="397" t="s">
        <v>194</v>
      </c>
      <c r="D19" s="362" t="s">
        <v>5</v>
      </c>
      <c r="E19" s="362"/>
      <c r="F19" s="122">
        <v>3.6</v>
      </c>
      <c r="G19" s="362"/>
      <c r="H19" s="362"/>
      <c r="I19" s="362"/>
      <c r="J19" s="362"/>
      <c r="K19" s="362"/>
      <c r="L19" s="362"/>
      <c r="M19" s="362"/>
    </row>
    <row r="20" spans="1:13" s="59" customFormat="1" ht="13.5">
      <c r="A20" s="78"/>
      <c r="B20" s="366"/>
      <c r="C20" s="403" t="s">
        <v>75</v>
      </c>
      <c r="D20" s="102" t="s">
        <v>67</v>
      </c>
      <c r="E20" s="70">
        <v>4.5</v>
      </c>
      <c r="F20" s="71">
        <f>E20*F19</f>
        <v>16.2</v>
      </c>
      <c r="G20" s="70"/>
      <c r="H20" s="71"/>
      <c r="I20" s="70"/>
      <c r="J20" s="71"/>
      <c r="K20" s="70"/>
      <c r="L20" s="70"/>
      <c r="M20" s="71"/>
    </row>
    <row r="21" spans="1:13" s="59" customFormat="1" ht="13.5">
      <c r="A21" s="78"/>
      <c r="B21" s="74"/>
      <c r="C21" s="403" t="s">
        <v>29</v>
      </c>
      <c r="D21" s="102" t="s">
        <v>0</v>
      </c>
      <c r="E21" s="70">
        <v>0.47</v>
      </c>
      <c r="F21" s="71">
        <f>E21*F20</f>
        <v>7.613999999999999</v>
      </c>
      <c r="G21" s="70"/>
      <c r="H21" s="70"/>
      <c r="I21" s="70"/>
      <c r="J21" s="70"/>
      <c r="K21" s="70"/>
      <c r="L21" s="71"/>
      <c r="M21" s="71"/>
    </row>
    <row r="22" spans="1:13" s="59" customFormat="1" ht="15.75">
      <c r="A22" s="78"/>
      <c r="B22" s="366" t="s">
        <v>220</v>
      </c>
      <c r="C22" s="403" t="s">
        <v>76</v>
      </c>
      <c r="D22" s="102" t="s">
        <v>32</v>
      </c>
      <c r="E22" s="70">
        <v>1.02</v>
      </c>
      <c r="F22" s="71">
        <f>E22*F19</f>
        <v>3.672</v>
      </c>
      <c r="G22" s="419"/>
      <c r="H22" s="418"/>
      <c r="I22" s="412"/>
      <c r="J22" s="78"/>
      <c r="K22" s="419"/>
      <c r="L22" s="419"/>
      <c r="M22" s="71"/>
    </row>
    <row r="23" spans="1:13" s="59" customFormat="1" ht="13.5">
      <c r="A23" s="78"/>
      <c r="B23" s="76" t="s">
        <v>217</v>
      </c>
      <c r="C23" s="403" t="s">
        <v>77</v>
      </c>
      <c r="D23" s="102" t="s">
        <v>23</v>
      </c>
      <c r="E23" s="70">
        <v>1.61</v>
      </c>
      <c r="F23" s="71">
        <f>E23*F19</f>
        <v>5.796</v>
      </c>
      <c r="G23" s="419"/>
      <c r="H23" s="418"/>
      <c r="I23" s="412"/>
      <c r="J23" s="78"/>
      <c r="K23" s="419"/>
      <c r="L23" s="419"/>
      <c r="M23" s="71"/>
    </row>
    <row r="24" spans="1:13" s="59" customFormat="1" ht="13.5">
      <c r="A24" s="78"/>
      <c r="B24" s="366"/>
      <c r="C24" s="403" t="s">
        <v>39</v>
      </c>
      <c r="D24" s="102" t="s">
        <v>5</v>
      </c>
      <c r="E24" s="70">
        <f>0.0172</f>
        <v>0.0172</v>
      </c>
      <c r="F24" s="71">
        <f>E24*F19</f>
        <v>0.06192</v>
      </c>
      <c r="G24" s="419"/>
      <c r="H24" s="418"/>
      <c r="I24" s="412"/>
      <c r="J24" s="78"/>
      <c r="K24" s="419"/>
      <c r="L24" s="419"/>
      <c r="M24" s="71"/>
    </row>
    <row r="25" spans="1:13" s="59" customFormat="1" ht="13.5">
      <c r="A25" s="78"/>
      <c r="B25" s="366"/>
      <c r="C25" s="403" t="s">
        <v>6</v>
      </c>
      <c r="D25" s="102" t="s">
        <v>0</v>
      </c>
      <c r="E25" s="70">
        <v>0.28</v>
      </c>
      <c r="F25" s="71">
        <f>E25*F19</f>
        <v>1.0080000000000002</v>
      </c>
      <c r="G25" s="419"/>
      <c r="H25" s="418"/>
      <c r="I25" s="412"/>
      <c r="J25" s="78"/>
      <c r="K25" s="419"/>
      <c r="L25" s="419"/>
      <c r="M25" s="71"/>
    </row>
    <row r="26" spans="1:13" s="59" customFormat="1" ht="13.5">
      <c r="A26" s="78">
        <v>5</v>
      </c>
      <c r="B26" s="498" t="s">
        <v>196</v>
      </c>
      <c r="C26" s="499" t="s">
        <v>195</v>
      </c>
      <c r="D26" s="362" t="s">
        <v>7</v>
      </c>
      <c r="E26" s="362"/>
      <c r="F26" s="500">
        <v>58</v>
      </c>
      <c r="G26" s="362"/>
      <c r="H26" s="362"/>
      <c r="I26" s="362"/>
      <c r="J26" s="362"/>
      <c r="K26" s="362"/>
      <c r="L26" s="362"/>
      <c r="M26" s="362"/>
    </row>
    <row r="27" spans="1:13" s="59" customFormat="1" ht="13.5">
      <c r="A27" s="78"/>
      <c r="B27" s="362"/>
      <c r="C27" s="403" t="s">
        <v>75</v>
      </c>
      <c r="D27" s="102" t="s">
        <v>4</v>
      </c>
      <c r="E27" s="70">
        <f>3.12</f>
        <v>3.12</v>
      </c>
      <c r="F27" s="71">
        <f>E27*F26</f>
        <v>180.96</v>
      </c>
      <c r="G27" s="70"/>
      <c r="H27" s="71"/>
      <c r="I27" s="70"/>
      <c r="J27" s="71"/>
      <c r="K27" s="70"/>
      <c r="L27" s="70"/>
      <c r="M27" s="71"/>
    </row>
    <row r="28" spans="1:13" s="59" customFormat="1" ht="13.5">
      <c r="A28" s="78"/>
      <c r="B28" s="362"/>
      <c r="C28" s="403" t="s">
        <v>197</v>
      </c>
      <c r="D28" s="102" t="s">
        <v>31</v>
      </c>
      <c r="E28" s="70">
        <f>0.407</f>
        <v>0.407</v>
      </c>
      <c r="F28" s="71">
        <f>E28*F26</f>
        <v>23.605999999999998</v>
      </c>
      <c r="G28" s="70"/>
      <c r="H28" s="70"/>
      <c r="I28" s="70"/>
      <c r="J28" s="70"/>
      <c r="K28" s="70"/>
      <c r="L28" s="71"/>
      <c r="M28" s="71"/>
    </row>
    <row r="29" spans="1:13" s="59" customFormat="1" ht="13.5">
      <c r="A29" s="79"/>
      <c r="B29" s="362"/>
      <c r="C29" s="403" t="s">
        <v>29</v>
      </c>
      <c r="D29" s="102" t="s">
        <v>0</v>
      </c>
      <c r="E29" s="70">
        <v>0.09</v>
      </c>
      <c r="F29" s="71">
        <f>E29*F26</f>
        <v>5.22</v>
      </c>
      <c r="G29" s="70"/>
      <c r="H29" s="70"/>
      <c r="I29" s="70"/>
      <c r="J29" s="70"/>
      <c r="K29" s="70"/>
      <c r="L29" s="71"/>
      <c r="M29" s="71"/>
    </row>
    <row r="30" spans="1:13" s="501" customFormat="1" ht="13.5">
      <c r="A30" s="78"/>
      <c r="B30" s="498"/>
      <c r="C30" s="403" t="s">
        <v>198</v>
      </c>
      <c r="D30" s="102" t="s">
        <v>153</v>
      </c>
      <c r="E30" s="70">
        <v>1</v>
      </c>
      <c r="F30" s="70">
        <f>F26*E30</f>
        <v>58</v>
      </c>
      <c r="G30" s="418"/>
      <c r="H30" s="418"/>
      <c r="I30" s="412"/>
      <c r="J30" s="78"/>
      <c r="K30" s="419"/>
      <c r="L30" s="419"/>
      <c r="M30" s="71"/>
    </row>
    <row r="31" spans="1:13" s="501" customFormat="1" ht="13.5">
      <c r="A31" s="78"/>
      <c r="B31" s="498"/>
      <c r="C31" s="403" t="s">
        <v>199</v>
      </c>
      <c r="D31" s="102" t="s">
        <v>30</v>
      </c>
      <c r="E31" s="70" t="s">
        <v>219</v>
      </c>
      <c r="F31" s="73">
        <v>0.129</v>
      </c>
      <c r="G31" s="418"/>
      <c r="H31" s="418"/>
      <c r="I31" s="412"/>
      <c r="J31" s="78"/>
      <c r="K31" s="419"/>
      <c r="L31" s="419"/>
      <c r="M31" s="71"/>
    </row>
    <row r="32" spans="1:13" s="501" customFormat="1" ht="13.5">
      <c r="A32" s="78"/>
      <c r="B32" s="502"/>
      <c r="C32" s="403" t="s">
        <v>200</v>
      </c>
      <c r="D32" s="102" t="s">
        <v>30</v>
      </c>
      <c r="E32" s="70">
        <f>0.002/100</f>
        <v>2E-05</v>
      </c>
      <c r="F32" s="503">
        <f>E32*F26</f>
        <v>0.00116</v>
      </c>
      <c r="G32" s="419"/>
      <c r="H32" s="418"/>
      <c r="I32" s="412"/>
      <c r="J32" s="78"/>
      <c r="K32" s="419"/>
      <c r="L32" s="419"/>
      <c r="M32" s="71"/>
    </row>
    <row r="33" spans="1:13" s="501" customFormat="1" ht="13.5">
      <c r="A33" s="78"/>
      <c r="B33" s="502"/>
      <c r="C33" s="403" t="s">
        <v>201</v>
      </c>
      <c r="D33" s="102" t="s">
        <v>23</v>
      </c>
      <c r="E33" s="70">
        <v>1.5</v>
      </c>
      <c r="F33" s="71">
        <f>E33*F26</f>
        <v>87</v>
      </c>
      <c r="G33" s="419"/>
      <c r="H33" s="418"/>
      <c r="I33" s="412"/>
      <c r="J33" s="78"/>
      <c r="K33" s="419"/>
      <c r="L33" s="419"/>
      <c r="M33" s="71"/>
    </row>
    <row r="34" spans="1:13" s="501" customFormat="1" ht="13.5">
      <c r="A34" s="78"/>
      <c r="B34" s="504"/>
      <c r="C34" s="505" t="s">
        <v>6</v>
      </c>
      <c r="D34" s="506" t="s">
        <v>0</v>
      </c>
      <c r="E34" s="507">
        <v>0.05</v>
      </c>
      <c r="F34" s="508">
        <f>E34*F26</f>
        <v>2.9000000000000004</v>
      </c>
      <c r="G34" s="509"/>
      <c r="H34" s="510"/>
      <c r="I34" s="511"/>
      <c r="J34" s="512"/>
      <c r="K34" s="509"/>
      <c r="L34" s="509"/>
      <c r="M34" s="508"/>
    </row>
    <row r="35" spans="1:256" s="501" customFormat="1" ht="13.5">
      <c r="A35" s="362">
        <v>6</v>
      </c>
      <c r="B35" s="77" t="s">
        <v>211</v>
      </c>
      <c r="C35" s="112" t="s">
        <v>215</v>
      </c>
      <c r="D35" s="362" t="s">
        <v>8</v>
      </c>
      <c r="E35" s="513"/>
      <c r="F35" s="117">
        <v>1</v>
      </c>
      <c r="G35" s="362"/>
      <c r="H35" s="362"/>
      <c r="I35" s="117"/>
      <c r="J35" s="362"/>
      <c r="K35" s="362"/>
      <c r="L35" s="362"/>
      <c r="M35" s="362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4"/>
      <c r="BE35" s="514"/>
      <c r="BF35" s="514"/>
      <c r="BG35" s="514"/>
      <c r="BH35" s="514"/>
      <c r="BI35" s="514"/>
      <c r="BJ35" s="514"/>
      <c r="BK35" s="514"/>
      <c r="BL35" s="514"/>
      <c r="BM35" s="514"/>
      <c r="BN35" s="514"/>
      <c r="BO35" s="514"/>
      <c r="BP35" s="514"/>
      <c r="BQ35" s="514"/>
      <c r="BR35" s="514"/>
      <c r="BS35" s="514"/>
      <c r="BT35" s="514"/>
      <c r="BU35" s="514"/>
      <c r="BV35" s="514"/>
      <c r="BW35" s="514"/>
      <c r="BX35" s="514"/>
      <c r="BY35" s="514"/>
      <c r="BZ35" s="514"/>
      <c r="CA35" s="514"/>
      <c r="CB35" s="514"/>
      <c r="CC35" s="514"/>
      <c r="CD35" s="514"/>
      <c r="CE35" s="514"/>
      <c r="CF35" s="514"/>
      <c r="CG35" s="514"/>
      <c r="CH35" s="514"/>
      <c r="CI35" s="514"/>
      <c r="CJ35" s="514"/>
      <c r="CK35" s="514"/>
      <c r="CL35" s="514"/>
      <c r="CM35" s="514"/>
      <c r="CN35" s="514"/>
      <c r="CO35" s="514"/>
      <c r="CP35" s="514"/>
      <c r="CQ35" s="514"/>
      <c r="CR35" s="514"/>
      <c r="CS35" s="514"/>
      <c r="CT35" s="514"/>
      <c r="CU35" s="514"/>
      <c r="CV35" s="514"/>
      <c r="CW35" s="514"/>
      <c r="CX35" s="514"/>
      <c r="CY35" s="514"/>
      <c r="CZ35" s="514"/>
      <c r="DA35" s="514"/>
      <c r="DB35" s="514"/>
      <c r="DC35" s="514"/>
      <c r="DD35" s="514"/>
      <c r="DE35" s="514"/>
      <c r="DF35" s="514"/>
      <c r="DG35" s="514"/>
      <c r="DH35" s="514"/>
      <c r="DI35" s="514"/>
      <c r="DJ35" s="514"/>
      <c r="DK35" s="514"/>
      <c r="DL35" s="514"/>
      <c r="DM35" s="514"/>
      <c r="DN35" s="514"/>
      <c r="DO35" s="514"/>
      <c r="DP35" s="514"/>
      <c r="DQ35" s="514"/>
      <c r="DR35" s="514"/>
      <c r="DS35" s="514"/>
      <c r="DT35" s="514"/>
      <c r="DU35" s="514"/>
      <c r="DV35" s="514"/>
      <c r="DW35" s="514"/>
      <c r="DX35" s="514"/>
      <c r="DY35" s="514"/>
      <c r="DZ35" s="514"/>
      <c r="EA35" s="514"/>
      <c r="EB35" s="514"/>
      <c r="EC35" s="514"/>
      <c r="ED35" s="514"/>
      <c r="EE35" s="514"/>
      <c r="EF35" s="514"/>
      <c r="EG35" s="514"/>
      <c r="EH35" s="514"/>
      <c r="EI35" s="514"/>
      <c r="EJ35" s="514"/>
      <c r="EK35" s="514"/>
      <c r="EL35" s="514"/>
      <c r="EM35" s="514"/>
      <c r="EN35" s="514"/>
      <c r="EO35" s="514"/>
      <c r="EP35" s="514"/>
      <c r="EQ35" s="514"/>
      <c r="ER35" s="514"/>
      <c r="ES35" s="514"/>
      <c r="ET35" s="514"/>
      <c r="EU35" s="514"/>
      <c r="EV35" s="514"/>
      <c r="EW35" s="514"/>
      <c r="EX35" s="514"/>
      <c r="EY35" s="514"/>
      <c r="EZ35" s="514"/>
      <c r="FA35" s="514"/>
      <c r="FB35" s="514"/>
      <c r="FC35" s="514"/>
      <c r="FD35" s="514"/>
      <c r="FE35" s="514"/>
      <c r="FF35" s="514"/>
      <c r="FG35" s="514"/>
      <c r="FH35" s="514"/>
      <c r="FI35" s="514"/>
      <c r="FJ35" s="514"/>
      <c r="FK35" s="514"/>
      <c r="FL35" s="514"/>
      <c r="FM35" s="514"/>
      <c r="FN35" s="514"/>
      <c r="FO35" s="514"/>
      <c r="FP35" s="514"/>
      <c r="FQ35" s="514"/>
      <c r="FR35" s="514"/>
      <c r="FS35" s="514"/>
      <c r="FT35" s="514"/>
      <c r="FU35" s="514"/>
      <c r="FV35" s="514"/>
      <c r="FW35" s="514"/>
      <c r="FX35" s="514"/>
      <c r="FY35" s="514"/>
      <c r="FZ35" s="514"/>
      <c r="GA35" s="514"/>
      <c r="GB35" s="514"/>
      <c r="GC35" s="514"/>
      <c r="GD35" s="514"/>
      <c r="GE35" s="514"/>
      <c r="GF35" s="514"/>
      <c r="GG35" s="514"/>
      <c r="GH35" s="514"/>
      <c r="GI35" s="514"/>
      <c r="GJ35" s="514"/>
      <c r="GK35" s="514"/>
      <c r="GL35" s="514"/>
      <c r="GM35" s="514"/>
      <c r="GN35" s="514"/>
      <c r="GO35" s="514"/>
      <c r="GP35" s="514"/>
      <c r="GQ35" s="514"/>
      <c r="GR35" s="514"/>
      <c r="GS35" s="514"/>
      <c r="GT35" s="514"/>
      <c r="GU35" s="514"/>
      <c r="GV35" s="514"/>
      <c r="GW35" s="514"/>
      <c r="GX35" s="514"/>
      <c r="GY35" s="514"/>
      <c r="GZ35" s="514"/>
      <c r="HA35" s="514"/>
      <c r="HB35" s="514"/>
      <c r="HC35" s="514"/>
      <c r="HD35" s="514"/>
      <c r="HE35" s="514"/>
      <c r="HF35" s="514"/>
      <c r="HG35" s="514"/>
      <c r="HH35" s="514"/>
      <c r="HI35" s="514"/>
      <c r="HJ35" s="514"/>
      <c r="HK35" s="514"/>
      <c r="HL35" s="514"/>
      <c r="HM35" s="514"/>
      <c r="HN35" s="514"/>
      <c r="HO35" s="514"/>
      <c r="HP35" s="514"/>
      <c r="HQ35" s="514"/>
      <c r="HR35" s="514"/>
      <c r="HS35" s="514"/>
      <c r="HT35" s="514"/>
      <c r="HU35" s="514"/>
      <c r="HV35" s="514"/>
      <c r="HW35" s="514"/>
      <c r="HX35" s="514"/>
      <c r="HY35" s="514"/>
      <c r="HZ35" s="514"/>
      <c r="IA35" s="514"/>
      <c r="IB35" s="514"/>
      <c r="IC35" s="514"/>
      <c r="ID35" s="514"/>
      <c r="IE35" s="514"/>
      <c r="IF35" s="514"/>
      <c r="IG35" s="514"/>
      <c r="IH35" s="514"/>
      <c r="II35" s="514"/>
      <c r="IJ35" s="514"/>
      <c r="IK35" s="515"/>
      <c r="IL35" s="515"/>
      <c r="IM35" s="515"/>
      <c r="IN35" s="515"/>
      <c r="IO35" s="515"/>
      <c r="IP35" s="515"/>
      <c r="IQ35" s="515"/>
      <c r="IR35" s="515"/>
      <c r="IS35" s="515"/>
      <c r="IT35" s="515"/>
      <c r="IU35" s="515"/>
      <c r="IV35" s="515"/>
    </row>
    <row r="36" spans="1:256" s="501" customFormat="1" ht="13.5">
      <c r="A36" s="362"/>
      <c r="B36" s="77"/>
      <c r="C36" s="516" t="s">
        <v>212</v>
      </c>
      <c r="D36" s="70" t="s">
        <v>67</v>
      </c>
      <c r="E36" s="517">
        <v>7.33</v>
      </c>
      <c r="F36" s="71">
        <f>F35*E36</f>
        <v>7.33</v>
      </c>
      <c r="G36" s="70"/>
      <c r="H36" s="518"/>
      <c r="I36" s="519"/>
      <c r="J36" s="71"/>
      <c r="K36" s="70"/>
      <c r="L36" s="70"/>
      <c r="M36" s="7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0"/>
      <c r="AR36" s="520"/>
      <c r="AS36" s="520"/>
      <c r="AT36" s="520"/>
      <c r="AU36" s="520"/>
      <c r="AV36" s="520"/>
      <c r="AW36" s="520"/>
      <c r="AX36" s="520"/>
      <c r="AY36" s="520"/>
      <c r="AZ36" s="520"/>
      <c r="BA36" s="520"/>
      <c r="BB36" s="520"/>
      <c r="BC36" s="520"/>
      <c r="BD36" s="520"/>
      <c r="BE36" s="520"/>
      <c r="BF36" s="520"/>
      <c r="BG36" s="520"/>
      <c r="BH36" s="520"/>
      <c r="BI36" s="520"/>
      <c r="BJ36" s="520"/>
      <c r="BK36" s="520"/>
      <c r="BL36" s="520"/>
      <c r="BM36" s="520"/>
      <c r="BN36" s="520"/>
      <c r="BO36" s="520"/>
      <c r="BP36" s="520"/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0"/>
      <c r="CC36" s="520"/>
      <c r="CD36" s="520"/>
      <c r="CE36" s="520"/>
      <c r="CF36" s="520"/>
      <c r="CG36" s="520"/>
      <c r="CH36" s="520"/>
      <c r="CI36" s="520"/>
      <c r="CJ36" s="520"/>
      <c r="CK36" s="520"/>
      <c r="CL36" s="520"/>
      <c r="CM36" s="520"/>
      <c r="CN36" s="520"/>
      <c r="CO36" s="520"/>
      <c r="CP36" s="520"/>
      <c r="CQ36" s="520"/>
      <c r="CR36" s="520"/>
      <c r="CS36" s="520"/>
      <c r="CT36" s="520"/>
      <c r="CU36" s="520"/>
      <c r="CV36" s="520"/>
      <c r="CW36" s="520"/>
      <c r="CX36" s="520"/>
      <c r="CY36" s="520"/>
      <c r="CZ36" s="520"/>
      <c r="DA36" s="520"/>
      <c r="DB36" s="520"/>
      <c r="DC36" s="520"/>
      <c r="DD36" s="520"/>
      <c r="DE36" s="520"/>
      <c r="DF36" s="520"/>
      <c r="DG36" s="520"/>
      <c r="DH36" s="520"/>
      <c r="DI36" s="520"/>
      <c r="DJ36" s="520"/>
      <c r="DK36" s="520"/>
      <c r="DL36" s="520"/>
      <c r="DM36" s="520"/>
      <c r="DN36" s="520"/>
      <c r="DO36" s="520"/>
      <c r="DP36" s="520"/>
      <c r="DQ36" s="520"/>
      <c r="DR36" s="520"/>
      <c r="DS36" s="520"/>
      <c r="DT36" s="520"/>
      <c r="DU36" s="520"/>
      <c r="DV36" s="520"/>
      <c r="DW36" s="520"/>
      <c r="DX36" s="520"/>
      <c r="DY36" s="520"/>
      <c r="DZ36" s="520"/>
      <c r="EA36" s="520"/>
      <c r="EB36" s="520"/>
      <c r="EC36" s="520"/>
      <c r="ED36" s="520"/>
      <c r="EE36" s="520"/>
      <c r="EF36" s="520"/>
      <c r="EG36" s="520"/>
      <c r="EH36" s="520"/>
      <c r="EI36" s="520"/>
      <c r="EJ36" s="520"/>
      <c r="EK36" s="520"/>
      <c r="EL36" s="520"/>
      <c r="EM36" s="520"/>
      <c r="EN36" s="520"/>
      <c r="EO36" s="520"/>
      <c r="EP36" s="520"/>
      <c r="EQ36" s="520"/>
      <c r="ER36" s="520"/>
      <c r="ES36" s="520"/>
      <c r="ET36" s="520"/>
      <c r="EU36" s="520"/>
      <c r="EV36" s="520"/>
      <c r="EW36" s="520"/>
      <c r="EX36" s="520"/>
      <c r="EY36" s="520"/>
      <c r="EZ36" s="520"/>
      <c r="FA36" s="520"/>
      <c r="FB36" s="520"/>
      <c r="FC36" s="520"/>
      <c r="FD36" s="520"/>
      <c r="FE36" s="520"/>
      <c r="FF36" s="520"/>
      <c r="FG36" s="520"/>
      <c r="FH36" s="520"/>
      <c r="FI36" s="520"/>
      <c r="FJ36" s="520"/>
      <c r="FK36" s="520"/>
      <c r="FL36" s="520"/>
      <c r="FM36" s="520"/>
      <c r="FN36" s="520"/>
      <c r="FO36" s="520"/>
      <c r="FP36" s="520"/>
      <c r="FQ36" s="520"/>
      <c r="FR36" s="520"/>
      <c r="FS36" s="520"/>
      <c r="FT36" s="520"/>
      <c r="FU36" s="520"/>
      <c r="FV36" s="520"/>
      <c r="FW36" s="520"/>
      <c r="FX36" s="520"/>
      <c r="FY36" s="520"/>
      <c r="FZ36" s="520"/>
      <c r="GA36" s="520"/>
      <c r="GB36" s="520"/>
      <c r="GC36" s="520"/>
      <c r="GD36" s="520"/>
      <c r="GE36" s="520"/>
      <c r="GF36" s="520"/>
      <c r="GG36" s="520"/>
      <c r="GH36" s="520"/>
      <c r="GI36" s="520"/>
      <c r="GJ36" s="520"/>
      <c r="GK36" s="520"/>
      <c r="GL36" s="520"/>
      <c r="GM36" s="520"/>
      <c r="GN36" s="520"/>
      <c r="GO36" s="520"/>
      <c r="GP36" s="520"/>
      <c r="GQ36" s="520"/>
      <c r="GR36" s="520"/>
      <c r="GS36" s="520"/>
      <c r="GT36" s="520"/>
      <c r="GU36" s="520"/>
      <c r="GV36" s="520"/>
      <c r="GW36" s="520"/>
      <c r="GX36" s="520"/>
      <c r="GY36" s="520"/>
      <c r="GZ36" s="520"/>
      <c r="HA36" s="520"/>
      <c r="HB36" s="520"/>
      <c r="HC36" s="520"/>
      <c r="HD36" s="520"/>
      <c r="HE36" s="520"/>
      <c r="HF36" s="520"/>
      <c r="HG36" s="520"/>
      <c r="HH36" s="520"/>
      <c r="HI36" s="520"/>
      <c r="HJ36" s="520"/>
      <c r="HK36" s="520"/>
      <c r="HL36" s="520"/>
      <c r="HM36" s="520"/>
      <c r="HN36" s="520"/>
      <c r="HO36" s="520"/>
      <c r="HP36" s="520"/>
      <c r="HQ36" s="520"/>
      <c r="HR36" s="520"/>
      <c r="HS36" s="520"/>
      <c r="HT36" s="520"/>
      <c r="HU36" s="520"/>
      <c r="HV36" s="520"/>
      <c r="HW36" s="520"/>
      <c r="HX36" s="520"/>
      <c r="HY36" s="520"/>
      <c r="HZ36" s="520"/>
      <c r="IA36" s="520"/>
      <c r="IB36" s="520"/>
      <c r="IC36" s="520"/>
      <c r="ID36" s="520"/>
      <c r="IE36" s="520"/>
      <c r="IF36" s="520"/>
      <c r="IG36" s="520"/>
      <c r="IH36" s="520"/>
      <c r="II36" s="520"/>
      <c r="IJ36" s="520"/>
      <c r="IK36" s="515"/>
      <c r="IL36" s="515"/>
      <c r="IM36" s="515"/>
      <c r="IN36" s="515"/>
      <c r="IO36" s="515"/>
      <c r="IP36" s="515"/>
      <c r="IQ36" s="515"/>
      <c r="IR36" s="515"/>
      <c r="IS36" s="515"/>
      <c r="IT36" s="515"/>
      <c r="IU36" s="515"/>
      <c r="IV36" s="515"/>
    </row>
    <row r="37" spans="1:256" s="501" customFormat="1" ht="13.5">
      <c r="A37" s="78"/>
      <c r="B37" s="498"/>
      <c r="C37" s="403" t="s">
        <v>202</v>
      </c>
      <c r="D37" s="102" t="s">
        <v>153</v>
      </c>
      <c r="E37" s="70"/>
      <c r="F37" s="70">
        <v>21</v>
      </c>
      <c r="G37" s="418"/>
      <c r="H37" s="418"/>
      <c r="I37" s="412"/>
      <c r="J37" s="78"/>
      <c r="K37" s="419"/>
      <c r="L37" s="419"/>
      <c r="M37" s="71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01" customFormat="1" ht="13.5">
      <c r="A38" s="79"/>
      <c r="B38" s="498"/>
      <c r="C38" s="403" t="s">
        <v>203</v>
      </c>
      <c r="D38" s="102" t="s">
        <v>30</v>
      </c>
      <c r="E38" s="70" t="s">
        <v>219</v>
      </c>
      <c r="F38" s="70">
        <v>0.03056</v>
      </c>
      <c r="G38" s="418"/>
      <c r="H38" s="418"/>
      <c r="I38" s="412"/>
      <c r="J38" s="78"/>
      <c r="K38" s="419"/>
      <c r="L38" s="419"/>
      <c r="M38" s="7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501" customFormat="1" ht="13.5">
      <c r="A39" s="78"/>
      <c r="B39" s="498"/>
      <c r="C39" s="403" t="s">
        <v>204</v>
      </c>
      <c r="D39" s="102" t="s">
        <v>30</v>
      </c>
      <c r="E39" s="70" t="s">
        <v>219</v>
      </c>
      <c r="F39" s="503">
        <v>0.003</v>
      </c>
      <c r="G39" s="417"/>
      <c r="H39" s="418"/>
      <c r="I39" s="412"/>
      <c r="J39" s="78"/>
      <c r="K39" s="419"/>
      <c r="L39" s="419"/>
      <c r="M39" s="71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501" customFormat="1" ht="13.5">
      <c r="A40" s="78"/>
      <c r="B40" s="498"/>
      <c r="C40" s="403" t="s">
        <v>205</v>
      </c>
      <c r="D40" s="102" t="s">
        <v>30</v>
      </c>
      <c r="E40" s="70" t="s">
        <v>219</v>
      </c>
      <c r="F40" s="503">
        <v>0.0032</v>
      </c>
      <c r="G40" s="418"/>
      <c r="H40" s="418"/>
      <c r="I40" s="412"/>
      <c r="J40" s="78"/>
      <c r="K40" s="419"/>
      <c r="L40" s="419"/>
      <c r="M40" s="71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501" customFormat="1" ht="13.5">
      <c r="A41" s="78"/>
      <c r="B41" s="498"/>
      <c r="C41" s="403" t="s">
        <v>199</v>
      </c>
      <c r="D41" s="102" t="s">
        <v>30</v>
      </c>
      <c r="E41" s="70" t="s">
        <v>219</v>
      </c>
      <c r="F41" s="503">
        <v>0.006</v>
      </c>
      <c r="G41" s="418"/>
      <c r="H41" s="418"/>
      <c r="I41" s="412"/>
      <c r="J41" s="78"/>
      <c r="K41" s="419"/>
      <c r="L41" s="419"/>
      <c r="M41" s="71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501" customFormat="1" ht="13.5">
      <c r="A42" s="78"/>
      <c r="B42" s="502"/>
      <c r="C42" s="403" t="s">
        <v>201</v>
      </c>
      <c r="D42" s="102" t="s">
        <v>23</v>
      </c>
      <c r="E42" s="70" t="s">
        <v>219</v>
      </c>
      <c r="F42" s="71">
        <v>7.14</v>
      </c>
      <c r="G42" s="419"/>
      <c r="H42" s="418"/>
      <c r="I42" s="412"/>
      <c r="J42" s="78"/>
      <c r="K42" s="419"/>
      <c r="L42" s="419"/>
      <c r="M42" s="71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501" customFormat="1" ht="13.5">
      <c r="A43" s="78"/>
      <c r="B43" s="498"/>
      <c r="C43" s="403" t="s">
        <v>206</v>
      </c>
      <c r="D43" s="102" t="s">
        <v>8</v>
      </c>
      <c r="E43" s="70" t="s">
        <v>219</v>
      </c>
      <c r="F43" s="71">
        <v>2</v>
      </c>
      <c r="G43" s="418"/>
      <c r="H43" s="418"/>
      <c r="I43" s="412"/>
      <c r="J43" s="78"/>
      <c r="K43" s="419"/>
      <c r="L43" s="419"/>
      <c r="M43" s="71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501" customFormat="1" ht="13.5">
      <c r="A44" s="78"/>
      <c r="B44" s="502"/>
      <c r="C44" s="403" t="s">
        <v>207</v>
      </c>
      <c r="D44" s="102" t="s">
        <v>8</v>
      </c>
      <c r="E44" s="70" t="s">
        <v>219</v>
      </c>
      <c r="F44" s="71">
        <v>6</v>
      </c>
      <c r="G44" s="419"/>
      <c r="H44" s="418"/>
      <c r="I44" s="412"/>
      <c r="J44" s="78"/>
      <c r="K44" s="419"/>
      <c r="L44" s="419"/>
      <c r="M44" s="71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501" customFormat="1" ht="13.5">
      <c r="A45" s="362"/>
      <c r="B45" s="521"/>
      <c r="C45" s="516" t="s">
        <v>213</v>
      </c>
      <c r="D45" s="522" t="s">
        <v>0</v>
      </c>
      <c r="E45" s="517">
        <v>0.11</v>
      </c>
      <c r="F45" s="71">
        <f>E45*F35</f>
        <v>0.11</v>
      </c>
      <c r="G45" s="70"/>
      <c r="H45" s="518"/>
      <c r="I45" s="71"/>
      <c r="J45" s="70"/>
      <c r="K45" s="71"/>
      <c r="L45" s="523"/>
      <c r="M45" s="523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4"/>
      <c r="EH45" s="524"/>
      <c r="EI45" s="524"/>
      <c r="EJ45" s="524"/>
      <c r="EK45" s="524"/>
      <c r="EL45" s="524"/>
      <c r="EM45" s="524"/>
      <c r="EN45" s="524"/>
      <c r="EO45" s="524"/>
      <c r="EP45" s="524"/>
      <c r="EQ45" s="524"/>
      <c r="ER45" s="524"/>
      <c r="ES45" s="524"/>
      <c r="ET45" s="524"/>
      <c r="EU45" s="524"/>
      <c r="EV45" s="524"/>
      <c r="EW45" s="524"/>
      <c r="EX45" s="524"/>
      <c r="EY45" s="524"/>
      <c r="EZ45" s="524"/>
      <c r="FA45" s="524"/>
      <c r="FB45" s="524"/>
      <c r="FC45" s="524"/>
      <c r="FD45" s="524"/>
      <c r="FE45" s="524"/>
      <c r="FF45" s="524"/>
      <c r="FG45" s="524"/>
      <c r="FH45" s="524"/>
      <c r="FI45" s="524"/>
      <c r="FJ45" s="524"/>
      <c r="FK45" s="524"/>
      <c r="FL45" s="524"/>
      <c r="FM45" s="524"/>
      <c r="FN45" s="524"/>
      <c r="FO45" s="524"/>
      <c r="FP45" s="524"/>
      <c r="FQ45" s="524"/>
      <c r="FR45" s="524"/>
      <c r="FS45" s="524"/>
      <c r="FT45" s="524"/>
      <c r="FU45" s="524"/>
      <c r="FV45" s="524"/>
      <c r="FW45" s="524"/>
      <c r="FX45" s="524"/>
      <c r="FY45" s="524"/>
      <c r="FZ45" s="524"/>
      <c r="GA45" s="524"/>
      <c r="GB45" s="524"/>
      <c r="GC45" s="524"/>
      <c r="GD45" s="524"/>
      <c r="GE45" s="524"/>
      <c r="GF45" s="524"/>
      <c r="GG45" s="524"/>
      <c r="GH45" s="524"/>
      <c r="GI45" s="524"/>
      <c r="GJ45" s="524"/>
      <c r="GK45" s="524"/>
      <c r="GL45" s="524"/>
      <c r="GM45" s="524"/>
      <c r="GN45" s="524"/>
      <c r="GO45" s="524"/>
      <c r="GP45" s="524"/>
      <c r="GQ45" s="524"/>
      <c r="GR45" s="524"/>
      <c r="GS45" s="524"/>
      <c r="GT45" s="524"/>
      <c r="GU45" s="524"/>
      <c r="GV45" s="524"/>
      <c r="GW45" s="524"/>
      <c r="GX45" s="524"/>
      <c r="GY45" s="524"/>
      <c r="GZ45" s="524"/>
      <c r="HA45" s="524"/>
      <c r="HB45" s="524"/>
      <c r="HC45" s="524"/>
      <c r="HD45" s="524"/>
      <c r="HE45" s="524"/>
      <c r="HF45" s="524"/>
      <c r="HG45" s="524"/>
      <c r="HH45" s="524"/>
      <c r="HI45" s="524"/>
      <c r="HJ45" s="524"/>
      <c r="HK45" s="524"/>
      <c r="HL45" s="524"/>
      <c r="HM45" s="524"/>
      <c r="HN45" s="524"/>
      <c r="HO45" s="524"/>
      <c r="HP45" s="524"/>
      <c r="HQ45" s="524"/>
      <c r="HR45" s="524"/>
      <c r="HS45" s="524"/>
      <c r="HT45" s="524"/>
      <c r="HU45" s="524"/>
      <c r="HV45" s="524"/>
      <c r="HW45" s="524"/>
      <c r="HX45" s="524"/>
      <c r="HY45" s="524"/>
      <c r="HZ45" s="524"/>
      <c r="IA45" s="524"/>
      <c r="IB45" s="524"/>
      <c r="IC45" s="524"/>
      <c r="ID45" s="524"/>
      <c r="IE45" s="524"/>
      <c r="IF45" s="524"/>
      <c r="IG45" s="524"/>
      <c r="IH45" s="524"/>
      <c r="II45" s="524"/>
      <c r="IJ45" s="524"/>
      <c r="IK45" s="515"/>
      <c r="IL45" s="515"/>
      <c r="IM45" s="515"/>
      <c r="IN45" s="515"/>
      <c r="IO45" s="515"/>
      <c r="IP45" s="515"/>
      <c r="IQ45" s="515"/>
      <c r="IR45" s="515"/>
      <c r="IS45" s="515"/>
      <c r="IT45" s="515"/>
      <c r="IU45" s="515"/>
      <c r="IV45" s="515"/>
    </row>
    <row r="46" spans="1:256" s="501" customFormat="1" ht="13.5">
      <c r="A46" s="362"/>
      <c r="B46" s="525"/>
      <c r="C46" s="516" t="s">
        <v>214</v>
      </c>
      <c r="D46" s="522" t="s">
        <v>0</v>
      </c>
      <c r="E46" s="517">
        <v>0.02</v>
      </c>
      <c r="F46" s="522">
        <f>E46*F35</f>
        <v>0.02</v>
      </c>
      <c r="G46" s="71"/>
      <c r="H46" s="526"/>
      <c r="I46" s="70"/>
      <c r="J46" s="70"/>
      <c r="K46" s="70"/>
      <c r="L46" s="527"/>
      <c r="M46" s="528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4"/>
      <c r="EI46" s="524"/>
      <c r="EJ46" s="524"/>
      <c r="EK46" s="524"/>
      <c r="EL46" s="524"/>
      <c r="EM46" s="524"/>
      <c r="EN46" s="524"/>
      <c r="EO46" s="524"/>
      <c r="EP46" s="524"/>
      <c r="EQ46" s="524"/>
      <c r="ER46" s="524"/>
      <c r="ES46" s="524"/>
      <c r="ET46" s="524"/>
      <c r="EU46" s="524"/>
      <c r="EV46" s="524"/>
      <c r="EW46" s="524"/>
      <c r="EX46" s="524"/>
      <c r="EY46" s="524"/>
      <c r="EZ46" s="524"/>
      <c r="FA46" s="524"/>
      <c r="FB46" s="524"/>
      <c r="FC46" s="524"/>
      <c r="FD46" s="524"/>
      <c r="FE46" s="524"/>
      <c r="FF46" s="524"/>
      <c r="FG46" s="524"/>
      <c r="FH46" s="524"/>
      <c r="FI46" s="524"/>
      <c r="FJ46" s="524"/>
      <c r="FK46" s="524"/>
      <c r="FL46" s="524"/>
      <c r="FM46" s="524"/>
      <c r="FN46" s="524"/>
      <c r="FO46" s="524"/>
      <c r="FP46" s="524"/>
      <c r="FQ46" s="524"/>
      <c r="FR46" s="524"/>
      <c r="FS46" s="524"/>
      <c r="FT46" s="524"/>
      <c r="FU46" s="524"/>
      <c r="FV46" s="524"/>
      <c r="FW46" s="524"/>
      <c r="FX46" s="524"/>
      <c r="FY46" s="524"/>
      <c r="FZ46" s="524"/>
      <c r="GA46" s="524"/>
      <c r="GB46" s="524"/>
      <c r="GC46" s="524"/>
      <c r="GD46" s="524"/>
      <c r="GE46" s="524"/>
      <c r="GF46" s="524"/>
      <c r="GG46" s="524"/>
      <c r="GH46" s="524"/>
      <c r="GI46" s="524"/>
      <c r="GJ46" s="524"/>
      <c r="GK46" s="524"/>
      <c r="GL46" s="524"/>
      <c r="GM46" s="524"/>
      <c r="GN46" s="524"/>
      <c r="GO46" s="524"/>
      <c r="GP46" s="524"/>
      <c r="GQ46" s="524"/>
      <c r="GR46" s="524"/>
      <c r="GS46" s="524"/>
      <c r="GT46" s="524"/>
      <c r="GU46" s="524"/>
      <c r="GV46" s="524"/>
      <c r="GW46" s="524"/>
      <c r="GX46" s="524"/>
      <c r="GY46" s="524"/>
      <c r="GZ46" s="524"/>
      <c r="HA46" s="524"/>
      <c r="HB46" s="524"/>
      <c r="HC46" s="524"/>
      <c r="HD46" s="524"/>
      <c r="HE46" s="524"/>
      <c r="HF46" s="524"/>
      <c r="HG46" s="524"/>
      <c r="HH46" s="524"/>
      <c r="HI46" s="524"/>
      <c r="HJ46" s="524"/>
      <c r="HK46" s="524"/>
      <c r="HL46" s="524"/>
      <c r="HM46" s="524"/>
      <c r="HN46" s="524"/>
      <c r="HO46" s="524"/>
      <c r="HP46" s="524"/>
      <c r="HQ46" s="524"/>
      <c r="HR46" s="524"/>
      <c r="HS46" s="524"/>
      <c r="HT46" s="524"/>
      <c r="HU46" s="524"/>
      <c r="HV46" s="524"/>
      <c r="HW46" s="524"/>
      <c r="HX46" s="524"/>
      <c r="HY46" s="524"/>
      <c r="HZ46" s="524"/>
      <c r="IA46" s="524"/>
      <c r="IB46" s="524"/>
      <c r="IC46" s="524"/>
      <c r="ID46" s="524"/>
      <c r="IE46" s="524"/>
      <c r="IF46" s="524"/>
      <c r="IG46" s="524"/>
      <c r="IH46" s="524"/>
      <c r="II46" s="524"/>
      <c r="IJ46" s="524"/>
      <c r="IK46" s="515"/>
      <c r="IL46" s="515"/>
      <c r="IM46" s="515"/>
      <c r="IN46" s="515"/>
      <c r="IO46" s="515"/>
      <c r="IP46" s="515"/>
      <c r="IQ46" s="515"/>
      <c r="IR46" s="515"/>
      <c r="IS46" s="515"/>
      <c r="IT46" s="515"/>
      <c r="IU46" s="515"/>
      <c r="IV46" s="515"/>
    </row>
    <row r="47" spans="1:157" s="59" customFormat="1" ht="13.5">
      <c r="A47" s="78"/>
      <c r="B47" s="77" t="s">
        <v>209</v>
      </c>
      <c r="C47" s="112" t="s">
        <v>208</v>
      </c>
      <c r="D47" s="113" t="s">
        <v>210</v>
      </c>
      <c r="E47" s="113"/>
      <c r="F47" s="529">
        <f>0.45*1.5</f>
        <v>0.675</v>
      </c>
      <c r="G47" s="113"/>
      <c r="H47" s="115"/>
      <c r="I47" s="113"/>
      <c r="J47" s="115"/>
      <c r="K47" s="113"/>
      <c r="L47" s="115"/>
      <c r="M47" s="115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</row>
    <row r="48" spans="1:157" s="59" customFormat="1" ht="13.5">
      <c r="A48" s="78"/>
      <c r="B48" s="362"/>
      <c r="C48" s="99" t="s">
        <v>3</v>
      </c>
      <c r="D48" s="102" t="s">
        <v>4</v>
      </c>
      <c r="E48" s="70">
        <v>68</v>
      </c>
      <c r="F48" s="71">
        <f>F47*E48</f>
        <v>45.900000000000006</v>
      </c>
      <c r="G48" s="70"/>
      <c r="H48" s="71"/>
      <c r="I48" s="72"/>
      <c r="J48" s="71"/>
      <c r="K48" s="465"/>
      <c r="L48" s="530"/>
      <c r="M48" s="530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</row>
    <row r="49" spans="1:157" s="59" customFormat="1" ht="13.5">
      <c r="A49" s="78"/>
      <c r="B49" s="397"/>
      <c r="C49" s="99" t="s">
        <v>29</v>
      </c>
      <c r="D49" s="70" t="s">
        <v>0</v>
      </c>
      <c r="E49" s="102">
        <v>0.03</v>
      </c>
      <c r="F49" s="116">
        <f>F47*E49</f>
        <v>0.02025</v>
      </c>
      <c r="G49" s="102"/>
      <c r="H49" s="88"/>
      <c r="I49" s="102"/>
      <c r="J49" s="88"/>
      <c r="K49" s="102"/>
      <c r="L49" s="116"/>
      <c r="M49" s="116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</row>
    <row r="50" spans="1:157" s="59" customFormat="1" ht="13.5">
      <c r="A50" s="78"/>
      <c r="B50" s="77" t="s">
        <v>218</v>
      </c>
      <c r="C50" s="531" t="s">
        <v>150</v>
      </c>
      <c r="D50" s="465" t="s">
        <v>27</v>
      </c>
      <c r="E50" s="465">
        <v>27.3</v>
      </c>
      <c r="F50" s="532">
        <f>E50*F47</f>
        <v>18.427500000000002</v>
      </c>
      <c r="G50" s="465"/>
      <c r="H50" s="530"/>
      <c r="I50" s="102"/>
      <c r="J50" s="465"/>
      <c r="K50" s="465"/>
      <c r="L50" s="530"/>
      <c r="M50" s="530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</row>
    <row r="51" spans="1:157" s="59" customFormat="1" ht="13.5">
      <c r="A51" s="78"/>
      <c r="B51" s="533"/>
      <c r="C51" s="531" t="s">
        <v>25</v>
      </c>
      <c r="D51" s="465" t="s">
        <v>0</v>
      </c>
      <c r="E51" s="465">
        <v>0.19</v>
      </c>
      <c r="F51" s="532">
        <f>E51*F47</f>
        <v>0.12825</v>
      </c>
      <c r="G51" s="465"/>
      <c r="H51" s="530"/>
      <c r="I51" s="102"/>
      <c r="J51" s="465"/>
      <c r="K51" s="465"/>
      <c r="L51" s="530"/>
      <c r="M51" s="530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</row>
    <row r="52" spans="1:13" s="537" customFormat="1" ht="12.75">
      <c r="A52" s="534"/>
      <c r="B52" s="535"/>
      <c r="C52" s="535" t="s">
        <v>112</v>
      </c>
      <c r="D52" s="535"/>
      <c r="E52" s="536"/>
      <c r="F52" s="536"/>
      <c r="G52" s="536"/>
      <c r="H52" s="536"/>
      <c r="I52" s="536"/>
      <c r="J52" s="536"/>
      <c r="K52" s="536"/>
      <c r="L52" s="536"/>
      <c r="M52" s="536"/>
    </row>
    <row r="53" spans="1:16" s="544" customFormat="1" ht="12.75">
      <c r="A53" s="538"/>
      <c r="B53" s="539"/>
      <c r="C53" s="540" t="s">
        <v>146</v>
      </c>
      <c r="D53" s="541" t="s">
        <v>517</v>
      </c>
      <c r="E53" s="542"/>
      <c r="F53" s="543"/>
      <c r="G53" s="543"/>
      <c r="H53" s="543"/>
      <c r="I53" s="543"/>
      <c r="J53" s="543"/>
      <c r="K53" s="543"/>
      <c r="L53" s="543"/>
      <c r="M53" s="542"/>
      <c r="P53" s="501"/>
    </row>
    <row r="54" spans="1:16" s="546" customFormat="1" ht="12.75">
      <c r="A54" s="538"/>
      <c r="B54" s="539"/>
      <c r="C54" s="545" t="s">
        <v>112</v>
      </c>
      <c r="D54" s="541"/>
      <c r="E54" s="542"/>
      <c r="F54" s="543"/>
      <c r="G54" s="543"/>
      <c r="H54" s="543"/>
      <c r="I54" s="543"/>
      <c r="J54" s="543"/>
      <c r="K54" s="543"/>
      <c r="L54" s="543"/>
      <c r="M54" s="542"/>
      <c r="P54" s="537"/>
    </row>
    <row r="55" spans="1:16" s="549" customFormat="1" ht="12.75">
      <c r="A55" s="538"/>
      <c r="B55" s="547"/>
      <c r="C55" s="548" t="s">
        <v>147</v>
      </c>
      <c r="D55" s="541" t="s">
        <v>517</v>
      </c>
      <c r="E55" s="542"/>
      <c r="F55" s="543"/>
      <c r="G55" s="543"/>
      <c r="H55" s="543"/>
      <c r="I55" s="543"/>
      <c r="J55" s="543"/>
      <c r="K55" s="543"/>
      <c r="L55" s="543"/>
      <c r="M55" s="542"/>
      <c r="P55" s="550"/>
    </row>
    <row r="56" spans="1:13" s="549" customFormat="1" ht="12.75">
      <c r="A56" s="538"/>
      <c r="B56" s="547"/>
      <c r="C56" s="545" t="s">
        <v>112</v>
      </c>
      <c r="D56" s="541"/>
      <c r="E56" s="542"/>
      <c r="F56" s="543"/>
      <c r="G56" s="543"/>
      <c r="H56" s="543"/>
      <c r="I56" s="543"/>
      <c r="J56" s="543"/>
      <c r="K56" s="543"/>
      <c r="L56" s="543"/>
      <c r="M56" s="542"/>
    </row>
    <row r="57" spans="1:13" s="549" customFormat="1" ht="12.75">
      <c r="A57" s="538"/>
      <c r="B57" s="547"/>
      <c r="C57" s="548" t="s">
        <v>148</v>
      </c>
      <c r="D57" s="541" t="s">
        <v>517</v>
      </c>
      <c r="E57" s="542"/>
      <c r="F57" s="543"/>
      <c r="G57" s="543"/>
      <c r="H57" s="543"/>
      <c r="I57" s="543"/>
      <c r="J57" s="543"/>
      <c r="K57" s="543"/>
      <c r="L57" s="543"/>
      <c r="M57" s="542"/>
    </row>
    <row r="58" spans="1:13" s="549" customFormat="1" ht="12.75">
      <c r="A58" s="538"/>
      <c r="B58" s="547"/>
      <c r="C58" s="545" t="s">
        <v>112</v>
      </c>
      <c r="D58" s="541"/>
      <c r="E58" s="542"/>
      <c r="F58" s="543"/>
      <c r="G58" s="543"/>
      <c r="H58" s="543"/>
      <c r="I58" s="543"/>
      <c r="J58" s="543"/>
      <c r="K58" s="543"/>
      <c r="L58" s="543"/>
      <c r="M58" s="542"/>
    </row>
    <row r="59" spans="1:13" s="537" customFormat="1" ht="12.75">
      <c r="A59" s="551"/>
      <c r="B59" s="552"/>
      <c r="C59" s="546"/>
      <c r="D59" s="553"/>
      <c r="E59" s="553"/>
      <c r="F59" s="553"/>
      <c r="G59" s="553"/>
      <c r="H59" s="554"/>
      <c r="I59" s="553"/>
      <c r="J59" s="554"/>
      <c r="K59" s="553"/>
      <c r="L59" s="554"/>
      <c r="M59" s="554"/>
    </row>
    <row r="60" spans="1:256" s="537" customFormat="1" ht="13.5">
      <c r="A60" s="103"/>
      <c r="B60" s="103"/>
      <c r="C60" s="555"/>
      <c r="D60" s="556"/>
      <c r="E60" s="555"/>
      <c r="F60" s="556"/>
      <c r="G60" s="180"/>
      <c r="H60" s="180"/>
      <c r="I60" s="180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</row>
    <row r="61" spans="1:256" s="537" customFormat="1" ht="13.5">
      <c r="A61" s="103"/>
      <c r="B61" s="103"/>
      <c r="C61" s="555"/>
      <c r="D61" s="556"/>
      <c r="E61" s="555"/>
      <c r="F61" s="692"/>
      <c r="G61" s="692"/>
      <c r="H61" s="692"/>
      <c r="I61" s="692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</row>
  </sheetData>
  <sheetProtection/>
  <mergeCells count="14">
    <mergeCell ref="G5:H5"/>
    <mergeCell ref="I5:J5"/>
    <mergeCell ref="K5:L5"/>
    <mergeCell ref="F61:I61"/>
    <mergeCell ref="A1:M1"/>
    <mergeCell ref="A2:M2"/>
    <mergeCell ref="A3:M3"/>
    <mergeCell ref="C4:K4"/>
    <mergeCell ref="A5:A6"/>
    <mergeCell ref="B5:B6"/>
    <mergeCell ref="C5:C6"/>
    <mergeCell ref="D5:D6"/>
    <mergeCell ref="E5:E6"/>
    <mergeCell ref="F5:F6"/>
  </mergeCells>
  <conditionalFormatting sqref="B51 A9:M9 M12 H12 A11:M11 C13:M18 M19 H19 B20:B22 B17:B18 B13:B15 A13:A51 B24:B49 C20:M51">
    <cfRule type="cellIs" priority="6" dxfId="0" operator="equal" stopIfTrue="1">
      <formula>8223.307275</formula>
    </cfRule>
  </conditionalFormatting>
  <printOptions/>
  <pageMargins left="0.25" right="0.25" top="0.75" bottom="0.75" header="0.3" footer="0.3"/>
  <pageSetup horizontalDpi="600" verticalDpi="600" orientation="landscape" scale="74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Lasha Gabunia</dc:creator>
  <cp:keywords/>
  <dc:description/>
  <cp:lastModifiedBy>Manuchar Gugava</cp:lastModifiedBy>
  <cp:lastPrinted>2019-07-10T19:10:26Z</cp:lastPrinted>
  <dcterms:created xsi:type="dcterms:W3CDTF">1996-10-14T23:33:28Z</dcterms:created>
  <dcterms:modified xsi:type="dcterms:W3CDTF">2020-01-16T07:26:03Z</dcterms:modified>
  <cp:category/>
  <cp:version/>
  <cp:contentType/>
  <cp:contentStatus/>
</cp:coreProperties>
</file>