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aliko\Desktop\ელექტროფიკაცია - დაზუსტებული\"/>
    </mc:Choice>
  </mc:AlternateContent>
  <bookViews>
    <workbookView xWindow="0" yWindow="0" windowWidth="10005" windowHeight="6975" tabRatio="845" activeTab="5"/>
  </bookViews>
  <sheets>
    <sheet name="კრებული" sheetId="2" r:id="rId1"/>
    <sheet name="მოსამზად" sheetId="3" r:id="rId2"/>
    <sheet name="გამწვანება" sheetId="4" r:id="rId3"/>
    <sheet name="კეთილმოწყობა" sheetId="6" r:id="rId4"/>
    <sheet name="მცირე არქ." sheetId="7" r:id="rId5"/>
    <sheet name="ელექტროობა" sheetId="8" r:id="rId6"/>
  </sheets>
  <definedNames>
    <definedName name="_xlnm.Print_Area" localSheetId="2">გამწვანება!$A$1:$M$35</definedName>
    <definedName name="_xlnm.Print_Area" localSheetId="5">ელექტროობა!$A$1:$M$91</definedName>
    <definedName name="_xlnm.Print_Area" localSheetId="3">კეთილმოწყობა!$A$1:$M$77</definedName>
    <definedName name="_xlnm.Print_Area" localSheetId="0">კრებული!$A$1:$C$17</definedName>
    <definedName name="_xlnm.Print_Area" localSheetId="1">მოსამზად!$A$1:$M$25</definedName>
    <definedName name="_xlnm.Print_Area" localSheetId="4">'მცირე არქ.'!$A$1:$M$65</definedName>
  </definedNames>
  <calcPr calcId="162913"/>
</workbook>
</file>

<file path=xl/calcChain.xml><?xml version="1.0" encoding="utf-8"?>
<calcChain xmlns="http://schemas.openxmlformats.org/spreadsheetml/2006/main">
  <c r="C12" i="2" l="1"/>
  <c r="C11" i="2"/>
  <c r="C10" i="2"/>
  <c r="F42" i="7" l="1"/>
  <c r="F41" i="7"/>
  <c r="F40" i="7"/>
  <c r="F38" i="7"/>
  <c r="F37" i="7"/>
  <c r="F36" i="7"/>
  <c r="F8" i="3" l="1"/>
  <c r="F10" i="3" s="1"/>
  <c r="A10" i="3"/>
  <c r="A11" i="3" s="1"/>
  <c r="A12" i="3" s="1"/>
  <c r="A9" i="3"/>
  <c r="A64" i="8"/>
  <c r="A65" i="8" s="1"/>
  <c r="F64" i="8"/>
  <c r="F65" i="8"/>
  <c r="A67" i="8"/>
  <c r="F66" i="8" l="1"/>
  <c r="F67" i="8" s="1"/>
  <c r="F12" i="3"/>
  <c r="F11" i="3"/>
  <c r="F9" i="3"/>
  <c r="A1" i="7" l="1"/>
  <c r="F25" i="8" l="1"/>
  <c r="P49" i="7"/>
  <c r="P48" i="7"/>
  <c r="A53" i="7" l="1"/>
  <c r="A54" i="7" s="1"/>
  <c r="A55" i="7" s="1"/>
  <c r="A56" i="7" s="1"/>
  <c r="A57" i="7" s="1"/>
  <c r="O48" i="7"/>
  <c r="P47" i="7"/>
  <c r="O47" i="7"/>
  <c r="P46" i="7"/>
  <c r="O46" i="7"/>
  <c r="A44" i="7"/>
  <c r="A45" i="7" s="1"/>
  <c r="A46" i="7" s="1"/>
  <c r="A47" i="7" s="1"/>
  <c r="A48" i="7" s="1"/>
  <c r="A49" i="7" s="1"/>
  <c r="A50" i="7" s="1"/>
  <c r="A51" i="7" s="1"/>
  <c r="A36" i="7"/>
  <c r="A37" i="7" s="1"/>
  <c r="A38" i="7" s="1"/>
  <c r="A39" i="7" s="1"/>
  <c r="A40" i="7" s="1"/>
  <c r="A41" i="7" s="1"/>
  <c r="A42" i="7" s="1"/>
  <c r="O50" i="7" l="1"/>
  <c r="F43" i="7" s="1"/>
  <c r="P50" i="7"/>
  <c r="F52" i="7" s="1"/>
  <c r="F56" i="7" l="1"/>
  <c r="F55" i="7"/>
  <c r="F54" i="7"/>
  <c r="F57" i="7"/>
  <c r="F53" i="7"/>
  <c r="F44" i="7"/>
  <c r="F45" i="7"/>
  <c r="F51" i="7"/>
  <c r="F50" i="7"/>
  <c r="A33" i="7"/>
  <c r="A31" i="7"/>
  <c r="F30" i="7"/>
  <c r="F25" i="7"/>
  <c r="F51" i="6"/>
  <c r="A57" i="6"/>
  <c r="A58" i="6" s="1"/>
  <c r="A59" i="6" s="1"/>
  <c r="A52" i="6"/>
  <c r="A53" i="6" s="1"/>
  <c r="A54" i="6" s="1"/>
  <c r="A55" i="6" s="1"/>
  <c r="A47" i="6"/>
  <c r="A48" i="6" s="1"/>
  <c r="A49" i="6" s="1"/>
  <c r="A50" i="6" s="1"/>
  <c r="F50" i="6"/>
  <c r="A2" i="4"/>
  <c r="F22" i="4"/>
  <c r="F49" i="6" l="1"/>
  <c r="F55" i="6"/>
  <c r="F54" i="6"/>
  <c r="F53" i="6"/>
  <c r="F52" i="6"/>
  <c r="F47" i="6"/>
  <c r="F48" i="6"/>
  <c r="F57" i="6"/>
  <c r="F58" i="6"/>
  <c r="F59" i="6"/>
  <c r="F82" i="8" l="1"/>
  <c r="F76" i="8"/>
  <c r="F75" i="8"/>
  <c r="A75" i="8"/>
  <c r="A76" i="8" s="1"/>
  <c r="A77" i="8" s="1"/>
  <c r="A78" i="8" s="1"/>
  <c r="A79" i="8" s="1"/>
  <c r="A80" i="8" s="1"/>
  <c r="A81" i="8" s="1"/>
  <c r="A82" i="8" s="1"/>
  <c r="F72" i="8"/>
  <c r="F71" i="8"/>
  <c r="A68" i="8"/>
  <c r="F73" i="8"/>
  <c r="A59" i="8"/>
  <c r="A60" i="8" s="1"/>
  <c r="A61" i="8" s="1"/>
  <c r="A62" i="8" s="1"/>
  <c r="A51" i="8"/>
  <c r="A49" i="8"/>
  <c r="A47" i="8"/>
  <c r="F46" i="8"/>
  <c r="F47" i="8" s="1"/>
  <c r="A43" i="8"/>
  <c r="A44" i="8" s="1"/>
  <c r="A45" i="8" s="1"/>
  <c r="F42" i="8"/>
  <c r="F45" i="8" s="1"/>
  <c r="E41" i="8"/>
  <c r="E39" i="8"/>
  <c r="A37" i="8"/>
  <c r="A38" i="8" s="1"/>
  <c r="A39" i="8" s="1"/>
  <c r="A40" i="8" s="1"/>
  <c r="A41" i="8" s="1"/>
  <c r="F35" i="8"/>
  <c r="F34" i="8"/>
  <c r="N33" i="8"/>
  <c r="E31" i="8"/>
  <c r="F31" i="8" s="1"/>
  <c r="F30" i="8"/>
  <c r="A30" i="8"/>
  <c r="A31" i="8" s="1"/>
  <c r="A32" i="8" s="1"/>
  <c r="A33" i="8" s="1"/>
  <c r="A34" i="8" s="1"/>
  <c r="A35" i="8" s="1"/>
  <c r="F28" i="8"/>
  <c r="F27" i="8"/>
  <c r="O27" i="8" s="1"/>
  <c r="F26" i="8"/>
  <c r="O26" i="8" s="1"/>
  <c r="O25" i="8"/>
  <c r="F24" i="8"/>
  <c r="F23" i="8"/>
  <c r="A23" i="8"/>
  <c r="A24" i="8" s="1"/>
  <c r="A25" i="8" s="1"/>
  <c r="A26" i="8" s="1"/>
  <c r="A27" i="8" s="1"/>
  <c r="A28" i="8" s="1"/>
  <c r="E20" i="8"/>
  <c r="A16" i="8"/>
  <c r="A17" i="8" s="1"/>
  <c r="A18" i="8" s="1"/>
  <c r="A19" i="8" s="1"/>
  <c r="A20" i="8" s="1"/>
  <c r="A21" i="8" s="1"/>
  <c r="F15" i="8"/>
  <c r="F21" i="8" s="1"/>
  <c r="A11" i="8"/>
  <c r="A12" i="8" s="1"/>
  <c r="A13" i="8" s="1"/>
  <c r="A14" i="8" s="1"/>
  <c r="A9" i="8"/>
  <c r="F8" i="8"/>
  <c r="A2" i="8"/>
  <c r="A1" i="8"/>
  <c r="A29" i="7"/>
  <c r="F28" i="7"/>
  <c r="A26" i="7"/>
  <c r="A27" i="7" s="1"/>
  <c r="F24" i="7"/>
  <c r="E23" i="7"/>
  <c r="F23" i="7" s="1"/>
  <c r="F22" i="7"/>
  <c r="F21" i="7"/>
  <c r="F20" i="7"/>
  <c r="F19" i="7"/>
  <c r="A19" i="7"/>
  <c r="A20" i="7" s="1"/>
  <c r="A21" i="7" s="1"/>
  <c r="A22" i="7" s="1"/>
  <c r="A23" i="7" s="1"/>
  <c r="A24" i="7" s="1"/>
  <c r="F17" i="7"/>
  <c r="F16" i="7"/>
  <c r="F15" i="7"/>
  <c r="F14" i="7"/>
  <c r="A14" i="7"/>
  <c r="A15" i="7" s="1"/>
  <c r="A16" i="7" s="1"/>
  <c r="A17" i="7" s="1"/>
  <c r="A12" i="7"/>
  <c r="A10" i="7"/>
  <c r="F9" i="7"/>
  <c r="F10" i="7" s="1"/>
  <c r="F8" i="7"/>
  <c r="A8" i="7"/>
  <c r="A2" i="7"/>
  <c r="F69" i="6"/>
  <c r="F68" i="6"/>
  <c r="F67" i="6"/>
  <c r="F66" i="6"/>
  <c r="A66" i="6"/>
  <c r="A67" i="6" s="1"/>
  <c r="A68" i="6" s="1"/>
  <c r="A69" i="6" s="1"/>
  <c r="F64" i="6"/>
  <c r="F63" i="6"/>
  <c r="F62" i="6"/>
  <c r="F61" i="6"/>
  <c r="A61" i="6"/>
  <c r="A62" i="6" s="1"/>
  <c r="A63" i="6" s="1"/>
  <c r="A64" i="6" s="1"/>
  <c r="A38" i="6"/>
  <c r="A39" i="6" s="1"/>
  <c r="A40" i="6" s="1"/>
  <c r="A41" i="6" s="1"/>
  <c r="A42" i="6" s="1"/>
  <c r="A43" i="6" s="1"/>
  <c r="A44" i="6" s="1"/>
  <c r="F37" i="6"/>
  <c r="F44" i="6" s="1"/>
  <c r="E36" i="6"/>
  <c r="E34" i="6"/>
  <c r="E33" i="6"/>
  <c r="E32" i="6"/>
  <c r="E31" i="6"/>
  <c r="F31" i="6" s="1"/>
  <c r="A31" i="6"/>
  <c r="A32" i="6" s="1"/>
  <c r="A33" i="6" s="1"/>
  <c r="A34" i="6" s="1"/>
  <c r="A35" i="6" s="1"/>
  <c r="A36" i="6" s="1"/>
  <c r="F35" i="6"/>
  <c r="E29" i="6"/>
  <c r="F29" i="6" s="1"/>
  <c r="F28" i="6"/>
  <c r="E27" i="6"/>
  <c r="F27" i="6" s="1"/>
  <c r="E26" i="6"/>
  <c r="F26" i="6" s="1"/>
  <c r="E25" i="6"/>
  <c r="F25" i="6" s="1"/>
  <c r="E24" i="6"/>
  <c r="F24" i="6" s="1"/>
  <c r="A24" i="6"/>
  <c r="A25" i="6" s="1"/>
  <c r="A26" i="6" s="1"/>
  <c r="A27" i="6" s="1"/>
  <c r="A28" i="6" s="1"/>
  <c r="A29" i="6" s="1"/>
  <c r="A22" i="6"/>
  <c r="A20" i="6"/>
  <c r="F19" i="6"/>
  <c r="E18" i="6"/>
  <c r="E17" i="6"/>
  <c r="E16" i="6"/>
  <c r="E15" i="6"/>
  <c r="A15" i="6"/>
  <c r="A16" i="6" s="1"/>
  <c r="A17" i="6" s="1"/>
  <c r="A18" i="6" s="1"/>
  <c r="F14" i="6"/>
  <c r="E13" i="6"/>
  <c r="F13" i="6" s="1"/>
  <c r="E12" i="6"/>
  <c r="F12" i="6" s="1"/>
  <c r="A12" i="6"/>
  <c r="A13" i="6" s="1"/>
  <c r="F10" i="6"/>
  <c r="A10" i="6"/>
  <c r="F8" i="6"/>
  <c r="A2" i="6"/>
  <c r="A1" i="6"/>
  <c r="A25" i="4"/>
  <c r="A26" i="4" s="1"/>
  <c r="A27" i="4" s="1"/>
  <c r="F24" i="4"/>
  <c r="F25" i="4" s="1"/>
  <c r="A23" i="4"/>
  <c r="F23" i="4"/>
  <c r="F21" i="4"/>
  <c r="A21" i="4"/>
  <c r="F19" i="4"/>
  <c r="F18" i="4"/>
  <c r="F17" i="4"/>
  <c r="A17" i="4"/>
  <c r="A18" i="4" s="1"/>
  <c r="A19" i="4" s="1"/>
  <c r="F16" i="4"/>
  <c r="A11" i="4"/>
  <c r="A12" i="4" s="1"/>
  <c r="A13" i="4" s="1"/>
  <c r="A14" i="4" s="1"/>
  <c r="F10" i="4"/>
  <c r="F14" i="4" s="1"/>
  <c r="F9" i="4"/>
  <c r="F8" i="4"/>
  <c r="A8" i="4"/>
  <c r="A9" i="4" s="1"/>
  <c r="A1" i="4"/>
  <c r="F15" i="3"/>
  <c r="A15" i="3"/>
  <c r="A1" i="3"/>
  <c r="A1" i="2"/>
  <c r="F20" i="6" l="1"/>
  <c r="F21" i="6"/>
  <c r="F18" i="6"/>
  <c r="F22" i="6"/>
  <c r="A69" i="8"/>
  <c r="A70" i="8" s="1"/>
  <c r="A71" i="8" s="1"/>
  <c r="A72" i="8" s="1"/>
  <c r="F68" i="8"/>
  <c r="F48" i="8"/>
  <c r="F50" i="8" s="1"/>
  <c r="F51" i="8" s="1"/>
  <c r="F9" i="8"/>
  <c r="F11" i="7"/>
  <c r="F12" i="7" s="1"/>
  <c r="F33" i="6"/>
  <c r="F36" i="6"/>
  <c r="F17" i="6"/>
  <c r="F32" i="6"/>
  <c r="F16" i="6"/>
  <c r="F15" i="6"/>
  <c r="F13" i="4"/>
  <c r="F11" i="4"/>
  <c r="N16" i="3"/>
  <c r="F38" i="6"/>
  <c r="F39" i="6"/>
  <c r="O28" i="8"/>
  <c r="F36" i="8" s="1"/>
  <c r="F34" i="6"/>
  <c r="F42" i="6"/>
  <c r="F43" i="6"/>
  <c r="F16" i="8"/>
  <c r="F17" i="8"/>
  <c r="F18" i="8"/>
  <c r="F19" i="8"/>
  <c r="F10" i="8"/>
  <c r="F20" i="8"/>
  <c r="F43" i="8"/>
  <c r="F44" i="8"/>
  <c r="A73" i="8" l="1"/>
  <c r="F49" i="8"/>
  <c r="F41" i="8"/>
  <c r="F38" i="8"/>
  <c r="F12" i="4"/>
  <c r="F13" i="8"/>
  <c r="F12" i="8"/>
  <c r="F11" i="8"/>
  <c r="F14" i="8"/>
  <c r="F40" i="8"/>
  <c r="F39" i="8"/>
  <c r="F37" i="8"/>
  <c r="N70" i="6" l="1"/>
  <c r="N28" i="4" l="1"/>
  <c r="N58" i="7"/>
  <c r="N52" i="8"/>
  <c r="F62" i="8" l="1"/>
  <c r="F61" i="8"/>
  <c r="F59" i="8"/>
  <c r="F60" i="8" s="1"/>
  <c r="C13" i="2" l="1"/>
</calcChain>
</file>

<file path=xl/sharedStrings.xml><?xml version="1.0" encoding="utf-8"?>
<sst xmlns="http://schemas.openxmlformats.org/spreadsheetml/2006/main" count="774" uniqueCount="299">
  <si>
    <t>lari</t>
  </si>
  <si>
    <t>samuSaos dasaxeleba</t>
  </si>
  <si>
    <t>Rirebuleba (lari)</t>
  </si>
  <si>
    <t>gamwvaneba</t>
  </si>
  <si>
    <t>keTilmowyobis samuSaoebi</t>
  </si>
  <si>
    <t>mcire arqiteqturuli formebi</t>
  </si>
  <si>
    <t>el. samontaJo samuSaoebi</t>
  </si>
  <si>
    <t>jami</t>
  </si>
  <si>
    <t>gauTvaliswinebli samuSao 3%</t>
  </si>
  <si>
    <t>d.R.g 18%</t>
  </si>
  <si>
    <t>Seadgina:                 /i. TavaZe/</t>
  </si>
  <si>
    <t>#</t>
  </si>
  <si>
    <t>safuZveli</t>
  </si>
  <si>
    <t>raodenoba</t>
  </si>
  <si>
    <t>Gjami</t>
  </si>
  <si>
    <t>ganz. erTeulze</t>
  </si>
  <si>
    <t>saproeqto monacemze</t>
  </si>
  <si>
    <t>kv.m.</t>
  </si>
  <si>
    <t xml:space="preserve"> SromiTi danaxarji </t>
  </si>
  <si>
    <t>kac/sT</t>
  </si>
  <si>
    <t>2</t>
  </si>
  <si>
    <t>100 kubm</t>
  </si>
  <si>
    <t>3</t>
  </si>
  <si>
    <t>m</t>
  </si>
  <si>
    <t>4</t>
  </si>
  <si>
    <t>sabazro</t>
  </si>
  <si>
    <t>tona</t>
  </si>
  <si>
    <t>srf</t>
  </si>
  <si>
    <t>samSeneblo nagvis transportireba</t>
  </si>
  <si>
    <t>5</t>
  </si>
  <si>
    <t xml:space="preserve">Sromis danaxarjebi </t>
  </si>
  <si>
    <t xml:space="preserve">sxva manqana </t>
  </si>
  <si>
    <t>sxva masala</t>
  </si>
  <si>
    <t>6</t>
  </si>
  <si>
    <t>7</t>
  </si>
  <si>
    <t>cali</t>
  </si>
  <si>
    <t>9</t>
  </si>
  <si>
    <t>10</t>
  </si>
  <si>
    <t>11</t>
  </si>
  <si>
    <t xml:space="preserve">teritoriis dasufTaveba </t>
  </si>
  <si>
    <r>
      <t>m</t>
    </r>
    <r>
      <rPr>
        <b/>
        <vertAlign val="superscript"/>
        <sz val="10"/>
        <rFont val="AcadNusx"/>
      </rPr>
      <t>2</t>
    </r>
  </si>
  <si>
    <t>12</t>
  </si>
  <si>
    <t xml:space="preserve">samSeneblo nagvis gatana 15 km manZilze </t>
  </si>
  <si>
    <t xml:space="preserve">jami </t>
  </si>
  <si>
    <t>Seadgina:                                   /i. TavaZe/</t>
  </si>
  <si>
    <t>Ggazonis mowyoba</t>
  </si>
  <si>
    <t>1-64-3 მიყ</t>
  </si>
  <si>
    <t>teritoriis momzadeba gruntis SetaniT</t>
  </si>
  <si>
    <t>gazonisaTvis ganoyierebuli gruntis narevi (neSompala. torfi, sasuqi, tyis miwa da sxva)</t>
  </si>
  <si>
    <t>48-18 gam.</t>
  </si>
  <si>
    <t>sabaRe gazonis mowyoba xeliT</t>
  </si>
  <si>
    <t>k.vm</t>
  </si>
  <si>
    <t>or komponentiani rulonuri balaxi</t>
  </si>
  <si>
    <r>
      <t>m</t>
    </r>
    <r>
      <rPr>
        <vertAlign val="superscript"/>
        <sz val="10"/>
        <rFont val="AcadNusx"/>
      </rPr>
      <t>2</t>
    </r>
  </si>
  <si>
    <t>48-11-1,5</t>
  </si>
  <si>
    <t>ormos amoTxra xe-mcenareebis dasargavad miwis SetaniT zomiT 100X100X100sm</t>
  </si>
  <si>
    <t>ormo</t>
  </si>
  <si>
    <t>ormosmTxreli manqana</t>
  </si>
  <si>
    <t>m/sT</t>
  </si>
  <si>
    <t>traqtori pnevmosvlaze 59 kvt</t>
  </si>
  <si>
    <t xml:space="preserve">ganoyierebuli gruntis narevi </t>
  </si>
  <si>
    <t>kub.m</t>
  </si>
  <si>
    <t>ვზერი 1-3</t>
  </si>
  <si>
    <t>gruntis datvirTva xeliT avtoTviTmclelze</t>
  </si>
  <si>
    <t>kubm</t>
  </si>
  <si>
    <t xml:space="preserve">SromiTi danaxarji </t>
  </si>
  <si>
    <t xml:space="preserve">gruntis gatana 10 km manZilze </t>
  </si>
  <si>
    <t>gruntis transportireba</t>
  </si>
  <si>
    <t>48_3_2</t>
  </si>
  <si>
    <t>svadasxva jiSis mcenareebis dargva (ix. CamonaTvali)</t>
  </si>
  <si>
    <t>ცალი</t>
  </si>
  <si>
    <t>nekerCxali</t>
  </si>
  <si>
    <t>proeqt.</t>
  </si>
  <si>
    <t>irmis rqa</t>
  </si>
  <si>
    <t>1-80-3</t>
  </si>
  <si>
    <t xml:space="preserve">III kategoriis gruntis damuSaveba xeliT </t>
  </si>
  <si>
    <t>c</t>
  </si>
  <si>
    <t>safeni da safari Sris mowyoba wvrilmarcvlovani qviSiT</t>
  </si>
  <si>
    <t>SromiTi danaxarji</t>
  </si>
  <si>
    <t xml:space="preserve">sxva manqanebi </t>
  </si>
  <si>
    <t>qviSa yviTeli</t>
  </si>
  <si>
    <t>100 g/m</t>
  </si>
  <si>
    <t>sxva manqanebi</t>
  </si>
  <si>
    <t>proeqtiT</t>
  </si>
  <si>
    <t>sxva masalebi</t>
  </si>
  <si>
    <t xml:space="preserve">manqanebi </t>
  </si>
  <si>
    <t>kg</t>
  </si>
  <si>
    <t>SromiTi danaxarjebi</t>
  </si>
  <si>
    <t>wyali</t>
  </si>
  <si>
    <t>l</t>
  </si>
  <si>
    <t>sxvadasxva masalebi</t>
  </si>
  <si>
    <t>1-81-3</t>
  </si>
  <si>
    <t>kum</t>
  </si>
  <si>
    <t>teritoriis keTilmowyoba</t>
  </si>
  <si>
    <t>teritoriis dakvalva Sesabamisi xelsawyoebis gamoyenebiT</t>
  </si>
  <si>
    <t>kvm</t>
  </si>
  <si>
    <t>1-11-9</t>
  </si>
  <si>
    <t>III kategoriis gruntis damuSaveba meqnizmebiT gverdze dayriT</t>
  </si>
  <si>
    <t>eqskavatori 0.65</t>
  </si>
  <si>
    <t>sn da w IV-2-82 t-1 1-22-14</t>
  </si>
  <si>
    <t>gruntis datvirTva eqskavatoriT</t>
  </si>
  <si>
    <t xml:space="preserve">eqskavatori 0,5 kub.m </t>
  </si>
  <si>
    <t>RorRi</t>
  </si>
  <si>
    <t>sn da w
IV-2-82
8-3-2</t>
  </si>
  <si>
    <t xml:space="preserve"> SromiTi danaxarji</t>
  </si>
  <si>
    <t>qviSa-xreSovani narevi</t>
  </si>
  <si>
    <t>betoni klasiT В22.5</t>
  </si>
  <si>
    <t xml:space="preserve"> yalibis fari </t>
  </si>
  <si>
    <t>eleqtrodi</t>
  </si>
  <si>
    <t>27-7-2</t>
  </si>
  <si>
    <t xml:space="preserve">safuZvlis qveda fenis mowyoba qviSa xreSovani narevisagan saS. sisqiT 20sm </t>
  </si>
  <si>
    <t>avtogreideri saSualo tipis 79 kvt (108cZ.)</t>
  </si>
  <si>
    <t>satkepni 18t.</t>
  </si>
  <si>
    <t>mosarwyavi manqana 6000 l</t>
  </si>
  <si>
    <t>მ/სთ</t>
  </si>
  <si>
    <t>qviSa-xreSi fr. 0-56mm</t>
  </si>
  <si>
    <t xml:space="preserve">safuZvlis zeda fenis mowyoba qviSa RorRovani narevisagan sisqiT 10sm </t>
  </si>
  <si>
    <t>RorRi fr. 0-31mm</t>
  </si>
  <si>
    <t xml:space="preserve">27-19-1 </t>
  </si>
  <si>
    <t xml:space="preserve"> betonis bordiuris 
mowyoba betonis safuZvelze qviSa-xreSovani baliSis mowyobiT </t>
  </si>
  <si>
    <t xml:space="preserve"> SromiTi danaxarjebi</t>
  </si>
  <si>
    <t>k/sT</t>
  </si>
  <si>
    <t>sxvadasxva manqanebi</t>
  </si>
  <si>
    <t xml:space="preserve">betonis bordiuri 8X20sm </t>
  </si>
  <si>
    <t xml:space="preserve">betonis bordiuri 15X30sm </t>
  </si>
  <si>
    <t>betoni В-15</t>
  </si>
  <si>
    <t>kbm</t>
  </si>
  <si>
    <t>s.n. da w.  IV-2-82 t-2 cx.11-1-3</t>
  </si>
  <si>
    <t>qviSa-cementis safuZvelis, sisqiT 5 sm, mowyoba dekoratiuli filebis qveS</t>
  </si>
  <si>
    <t>yviTeli qviSa 80%</t>
  </si>
  <si>
    <t>cementi</t>
  </si>
  <si>
    <t xml:space="preserve"> sxva masala</t>
  </si>
  <si>
    <t>s.n. da w.   IV-2-82 t-4 cx.27_44_2</t>
  </si>
  <si>
    <t>dekoratiuli filebis dageba</t>
  </si>
  <si>
    <t>100 kvm</t>
  </si>
  <si>
    <t xml:space="preserve"> sxvadasxva manqanebi</t>
  </si>
  <si>
    <t>ლარი</t>
  </si>
  <si>
    <t>sn da w
 IV-2-82
t-2
cx.6-1-1</t>
  </si>
  <si>
    <t xml:space="preserve">zednadebi xarjebi </t>
  </si>
  <si>
    <t>j a m i</t>
  </si>
  <si>
    <t>gegmiuri dagroveba</t>
  </si>
  <si>
    <t>vzeri 1-3</t>
  </si>
  <si>
    <t>კum</t>
  </si>
  <si>
    <t xml:space="preserve">saZirkvlebis qveS fuZis (baliSis) mowyoba qviSa-xreSiT da etapobrivi datkepna fena-fena </t>
  </si>
  <si>
    <t>kompl.</t>
  </si>
  <si>
    <t>6-1-2</t>
  </si>
  <si>
    <t>wertilovani saZirkvlebis mowyoba</t>
  </si>
  <si>
    <t>yalibis fari</t>
  </si>
  <si>
    <t>xis masala</t>
  </si>
  <si>
    <t>sabazro.</t>
  </si>
  <si>
    <t>saparke avejis montaJi</t>
  </si>
  <si>
    <t>saparke skami ix. eskizi (masalisa da samuSaos gaTvaliswinebiT)</t>
  </si>
  <si>
    <t>sanagve urnebis montaJi</t>
  </si>
  <si>
    <t>manqanebi</t>
  </si>
  <si>
    <t>sn da w  9_5_1</t>
  </si>
  <si>
    <t>t</t>
  </si>
  <si>
    <t>grZ.m</t>
  </si>
  <si>
    <t>15-164-8 gam.</t>
  </si>
  <si>
    <t>sxva manqana</t>
  </si>
  <si>
    <t>zeTovani saRebavi</t>
  </si>
  <si>
    <t>olifa</t>
  </si>
  <si>
    <t>yalibi faris</t>
  </si>
  <si>
    <t>Eeleqtro samontaJo samuSaoebi</t>
  </si>
  <si>
    <t>I. GtranSeis momzadeba da lampionebis boZebis mowyoba</t>
  </si>
  <si>
    <t xml:space="preserve">gruntis damuSaveba xeliT gverdze dayriT </t>
  </si>
  <si>
    <t>betoni b-25</t>
  </si>
  <si>
    <t>sn da w          33-251-6 misad.</t>
  </si>
  <si>
    <t xml:space="preserve"> lampionis boZis mowyoba</t>
  </si>
  <si>
    <t>amwe 16 tn</t>
  </si>
  <si>
    <t>liTonis mili 108X3</t>
  </si>
  <si>
    <t>liTonis mili 76X3</t>
  </si>
  <si>
    <t>liTonis mili 57X3</t>
  </si>
  <si>
    <t xml:space="preserve">8-471-1 mis. </t>
  </si>
  <si>
    <t xml:space="preserve">damiwebis konturis mowyoba  </t>
  </si>
  <si>
    <t>armatura 18mm</t>
  </si>
  <si>
    <t xml:space="preserve">zolovana galvanizirebuli 40X3 </t>
  </si>
  <si>
    <t xml:space="preserve">sabazro </t>
  </si>
  <si>
    <t>qanCi sayeluriT</t>
  </si>
  <si>
    <t xml:space="preserve">liTonis konstruqciebis SeRebva zeTovani saRebaviT orjer </t>
  </si>
  <si>
    <t>sn da w IV-2-82 t-1 11-1-3</t>
  </si>
  <si>
    <t xml:space="preserve">gruntis ukuCayra xeliT </t>
  </si>
  <si>
    <t>100 kum</t>
  </si>
  <si>
    <t>jami I</t>
  </si>
  <si>
    <t>II. sanaTebisa da gayvanilobis montaJi</t>
  </si>
  <si>
    <t xml:space="preserve">sndaw
IV-6-82
8-609-2   </t>
  </si>
  <si>
    <t>sanaTebis montaJi</t>
  </si>
  <si>
    <t>sabzaro</t>
  </si>
  <si>
    <t>lampionis sanaTi naTuriT (24vt.), Sesabamisi kroSteinebiTa da momWerebiT (ix. Eeskizi)</t>
  </si>
  <si>
    <t>proeqtiT.</t>
  </si>
  <si>
    <t>avt. amomrTvelis montaJi boZSi</t>
  </si>
  <si>
    <t>avt. amomrTveli 10 a</t>
  </si>
  <si>
    <t xml:space="preserve">sndaw
IV-6-82
8-409-3   </t>
  </si>
  <si>
    <t xml:space="preserve"> el. sadenebis gayvana</t>
  </si>
  <si>
    <t xml:space="preserve">grZ.m </t>
  </si>
  <si>
    <t>el. sadeni miwaSi Casadebi 5X6 mm (spilenZi)</t>
  </si>
  <si>
    <t>el. sadeni foladis milSi gasatareblad 3X2.5 mm (spilenZi)</t>
  </si>
  <si>
    <t>sasignalo lenti</t>
  </si>
  <si>
    <t>gofrirebuli mili</t>
  </si>
  <si>
    <t>sn da w. IV-6-82-8 8-535-11</t>
  </si>
  <si>
    <t>karadis mowyoba marTvis  kvanZiT</t>
  </si>
  <si>
    <t>kompleqti</t>
  </si>
  <si>
    <t>rk. marTvis karada gare dayenebis</t>
  </si>
  <si>
    <r>
      <t>kontaqtori</t>
    </r>
    <r>
      <rPr>
        <sz val="10"/>
        <rFont val="Calibri"/>
        <family val="2"/>
        <charset val="204"/>
      </rPr>
      <t xml:space="preserve"> 16A</t>
    </r>
  </si>
  <si>
    <t>avtomaturi amomrTveli  16a</t>
  </si>
  <si>
    <t>fotorele</t>
  </si>
  <si>
    <r>
      <t xml:space="preserve">gamanawilebeli fari </t>
    </r>
    <r>
      <rPr>
        <sz val="10"/>
        <rFont val="Sylfaen"/>
        <family val="1"/>
        <charset val="204"/>
      </rPr>
      <t>OP-6</t>
    </r>
  </si>
  <si>
    <t>jami II</t>
  </si>
  <si>
    <t>jami Tavebis mixedviT</t>
  </si>
  <si>
    <t>Sedgenilia 2020 wlis II kvartlis fasebiT</t>
  </si>
  <si>
    <t>4.1.236</t>
  </si>
  <si>
    <t>sn da w
 IV-2-82
t-2
cx.6-9-10</t>
  </si>
  <si>
    <t>betonis filis armirebis mowyoba</t>
  </si>
  <si>
    <t>armatura</t>
  </si>
  <si>
    <t>sabazro-saxelSekrulebo</t>
  </si>
  <si>
    <t xml:space="preserve"> cveTamedegi kauCukis safaris mowyoba sisqiT 20mm</t>
  </si>
  <si>
    <t xml:space="preserve">SromiTi danaxarji 
</t>
  </si>
  <si>
    <t>dasaxmeli kauCukis safari sisqiT 20mm</t>
  </si>
  <si>
    <t>კვ.მ</t>
  </si>
  <si>
    <t>or komponentiani betonis webo</t>
  </si>
  <si>
    <t>litri</t>
  </si>
  <si>
    <t>saTamaSoebis montaJi/reabilitacia</t>
  </si>
  <si>
    <t>aiwona-daiwona qarxnuli warmoebis Sesabamisi sertifikatiT ix. eskizi (masalisa da samuSaos gaTvaliswinebiT)</t>
  </si>
  <si>
    <t>sasrialo qarxnuli warmoebis Sesabamisi sertifikatiT ix. eskizi (masalisa da samuSaos gaTvaliswinebiT)</t>
  </si>
  <si>
    <t>saqanela qarxnuli warmoebis Sesabamisi sertifikatiT ix. eskizi (masalisa da samuSaos gaTvaliswinebiT)</t>
  </si>
  <si>
    <t>moajiris mowyoba</t>
  </si>
  <si>
    <t>liTonis moajiris mowyoba</t>
  </si>
  <si>
    <t>kvadratuli Mmili 40X40X3</t>
  </si>
  <si>
    <t>kvadratuliMmili 20X40X2</t>
  </si>
  <si>
    <t>liTonis konstruqciebis SeRebva daZvelebis efeqtiT</t>
  </si>
  <si>
    <t>kvadratuli sxmuli 10X10</t>
  </si>
  <si>
    <t>furclovani foladi 40X40X3</t>
  </si>
  <si>
    <t>betonis dawnexili filebi aranakleb 35/40mm   ( feri damkveTTan SeTanxmebiT)</t>
  </si>
  <si>
    <t>kauCukis bordiuris mowyoba 14X17sm</t>
  </si>
  <si>
    <t>14</t>
  </si>
  <si>
    <r>
      <t xml:space="preserve">betonis mozadebis mowyoba xelovnuri safaris qveS  klasiT </t>
    </r>
    <r>
      <rPr>
        <b/>
        <sz val="9"/>
        <rFont val="Arial Cyr"/>
      </rPr>
      <t>B20</t>
    </r>
  </si>
  <si>
    <t>betoni klasiT В20</t>
  </si>
  <si>
    <t>samuSaos CamonaTvali</t>
  </si>
  <si>
    <t>ganz. erT</t>
  </si>
  <si>
    <t>xelfasi</t>
  </si>
  <si>
    <t>transporti da meqanizmebi</t>
  </si>
  <si>
    <t>erT. fasi</t>
  </si>
  <si>
    <t>I. gruntis samuSaoebi</t>
  </si>
  <si>
    <t>1-29-3</t>
  </si>
  <si>
    <t>saproeqto teritoriis moWra da gadaadgileba</t>
  </si>
  <si>
    <t xml:space="preserve">buldezeri 59 kvt </t>
  </si>
  <si>
    <t xml:space="preserve">1-118-11    </t>
  </si>
  <si>
    <t>mosworebuli gruntis datkepna vibro satkepniT</t>
  </si>
  <si>
    <t>pnevmosatkepni</t>
  </si>
  <si>
    <t>mosamzadebeli samuSaoebi</t>
  </si>
  <si>
    <t>sportuli moednis mowyoba</t>
  </si>
  <si>
    <t>xis sanagve urna ix. eskizi (masalisa da samuSaos gaTvaliswinebiT)</t>
  </si>
  <si>
    <t>saqanela-skami ix. eskizi (masalisa da samuSaos gaTvaliswinebiT)</t>
  </si>
  <si>
    <t>srf
II kv. 2020w.</t>
  </si>
  <si>
    <t>14.1.10</t>
  </si>
  <si>
    <t>m a s a l a</t>
  </si>
  <si>
    <r>
      <t>1000m</t>
    </r>
    <r>
      <rPr>
        <b/>
        <vertAlign val="superscript"/>
        <sz val="11"/>
        <rFont val="AcadNusx"/>
      </rPr>
      <t>3</t>
    </r>
  </si>
  <si>
    <r>
      <t>100m</t>
    </r>
    <r>
      <rPr>
        <b/>
        <vertAlign val="superscript"/>
        <sz val="11"/>
        <rFont val="AcadNusx"/>
      </rPr>
      <t>3</t>
    </r>
  </si>
  <si>
    <r>
      <t>m</t>
    </r>
    <r>
      <rPr>
        <vertAlign val="superscript"/>
        <sz val="9"/>
        <rFont val="AcadNusx"/>
      </rPr>
      <t>3</t>
    </r>
  </si>
  <si>
    <t>13-194</t>
  </si>
  <si>
    <t>4.1.247</t>
  </si>
  <si>
    <t>4.1.341</t>
  </si>
  <si>
    <t>5,1,119</t>
  </si>
  <si>
    <t>5,1,4</t>
  </si>
  <si>
    <t>1,10,18</t>
  </si>
  <si>
    <t>2,2,48</t>
  </si>
  <si>
    <t>4,1,342</t>
  </si>
  <si>
    <t>1,1,13</t>
  </si>
  <si>
    <t>8,3,81</t>
  </si>
  <si>
    <t>4.8.2</t>
  </si>
  <si>
    <t>4,8,1</t>
  </si>
  <si>
    <t>13,106</t>
  </si>
  <si>
    <t>13,105</t>
  </si>
  <si>
    <t>4.1.249</t>
  </si>
  <si>
    <t>13,175</t>
  </si>
  <si>
    <t>13,192</t>
  </si>
  <si>
    <t>4.1.248</t>
  </si>
  <si>
    <t>საბაზრო</t>
  </si>
  <si>
    <t>4,1,97</t>
  </si>
  <si>
    <t>4,1,101</t>
  </si>
  <si>
    <t>4.1.339</t>
  </si>
  <si>
    <t>1,1,7</t>
  </si>
  <si>
    <t>4.1.340</t>
  </si>
  <si>
    <t>4.1.244</t>
  </si>
  <si>
    <t>2,2,19</t>
  </si>
  <si>
    <t>1.4.101</t>
  </si>
  <si>
    <t>1,6,26</t>
  </si>
  <si>
    <t>4,2,35</t>
  </si>
  <si>
    <t>4,2,16</t>
  </si>
  <si>
    <t>2,1,41</t>
  </si>
  <si>
    <t>2,1,32</t>
  </si>
  <si>
    <t>2,1,24</t>
  </si>
  <si>
    <t>4,1,244</t>
  </si>
  <si>
    <t>8,3,31</t>
  </si>
  <si>
    <t>8,14,370</t>
  </si>
  <si>
    <t>4.8.1</t>
  </si>
  <si>
    <t>zedanadebi xarjebi %</t>
  </si>
  <si>
    <t>gegmiuri dagroveba %</t>
  </si>
  <si>
    <t>%</t>
  </si>
  <si>
    <t>zedanadebi xarjebi % xelfasidan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</si>
</sst>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00"/>
    <numFmt numFmtId="165" formatCode="0.0000"/>
    <numFmt numFmtId="166" formatCode="#,##0_);\-#,##0"/>
    <numFmt numFmtId="167" formatCode="0.00000"/>
    <numFmt numFmtId="168" formatCode="0.0"/>
    <numFmt numFmtId="169" formatCode="#,##0.00_);\-#,##0.00"/>
    <numFmt numFmtId="170" formatCode="#,##0.0_);\-#,##0.0"/>
    <numFmt numFmtId="171" formatCode="0.000000000000"/>
    <numFmt numFmtId="172" formatCode="#,##0.000_);\-#,##0.000"/>
  </numFmts>
  <fonts count="40">
    <font>
      <sz val="11"/>
      <color theme="1"/>
      <name val="Arial"/>
    </font>
    <font>
      <sz val="11"/>
      <color theme="1"/>
      <name val="Calibri"/>
      <family val="2"/>
      <charset val="1"/>
      <scheme val="minor"/>
    </font>
    <font>
      <sz val="11"/>
      <name val="Arial"/>
      <family val="2"/>
      <charset val="204"/>
    </font>
    <font>
      <sz val="11"/>
      <color theme="1"/>
      <name val="AcadNusx"/>
    </font>
    <font>
      <sz val="11"/>
      <color theme="1"/>
      <name val="Calibri"/>
      <family val="2"/>
      <charset val="204"/>
    </font>
    <font>
      <sz val="10"/>
      <color theme="1"/>
      <name val="AcadNusx"/>
    </font>
    <font>
      <sz val="10"/>
      <color theme="1"/>
      <name val="Arial"/>
      <family val="2"/>
      <charset val="204"/>
    </font>
    <font>
      <sz val="9"/>
      <color theme="1"/>
      <name val="AcadNusx"/>
    </font>
    <font>
      <sz val="10"/>
      <color rgb="FF92D050"/>
      <name val="AcadNusx"/>
    </font>
    <font>
      <sz val="11"/>
      <color theme="1"/>
      <name val="Calibri"/>
      <family val="2"/>
      <charset val="204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name val="Calibri"/>
      <family val="2"/>
      <charset val="204"/>
    </font>
    <font>
      <sz val="10"/>
      <name val="AcadNusx"/>
    </font>
    <font>
      <b/>
      <sz val="9"/>
      <name val="AcadNusx"/>
    </font>
    <font>
      <b/>
      <sz val="9"/>
      <name val="Arial Cyr"/>
    </font>
    <font>
      <sz val="10"/>
      <name val="Sylfaen"/>
      <family val="1"/>
      <charset val="204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charset val="204"/>
    </font>
    <font>
      <b/>
      <sz val="10"/>
      <name val="AcadNusx"/>
    </font>
    <font>
      <sz val="9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11"/>
      <name val="AcadNusx"/>
    </font>
    <font>
      <b/>
      <sz val="11"/>
      <name val="Calibri"/>
      <family val="2"/>
      <charset val="204"/>
    </font>
    <font>
      <b/>
      <vertAlign val="superscript"/>
      <sz val="11"/>
      <name val="AcadNusx"/>
    </font>
    <font>
      <sz val="11"/>
      <name val="Calibri"/>
      <family val="2"/>
      <charset val="204"/>
    </font>
    <font>
      <sz val="11"/>
      <name val="Arial"/>
      <family val="2"/>
      <charset val="1"/>
    </font>
    <font>
      <vertAlign val="superscript"/>
      <sz val="9"/>
      <name val="AcadNusx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b/>
      <sz val="9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22" fillId="0" borderId="8"/>
    <xf numFmtId="0" fontId="25" fillId="0" borderId="8"/>
    <xf numFmtId="0" fontId="23" fillId="0" borderId="8"/>
    <xf numFmtId="43" fontId="25" fillId="0" borderId="8" applyFont="0" applyFill="0" applyBorder="0" applyAlignment="0" applyProtection="0"/>
    <xf numFmtId="0" fontId="1" fillId="0" borderId="8"/>
    <xf numFmtId="0" fontId="26" fillId="0" borderId="8"/>
    <xf numFmtId="0" fontId="22" fillId="0" borderId="8"/>
  </cellStyleXfs>
  <cellXfs count="293">
    <xf numFmtId="0" fontId="0" fillId="0" borderId="0" xfId="0" applyFont="1" applyAlignment="1"/>
    <xf numFmtId="0" fontId="3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0" xfId="0" applyFont="1"/>
    <xf numFmtId="2" fontId="3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4" fillId="2" borderId="8" xfId="0" applyFont="1" applyFill="1" applyBorder="1"/>
    <xf numFmtId="0" fontId="6" fillId="0" borderId="0" xfId="0" applyFont="1" applyAlignment="1">
      <alignment horizontal="center" vertical="center"/>
    </xf>
    <xf numFmtId="0" fontId="5" fillId="0" borderId="0" xfId="0" applyFont="1"/>
    <xf numFmtId="2" fontId="5" fillId="0" borderId="0" xfId="0" applyNumberFormat="1" applyFont="1"/>
    <xf numFmtId="0" fontId="8" fillId="0" borderId="0" xfId="0" applyFont="1"/>
    <xf numFmtId="2" fontId="4" fillId="0" borderId="0" xfId="0" applyNumberFormat="1" applyFont="1" applyAlignment="1">
      <alignment wrapText="1"/>
    </xf>
    <xf numFmtId="0" fontId="9" fillId="0" borderId="0" xfId="0" applyFont="1"/>
    <xf numFmtId="0" fontId="17" fillId="0" borderId="0" xfId="0" applyFont="1" applyAlignment="1"/>
    <xf numFmtId="0" fontId="0" fillId="0" borderId="0" xfId="0" applyAlignment="1"/>
    <xf numFmtId="0" fontId="18" fillId="0" borderId="0" xfId="0" applyFont="1"/>
    <xf numFmtId="0" fontId="4" fillId="7" borderId="0" xfId="0" applyFont="1" applyFill="1"/>
    <xf numFmtId="0" fontId="19" fillId="0" borderId="0" xfId="0" applyFont="1"/>
    <xf numFmtId="0" fontId="13" fillId="8" borderId="27" xfId="0" applyFont="1" applyFill="1" applyBorder="1" applyAlignment="1">
      <alignment horizontal="center" vertical="center" wrapText="1"/>
    </xf>
    <xf numFmtId="0" fontId="20" fillId="8" borderId="27" xfId="0" applyFont="1" applyFill="1" applyBorder="1" applyAlignment="1">
      <alignment horizontal="center" vertical="center" wrapText="1"/>
    </xf>
    <xf numFmtId="0" fontId="0" fillId="0" borderId="0" xfId="0"/>
    <xf numFmtId="0" fontId="20" fillId="0" borderId="27" xfId="0" applyFont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2" fontId="20" fillId="7" borderId="2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" fillId="7" borderId="27" xfId="0" quotePrefix="1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2" fontId="21" fillId="7" borderId="27" xfId="0" applyNumberFormat="1" applyFont="1" applyFill="1" applyBorder="1" applyAlignment="1">
      <alignment horizontal="center" vertical="center" wrapText="1"/>
    </xf>
    <xf numFmtId="2" fontId="21" fillId="0" borderId="27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" fontId="14" fillId="7" borderId="27" xfId="0" applyNumberFormat="1" applyFont="1" applyFill="1" applyBorder="1" applyAlignment="1">
      <alignment horizontal="center" vertical="center" wrapText="1"/>
    </xf>
    <xf numFmtId="0" fontId="20" fillId="0" borderId="29" xfId="0" quotePrefix="1" applyFont="1" applyBorder="1" applyAlignment="1">
      <alignment horizontal="center" vertical="center" wrapText="1"/>
    </xf>
    <xf numFmtId="0" fontId="20" fillId="7" borderId="27" xfId="1" applyFont="1" applyFill="1" applyBorder="1" applyAlignment="1">
      <alignment horizontal="center" vertical="center" wrapText="1"/>
    </xf>
    <xf numFmtId="2" fontId="20" fillId="7" borderId="27" xfId="1" applyNumberFormat="1" applyFont="1" applyFill="1" applyBorder="1" applyAlignment="1">
      <alignment horizontal="center" vertical="center" wrapText="1"/>
    </xf>
    <xf numFmtId="2" fontId="20" fillId="0" borderId="27" xfId="1" applyNumberFormat="1" applyFont="1" applyFill="1" applyBorder="1" applyAlignment="1">
      <alignment horizontal="center" vertical="center" wrapText="1"/>
    </xf>
    <xf numFmtId="168" fontId="13" fillId="0" borderId="27" xfId="1" applyNumberFormat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7" borderId="27" xfId="1" applyFont="1" applyFill="1" applyBorder="1" applyAlignment="1">
      <alignment horizontal="center" vertical="center" wrapText="1"/>
    </xf>
    <xf numFmtId="2" fontId="13" fillId="7" borderId="27" xfId="1" applyNumberFormat="1" applyFont="1" applyFill="1" applyBorder="1" applyAlignment="1">
      <alignment horizontal="center" vertical="center" wrapText="1"/>
    </xf>
    <xf numFmtId="2" fontId="13" fillId="0" borderId="27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7" borderId="0" xfId="0" applyFill="1"/>
    <xf numFmtId="0" fontId="21" fillId="0" borderId="27" xfId="0" applyFont="1" applyBorder="1" applyAlignment="1">
      <alignment horizontal="center" vertical="center" wrapText="1"/>
    </xf>
    <xf numFmtId="0" fontId="20" fillId="0" borderId="27" xfId="0" quotePrefix="1" applyFont="1" applyBorder="1" applyAlignment="1">
      <alignment horizontal="center" vertical="center" wrapText="1"/>
    </xf>
    <xf numFmtId="2" fontId="20" fillId="0" borderId="27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center" vertical="center" wrapText="1"/>
    </xf>
    <xf numFmtId="0" fontId="13" fillId="0" borderId="27" xfId="0" quotePrefix="1" applyFont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65" fontId="13" fillId="0" borderId="27" xfId="1" applyNumberFormat="1" applyFont="1" applyFill="1" applyBorder="1" applyAlignment="1">
      <alignment horizontal="center" vertical="center" wrapText="1"/>
    </xf>
    <xf numFmtId="165" fontId="0" fillId="7" borderId="0" xfId="0" applyNumberFormat="1" applyFill="1"/>
    <xf numFmtId="0" fontId="0" fillId="0" borderId="0" xfId="0" applyFont="1" applyAlignment="1"/>
    <xf numFmtId="0" fontId="14" fillId="7" borderId="27" xfId="0" applyFont="1" applyFill="1" applyBorder="1" applyAlignment="1">
      <alignment horizontal="center" vertical="center" wrapText="1"/>
    </xf>
    <xf numFmtId="0" fontId="5" fillId="0" borderId="8" xfId="2" applyFont="1"/>
    <xf numFmtId="0" fontId="25" fillId="0" borderId="8" xfId="2"/>
    <xf numFmtId="0" fontId="20" fillId="0" borderId="27" xfId="2" applyFont="1" applyBorder="1" applyAlignment="1">
      <alignment horizontal="center" vertical="center" wrapText="1"/>
    </xf>
    <xf numFmtId="2" fontId="13" fillId="0" borderId="27" xfId="2" applyNumberFormat="1" applyFont="1" applyBorder="1" applyAlignment="1">
      <alignment horizontal="center" vertical="center" wrapText="1"/>
    </xf>
    <xf numFmtId="2" fontId="13" fillId="7" borderId="27" xfId="2" applyNumberFormat="1" applyFont="1" applyFill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/>
    </xf>
    <xf numFmtId="0" fontId="4" fillId="10" borderId="8" xfId="0" applyFont="1" applyFill="1" applyBorder="1"/>
    <xf numFmtId="164" fontId="20" fillId="0" borderId="4" xfId="2" applyNumberFormat="1" applyFont="1" applyBorder="1" applyAlignment="1">
      <alignment horizontal="center" vertical="center" wrapText="1"/>
    </xf>
    <xf numFmtId="2" fontId="4" fillId="8" borderId="0" xfId="0" applyNumberFormat="1" applyFont="1" applyFill="1"/>
    <xf numFmtId="0" fontId="0" fillId="8" borderId="0" xfId="0" applyFont="1" applyFill="1" applyAlignment="1"/>
    <xf numFmtId="2" fontId="0" fillId="8" borderId="0" xfId="0" applyNumberFormat="1" applyFont="1" applyFill="1" applyAlignment="1"/>
    <xf numFmtId="2" fontId="21" fillId="0" borderId="27" xfId="0" applyNumberFormat="1" applyFont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49" fontId="20" fillId="0" borderId="27" xfId="0" quotePrefix="1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9" fillId="0" borderId="27" xfId="2" applyFont="1" applyBorder="1" applyAlignment="1">
      <alignment horizontal="center" vertical="center" wrapText="1"/>
    </xf>
    <xf numFmtId="49" fontId="13" fillId="0" borderId="27" xfId="2" applyNumberFormat="1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31" fillId="0" borderId="4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2" fontId="20" fillId="0" borderId="4" xfId="2" applyNumberFormat="1" applyFont="1" applyBorder="1" applyAlignment="1">
      <alignment horizontal="center" vertical="center" wrapText="1"/>
    </xf>
    <xf numFmtId="2" fontId="13" fillId="0" borderId="4" xfId="2" applyNumberFormat="1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164" fontId="21" fillId="0" borderId="4" xfId="2" applyNumberFormat="1" applyFont="1" applyBorder="1" applyAlignment="1">
      <alignment horizontal="center" vertical="center" wrapText="1"/>
    </xf>
    <xf numFmtId="2" fontId="21" fillId="0" borderId="4" xfId="2" applyNumberFormat="1" applyFont="1" applyBorder="1" applyAlignment="1">
      <alignment horizontal="center" vertical="center" wrapText="1"/>
    </xf>
    <xf numFmtId="0" fontId="31" fillId="0" borderId="22" xfId="2" applyFont="1" applyBorder="1" applyAlignment="1">
      <alignment horizontal="center" vertical="center" wrapText="1"/>
    </xf>
    <xf numFmtId="168" fontId="21" fillId="0" borderId="4" xfId="2" applyNumberFormat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2" fontId="20" fillId="3" borderId="4" xfId="0" applyNumberFormat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0" fontId="33" fillId="0" borderId="0" xfId="0" applyFont="1"/>
    <xf numFmtId="0" fontId="33" fillId="2" borderId="8" xfId="0" applyFont="1" applyFill="1" applyBorder="1"/>
    <xf numFmtId="0" fontId="28" fillId="0" borderId="0" xfId="0" applyFont="1" applyAlignment="1"/>
    <xf numFmtId="0" fontId="27" fillId="0" borderId="0" xfId="0" applyFont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2" fontId="21" fillId="2" borderId="4" xfId="0" applyNumberFormat="1" applyFont="1" applyFill="1" applyBorder="1" applyAlignment="1">
      <alignment horizontal="center" vertical="center" wrapText="1"/>
    </xf>
    <xf numFmtId="165" fontId="21" fillId="2" borderId="4" xfId="0" applyNumberFormat="1" applyFont="1" applyFill="1" applyBorder="1" applyAlignment="1">
      <alignment horizontal="center" vertical="center" wrapText="1"/>
    </xf>
    <xf numFmtId="0" fontId="20" fillId="2" borderId="4" xfId="0" quotePrefix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3" fillId="2" borderId="4" xfId="0" quotePrefix="1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2" fillId="0" borderId="0" xfId="0" applyFont="1" applyAlignment="1"/>
    <xf numFmtId="2" fontId="14" fillId="2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20" fillId="2" borderId="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center" vertical="center" wrapText="1"/>
    </xf>
    <xf numFmtId="167" fontId="21" fillId="2" borderId="4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6" fontId="14" fillId="5" borderId="12" xfId="0" applyNumberFormat="1" applyFont="1" applyFill="1" applyBorder="1" applyAlignment="1">
      <alignment horizontal="center" vertical="center" wrapText="1"/>
    </xf>
    <xf numFmtId="166" fontId="14" fillId="5" borderId="17" xfId="0" applyNumberFormat="1" applyFont="1" applyFill="1" applyBorder="1" applyAlignment="1">
      <alignment horizontal="center" vertical="center" wrapText="1"/>
    </xf>
    <xf numFmtId="2" fontId="14" fillId="5" borderId="20" xfId="0" applyNumberFormat="1" applyFont="1" applyFill="1" applyBorder="1" applyAlignment="1">
      <alignment horizontal="center" vertical="center" wrapText="1"/>
    </xf>
    <xf numFmtId="172" fontId="21" fillId="5" borderId="4" xfId="0" applyNumberFormat="1" applyFont="1" applyFill="1" applyBorder="1" applyAlignment="1">
      <alignment horizontal="center" vertical="center" wrapText="1"/>
    </xf>
    <xf numFmtId="172" fontId="21" fillId="5" borderId="4" xfId="0" applyNumberFormat="1" applyFont="1" applyFill="1" applyBorder="1" applyAlignment="1">
      <alignment horizontal="center" vertical="center"/>
    </xf>
    <xf numFmtId="172" fontId="21" fillId="5" borderId="17" xfId="0" applyNumberFormat="1" applyFont="1" applyFill="1" applyBorder="1" applyAlignment="1">
      <alignment horizontal="center" vertical="center" wrapText="1"/>
    </xf>
    <xf numFmtId="2" fontId="21" fillId="5" borderId="20" xfId="0" applyNumberFormat="1" applyFont="1" applyFill="1" applyBorder="1" applyAlignment="1">
      <alignment horizontal="center" vertical="center" wrapText="1"/>
    </xf>
    <xf numFmtId="169" fontId="21" fillId="5" borderId="4" xfId="0" applyNumberFormat="1" applyFont="1" applyFill="1" applyBorder="1" applyAlignment="1">
      <alignment horizontal="center" vertical="center" wrapText="1"/>
    </xf>
    <xf numFmtId="169" fontId="21" fillId="5" borderId="17" xfId="0" applyNumberFormat="1" applyFont="1" applyFill="1" applyBorder="1" applyAlignment="1">
      <alignment horizontal="center" vertical="center" wrapText="1"/>
    </xf>
    <xf numFmtId="169" fontId="21" fillId="0" borderId="4" xfId="0" applyNumberFormat="1" applyFont="1" applyBorder="1" applyAlignment="1">
      <alignment horizontal="center" vertical="center" wrapText="1"/>
    </xf>
    <xf numFmtId="49" fontId="21" fillId="2" borderId="18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1" fontId="20" fillId="0" borderId="27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1" fontId="21" fillId="2" borderId="27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2" fontId="21" fillId="6" borderId="4" xfId="0" applyNumberFormat="1" applyFont="1" applyFill="1" applyBorder="1" applyAlignment="1">
      <alignment horizontal="center" vertical="center" wrapText="1"/>
    </xf>
    <xf numFmtId="2" fontId="14" fillId="6" borderId="4" xfId="0" applyNumberFormat="1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9" fontId="21" fillId="6" borderId="4" xfId="0" applyNumberFormat="1" applyFont="1" applyFill="1" applyBorder="1" applyAlignment="1">
      <alignment horizontal="center" vertical="center" wrapText="1"/>
    </xf>
    <xf numFmtId="4" fontId="21" fillId="6" borderId="4" xfId="0" applyNumberFormat="1" applyFont="1" applyFill="1" applyBorder="1" applyAlignment="1">
      <alignment horizontal="center" vertical="center" wrapText="1"/>
    </xf>
    <xf numFmtId="4" fontId="14" fillId="6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49" fontId="20" fillId="2" borderId="4" xfId="0" quotePrefix="1" applyNumberFormat="1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2" borderId="26" xfId="0" quotePrefix="1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0" fontId="13" fillId="0" borderId="13" xfId="0" quotePrefix="1" applyFont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 wrapText="1"/>
    </xf>
    <xf numFmtId="2" fontId="21" fillId="8" borderId="27" xfId="0" applyNumberFormat="1" applyFont="1" applyFill="1" applyBorder="1" applyAlignment="1">
      <alignment horizontal="center" vertical="center" wrapText="1"/>
    </xf>
    <xf numFmtId="168" fontId="21" fillId="7" borderId="27" xfId="0" applyNumberFormat="1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168" fontId="13" fillId="7" borderId="27" xfId="1" applyNumberFormat="1" applyFont="1" applyFill="1" applyBorder="1" applyAlignment="1">
      <alignment horizontal="center" vertical="center" wrapText="1"/>
    </xf>
    <xf numFmtId="0" fontId="13" fillId="0" borderId="21" xfId="0" quotePrefix="1" applyFont="1" applyBorder="1" applyAlignment="1">
      <alignment horizontal="center" vertical="center" wrapText="1"/>
    </xf>
    <xf numFmtId="2" fontId="20" fillId="2" borderId="21" xfId="0" applyNumberFormat="1" applyFont="1" applyFill="1" applyBorder="1" applyAlignment="1">
      <alignment horizontal="center" vertical="center" wrapText="1"/>
    </xf>
    <xf numFmtId="2" fontId="13" fillId="2" borderId="21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" fontId="14" fillId="2" borderId="4" xfId="0" applyNumberFormat="1" applyFont="1" applyFill="1" applyBorder="1" applyAlignment="1">
      <alignment horizontal="center" vertical="center" wrapText="1"/>
    </xf>
    <xf numFmtId="14" fontId="20" fillId="2" borderId="4" xfId="0" applyNumberFormat="1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70" fontId="13" fillId="2" borderId="4" xfId="0" applyNumberFormat="1" applyFont="1" applyFill="1" applyBorder="1" applyAlignment="1">
      <alignment horizontal="center" vertical="center" wrapText="1"/>
    </xf>
    <xf numFmtId="170" fontId="27" fillId="2" borderId="4" xfId="0" applyNumberFormat="1" applyFont="1" applyFill="1" applyBorder="1" applyAlignment="1">
      <alignment horizontal="center" vertical="center" wrapText="1"/>
    </xf>
    <xf numFmtId="2" fontId="27" fillId="2" borderId="4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/>
    </xf>
    <xf numFmtId="4" fontId="20" fillId="2" borderId="4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2" fontId="20" fillId="9" borderId="4" xfId="0" applyNumberFormat="1" applyFont="1" applyFill="1" applyBorder="1" applyAlignment="1">
      <alignment horizontal="center" vertical="center" wrapText="1"/>
    </xf>
    <xf numFmtId="2" fontId="37" fillId="9" borderId="4" xfId="0" applyNumberFormat="1" applyFont="1" applyFill="1" applyBorder="1" applyAlignment="1">
      <alignment horizontal="center" vertical="center"/>
    </xf>
    <xf numFmtId="0" fontId="37" fillId="9" borderId="4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 wrapText="1"/>
    </xf>
    <xf numFmtId="2" fontId="14" fillId="9" borderId="4" xfId="0" applyNumberFormat="1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165" fontId="13" fillId="2" borderId="23" xfId="0" applyNumberFormat="1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2" fontId="20" fillId="8" borderId="4" xfId="0" applyNumberFormat="1" applyFont="1" applyFill="1" applyBorder="1" applyAlignment="1">
      <alignment horizontal="center" vertical="center" wrapText="1"/>
    </xf>
    <xf numFmtId="2" fontId="37" fillId="8" borderId="4" xfId="0" applyNumberFormat="1" applyFont="1" applyFill="1" applyBorder="1" applyAlignment="1">
      <alignment horizontal="center" vertical="center"/>
    </xf>
    <xf numFmtId="0" fontId="37" fillId="8" borderId="4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 wrapText="1"/>
    </xf>
    <xf numFmtId="2" fontId="20" fillId="11" borderId="4" xfId="0" applyNumberFormat="1" applyFont="1" applyFill="1" applyBorder="1" applyAlignment="1">
      <alignment horizontal="center" vertical="center" wrapText="1"/>
    </xf>
    <xf numFmtId="0" fontId="37" fillId="11" borderId="4" xfId="0" applyFont="1" applyFill="1" applyBorder="1" applyAlignment="1">
      <alignment horizontal="center" vertical="center"/>
    </xf>
    <xf numFmtId="171" fontId="30" fillId="0" borderId="0" xfId="0" applyNumberFormat="1" applyFont="1"/>
    <xf numFmtId="14" fontId="13" fillId="0" borderId="27" xfId="1" applyNumberFormat="1" applyFont="1" applyBorder="1" applyAlignment="1">
      <alignment horizontal="center" vertical="center" wrapText="1"/>
    </xf>
    <xf numFmtId="14" fontId="21" fillId="0" borderId="27" xfId="0" applyNumberFormat="1" applyFont="1" applyBorder="1" applyAlignment="1">
      <alignment horizontal="center" vertical="center" wrapText="1"/>
    </xf>
    <xf numFmtId="2" fontId="13" fillId="0" borderId="4" xfId="2" applyNumberFormat="1" applyFont="1" applyFill="1" applyBorder="1" applyAlignment="1">
      <alignment horizontal="center" vertical="center" wrapText="1"/>
    </xf>
    <xf numFmtId="2" fontId="20" fillId="0" borderId="4" xfId="2" applyNumberFormat="1" applyFont="1" applyFill="1" applyBorder="1" applyAlignment="1">
      <alignment horizontal="center" vertical="center" wrapText="1"/>
    </xf>
    <xf numFmtId="2" fontId="30" fillId="0" borderId="27" xfId="2" applyNumberFormat="1" applyFont="1" applyFill="1" applyBorder="1" applyAlignment="1">
      <alignment horizontal="center" vertical="center" wrapText="1"/>
    </xf>
    <xf numFmtId="2" fontId="13" fillId="0" borderId="27" xfId="2" applyNumberFormat="1" applyFont="1" applyFill="1" applyBorder="1" applyAlignment="1">
      <alignment horizontal="center" vertical="center" wrapText="1"/>
    </xf>
    <xf numFmtId="2" fontId="30" fillId="0" borderId="4" xfId="2" applyNumberFormat="1" applyFont="1" applyFill="1" applyBorder="1" applyAlignment="1">
      <alignment horizontal="center" vertical="center" wrapText="1"/>
    </xf>
    <xf numFmtId="2" fontId="21" fillId="0" borderId="4" xfId="2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center" vertical="center" wrapText="1"/>
    </xf>
    <xf numFmtId="2" fontId="27" fillId="0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43" fontId="21" fillId="0" borderId="4" xfId="0" applyNumberFormat="1" applyFont="1" applyFill="1" applyBorder="1" applyAlignment="1">
      <alignment horizontal="center" vertical="center" wrapText="1"/>
    </xf>
    <xf numFmtId="2" fontId="37" fillId="0" borderId="4" xfId="0" applyNumberFormat="1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2" fontId="39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 wrapText="1"/>
    </xf>
    <xf numFmtId="2" fontId="37" fillId="0" borderId="27" xfId="0" applyNumberFormat="1" applyFont="1" applyFill="1" applyBorder="1" applyAlignment="1">
      <alignment horizontal="center" vertical="center"/>
    </xf>
    <xf numFmtId="2" fontId="36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/>
    <xf numFmtId="0" fontId="20" fillId="0" borderId="0" xfId="0" applyFont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1" fillId="2" borderId="9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1" fillId="2" borderId="10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1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1" fillId="2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0" fillId="9" borderId="13" xfId="0" applyFont="1" applyFill="1" applyBorder="1" applyAlignment="1">
      <alignment horizontal="center" vertical="center" wrapText="1"/>
    </xf>
    <xf numFmtId="0" fontId="2" fillId="8" borderId="20" xfId="0" applyFont="1" applyFill="1" applyBorder="1"/>
    <xf numFmtId="0" fontId="2" fillId="8" borderId="14" xfId="0" applyFont="1" applyFill="1" applyBorder="1"/>
    <xf numFmtId="0" fontId="20" fillId="4" borderId="13" xfId="0" applyFont="1" applyFill="1" applyBorder="1" applyAlignment="1">
      <alignment horizontal="center" vertical="center" wrapText="1"/>
    </xf>
    <xf numFmtId="0" fontId="34" fillId="0" borderId="20" xfId="0" applyFont="1" applyBorder="1"/>
    <xf numFmtId="0" fontId="34" fillId="0" borderId="14" xfId="0" applyFont="1" applyBorder="1"/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34" fillId="0" borderId="15" xfId="0" applyFont="1" applyBorder="1"/>
    <xf numFmtId="0" fontId="2" fillId="0" borderId="0" xfId="0" applyFont="1" applyAlignment="1"/>
    <xf numFmtId="0" fontId="13" fillId="0" borderId="3" xfId="0" applyFont="1" applyBorder="1" applyAlignment="1">
      <alignment horizontal="center" vertical="center"/>
    </xf>
    <xf numFmtId="0" fontId="34" fillId="0" borderId="3" xfId="0" applyFont="1" applyBorder="1"/>
    <xf numFmtId="0" fontId="21" fillId="0" borderId="1" xfId="0" applyFont="1" applyBorder="1" applyAlignment="1">
      <alignment horizontal="center" vertical="center" wrapText="1"/>
    </xf>
    <xf numFmtId="0" fontId="34" fillId="0" borderId="2" xfId="0" applyFont="1" applyBorder="1"/>
    <xf numFmtId="0" fontId="20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1 2 2" xfId="3"/>
    <cellStyle name="Normal 2 10" xfId="6"/>
    <cellStyle name="Normal 36 2 2" xfId="5"/>
    <cellStyle name="Обычный 2" xfId="2"/>
    <cellStyle name="Обычный 2 2" xfId="7"/>
    <cellStyle name="Обычный_Лист1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-19050</xdr:colOff>
      <xdr:row>2</xdr:row>
      <xdr:rowOff>600075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4891617" y="1094317"/>
          <a:ext cx="38100" cy="0"/>
          <a:chOff x="5346000" y="3675225"/>
          <a:chExt cx="0" cy="2095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CxnSpPr/>
        </xdr:nvCxnSpPr>
        <xdr:spPr>
          <a:xfrm rot="10800000">
            <a:off x="5346000" y="3675225"/>
            <a:ext cx="0" cy="2095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7</xdr:col>
      <xdr:colOff>-9525</xdr:colOff>
      <xdr:row>2</xdr:row>
      <xdr:rowOff>590550</xdr:rowOff>
    </xdr:from>
    <xdr:ext cx="28575" cy="952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171142" y="1094317"/>
          <a:ext cx="28575" cy="95250"/>
          <a:chOff x="5341238" y="3732375"/>
          <a:chExt cx="9525" cy="952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 flipH="1">
            <a:off x="5341238" y="3732375"/>
            <a:ext cx="9525" cy="952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-19050</xdr:colOff>
      <xdr:row>2</xdr:row>
      <xdr:rowOff>600075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4588669" y="962025"/>
          <a:ext cx="38100" cy="0"/>
          <a:chOff x="5346000" y="3675225"/>
          <a:chExt cx="0" cy="2095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CxnSpPr/>
        </xdr:nvCxnSpPr>
        <xdr:spPr>
          <a:xfrm rot="10800000">
            <a:off x="5346000" y="3675225"/>
            <a:ext cx="0" cy="2095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7</xdr:col>
      <xdr:colOff>-9525</xdr:colOff>
      <xdr:row>2</xdr:row>
      <xdr:rowOff>590550</xdr:rowOff>
    </xdr:from>
    <xdr:ext cx="28575" cy="952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5907881" y="962025"/>
          <a:ext cx="28575" cy="95250"/>
          <a:chOff x="5341238" y="3732375"/>
          <a:chExt cx="9525" cy="952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 flipH="1">
            <a:off x="5341238" y="3732375"/>
            <a:ext cx="9525" cy="952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-19050</xdr:colOff>
      <xdr:row>2</xdr:row>
      <xdr:rowOff>600075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5547783" y="721783"/>
          <a:ext cx="38100" cy="0"/>
          <a:chOff x="5346000" y="3694275"/>
          <a:chExt cx="0" cy="171450"/>
        </a:xfrm>
      </xdr:grpSpPr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CxnSpPr/>
        </xdr:nvCxnSpPr>
        <xdr:spPr>
          <a:xfrm rot="10800000">
            <a:off x="5346000" y="3694275"/>
            <a:ext cx="0" cy="1714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7</xdr:col>
      <xdr:colOff>-9525</xdr:colOff>
      <xdr:row>2</xdr:row>
      <xdr:rowOff>590550</xdr:rowOff>
    </xdr:from>
    <xdr:ext cx="28575" cy="9525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6827308" y="721783"/>
          <a:ext cx="28575" cy="95250"/>
          <a:chOff x="5341238" y="3732375"/>
          <a:chExt cx="9525" cy="95250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/>
        </xdr:nvCxnSpPr>
        <xdr:spPr>
          <a:xfrm flipH="1">
            <a:off x="5341238" y="3732375"/>
            <a:ext cx="9525" cy="952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-19050</xdr:colOff>
      <xdr:row>2</xdr:row>
      <xdr:rowOff>600075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5103283" y="988483"/>
          <a:ext cx="38100" cy="0"/>
          <a:chOff x="5346000" y="3675225"/>
          <a:chExt cx="0" cy="2095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CxnSpPr/>
        </xdr:nvCxnSpPr>
        <xdr:spPr>
          <a:xfrm rot="10800000">
            <a:off x="5346000" y="3675225"/>
            <a:ext cx="0" cy="2095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7</xdr:col>
      <xdr:colOff>-9525</xdr:colOff>
      <xdr:row>2</xdr:row>
      <xdr:rowOff>590550</xdr:rowOff>
    </xdr:from>
    <xdr:ext cx="28575" cy="952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6382808" y="988483"/>
          <a:ext cx="28575" cy="95250"/>
          <a:chOff x="5341238" y="3732375"/>
          <a:chExt cx="9525" cy="952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CxnSpPr/>
        </xdr:nvCxnSpPr>
        <xdr:spPr>
          <a:xfrm flipH="1">
            <a:off x="5341238" y="3732375"/>
            <a:ext cx="9525" cy="952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-19050</xdr:colOff>
      <xdr:row>2</xdr:row>
      <xdr:rowOff>600075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5304367" y="967317"/>
          <a:ext cx="38100" cy="0"/>
          <a:chOff x="5346000" y="3675225"/>
          <a:chExt cx="0" cy="2095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CxnSpPr/>
        </xdr:nvCxnSpPr>
        <xdr:spPr>
          <a:xfrm rot="10800000">
            <a:off x="5346000" y="3675225"/>
            <a:ext cx="0" cy="2095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7</xdr:col>
      <xdr:colOff>-9525</xdr:colOff>
      <xdr:row>2</xdr:row>
      <xdr:rowOff>590550</xdr:rowOff>
    </xdr:from>
    <xdr:ext cx="28575" cy="952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pSpPr/>
      </xdr:nvGrpSpPr>
      <xdr:grpSpPr>
        <a:xfrm>
          <a:off x="6382808" y="967317"/>
          <a:ext cx="28575" cy="95250"/>
          <a:chOff x="5341238" y="3732375"/>
          <a:chExt cx="9525" cy="952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CxnSpPr/>
        </xdr:nvCxnSpPr>
        <xdr:spPr>
          <a:xfrm flipH="1">
            <a:off x="5341238" y="3732375"/>
            <a:ext cx="9525" cy="952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7"/>
  <sheetViews>
    <sheetView view="pageBreakPreview" topLeftCell="A4" zoomScale="90" zoomScaleNormal="100" zoomScaleSheetLayoutView="90" workbookViewId="0">
      <selection activeCell="C10" sqref="C10"/>
    </sheetView>
  </sheetViews>
  <sheetFormatPr defaultColWidth="12.625" defaultRowHeight="15" customHeight="1"/>
  <cols>
    <col min="1" max="1" width="4.875" customWidth="1"/>
    <col min="2" max="2" width="46.875" customWidth="1"/>
    <col min="3" max="3" width="16.125" customWidth="1"/>
    <col min="4" max="4" width="8" customWidth="1"/>
    <col min="5" max="5" width="6.5" customWidth="1"/>
    <col min="6" max="26" width="7.625" customWidth="1"/>
  </cols>
  <sheetData>
    <row r="1" spans="1:5" ht="68.25" customHeight="1">
      <c r="A1" s="262" t="e">
        <f>#REF!</f>
        <v>#REF!</v>
      </c>
      <c r="B1" s="263"/>
      <c r="C1" s="263"/>
      <c r="D1" s="1"/>
      <c r="E1" s="1"/>
    </row>
    <row r="2" spans="1:5" ht="31.5" customHeight="1">
      <c r="A2" s="2"/>
      <c r="B2" s="3" t="s">
        <v>1</v>
      </c>
      <c r="C2" s="4" t="s">
        <v>2</v>
      </c>
      <c r="D2" s="1"/>
      <c r="E2" s="1"/>
    </row>
    <row r="3" spans="1:5" ht="23.25" customHeight="1">
      <c r="A3" s="3">
        <v>1</v>
      </c>
      <c r="B3" s="3" t="s">
        <v>248</v>
      </c>
      <c r="C3" s="67"/>
      <c r="D3" s="1"/>
      <c r="E3" s="1"/>
    </row>
    <row r="4" spans="1:5" ht="24.75" customHeight="1">
      <c r="A4" s="3">
        <v>2</v>
      </c>
      <c r="B4" s="3" t="s">
        <v>3</v>
      </c>
      <c r="C4" s="67"/>
      <c r="D4" s="1"/>
      <c r="E4" s="1"/>
    </row>
    <row r="5" spans="1:5" ht="24" customHeight="1">
      <c r="A5" s="3">
        <v>3</v>
      </c>
      <c r="B5" s="3" t="s">
        <v>4</v>
      </c>
      <c r="C5" s="67"/>
      <c r="D5" s="1"/>
      <c r="E5" s="1"/>
    </row>
    <row r="6" spans="1:5" ht="23.25" customHeight="1">
      <c r="A6" s="3">
        <v>4</v>
      </c>
      <c r="B6" s="3" t="s">
        <v>5</v>
      </c>
      <c r="C6" s="67"/>
      <c r="D6" s="1"/>
      <c r="E6" s="1"/>
    </row>
    <row r="7" spans="1:5" ht="25.5" customHeight="1">
      <c r="A7" s="3">
        <v>5</v>
      </c>
      <c r="B7" s="3" t="s">
        <v>6</v>
      </c>
      <c r="C7" s="67"/>
      <c r="D7" s="1"/>
      <c r="E7" s="7"/>
    </row>
    <row r="8" spans="1:5" s="60" customFormat="1" ht="25.5" customHeight="1">
      <c r="A8" s="3">
        <v>6</v>
      </c>
      <c r="B8" s="3" t="s">
        <v>249</v>
      </c>
      <c r="C8" s="67"/>
      <c r="D8" s="1"/>
      <c r="E8" s="7"/>
    </row>
    <row r="9" spans="1:5" ht="22.5" customHeight="1">
      <c r="A9" s="3"/>
      <c r="B9" s="3" t="s">
        <v>7</v>
      </c>
      <c r="C9" s="5"/>
      <c r="D9" s="7"/>
      <c r="E9" s="1"/>
    </row>
    <row r="10" spans="1:5" ht="24" customHeight="1">
      <c r="A10" s="3"/>
      <c r="B10" s="3" t="s">
        <v>8</v>
      </c>
      <c r="C10" s="5">
        <f>C9*0.03</f>
        <v>0</v>
      </c>
      <c r="D10" s="1"/>
      <c r="E10" s="1"/>
    </row>
    <row r="11" spans="1:5" ht="25.5" customHeight="1">
      <c r="A11" s="3"/>
      <c r="B11" s="3" t="s">
        <v>7</v>
      </c>
      <c r="C11" s="5">
        <f>SUM(C9:C10)</f>
        <v>0</v>
      </c>
      <c r="D11" s="1"/>
      <c r="E11" s="1"/>
    </row>
    <row r="12" spans="1:5" ht="23.25" customHeight="1">
      <c r="A12" s="3"/>
      <c r="B12" s="8" t="s">
        <v>9</v>
      </c>
      <c r="C12" s="5">
        <f>C11*0.18</f>
        <v>0</v>
      </c>
      <c r="D12" s="1"/>
      <c r="E12" s="1"/>
    </row>
    <row r="13" spans="1:5" ht="26.25" customHeight="1">
      <c r="A13" s="3"/>
      <c r="B13" s="3" t="s">
        <v>7</v>
      </c>
      <c r="C13" s="5">
        <f>SUM(C11:C12)</f>
        <v>0</v>
      </c>
      <c r="D13" s="1"/>
      <c r="E13" s="1"/>
    </row>
    <row r="14" spans="1:5" ht="15.75">
      <c r="A14" s="1"/>
      <c r="B14" s="9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5" ht="15.75">
      <c r="A16" s="1"/>
      <c r="B16" s="9" t="s">
        <v>10</v>
      </c>
      <c r="C16" s="1"/>
      <c r="D16" s="1"/>
      <c r="E16" s="1"/>
    </row>
    <row r="17" spans="1:5" ht="15.75">
      <c r="A17" s="1"/>
      <c r="B17" s="1"/>
      <c r="C17" s="1"/>
      <c r="D17" s="1"/>
      <c r="E17" s="1"/>
    </row>
    <row r="18" spans="1:5" ht="15.75" customHeight="1">
      <c r="A18" s="1"/>
      <c r="B18" s="1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5.75" customHeight="1">
      <c r="A21" s="1"/>
      <c r="B21" s="1"/>
      <c r="C21" s="1"/>
      <c r="D21" s="1"/>
      <c r="E21" s="1"/>
    </row>
    <row r="22" spans="1:5" ht="15.75" customHeight="1">
      <c r="A22" s="1"/>
      <c r="B22" s="1"/>
      <c r="C22" s="1"/>
      <c r="D22" s="1"/>
      <c r="E22" s="1"/>
    </row>
    <row r="23" spans="1:5" ht="15.75" customHeight="1">
      <c r="A23" s="1"/>
      <c r="B23" s="1"/>
      <c r="C23" s="1"/>
      <c r="D23" s="1"/>
      <c r="E23" s="1"/>
    </row>
    <row r="24" spans="1:5" ht="15.75" customHeight="1">
      <c r="A24" s="1"/>
      <c r="B24" s="1"/>
      <c r="C24" s="1"/>
      <c r="D24" s="1"/>
      <c r="E24" s="1"/>
    </row>
    <row r="25" spans="1:5" ht="15.75" customHeight="1">
      <c r="A25" s="1"/>
      <c r="B25" s="1"/>
      <c r="C25" s="1"/>
      <c r="D25" s="1"/>
      <c r="E25" s="1"/>
    </row>
    <row r="26" spans="1:5" ht="15.75" customHeight="1">
      <c r="A26" s="1"/>
      <c r="B26" s="1"/>
      <c r="C26" s="1"/>
      <c r="D26" s="1"/>
      <c r="E26" s="1"/>
    </row>
    <row r="27" spans="1:5" ht="15.75" customHeight="1">
      <c r="A27" s="1"/>
      <c r="B27" s="1"/>
      <c r="C27" s="1"/>
      <c r="D27" s="1"/>
      <c r="E27" s="1"/>
    </row>
    <row r="28" spans="1:5" ht="59.25" customHeight="1">
      <c r="A28" s="1"/>
      <c r="B28" s="1"/>
      <c r="C28" s="1"/>
      <c r="D28" s="1"/>
      <c r="E28" s="1"/>
    </row>
    <row r="29" spans="1:5" ht="56.25" customHeight="1">
      <c r="A29" s="1"/>
      <c r="B29" s="1"/>
      <c r="C29" s="1"/>
      <c r="D29" s="1"/>
      <c r="E29" s="1"/>
    </row>
    <row r="30" spans="1:5" ht="15.75" customHeight="1">
      <c r="A30" s="1"/>
      <c r="B30" s="1"/>
      <c r="C30" s="1"/>
      <c r="D30" s="1"/>
      <c r="E30" s="1"/>
    </row>
    <row r="31" spans="1:5" ht="15.75" customHeight="1">
      <c r="A31" s="1"/>
      <c r="B31" s="1"/>
      <c r="C31" s="1"/>
      <c r="D31" s="1"/>
      <c r="E31" s="1"/>
    </row>
    <row r="32" spans="1:5" ht="15.75" customHeight="1">
      <c r="A32" s="1"/>
      <c r="B32" s="1"/>
      <c r="C32" s="1"/>
      <c r="D32" s="1"/>
      <c r="E32" s="1"/>
    </row>
    <row r="33" spans="1:5" ht="15.75" customHeight="1">
      <c r="A33" s="1"/>
      <c r="B33" s="1"/>
      <c r="C33" s="1"/>
      <c r="D33" s="1"/>
      <c r="E33" s="1"/>
    </row>
    <row r="34" spans="1:5" ht="15.75" customHeight="1">
      <c r="A34" s="1"/>
      <c r="B34" s="1"/>
      <c r="C34" s="1"/>
      <c r="D34" s="1"/>
      <c r="E34" s="1"/>
    </row>
    <row r="35" spans="1:5" ht="15.75" customHeight="1">
      <c r="A35" s="1"/>
      <c r="B35" s="1"/>
      <c r="C35" s="1"/>
      <c r="D35" s="1"/>
      <c r="E35" s="1"/>
    </row>
    <row r="36" spans="1:5" ht="15.75" customHeight="1">
      <c r="A36" s="1"/>
      <c r="B36" s="1"/>
      <c r="C36" s="1"/>
      <c r="D36" s="1"/>
      <c r="E36" s="1"/>
    </row>
    <row r="37" spans="1:5" ht="15.75" customHeight="1">
      <c r="A37" s="1"/>
      <c r="B37" s="1"/>
      <c r="C37" s="1"/>
      <c r="D37" s="1"/>
      <c r="E37" s="1"/>
    </row>
    <row r="38" spans="1:5" ht="15.75" customHeight="1">
      <c r="A38" s="1"/>
      <c r="B38" s="1"/>
      <c r="C38" s="1"/>
      <c r="D38" s="1"/>
      <c r="E38" s="1"/>
    </row>
    <row r="39" spans="1:5" ht="15.75" customHeight="1">
      <c r="A39" s="1"/>
      <c r="B39" s="1"/>
      <c r="C39" s="1"/>
      <c r="D39" s="1"/>
      <c r="E39" s="1"/>
    </row>
    <row r="40" spans="1:5" ht="15.75" customHeight="1">
      <c r="A40" s="1"/>
      <c r="B40" s="1"/>
      <c r="C40" s="1"/>
      <c r="D40" s="1"/>
      <c r="E40" s="1"/>
    </row>
    <row r="41" spans="1:5" ht="15.75" customHeight="1">
      <c r="A41" s="1"/>
      <c r="B41" s="1"/>
      <c r="C41" s="1"/>
      <c r="D41" s="1"/>
      <c r="E41" s="1"/>
    </row>
    <row r="42" spans="1:5" ht="15.75" customHeight="1">
      <c r="A42" s="1"/>
      <c r="B42" s="1"/>
      <c r="C42" s="1"/>
      <c r="D42" s="1"/>
      <c r="E42" s="1"/>
    </row>
    <row r="43" spans="1:5" ht="15.75" customHeight="1">
      <c r="A43" s="1"/>
      <c r="B43" s="1"/>
      <c r="C43" s="1"/>
      <c r="D43" s="1"/>
      <c r="E43" s="1"/>
    </row>
    <row r="44" spans="1:5" ht="15.75" customHeight="1">
      <c r="A44" s="1"/>
      <c r="B44" s="1"/>
      <c r="C44" s="1"/>
      <c r="D44" s="1"/>
      <c r="E44" s="1"/>
    </row>
    <row r="45" spans="1:5" ht="15.75" customHeight="1">
      <c r="A45" s="1"/>
      <c r="B45" s="1"/>
      <c r="C45" s="1"/>
      <c r="D45" s="1"/>
      <c r="E45" s="1"/>
    </row>
    <row r="46" spans="1:5" ht="15.75" customHeight="1">
      <c r="A46" s="1"/>
      <c r="B46" s="1"/>
      <c r="C46" s="1"/>
      <c r="D46" s="1"/>
      <c r="E46" s="1"/>
    </row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A1:C1"/>
  </mergeCells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topLeftCell="A14" zoomScale="90" zoomScaleNormal="100" zoomScaleSheetLayoutView="90" workbookViewId="0">
      <selection activeCell="G19" sqref="G19"/>
    </sheetView>
  </sheetViews>
  <sheetFormatPr defaultColWidth="12.625" defaultRowHeight="15" customHeight="1"/>
  <cols>
    <col min="1" max="1" width="6.25" style="115" customWidth="1"/>
    <col min="2" max="2" width="10.875" style="115" customWidth="1"/>
    <col min="3" max="3" width="32.625" style="115" customWidth="1"/>
    <col min="4" max="4" width="8.25" style="115" customWidth="1"/>
    <col min="5" max="5" width="6.5" style="115" customWidth="1"/>
    <col min="6" max="6" width="9" style="115" customWidth="1"/>
    <col min="7" max="8" width="7.625" style="115" customWidth="1"/>
    <col min="9" max="9" width="6.875" style="115" customWidth="1"/>
    <col min="10" max="10" width="7.5" style="115" customWidth="1"/>
    <col min="11" max="11" width="6" style="115" customWidth="1"/>
    <col min="12" max="12" width="6.75" style="115" customWidth="1"/>
    <col min="13" max="13" width="10.125" style="115" customWidth="1"/>
    <col min="14" max="17" width="8" customWidth="1"/>
    <col min="18" max="18" width="1.875" customWidth="1"/>
    <col min="19" max="19" width="8" customWidth="1"/>
    <col min="20" max="26" width="7.625" customWidth="1"/>
  </cols>
  <sheetData>
    <row r="1" spans="1:26" ht="45" customHeight="1">
      <c r="A1" s="266" t="e">
        <f>#REF!</f>
        <v>#REF!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26" ht="14.25">
      <c r="A2" s="267" t="s">
        <v>208</v>
      </c>
      <c r="B2" s="268"/>
      <c r="C2" s="268"/>
      <c r="D2" s="269"/>
      <c r="E2" s="76"/>
      <c r="F2" s="76"/>
      <c r="G2" s="76"/>
      <c r="H2" s="76"/>
      <c r="I2" s="76"/>
      <c r="J2" s="76"/>
      <c r="K2" s="76"/>
      <c r="L2" s="76"/>
      <c r="M2" s="76"/>
    </row>
    <row r="3" spans="1:26" ht="27" customHeight="1">
      <c r="A3" s="270" t="s">
        <v>11</v>
      </c>
      <c r="B3" s="270" t="s">
        <v>12</v>
      </c>
      <c r="C3" s="270" t="s">
        <v>236</v>
      </c>
      <c r="D3" s="272" t="s">
        <v>237</v>
      </c>
      <c r="E3" s="274" t="s">
        <v>13</v>
      </c>
      <c r="F3" s="275"/>
      <c r="G3" s="276" t="s">
        <v>254</v>
      </c>
      <c r="H3" s="277"/>
      <c r="I3" s="276" t="s">
        <v>238</v>
      </c>
      <c r="J3" s="277"/>
      <c r="K3" s="276" t="s">
        <v>239</v>
      </c>
      <c r="L3" s="277"/>
      <c r="M3" s="270" t="s">
        <v>14</v>
      </c>
    </row>
    <row r="4" spans="1:26" ht="38.25">
      <c r="A4" s="271"/>
      <c r="B4" s="271"/>
      <c r="C4" s="271"/>
      <c r="D4" s="273"/>
      <c r="E4" s="77" t="s">
        <v>15</v>
      </c>
      <c r="F4" s="77" t="s">
        <v>16</v>
      </c>
      <c r="G4" s="78" t="s">
        <v>240</v>
      </c>
      <c r="H4" s="77" t="s">
        <v>14</v>
      </c>
      <c r="I4" s="77" t="s">
        <v>240</v>
      </c>
      <c r="J4" s="77" t="s">
        <v>14</v>
      </c>
      <c r="K4" s="77" t="s">
        <v>240</v>
      </c>
      <c r="L4" s="77" t="s">
        <v>14</v>
      </c>
      <c r="M4" s="271"/>
    </row>
    <row r="5" spans="1:26" ht="14.25">
      <c r="A5" s="79">
        <v>1</v>
      </c>
      <c r="B5" s="79">
        <v>2</v>
      </c>
      <c r="C5" s="79">
        <v>3</v>
      </c>
      <c r="D5" s="79">
        <v>4</v>
      </c>
      <c r="E5" s="80">
        <v>5</v>
      </c>
      <c r="F5" s="80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  <c r="L5" s="79">
        <v>12</v>
      </c>
      <c r="M5" s="79">
        <v>13</v>
      </c>
    </row>
    <row r="6" spans="1:26" ht="14.25">
      <c r="A6" s="278" t="s">
        <v>248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80"/>
    </row>
    <row r="7" spans="1:26" s="62" customFormat="1" ht="26.25" customHeight="1">
      <c r="A7" s="81"/>
      <c r="B7" s="82"/>
      <c r="C7" s="64" t="s">
        <v>241</v>
      </c>
      <c r="D7" s="83"/>
      <c r="E7" s="65"/>
      <c r="F7" s="66"/>
      <c r="G7" s="236"/>
      <c r="H7" s="236"/>
      <c r="I7" s="236"/>
      <c r="J7" s="236"/>
      <c r="K7" s="237"/>
      <c r="L7" s="237"/>
      <c r="M7" s="236"/>
    </row>
    <row r="8" spans="1:26" s="63" customFormat="1" ht="36.75" customHeight="1">
      <c r="A8" s="84">
        <v>1</v>
      </c>
      <c r="B8" s="85" t="s">
        <v>242</v>
      </c>
      <c r="C8" s="86" t="s">
        <v>243</v>
      </c>
      <c r="D8" s="85" t="s">
        <v>255</v>
      </c>
      <c r="E8" s="87"/>
      <c r="F8" s="69">
        <f>335*0.3/1000</f>
        <v>0.10050000000000001</v>
      </c>
      <c r="G8" s="238"/>
      <c r="H8" s="238"/>
      <c r="I8" s="238"/>
      <c r="J8" s="238"/>
      <c r="K8" s="234"/>
      <c r="L8" s="234"/>
      <c r="M8" s="235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s="63" customFormat="1" ht="26.25" customHeight="1">
      <c r="A9" s="89">
        <f>A8+0.1</f>
        <v>1.1000000000000001</v>
      </c>
      <c r="B9" s="90">
        <v>13.117000000000001</v>
      </c>
      <c r="C9" s="89" t="s">
        <v>244</v>
      </c>
      <c r="D9" s="89" t="s">
        <v>58</v>
      </c>
      <c r="E9" s="89">
        <v>19.100000000000001</v>
      </c>
      <c r="F9" s="91">
        <f>E9*F8</f>
        <v>1.9195500000000003</v>
      </c>
      <c r="G9" s="234"/>
      <c r="H9" s="234"/>
      <c r="I9" s="234"/>
      <c r="J9" s="234"/>
      <c r="K9" s="234"/>
      <c r="L9" s="239"/>
      <c r="M9" s="239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s="63" customFormat="1" ht="36.75" customHeight="1">
      <c r="A10" s="92">
        <f>A8+1</f>
        <v>2</v>
      </c>
      <c r="B10" s="85" t="s">
        <v>245</v>
      </c>
      <c r="C10" s="86" t="s">
        <v>246</v>
      </c>
      <c r="D10" s="85" t="s">
        <v>256</v>
      </c>
      <c r="E10" s="87"/>
      <c r="F10" s="87">
        <f>F8*10</f>
        <v>1.0050000000000001</v>
      </c>
      <c r="G10" s="238"/>
      <c r="H10" s="238"/>
      <c r="I10" s="238"/>
      <c r="J10" s="238"/>
      <c r="K10" s="234"/>
      <c r="L10" s="234"/>
      <c r="M10" s="235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s="63" customFormat="1" ht="26.25" customHeight="1">
      <c r="A11" s="93">
        <f t="shared" ref="A11:A12" si="0">A10+0.1</f>
        <v>2.1</v>
      </c>
      <c r="B11" s="94"/>
      <c r="C11" s="94" t="s">
        <v>78</v>
      </c>
      <c r="D11" s="91" t="s">
        <v>121</v>
      </c>
      <c r="E11" s="91">
        <v>12.7</v>
      </c>
      <c r="F11" s="88">
        <f>F10*E11</f>
        <v>12.763500000000001</v>
      </c>
      <c r="G11" s="234"/>
      <c r="H11" s="234"/>
      <c r="I11" s="234"/>
      <c r="J11" s="234"/>
      <c r="K11" s="234"/>
      <c r="L11" s="234"/>
      <c r="M11" s="239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s="63" customFormat="1" ht="26.25" customHeight="1">
      <c r="A12" s="93">
        <f t="shared" si="0"/>
        <v>2.2000000000000002</v>
      </c>
      <c r="B12" s="94" t="s">
        <v>258</v>
      </c>
      <c r="C12" s="89" t="s">
        <v>247</v>
      </c>
      <c r="D12" s="89" t="s">
        <v>58</v>
      </c>
      <c r="E12" s="89">
        <v>12.3</v>
      </c>
      <c r="F12" s="91">
        <f>E12*F10</f>
        <v>12.361500000000001</v>
      </c>
      <c r="G12" s="234"/>
      <c r="H12" s="234"/>
      <c r="I12" s="234"/>
      <c r="J12" s="234"/>
      <c r="K12" s="234"/>
      <c r="L12" s="239"/>
      <c r="M12" s="239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24" customHeight="1">
      <c r="A13" s="95" t="s">
        <v>38</v>
      </c>
      <c r="B13" s="96" t="s">
        <v>25</v>
      </c>
      <c r="C13" s="96" t="s">
        <v>39</v>
      </c>
      <c r="D13" s="96" t="s">
        <v>40</v>
      </c>
      <c r="E13" s="96"/>
      <c r="F13" s="96">
        <v>310</v>
      </c>
      <c r="G13" s="240"/>
      <c r="H13" s="240"/>
      <c r="I13" s="240"/>
      <c r="J13" s="240"/>
      <c r="K13" s="240"/>
      <c r="L13" s="240"/>
      <c r="M13" s="24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5.25" customHeight="1">
      <c r="A14" s="95" t="s">
        <v>41</v>
      </c>
      <c r="B14" s="97" t="s">
        <v>25</v>
      </c>
      <c r="C14" s="96" t="s">
        <v>42</v>
      </c>
      <c r="D14" s="96" t="s">
        <v>26</v>
      </c>
      <c r="E14" s="98"/>
      <c r="F14" s="99">
        <v>10</v>
      </c>
      <c r="G14" s="241"/>
      <c r="H14" s="242"/>
      <c r="I14" s="242"/>
      <c r="J14" s="242"/>
      <c r="K14" s="242"/>
      <c r="L14" s="242"/>
      <c r="M14" s="24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customHeight="1">
      <c r="A15" s="102">
        <f>A14+0.1</f>
        <v>12.1</v>
      </c>
      <c r="B15" s="103" t="s">
        <v>27</v>
      </c>
      <c r="C15" s="104" t="s">
        <v>28</v>
      </c>
      <c r="D15" s="104" t="s">
        <v>26</v>
      </c>
      <c r="E15" s="104">
        <v>1</v>
      </c>
      <c r="F15" s="105">
        <f>F14*E15</f>
        <v>10</v>
      </c>
      <c r="G15" s="244"/>
      <c r="H15" s="244"/>
      <c r="I15" s="245"/>
      <c r="J15" s="245"/>
      <c r="K15" s="245"/>
      <c r="L15" s="245"/>
      <c r="M15" s="24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97"/>
      <c r="B16" s="97"/>
      <c r="C16" s="96" t="s">
        <v>43</v>
      </c>
      <c r="D16" s="97"/>
      <c r="E16" s="97"/>
      <c r="F16" s="107"/>
      <c r="G16" s="246"/>
      <c r="H16" s="243"/>
      <c r="I16" s="246"/>
      <c r="J16" s="247"/>
      <c r="K16" s="246"/>
      <c r="L16" s="243"/>
      <c r="M16" s="247"/>
      <c r="N16" s="11">
        <f>SUM(H16:L16)</f>
        <v>0</v>
      </c>
      <c r="O16" s="6"/>
      <c r="P16" s="6"/>
      <c r="Q16" s="6"/>
      <c r="R16" s="6"/>
      <c r="S16" s="11"/>
      <c r="T16" s="6"/>
      <c r="U16" s="11"/>
      <c r="V16" s="6"/>
      <c r="W16" s="6"/>
      <c r="X16" s="6"/>
      <c r="Y16" s="6"/>
      <c r="Z16" s="6"/>
    </row>
    <row r="17" spans="1:26" ht="15.75" customHeight="1">
      <c r="A17" s="100"/>
      <c r="B17" s="100"/>
      <c r="C17" s="100" t="s">
        <v>295</v>
      </c>
      <c r="D17" s="100" t="s">
        <v>0</v>
      </c>
      <c r="E17" s="106"/>
      <c r="F17" s="108"/>
      <c r="G17" s="244"/>
      <c r="H17" s="248"/>
      <c r="I17" s="248"/>
      <c r="J17" s="248"/>
      <c r="K17" s="248"/>
      <c r="L17" s="248"/>
      <c r="M17" s="24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109"/>
      <c r="B18" s="109"/>
      <c r="C18" s="109" t="s">
        <v>7</v>
      </c>
      <c r="D18" s="109" t="s">
        <v>0</v>
      </c>
      <c r="E18" s="99"/>
      <c r="F18" s="98"/>
      <c r="G18" s="241"/>
      <c r="H18" s="249"/>
      <c r="I18" s="249"/>
      <c r="J18" s="249"/>
      <c r="K18" s="249"/>
      <c r="L18" s="249"/>
      <c r="M18" s="24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100"/>
      <c r="B19" s="100"/>
      <c r="C19" s="100" t="s">
        <v>296</v>
      </c>
      <c r="D19" s="100" t="s">
        <v>0</v>
      </c>
      <c r="E19" s="106"/>
      <c r="F19" s="108"/>
      <c r="G19" s="244"/>
      <c r="H19" s="248"/>
      <c r="I19" s="248"/>
      <c r="J19" s="248"/>
      <c r="K19" s="248"/>
      <c r="L19" s="248"/>
      <c r="M19" s="24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110"/>
      <c r="B20" s="110"/>
      <c r="C20" s="110" t="s">
        <v>43</v>
      </c>
      <c r="D20" s="110" t="s">
        <v>0</v>
      </c>
      <c r="E20" s="111"/>
      <c r="F20" s="111"/>
      <c r="G20" s="111"/>
      <c r="H20" s="112"/>
      <c r="I20" s="112"/>
      <c r="J20" s="112"/>
      <c r="K20" s="112"/>
      <c r="L20" s="112"/>
      <c r="M20" s="11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264" t="s">
        <v>44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26" ht="15.7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26" ht="15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26" ht="15.7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13">
    <mergeCell ref="A22:M24"/>
    <mergeCell ref="A1:M1"/>
    <mergeCell ref="A2:D2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6:M6"/>
  </mergeCells>
  <printOptions horizontalCentered="1"/>
  <pageMargins left="0" right="0" top="0.55118110236220474" bottom="0.55118110236220474" header="0" footer="0.19685039370078741"/>
  <pageSetup paperSize="9" scale="85" orientation="landscape" r:id="rId1"/>
  <headerFooter>
    <oddFooter>Страница 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view="pageBreakPreview" zoomScale="80" zoomScaleNormal="100" zoomScaleSheetLayoutView="80" workbookViewId="0">
      <selection activeCell="G9" sqref="G9"/>
    </sheetView>
  </sheetViews>
  <sheetFormatPr defaultColWidth="12.625" defaultRowHeight="15" customHeight="1"/>
  <cols>
    <col min="1" max="1" width="4.875" style="139" customWidth="1"/>
    <col min="2" max="2" width="8.75" style="139" customWidth="1"/>
    <col min="3" max="3" width="31.5" style="139" customWidth="1"/>
    <col min="4" max="4" width="7.875" style="139" customWidth="1"/>
    <col min="5" max="5" width="7.5" style="139" customWidth="1"/>
    <col min="6" max="6" width="9" style="139" customWidth="1"/>
    <col min="7" max="8" width="8.125" style="139" customWidth="1"/>
    <col min="9" max="9" width="5.875" style="139" customWidth="1"/>
    <col min="10" max="10" width="7.5" style="139" customWidth="1"/>
    <col min="11" max="11" width="6" style="139" customWidth="1"/>
    <col min="12" max="12" width="7" style="139" customWidth="1"/>
    <col min="13" max="13" width="12" style="139" customWidth="1"/>
    <col min="14" max="26" width="7.625" customWidth="1"/>
  </cols>
  <sheetData>
    <row r="1" spans="1:26" ht="35.25" customHeight="1">
      <c r="A1" s="266" t="e">
        <f>#REF!</f>
        <v>#REF!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26" ht="13.5" customHeight="1">
      <c r="A2" s="288" t="str">
        <f>მოსამზად!A2</f>
        <v>Sedgenilia 2020 wlis II kvartlis fasebiT</v>
      </c>
      <c r="B2" s="289"/>
      <c r="C2" s="289"/>
      <c r="D2" s="289"/>
      <c r="E2" s="116"/>
      <c r="F2" s="117"/>
      <c r="G2" s="117"/>
      <c r="H2" s="116"/>
      <c r="I2" s="116"/>
      <c r="J2" s="117"/>
      <c r="K2" s="116"/>
      <c r="L2" s="116"/>
      <c r="M2" s="116"/>
    </row>
    <row r="3" spans="1:26" ht="27" customHeight="1">
      <c r="A3" s="285" t="s">
        <v>11</v>
      </c>
      <c r="B3" s="285" t="s">
        <v>12</v>
      </c>
      <c r="C3" s="285" t="s">
        <v>236</v>
      </c>
      <c r="D3" s="285" t="s">
        <v>237</v>
      </c>
      <c r="E3" s="290" t="s">
        <v>13</v>
      </c>
      <c r="F3" s="291"/>
      <c r="G3" s="284" t="s">
        <v>254</v>
      </c>
      <c r="H3" s="283"/>
      <c r="I3" s="284" t="s">
        <v>238</v>
      </c>
      <c r="J3" s="283"/>
      <c r="K3" s="284" t="s">
        <v>239</v>
      </c>
      <c r="L3" s="283"/>
      <c r="M3" s="285" t="s">
        <v>14</v>
      </c>
    </row>
    <row r="4" spans="1:26" ht="22.5" customHeight="1">
      <c r="A4" s="286"/>
      <c r="B4" s="286"/>
      <c r="C4" s="286"/>
      <c r="D4" s="286"/>
      <c r="E4" s="104" t="s">
        <v>15</v>
      </c>
      <c r="F4" s="77" t="s">
        <v>16</v>
      </c>
      <c r="G4" s="78" t="s">
        <v>240</v>
      </c>
      <c r="H4" s="104" t="s">
        <v>14</v>
      </c>
      <c r="I4" s="104" t="s">
        <v>240</v>
      </c>
      <c r="J4" s="77" t="s">
        <v>14</v>
      </c>
      <c r="K4" s="104" t="s">
        <v>240</v>
      </c>
      <c r="L4" s="104" t="s">
        <v>14</v>
      </c>
      <c r="M4" s="286"/>
    </row>
    <row r="5" spans="1:26" ht="21" customHeight="1">
      <c r="A5" s="118">
        <v>1</v>
      </c>
      <c r="B5" s="118">
        <v>2</v>
      </c>
      <c r="C5" s="118">
        <v>3</v>
      </c>
      <c r="D5" s="118">
        <v>4</v>
      </c>
      <c r="E5" s="119">
        <v>5</v>
      </c>
      <c r="F5" s="80">
        <v>6</v>
      </c>
      <c r="G5" s="79">
        <v>7</v>
      </c>
      <c r="H5" s="118">
        <v>8</v>
      </c>
      <c r="I5" s="118">
        <v>9</v>
      </c>
      <c r="J5" s="79">
        <v>10</v>
      </c>
      <c r="K5" s="118">
        <v>11</v>
      </c>
      <c r="L5" s="118">
        <v>12</v>
      </c>
      <c r="M5" s="118">
        <v>13</v>
      </c>
    </row>
    <row r="6" spans="1:26" ht="14.25">
      <c r="A6" s="281" t="s">
        <v>45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26" ht="27">
      <c r="A7" s="109">
        <v>1</v>
      </c>
      <c r="B7" s="96" t="s">
        <v>46</v>
      </c>
      <c r="C7" s="96" t="s">
        <v>47</v>
      </c>
      <c r="D7" s="96" t="s">
        <v>40</v>
      </c>
      <c r="E7" s="120"/>
      <c r="F7" s="97">
        <v>42</v>
      </c>
      <c r="G7" s="246"/>
      <c r="H7" s="243"/>
      <c r="I7" s="246"/>
      <c r="J7" s="243"/>
      <c r="K7" s="246"/>
      <c r="L7" s="243"/>
      <c r="M7" s="24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77">
        <f t="shared" ref="A8:A9" si="0">A7+0.1</f>
        <v>1.1000000000000001</v>
      </c>
      <c r="B8" s="120"/>
      <c r="C8" s="121" t="s">
        <v>30</v>
      </c>
      <c r="D8" s="77" t="s">
        <v>19</v>
      </c>
      <c r="E8" s="122">
        <v>0.216</v>
      </c>
      <c r="F8" s="105">
        <f>E8*F7</f>
        <v>9.0719999999999992</v>
      </c>
      <c r="G8" s="245"/>
      <c r="H8" s="245"/>
      <c r="I8" s="245"/>
      <c r="J8" s="245"/>
      <c r="K8" s="245"/>
      <c r="L8" s="245"/>
      <c r="M8" s="24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40.5">
      <c r="A9" s="77">
        <f t="shared" si="0"/>
        <v>1.2000000000000002</v>
      </c>
      <c r="B9" s="77" t="s">
        <v>294</v>
      </c>
      <c r="C9" s="103" t="s">
        <v>48</v>
      </c>
      <c r="D9" s="77" t="s">
        <v>257</v>
      </c>
      <c r="E9" s="77">
        <v>0.15</v>
      </c>
      <c r="F9" s="104">
        <f>E9*F7</f>
        <v>6.3</v>
      </c>
      <c r="G9" s="245"/>
      <c r="H9" s="244"/>
      <c r="I9" s="250"/>
      <c r="J9" s="245"/>
      <c r="K9" s="250"/>
      <c r="L9" s="245"/>
      <c r="M9" s="25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.75" customHeight="1">
      <c r="A10" s="109">
        <v>2</v>
      </c>
      <c r="B10" s="96" t="s">
        <v>49</v>
      </c>
      <c r="C10" s="96" t="s">
        <v>50</v>
      </c>
      <c r="D10" s="96" t="s">
        <v>40</v>
      </c>
      <c r="E10" s="96"/>
      <c r="F10" s="109">
        <f>F7</f>
        <v>42</v>
      </c>
      <c r="G10" s="241"/>
      <c r="H10" s="241"/>
      <c r="I10" s="240"/>
      <c r="J10" s="241"/>
      <c r="K10" s="240"/>
      <c r="L10" s="241"/>
      <c r="M10" s="24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77">
        <f t="shared" ref="A11" si="1">A10+0.1</f>
        <v>2.1</v>
      </c>
      <c r="B11" s="123" t="s">
        <v>25</v>
      </c>
      <c r="C11" s="77" t="s">
        <v>30</v>
      </c>
      <c r="D11" s="77" t="s">
        <v>51</v>
      </c>
      <c r="E11" s="77">
        <v>1</v>
      </c>
      <c r="F11" s="104">
        <f>F10*E11</f>
        <v>42</v>
      </c>
      <c r="G11" s="252"/>
      <c r="H11" s="253"/>
      <c r="I11" s="254"/>
      <c r="J11" s="244"/>
      <c r="K11" s="253"/>
      <c r="L11" s="253"/>
      <c r="M11" s="24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125">
        <f>A11+0.1</f>
        <v>2.2000000000000002</v>
      </c>
      <c r="B12" s="104"/>
      <c r="C12" s="104" t="s">
        <v>31</v>
      </c>
      <c r="D12" s="104" t="s">
        <v>0</v>
      </c>
      <c r="E12" s="105">
        <v>0.01</v>
      </c>
      <c r="F12" s="105">
        <f>F11*E12</f>
        <v>0.42</v>
      </c>
      <c r="G12" s="252"/>
      <c r="H12" s="253"/>
      <c r="I12" s="254"/>
      <c r="J12" s="244"/>
      <c r="K12" s="253"/>
      <c r="L12" s="253"/>
      <c r="M12" s="24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7">
      <c r="A13" s="77">
        <f>A12+0.1</f>
        <v>2.3000000000000003</v>
      </c>
      <c r="B13" s="126" t="s">
        <v>268</v>
      </c>
      <c r="C13" s="103" t="s">
        <v>52</v>
      </c>
      <c r="D13" s="103" t="s">
        <v>53</v>
      </c>
      <c r="E13" s="103">
        <v>1</v>
      </c>
      <c r="F13" s="106">
        <f>E13*F10</f>
        <v>42</v>
      </c>
      <c r="G13" s="252"/>
      <c r="H13" s="253"/>
      <c r="I13" s="254"/>
      <c r="J13" s="244"/>
      <c r="K13" s="253"/>
      <c r="L13" s="253"/>
      <c r="M13" s="24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77">
        <f>A13+0.1</f>
        <v>2.4000000000000004</v>
      </c>
      <c r="B14" s="103"/>
      <c r="C14" s="103" t="s">
        <v>32</v>
      </c>
      <c r="D14" s="103" t="s">
        <v>0</v>
      </c>
      <c r="E14" s="103">
        <v>0.04</v>
      </c>
      <c r="F14" s="106">
        <f>E14*F10</f>
        <v>1.68</v>
      </c>
      <c r="G14" s="252"/>
      <c r="H14" s="253"/>
      <c r="I14" s="254"/>
      <c r="J14" s="244"/>
      <c r="K14" s="253"/>
      <c r="L14" s="253"/>
      <c r="M14" s="24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40.5">
      <c r="A15" s="109">
        <v>3</v>
      </c>
      <c r="B15" s="96" t="s">
        <v>54</v>
      </c>
      <c r="C15" s="96" t="s">
        <v>55</v>
      </c>
      <c r="D15" s="96" t="s">
        <v>56</v>
      </c>
      <c r="E15" s="96"/>
      <c r="F15" s="99">
        <v>12</v>
      </c>
      <c r="G15" s="252"/>
      <c r="H15" s="253"/>
      <c r="I15" s="254"/>
      <c r="J15" s="244"/>
      <c r="K15" s="253"/>
      <c r="L15" s="253"/>
      <c r="M15" s="24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>
      <c r="A16" s="77">
        <v>3.1</v>
      </c>
      <c r="B16" s="96"/>
      <c r="C16" s="121" t="s">
        <v>30</v>
      </c>
      <c r="D16" s="77" t="s">
        <v>19</v>
      </c>
      <c r="E16" s="122">
        <v>0.72499999999999998</v>
      </c>
      <c r="F16" s="105">
        <f>E16*F15</f>
        <v>8.6999999999999993</v>
      </c>
      <c r="G16" s="245"/>
      <c r="H16" s="245"/>
      <c r="I16" s="245"/>
      <c r="J16" s="245"/>
      <c r="K16" s="245"/>
      <c r="L16" s="245"/>
      <c r="M16" s="24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77">
        <f t="shared" ref="A17:A19" si="2">A16+0.1</f>
        <v>3.2</v>
      </c>
      <c r="B17" s="77">
        <v>13.146000000000001</v>
      </c>
      <c r="C17" s="77" t="s">
        <v>57</v>
      </c>
      <c r="D17" s="77" t="s">
        <v>58</v>
      </c>
      <c r="E17" s="77">
        <v>2.8000000000000001E-2</v>
      </c>
      <c r="F17" s="104">
        <f>E17*F15</f>
        <v>0.33600000000000002</v>
      </c>
      <c r="G17" s="245"/>
      <c r="H17" s="245"/>
      <c r="I17" s="245"/>
      <c r="J17" s="245"/>
      <c r="K17" s="245"/>
      <c r="L17" s="245"/>
      <c r="M17" s="24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77">
        <f t="shared" si="2"/>
        <v>3.3000000000000003</v>
      </c>
      <c r="B18" s="77">
        <v>13.11</v>
      </c>
      <c r="C18" s="77" t="s">
        <v>59</v>
      </c>
      <c r="D18" s="77" t="s">
        <v>58</v>
      </c>
      <c r="E18" s="77">
        <v>2.8000000000000001E-2</v>
      </c>
      <c r="F18" s="104">
        <f>E18*F15</f>
        <v>0.33600000000000002</v>
      </c>
      <c r="G18" s="245"/>
      <c r="H18" s="245"/>
      <c r="I18" s="245"/>
      <c r="J18" s="245"/>
      <c r="K18" s="245"/>
      <c r="L18" s="245"/>
      <c r="M18" s="24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103">
        <f t="shared" si="2"/>
        <v>3.4000000000000004</v>
      </c>
      <c r="B19" s="203" t="s">
        <v>269</v>
      </c>
      <c r="C19" s="103" t="s">
        <v>60</v>
      </c>
      <c r="D19" s="103" t="s">
        <v>61</v>
      </c>
      <c r="E19" s="103">
        <v>0.19</v>
      </c>
      <c r="F19" s="100">
        <f>E19*F15</f>
        <v>2.2800000000000002</v>
      </c>
      <c r="G19" s="245"/>
      <c r="H19" s="245"/>
      <c r="I19" s="245"/>
      <c r="J19" s="245"/>
      <c r="K19" s="245"/>
      <c r="L19" s="245"/>
      <c r="M19" s="24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.75" customHeight="1">
      <c r="A20" s="95" t="s">
        <v>24</v>
      </c>
      <c r="B20" s="96" t="s">
        <v>62</v>
      </c>
      <c r="C20" s="96" t="s">
        <v>63</v>
      </c>
      <c r="D20" s="96" t="s">
        <v>64</v>
      </c>
      <c r="E20" s="98"/>
      <c r="F20" s="99">
        <v>12</v>
      </c>
      <c r="G20" s="245"/>
      <c r="H20" s="245"/>
      <c r="I20" s="245"/>
      <c r="J20" s="245"/>
      <c r="K20" s="245"/>
      <c r="L20" s="245"/>
      <c r="M20" s="24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102">
        <f>A20+0.1</f>
        <v>4.0999999999999996</v>
      </c>
      <c r="B21" s="103"/>
      <c r="C21" s="121" t="s">
        <v>65</v>
      </c>
      <c r="D21" s="121" t="s">
        <v>19</v>
      </c>
      <c r="E21" s="127">
        <v>0.87</v>
      </c>
      <c r="F21" s="105">
        <f>F20*E21</f>
        <v>10.44</v>
      </c>
      <c r="G21" s="245"/>
      <c r="H21" s="245"/>
      <c r="I21" s="245"/>
      <c r="J21" s="245"/>
      <c r="K21" s="245"/>
      <c r="L21" s="245"/>
      <c r="M21" s="24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95" t="s">
        <v>29</v>
      </c>
      <c r="B22" s="96"/>
      <c r="C22" s="96" t="s">
        <v>66</v>
      </c>
      <c r="D22" s="96" t="s">
        <v>26</v>
      </c>
      <c r="E22" s="98"/>
      <c r="F22" s="99">
        <f>F20*1.85</f>
        <v>22.200000000000003</v>
      </c>
      <c r="G22" s="245"/>
      <c r="H22" s="245"/>
      <c r="I22" s="245"/>
      <c r="J22" s="245"/>
      <c r="K22" s="245"/>
      <c r="L22" s="245"/>
      <c r="M22" s="24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128">
        <f>A22+0.1</f>
        <v>5.0999999999999996</v>
      </c>
      <c r="B23" s="77" t="s">
        <v>27</v>
      </c>
      <c r="C23" s="77" t="s">
        <v>67</v>
      </c>
      <c r="D23" s="77" t="s">
        <v>26</v>
      </c>
      <c r="E23" s="77">
        <v>1</v>
      </c>
      <c r="F23" s="105">
        <f>F22*E23</f>
        <v>22.200000000000003</v>
      </c>
      <c r="G23" s="245"/>
      <c r="H23" s="245"/>
      <c r="I23" s="245"/>
      <c r="J23" s="245"/>
      <c r="K23" s="245"/>
      <c r="L23" s="245"/>
      <c r="M23" s="24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1.5" customHeight="1">
      <c r="A24" s="120">
        <v>6</v>
      </c>
      <c r="B24" s="97" t="s">
        <v>68</v>
      </c>
      <c r="C24" s="96" t="s">
        <v>69</v>
      </c>
      <c r="D24" s="109" t="s">
        <v>70</v>
      </c>
      <c r="E24" s="97"/>
      <c r="F24" s="101">
        <f>SUM(F26:F27)</f>
        <v>12</v>
      </c>
      <c r="G24" s="245"/>
      <c r="H24" s="245"/>
      <c r="I24" s="245"/>
      <c r="J24" s="245"/>
      <c r="K24" s="245"/>
      <c r="L24" s="245"/>
      <c r="M24" s="24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77">
        <f t="shared" ref="A25:A27" si="3">A24+0.1</f>
        <v>6.1</v>
      </c>
      <c r="B25" s="129" t="s">
        <v>25</v>
      </c>
      <c r="C25" s="121" t="s">
        <v>30</v>
      </c>
      <c r="D25" s="121" t="s">
        <v>19</v>
      </c>
      <c r="E25" s="122">
        <v>0.10199999999999999</v>
      </c>
      <c r="F25" s="105">
        <f>E25*F24</f>
        <v>1.224</v>
      </c>
      <c r="G25" s="245"/>
      <c r="H25" s="245"/>
      <c r="I25" s="245"/>
      <c r="J25" s="245"/>
      <c r="K25" s="245"/>
      <c r="L25" s="245"/>
      <c r="M25" s="245"/>
      <c r="N25" s="68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77">
        <f t="shared" si="3"/>
        <v>6.1999999999999993</v>
      </c>
      <c r="B26" s="129" t="s">
        <v>25</v>
      </c>
      <c r="C26" s="121" t="s">
        <v>71</v>
      </c>
      <c r="D26" s="100" t="s">
        <v>35</v>
      </c>
      <c r="E26" s="105" t="s">
        <v>72</v>
      </c>
      <c r="F26" s="105">
        <v>10</v>
      </c>
      <c r="G26" s="245"/>
      <c r="H26" s="245"/>
      <c r="I26" s="245"/>
      <c r="J26" s="245"/>
      <c r="K26" s="245"/>
      <c r="L26" s="245"/>
      <c r="M26" s="245"/>
      <c r="N26" s="6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77">
        <f t="shared" si="3"/>
        <v>6.2999999999999989</v>
      </c>
      <c r="B27" s="129" t="s">
        <v>25</v>
      </c>
      <c r="C27" s="121" t="s">
        <v>73</v>
      </c>
      <c r="D27" s="100" t="s">
        <v>35</v>
      </c>
      <c r="E27" s="105" t="s">
        <v>72</v>
      </c>
      <c r="F27" s="105">
        <v>2</v>
      </c>
      <c r="G27" s="245"/>
      <c r="H27" s="245"/>
      <c r="I27" s="245"/>
      <c r="J27" s="245"/>
      <c r="K27" s="245"/>
      <c r="L27" s="245"/>
      <c r="M27" s="245"/>
      <c r="N27" s="6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130"/>
      <c r="B28" s="97"/>
      <c r="C28" s="109" t="s">
        <v>7</v>
      </c>
      <c r="D28" s="109" t="s">
        <v>0</v>
      </c>
      <c r="E28" s="99"/>
      <c r="F28" s="98"/>
      <c r="G28" s="241"/>
      <c r="H28" s="255"/>
      <c r="I28" s="256"/>
      <c r="J28" s="241"/>
      <c r="K28" s="246"/>
      <c r="L28" s="243"/>
      <c r="M28" s="241"/>
      <c r="N28" s="11">
        <f>SUM(H28:L28)</f>
        <v>0</v>
      </c>
      <c r="O28" s="1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100"/>
      <c r="B29" s="100"/>
      <c r="C29" s="100" t="s">
        <v>295</v>
      </c>
      <c r="D29" s="100" t="s">
        <v>0</v>
      </c>
      <c r="E29" s="106"/>
      <c r="F29" s="108"/>
      <c r="G29" s="244"/>
      <c r="H29" s="253"/>
      <c r="I29" s="253"/>
      <c r="J29" s="253"/>
      <c r="K29" s="253"/>
      <c r="L29" s="253"/>
      <c r="M29" s="24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109"/>
      <c r="B30" s="109"/>
      <c r="C30" s="109" t="s">
        <v>7</v>
      </c>
      <c r="D30" s="109" t="s">
        <v>0</v>
      </c>
      <c r="E30" s="99"/>
      <c r="F30" s="98"/>
      <c r="G30" s="241"/>
      <c r="H30" s="256"/>
      <c r="I30" s="256"/>
      <c r="J30" s="256"/>
      <c r="K30" s="256"/>
      <c r="L30" s="256"/>
      <c r="M30" s="24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100"/>
      <c r="B31" s="100"/>
      <c r="C31" s="100" t="s">
        <v>296</v>
      </c>
      <c r="D31" s="100" t="s">
        <v>0</v>
      </c>
      <c r="E31" s="106"/>
      <c r="F31" s="108"/>
      <c r="G31" s="244"/>
      <c r="H31" s="253"/>
      <c r="I31" s="253"/>
      <c r="J31" s="253"/>
      <c r="K31" s="253"/>
      <c r="L31" s="253"/>
      <c r="M31" s="24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110"/>
      <c r="B32" s="110"/>
      <c r="C32" s="110" t="s">
        <v>43</v>
      </c>
      <c r="D32" s="110" t="s">
        <v>0</v>
      </c>
      <c r="E32" s="111"/>
      <c r="F32" s="111"/>
      <c r="G32" s="111"/>
      <c r="H32" s="132"/>
      <c r="I32" s="132"/>
      <c r="J32" s="132"/>
      <c r="K32" s="132"/>
      <c r="L32" s="132"/>
      <c r="M32" s="11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133"/>
      <c r="B33" s="133"/>
      <c r="C33" s="133"/>
      <c r="D33" s="133"/>
      <c r="E33" s="134"/>
      <c r="F33" s="134"/>
      <c r="G33" s="134"/>
      <c r="H33" s="135"/>
      <c r="I33" s="135"/>
      <c r="J33" s="135"/>
      <c r="K33" s="135"/>
      <c r="L33" s="135"/>
      <c r="M33" s="13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133"/>
      <c r="B34" s="133"/>
      <c r="C34" s="133"/>
      <c r="D34" s="133"/>
      <c r="E34" s="134"/>
      <c r="F34" s="134"/>
      <c r="G34" s="134"/>
      <c r="H34" s="135"/>
      <c r="I34" s="135"/>
      <c r="J34" s="135"/>
      <c r="K34" s="135"/>
      <c r="L34" s="135"/>
      <c r="M34" s="13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136"/>
      <c r="B35" s="136"/>
      <c r="C35" s="137" t="s">
        <v>10</v>
      </c>
      <c r="D35" s="138"/>
      <c r="E35" s="136"/>
      <c r="F35" s="136"/>
      <c r="G35" s="136"/>
      <c r="H35" s="136"/>
      <c r="I35" s="136"/>
      <c r="J35" s="136"/>
      <c r="K35" s="136"/>
      <c r="L35" s="136"/>
      <c r="M35" s="13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136"/>
      <c r="B36" s="136"/>
      <c r="C36" s="138"/>
      <c r="D36" s="138"/>
      <c r="E36" s="136"/>
      <c r="F36" s="136"/>
      <c r="G36" s="136"/>
      <c r="H36" s="136"/>
      <c r="I36" s="136"/>
      <c r="J36" s="136"/>
      <c r="K36" s="136"/>
      <c r="L36" s="136"/>
      <c r="M36" s="13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/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2">
    <mergeCell ref="A1:M1"/>
    <mergeCell ref="A2:D2"/>
    <mergeCell ref="A3:A4"/>
    <mergeCell ref="B3:B4"/>
    <mergeCell ref="C3:C4"/>
    <mergeCell ref="D3:D4"/>
    <mergeCell ref="E3:F3"/>
    <mergeCell ref="A6:M6"/>
    <mergeCell ref="G3:H3"/>
    <mergeCell ref="I3:J3"/>
    <mergeCell ref="K3:L3"/>
    <mergeCell ref="M3:M4"/>
  </mergeCells>
  <printOptions horizontalCentered="1"/>
  <pageMargins left="0" right="0" top="0.35433070866141736" bottom="0.35433070866141736" header="0" footer="0.19685039370078741"/>
  <pageSetup paperSize="9" scale="80" orientation="landscape" r:id="rId1"/>
  <headerFooter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view="pageBreakPreview" zoomScale="90" zoomScaleNormal="100" zoomScaleSheetLayoutView="90" workbookViewId="0">
      <selection activeCell="E73" sqref="E73"/>
    </sheetView>
  </sheetViews>
  <sheetFormatPr defaultColWidth="12.625" defaultRowHeight="14.25"/>
  <cols>
    <col min="1" max="1" width="4.875" style="139" customWidth="1"/>
    <col min="2" max="2" width="9.5" style="139" customWidth="1"/>
    <col min="3" max="3" width="41.25" style="139" customWidth="1"/>
    <col min="4" max="4" width="8" style="139" customWidth="1"/>
    <col min="5" max="5" width="9.375" style="139" customWidth="1"/>
    <col min="6" max="6" width="9" style="139" customWidth="1"/>
    <col min="7" max="7" width="7.625" style="139" customWidth="1"/>
    <col min="8" max="8" width="8.875" style="139" customWidth="1"/>
    <col min="9" max="9" width="7.25" style="139" customWidth="1"/>
    <col min="10" max="10" width="7.5" style="139" customWidth="1"/>
    <col min="11" max="11" width="6" style="139" customWidth="1"/>
    <col min="12" max="12" width="7.75" style="139" customWidth="1"/>
    <col min="13" max="13" width="14.5" style="139" customWidth="1"/>
    <col min="14" max="14" width="8.375" customWidth="1"/>
    <col min="15" max="16" width="8" customWidth="1"/>
    <col min="17" max="26" width="7.625" customWidth="1"/>
  </cols>
  <sheetData>
    <row r="1" spans="1:13">
      <c r="A1" s="266" t="e">
        <f>#REF!</f>
        <v>#REF!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>
      <c r="A2" s="288" t="str">
        <f>მოსამზად!A2</f>
        <v>Sedgenilia 2020 wlis II kvartlis fasebiT</v>
      </c>
      <c r="B2" s="289"/>
      <c r="C2" s="289"/>
      <c r="D2" s="289"/>
      <c r="E2" s="116"/>
      <c r="F2" s="117"/>
      <c r="G2" s="117"/>
      <c r="H2" s="116"/>
      <c r="I2" s="116"/>
      <c r="J2" s="117"/>
      <c r="K2" s="116"/>
      <c r="L2" s="116"/>
      <c r="M2" s="116"/>
    </row>
    <row r="3" spans="1:13" ht="28.5" customHeight="1">
      <c r="A3" s="285" t="s">
        <v>11</v>
      </c>
      <c r="B3" s="285" t="s">
        <v>12</v>
      </c>
      <c r="C3" s="285" t="s">
        <v>236</v>
      </c>
      <c r="D3" s="285" t="s">
        <v>237</v>
      </c>
      <c r="E3" s="290" t="s">
        <v>13</v>
      </c>
      <c r="F3" s="291"/>
      <c r="G3" s="284" t="s">
        <v>254</v>
      </c>
      <c r="H3" s="283"/>
      <c r="I3" s="284" t="s">
        <v>238</v>
      </c>
      <c r="J3" s="283"/>
      <c r="K3" s="284" t="s">
        <v>239</v>
      </c>
      <c r="L3" s="283"/>
      <c r="M3" s="285" t="s">
        <v>14</v>
      </c>
    </row>
    <row r="4" spans="1:13" ht="38.25">
      <c r="A4" s="286"/>
      <c r="B4" s="286"/>
      <c r="C4" s="286"/>
      <c r="D4" s="286"/>
      <c r="E4" s="104" t="s">
        <v>15</v>
      </c>
      <c r="F4" s="77" t="s">
        <v>16</v>
      </c>
      <c r="G4" s="78" t="s">
        <v>240</v>
      </c>
      <c r="H4" s="104" t="s">
        <v>14</v>
      </c>
      <c r="I4" s="104" t="s">
        <v>240</v>
      </c>
      <c r="J4" s="77" t="s">
        <v>14</v>
      </c>
      <c r="K4" s="104" t="s">
        <v>240</v>
      </c>
      <c r="L4" s="104" t="s">
        <v>14</v>
      </c>
      <c r="M4" s="286"/>
    </row>
    <row r="5" spans="1:13">
      <c r="A5" s="118">
        <v>1</v>
      </c>
      <c r="B5" s="118">
        <v>2</v>
      </c>
      <c r="C5" s="118">
        <v>3</v>
      </c>
      <c r="D5" s="118">
        <v>4</v>
      </c>
      <c r="E5" s="119">
        <v>5</v>
      </c>
      <c r="F5" s="80">
        <v>6</v>
      </c>
      <c r="G5" s="79">
        <v>7</v>
      </c>
      <c r="H5" s="118">
        <v>8</v>
      </c>
      <c r="I5" s="118">
        <v>9</v>
      </c>
      <c r="J5" s="79">
        <v>10</v>
      </c>
      <c r="K5" s="118">
        <v>11</v>
      </c>
      <c r="L5" s="118">
        <v>12</v>
      </c>
      <c r="M5" s="118">
        <v>13</v>
      </c>
    </row>
    <row r="6" spans="1:13">
      <c r="A6" s="281" t="s">
        <v>93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13" ht="27">
      <c r="A7" s="130">
        <v>1</v>
      </c>
      <c r="B7" s="96" t="s">
        <v>46</v>
      </c>
      <c r="C7" s="96" t="s">
        <v>94</v>
      </c>
      <c r="D7" s="96" t="s">
        <v>95</v>
      </c>
      <c r="E7" s="98"/>
      <c r="F7" s="99">
        <v>310</v>
      </c>
      <c r="G7" s="243"/>
      <c r="H7" s="243"/>
      <c r="I7" s="257"/>
      <c r="J7" s="257"/>
      <c r="K7" s="257"/>
      <c r="L7" s="257"/>
      <c r="M7" s="258"/>
    </row>
    <row r="8" spans="1:13">
      <c r="A8" s="141">
        <v>1.1000000000000001</v>
      </c>
      <c r="B8" s="96"/>
      <c r="C8" s="103" t="s">
        <v>18</v>
      </c>
      <c r="D8" s="103" t="s">
        <v>19</v>
      </c>
      <c r="E8" s="108">
        <v>0.216</v>
      </c>
      <c r="F8" s="142">
        <f>F7*E8</f>
        <v>66.959999999999994</v>
      </c>
      <c r="G8" s="242"/>
      <c r="H8" s="259"/>
      <c r="I8" s="245"/>
      <c r="J8" s="244"/>
      <c r="K8" s="242"/>
      <c r="L8" s="242"/>
      <c r="M8" s="244"/>
    </row>
    <row r="9" spans="1:13" ht="27">
      <c r="A9" s="144">
        <v>2</v>
      </c>
      <c r="B9" s="95" t="s">
        <v>74</v>
      </c>
      <c r="C9" s="96" t="s">
        <v>75</v>
      </c>
      <c r="D9" s="96" t="s">
        <v>21</v>
      </c>
      <c r="E9" s="98"/>
      <c r="F9" s="145">
        <v>0.18</v>
      </c>
      <c r="G9" s="241"/>
      <c r="H9" s="240"/>
      <c r="I9" s="240"/>
      <c r="J9" s="240"/>
      <c r="K9" s="240"/>
      <c r="L9" s="240"/>
      <c r="M9" s="241"/>
    </row>
    <row r="10" spans="1:13">
      <c r="A10" s="143">
        <f>A9+0.1</f>
        <v>2.1</v>
      </c>
      <c r="B10" s="102"/>
      <c r="C10" s="103" t="s">
        <v>18</v>
      </c>
      <c r="D10" s="103" t="s">
        <v>19</v>
      </c>
      <c r="E10" s="108">
        <v>206</v>
      </c>
      <c r="F10" s="142">
        <f>F9*E10</f>
        <v>37.08</v>
      </c>
      <c r="G10" s="242"/>
      <c r="H10" s="259"/>
      <c r="I10" s="245"/>
      <c r="J10" s="244"/>
      <c r="K10" s="242"/>
      <c r="L10" s="242"/>
      <c r="M10" s="244"/>
    </row>
    <row r="11" spans="1:13" ht="25.5">
      <c r="A11" s="146" t="s">
        <v>22</v>
      </c>
      <c r="B11" s="95" t="s">
        <v>96</v>
      </c>
      <c r="C11" s="120" t="s">
        <v>97</v>
      </c>
      <c r="D11" s="120" t="s">
        <v>21</v>
      </c>
      <c r="E11" s="140"/>
      <c r="F11" s="145">
        <v>1.17</v>
      </c>
      <c r="G11" s="243"/>
      <c r="H11" s="243"/>
      <c r="I11" s="253"/>
      <c r="J11" s="253"/>
      <c r="K11" s="253"/>
      <c r="L11" s="253"/>
      <c r="M11" s="243"/>
    </row>
    <row r="12" spans="1:13">
      <c r="A12" s="128">
        <f t="shared" ref="A12:A13" si="0">A11+0.1</f>
        <v>3.1</v>
      </c>
      <c r="B12" s="120"/>
      <c r="C12" s="121" t="s">
        <v>65</v>
      </c>
      <c r="D12" s="121" t="s">
        <v>19</v>
      </c>
      <c r="E12" s="127">
        <f>9.96/1000</f>
        <v>9.9600000000000001E-3</v>
      </c>
      <c r="F12" s="105">
        <f>E12*F11</f>
        <v>1.1653199999999999E-2</v>
      </c>
      <c r="G12" s="253"/>
      <c r="H12" s="253"/>
      <c r="I12" s="245"/>
      <c r="J12" s="245"/>
      <c r="K12" s="253"/>
      <c r="L12" s="253"/>
      <c r="M12" s="245"/>
    </row>
    <row r="13" spans="1:13">
      <c r="A13" s="102">
        <f t="shared" si="0"/>
        <v>3.2</v>
      </c>
      <c r="B13" s="148" t="s">
        <v>270</v>
      </c>
      <c r="C13" s="77" t="s">
        <v>98</v>
      </c>
      <c r="D13" s="77" t="s">
        <v>0</v>
      </c>
      <c r="E13" s="121">
        <f>22.3/1000</f>
        <v>2.23E-2</v>
      </c>
      <c r="F13" s="105">
        <f>E13*F11</f>
        <v>2.6091E-2</v>
      </c>
      <c r="G13" s="244"/>
      <c r="H13" s="244"/>
      <c r="I13" s="245"/>
      <c r="J13" s="245"/>
      <c r="K13" s="245"/>
      <c r="L13" s="245"/>
      <c r="M13" s="245"/>
    </row>
    <row r="14" spans="1:13" ht="40.5">
      <c r="A14" s="95" t="s">
        <v>24</v>
      </c>
      <c r="B14" s="96" t="s">
        <v>99</v>
      </c>
      <c r="C14" s="96" t="s">
        <v>100</v>
      </c>
      <c r="D14" s="96" t="s">
        <v>64</v>
      </c>
      <c r="E14" s="149"/>
      <c r="F14" s="99">
        <f>F11*100</f>
        <v>117</v>
      </c>
      <c r="G14" s="241"/>
      <c r="H14" s="242"/>
      <c r="I14" s="242"/>
      <c r="J14" s="242"/>
      <c r="K14" s="242"/>
      <c r="L14" s="242"/>
      <c r="M14" s="243"/>
    </row>
    <row r="15" spans="1:13">
      <c r="A15" s="102">
        <f t="shared" ref="A15:A18" si="1">A14+0.1</f>
        <v>4.0999999999999996</v>
      </c>
      <c r="B15" s="96"/>
      <c r="C15" s="121" t="s">
        <v>65</v>
      </c>
      <c r="D15" s="121" t="s">
        <v>19</v>
      </c>
      <c r="E15" s="127">
        <f>15.5/1000</f>
        <v>1.55E-2</v>
      </c>
      <c r="F15" s="105">
        <f>F14*E15</f>
        <v>1.8134999999999999</v>
      </c>
      <c r="G15" s="244"/>
      <c r="H15" s="244"/>
      <c r="I15" s="244"/>
      <c r="J15" s="245"/>
      <c r="K15" s="245"/>
      <c r="L15" s="245"/>
      <c r="M15" s="245"/>
    </row>
    <row r="16" spans="1:13">
      <c r="A16" s="102">
        <f t="shared" si="1"/>
        <v>4.1999999999999993</v>
      </c>
      <c r="B16" s="100" t="s">
        <v>271</v>
      </c>
      <c r="C16" s="77" t="s">
        <v>101</v>
      </c>
      <c r="D16" s="77" t="s">
        <v>58</v>
      </c>
      <c r="E16" s="127">
        <f>34.7/1000</f>
        <v>3.4700000000000002E-2</v>
      </c>
      <c r="F16" s="105">
        <f>E16*F14</f>
        <v>4.0598999999999998</v>
      </c>
      <c r="G16" s="244"/>
      <c r="H16" s="244"/>
      <c r="I16" s="245"/>
      <c r="J16" s="245"/>
      <c r="K16" s="245"/>
      <c r="L16" s="245"/>
      <c r="M16" s="245"/>
    </row>
    <row r="17" spans="1:14">
      <c r="A17" s="102">
        <f t="shared" si="1"/>
        <v>4.2999999999999989</v>
      </c>
      <c r="B17" s="96"/>
      <c r="C17" s="77" t="s">
        <v>79</v>
      </c>
      <c r="D17" s="77" t="s">
        <v>0</v>
      </c>
      <c r="E17" s="127">
        <f>2.09/1000</f>
        <v>2.0899999999999998E-3</v>
      </c>
      <c r="F17" s="105">
        <f>E17*F14</f>
        <v>0.24452999999999997</v>
      </c>
      <c r="G17" s="244"/>
      <c r="H17" s="244"/>
      <c r="I17" s="245"/>
      <c r="J17" s="245"/>
      <c r="K17" s="245"/>
      <c r="L17" s="245"/>
      <c r="M17" s="245"/>
    </row>
    <row r="18" spans="1:14">
      <c r="A18" s="102">
        <f t="shared" si="1"/>
        <v>4.3999999999999986</v>
      </c>
      <c r="B18" s="100" t="s">
        <v>272</v>
      </c>
      <c r="C18" s="77" t="s">
        <v>102</v>
      </c>
      <c r="D18" s="77" t="s">
        <v>64</v>
      </c>
      <c r="E18" s="150">
        <f>0.04/1000</f>
        <v>4.0000000000000003E-5</v>
      </c>
      <c r="F18" s="151">
        <f>F14*E18</f>
        <v>4.6800000000000001E-3</v>
      </c>
      <c r="G18" s="244"/>
      <c r="H18" s="244"/>
      <c r="I18" s="245"/>
      <c r="J18" s="245"/>
      <c r="K18" s="245"/>
      <c r="L18" s="245"/>
      <c r="M18" s="245"/>
    </row>
    <row r="19" spans="1:14" ht="27">
      <c r="A19" s="95" t="s">
        <v>29</v>
      </c>
      <c r="B19" s="96" t="s">
        <v>62</v>
      </c>
      <c r="C19" s="96" t="s">
        <v>63</v>
      </c>
      <c r="D19" s="96" t="s">
        <v>92</v>
      </c>
      <c r="E19" s="98"/>
      <c r="F19" s="99">
        <f>F9*100</f>
        <v>18</v>
      </c>
      <c r="G19" s="241"/>
      <c r="H19" s="242"/>
      <c r="I19" s="242"/>
      <c r="J19" s="242"/>
      <c r="K19" s="242"/>
      <c r="L19" s="242"/>
      <c r="M19" s="243"/>
    </row>
    <row r="20" spans="1:14">
      <c r="A20" s="102">
        <f>A19+0.1</f>
        <v>5.0999999999999996</v>
      </c>
      <c r="B20" s="103"/>
      <c r="C20" s="105" t="s">
        <v>65</v>
      </c>
      <c r="D20" s="105" t="s">
        <v>19</v>
      </c>
      <c r="E20" s="151">
        <v>0.87</v>
      </c>
      <c r="F20" s="105">
        <f>F19*E20</f>
        <v>15.66</v>
      </c>
      <c r="G20" s="242"/>
      <c r="H20" s="242"/>
      <c r="I20" s="245"/>
      <c r="J20" s="245"/>
      <c r="K20" s="245"/>
      <c r="L20" s="245"/>
      <c r="M20" s="245"/>
    </row>
    <row r="21" spans="1:14" ht="40.5">
      <c r="A21" s="95" t="s">
        <v>33</v>
      </c>
      <c r="B21" s="28" t="s">
        <v>252</v>
      </c>
      <c r="C21" s="96" t="s">
        <v>66</v>
      </c>
      <c r="D21" s="96" t="s">
        <v>26</v>
      </c>
      <c r="E21" s="98"/>
      <c r="F21" s="99">
        <f>(F19+F14)*1.85</f>
        <v>249.75</v>
      </c>
      <c r="G21" s="241"/>
      <c r="H21" s="242"/>
      <c r="I21" s="242"/>
      <c r="J21" s="242"/>
      <c r="K21" s="242"/>
      <c r="L21" s="242"/>
      <c r="M21" s="243"/>
    </row>
    <row r="22" spans="1:14">
      <c r="A22" s="102">
        <f>A21+0.1</f>
        <v>6.1</v>
      </c>
      <c r="B22" s="102" t="s">
        <v>253</v>
      </c>
      <c r="C22" s="104" t="s">
        <v>28</v>
      </c>
      <c r="D22" s="104" t="s">
        <v>26</v>
      </c>
      <c r="E22" s="104">
        <v>1</v>
      </c>
      <c r="F22" s="105">
        <f>F21*E22</f>
        <v>249.75</v>
      </c>
      <c r="G22" s="244"/>
      <c r="H22" s="244"/>
      <c r="I22" s="245"/>
      <c r="J22" s="245"/>
      <c r="K22" s="245"/>
      <c r="L22" s="245"/>
      <c r="M22" s="245"/>
    </row>
    <row r="23" spans="1:14" ht="27">
      <c r="A23" s="130">
        <v>7</v>
      </c>
      <c r="B23" s="109" t="s">
        <v>109</v>
      </c>
      <c r="C23" s="109" t="s">
        <v>110</v>
      </c>
      <c r="D23" s="109" t="s">
        <v>64</v>
      </c>
      <c r="E23" s="99"/>
      <c r="F23" s="99">
        <v>58.6</v>
      </c>
      <c r="G23" s="244"/>
      <c r="H23" s="244"/>
      <c r="I23" s="245"/>
      <c r="J23" s="245"/>
      <c r="K23" s="245"/>
      <c r="L23" s="245"/>
      <c r="M23" s="245"/>
    </row>
    <row r="24" spans="1:14">
      <c r="A24" s="141">
        <f t="shared" ref="A24:A29" si="2">A23+0.1</f>
        <v>7.1</v>
      </c>
      <c r="B24" s="100"/>
      <c r="C24" s="103" t="s">
        <v>87</v>
      </c>
      <c r="D24" s="103" t="s">
        <v>19</v>
      </c>
      <c r="E24" s="152">
        <f>15/100</f>
        <v>0.15</v>
      </c>
      <c r="F24" s="106">
        <f>E24*F23</f>
        <v>8.7899999999999991</v>
      </c>
      <c r="G24" s="244"/>
      <c r="H24" s="244"/>
      <c r="I24" s="245"/>
      <c r="J24" s="245"/>
      <c r="K24" s="245"/>
      <c r="L24" s="245"/>
      <c r="M24" s="245"/>
    </row>
    <row r="25" spans="1:14">
      <c r="A25" s="100">
        <f t="shared" si="2"/>
        <v>7.1999999999999993</v>
      </c>
      <c r="B25" s="148" t="s">
        <v>273</v>
      </c>
      <c r="C25" s="103" t="s">
        <v>111</v>
      </c>
      <c r="D25" s="103" t="s">
        <v>58</v>
      </c>
      <c r="E25" s="152">
        <f>2.16/100</f>
        <v>2.1600000000000001E-2</v>
      </c>
      <c r="F25" s="106">
        <f>E25*F23</f>
        <v>1.26576</v>
      </c>
      <c r="G25" s="244"/>
      <c r="H25" s="244"/>
      <c r="I25" s="245"/>
      <c r="J25" s="245"/>
      <c r="K25" s="245"/>
      <c r="L25" s="245"/>
      <c r="M25" s="245"/>
    </row>
    <row r="26" spans="1:14">
      <c r="A26" s="100">
        <f t="shared" si="2"/>
        <v>7.2999999999999989</v>
      </c>
      <c r="B26" s="100" t="s">
        <v>274</v>
      </c>
      <c r="C26" s="103" t="s">
        <v>112</v>
      </c>
      <c r="D26" s="103" t="s">
        <v>58</v>
      </c>
      <c r="E26" s="152">
        <f>2.73/100</f>
        <v>2.7300000000000001E-2</v>
      </c>
      <c r="F26" s="106">
        <f>E26*F23</f>
        <v>1.5997800000000002</v>
      </c>
      <c r="G26" s="244"/>
      <c r="H26" s="244"/>
      <c r="I26" s="245"/>
      <c r="J26" s="245"/>
      <c r="K26" s="245"/>
      <c r="L26" s="245"/>
      <c r="M26" s="245"/>
    </row>
    <row r="27" spans="1:14">
      <c r="A27" s="100">
        <f t="shared" si="2"/>
        <v>7.3999999999999986</v>
      </c>
      <c r="B27" s="100">
        <v>13.201000000000001</v>
      </c>
      <c r="C27" s="103" t="s">
        <v>113</v>
      </c>
      <c r="D27" s="103" t="s">
        <v>114</v>
      </c>
      <c r="E27" s="153">
        <f>0.97/100</f>
        <v>9.7000000000000003E-3</v>
      </c>
      <c r="F27" s="106">
        <f>F23*E27</f>
        <v>0.56842000000000004</v>
      </c>
      <c r="G27" s="244"/>
      <c r="H27" s="244"/>
      <c r="I27" s="245"/>
      <c r="J27" s="245"/>
      <c r="K27" s="245"/>
      <c r="L27" s="245"/>
      <c r="M27" s="245"/>
    </row>
    <row r="28" spans="1:14">
      <c r="A28" s="100">
        <f t="shared" si="2"/>
        <v>7.4999999999999982</v>
      </c>
      <c r="B28" s="100" t="s">
        <v>275</v>
      </c>
      <c r="C28" s="77" t="s">
        <v>115</v>
      </c>
      <c r="D28" s="77" t="s">
        <v>64</v>
      </c>
      <c r="E28" s="121">
        <v>1.22</v>
      </c>
      <c r="F28" s="105">
        <f>E28*F23</f>
        <v>71.492000000000004</v>
      </c>
      <c r="G28" s="244"/>
      <c r="H28" s="244"/>
      <c r="I28" s="245"/>
      <c r="J28" s="245"/>
      <c r="K28" s="245"/>
      <c r="L28" s="245"/>
      <c r="M28" s="245"/>
    </row>
    <row r="29" spans="1:14">
      <c r="A29" s="100">
        <f t="shared" si="2"/>
        <v>7.5999999999999979</v>
      </c>
      <c r="B29" s="100"/>
      <c r="C29" s="103" t="s">
        <v>88</v>
      </c>
      <c r="D29" s="103" t="s">
        <v>64</v>
      </c>
      <c r="E29" s="152">
        <f>7/100</f>
        <v>7.0000000000000007E-2</v>
      </c>
      <c r="F29" s="106">
        <f>E29*F23</f>
        <v>4.1020000000000003</v>
      </c>
      <c r="G29" s="244"/>
      <c r="H29" s="244"/>
      <c r="I29" s="245"/>
      <c r="J29" s="245"/>
      <c r="K29" s="245"/>
      <c r="L29" s="245"/>
      <c r="M29" s="245"/>
    </row>
    <row r="30" spans="1:14" ht="27">
      <c r="A30" s="130">
        <v>8</v>
      </c>
      <c r="B30" s="109" t="s">
        <v>109</v>
      </c>
      <c r="C30" s="96" t="s">
        <v>116</v>
      </c>
      <c r="D30" s="96" t="s">
        <v>64</v>
      </c>
      <c r="E30" s="98"/>
      <c r="F30" s="99">
        <v>29.3</v>
      </c>
      <c r="G30" s="244"/>
      <c r="H30" s="244"/>
      <c r="I30" s="245"/>
      <c r="J30" s="245"/>
      <c r="K30" s="245"/>
      <c r="L30" s="245"/>
      <c r="M30" s="245"/>
    </row>
    <row r="31" spans="1:14">
      <c r="A31" s="141">
        <f t="shared" ref="A31:A36" si="3">A30+0.1</f>
        <v>8.1</v>
      </c>
      <c r="B31" s="100"/>
      <c r="C31" s="103" t="s">
        <v>87</v>
      </c>
      <c r="D31" s="103" t="s">
        <v>19</v>
      </c>
      <c r="E31" s="152">
        <f>15/100</f>
        <v>0.15</v>
      </c>
      <c r="F31" s="106">
        <f>E31*F30</f>
        <v>4.3949999999999996</v>
      </c>
      <c r="G31" s="244"/>
      <c r="H31" s="244"/>
      <c r="I31" s="245"/>
      <c r="J31" s="245"/>
      <c r="K31" s="245"/>
      <c r="L31" s="245"/>
      <c r="M31" s="245"/>
    </row>
    <row r="32" spans="1:14" ht="15">
      <c r="A32" s="100">
        <f t="shared" si="3"/>
        <v>8.1999999999999993</v>
      </c>
      <c r="B32" s="148" t="s">
        <v>273</v>
      </c>
      <c r="C32" s="103" t="s">
        <v>111</v>
      </c>
      <c r="D32" s="103" t="s">
        <v>58</v>
      </c>
      <c r="E32" s="152">
        <f>2.16/100</f>
        <v>2.1600000000000001E-2</v>
      </c>
      <c r="F32" s="106">
        <f>E32*F30</f>
        <v>0.63288</v>
      </c>
      <c r="G32" s="244"/>
      <c r="H32" s="244"/>
      <c r="I32" s="245"/>
      <c r="J32" s="245"/>
      <c r="K32" s="245"/>
      <c r="L32" s="245"/>
      <c r="M32" s="245"/>
      <c r="N32" s="12"/>
    </row>
    <row r="33" spans="1:26" ht="15">
      <c r="A33" s="100">
        <f t="shared" si="3"/>
        <v>8.2999999999999989</v>
      </c>
      <c r="B33" s="100" t="s">
        <v>274</v>
      </c>
      <c r="C33" s="103" t="s">
        <v>112</v>
      </c>
      <c r="D33" s="103" t="s">
        <v>58</v>
      </c>
      <c r="E33" s="152">
        <f>2.73/100</f>
        <v>2.7300000000000001E-2</v>
      </c>
      <c r="F33" s="106">
        <f>E33*F30</f>
        <v>0.7998900000000001</v>
      </c>
      <c r="G33" s="244"/>
      <c r="H33" s="244"/>
      <c r="I33" s="245"/>
      <c r="J33" s="245"/>
      <c r="K33" s="245"/>
      <c r="L33" s="245"/>
      <c r="M33" s="245"/>
      <c r="N33" s="12"/>
    </row>
    <row r="34" spans="1:26">
      <c r="A34" s="100">
        <f t="shared" si="3"/>
        <v>8.3999999999999986</v>
      </c>
      <c r="B34" s="100">
        <v>13.201000000000001</v>
      </c>
      <c r="C34" s="103" t="s">
        <v>113</v>
      </c>
      <c r="D34" s="103" t="s">
        <v>114</v>
      </c>
      <c r="E34" s="153">
        <f>0.97/100</f>
        <v>9.7000000000000003E-3</v>
      </c>
      <c r="F34" s="106">
        <f>F30*E34</f>
        <v>0.28421000000000002</v>
      </c>
      <c r="G34" s="244"/>
      <c r="H34" s="244"/>
      <c r="I34" s="245"/>
      <c r="J34" s="245"/>
      <c r="K34" s="245"/>
      <c r="L34" s="245"/>
      <c r="M34" s="245"/>
    </row>
    <row r="35" spans="1:26">
      <c r="A35" s="100">
        <f t="shared" si="3"/>
        <v>8.4999999999999982</v>
      </c>
      <c r="B35" s="100" t="s">
        <v>276</v>
      </c>
      <c r="C35" s="77" t="s">
        <v>117</v>
      </c>
      <c r="D35" s="77" t="s">
        <v>64</v>
      </c>
      <c r="E35" s="121">
        <v>1.22</v>
      </c>
      <c r="F35" s="105">
        <f>E35*F30</f>
        <v>35.746000000000002</v>
      </c>
      <c r="G35" s="244"/>
      <c r="H35" s="244"/>
      <c r="I35" s="245"/>
      <c r="J35" s="245"/>
      <c r="K35" s="245"/>
      <c r="L35" s="245"/>
      <c r="M35" s="245"/>
    </row>
    <row r="36" spans="1:26">
      <c r="A36" s="100">
        <f t="shared" si="3"/>
        <v>8.5999999999999979</v>
      </c>
      <c r="B36" s="100"/>
      <c r="C36" s="103" t="s">
        <v>88</v>
      </c>
      <c r="D36" s="103" t="s">
        <v>64</v>
      </c>
      <c r="E36" s="152">
        <f>7/100</f>
        <v>7.0000000000000007E-2</v>
      </c>
      <c r="F36" s="106">
        <f>E36*F30</f>
        <v>2.0510000000000002</v>
      </c>
      <c r="G36" s="244"/>
      <c r="H36" s="244"/>
      <c r="I36" s="245"/>
      <c r="J36" s="245"/>
      <c r="K36" s="245"/>
      <c r="L36" s="245"/>
      <c r="M36" s="245"/>
    </row>
    <row r="37" spans="1:26" ht="40.5">
      <c r="A37" s="109">
        <v>9</v>
      </c>
      <c r="B37" s="96" t="s">
        <v>118</v>
      </c>
      <c r="C37" s="109" t="s">
        <v>119</v>
      </c>
      <c r="D37" s="109" t="s">
        <v>81</v>
      </c>
      <c r="E37" s="109"/>
      <c r="F37" s="99">
        <f>(F40+F41)/100</f>
        <v>2.0099999999999998</v>
      </c>
      <c r="G37" s="244"/>
      <c r="H37" s="244"/>
      <c r="I37" s="245"/>
      <c r="J37" s="245"/>
      <c r="K37" s="245"/>
      <c r="L37" s="245"/>
      <c r="M37" s="245"/>
    </row>
    <row r="38" spans="1:26">
      <c r="A38" s="77">
        <f t="shared" ref="A38:A44" si="4">A37+0.1</f>
        <v>9.1</v>
      </c>
      <c r="B38" s="100"/>
      <c r="C38" s="104" t="s">
        <v>120</v>
      </c>
      <c r="D38" s="104" t="s">
        <v>121</v>
      </c>
      <c r="E38" s="105">
        <v>74</v>
      </c>
      <c r="F38" s="105">
        <f>E38*F37</f>
        <v>148.73999999999998</v>
      </c>
      <c r="G38" s="244"/>
      <c r="H38" s="244"/>
      <c r="I38" s="245"/>
      <c r="J38" s="245"/>
      <c r="K38" s="245"/>
      <c r="L38" s="245"/>
      <c r="M38" s="245"/>
    </row>
    <row r="39" spans="1:26" ht="15">
      <c r="A39" s="100">
        <f t="shared" si="4"/>
        <v>9.1999999999999993</v>
      </c>
      <c r="B39" s="148"/>
      <c r="C39" s="103" t="s">
        <v>122</v>
      </c>
      <c r="D39" s="103" t="s">
        <v>58</v>
      </c>
      <c r="E39" s="152">
        <v>0.71</v>
      </c>
      <c r="F39" s="106">
        <f>E39*F37</f>
        <v>1.4270999999999998</v>
      </c>
      <c r="G39" s="244"/>
      <c r="H39" s="244"/>
      <c r="I39" s="245"/>
      <c r="J39" s="245"/>
      <c r="K39" s="245"/>
      <c r="L39" s="245"/>
      <c r="M39" s="245"/>
      <c r="N39" s="12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>
      <c r="A40" s="100">
        <f t="shared" si="4"/>
        <v>9.2999999999999989</v>
      </c>
      <c r="B40" s="100" t="s">
        <v>277</v>
      </c>
      <c r="C40" s="100" t="s">
        <v>123</v>
      </c>
      <c r="D40" s="100" t="s">
        <v>23</v>
      </c>
      <c r="E40" s="106" t="s">
        <v>72</v>
      </c>
      <c r="F40" s="106">
        <v>66</v>
      </c>
      <c r="G40" s="244"/>
      <c r="H40" s="244"/>
      <c r="I40" s="245"/>
      <c r="J40" s="245"/>
      <c r="K40" s="245"/>
      <c r="L40" s="245"/>
      <c r="M40" s="245"/>
    </row>
    <row r="41" spans="1:26">
      <c r="A41" s="100">
        <f t="shared" si="4"/>
        <v>9.3999999999999986</v>
      </c>
      <c r="B41" s="100" t="s">
        <v>278</v>
      </c>
      <c r="C41" s="100" t="s">
        <v>124</v>
      </c>
      <c r="D41" s="100" t="s">
        <v>23</v>
      </c>
      <c r="E41" s="106" t="s">
        <v>72</v>
      </c>
      <c r="F41" s="106">
        <v>135</v>
      </c>
      <c r="G41" s="244"/>
      <c r="H41" s="244"/>
      <c r="I41" s="245"/>
      <c r="J41" s="245"/>
      <c r="K41" s="245"/>
      <c r="L41" s="245"/>
      <c r="M41" s="245"/>
    </row>
    <row r="42" spans="1:26">
      <c r="A42" s="100">
        <f t="shared" si="4"/>
        <v>9.4999999999999982</v>
      </c>
      <c r="B42" s="100" t="s">
        <v>279</v>
      </c>
      <c r="C42" s="100" t="s">
        <v>125</v>
      </c>
      <c r="D42" s="100" t="s">
        <v>126</v>
      </c>
      <c r="E42" s="106">
        <v>2</v>
      </c>
      <c r="F42" s="106">
        <f>E42*F37</f>
        <v>4.0199999999999996</v>
      </c>
      <c r="G42" s="244"/>
      <c r="H42" s="244"/>
      <c r="I42" s="245"/>
      <c r="J42" s="245"/>
      <c r="K42" s="245"/>
      <c r="L42" s="245"/>
      <c r="M42" s="245"/>
    </row>
    <row r="43" spans="1:26">
      <c r="A43" s="100">
        <f t="shared" si="4"/>
        <v>9.5999999999999979</v>
      </c>
      <c r="B43" s="100" t="s">
        <v>275</v>
      </c>
      <c r="C43" s="104" t="s">
        <v>115</v>
      </c>
      <c r="D43" s="104" t="s">
        <v>64</v>
      </c>
      <c r="E43" s="105">
        <v>2</v>
      </c>
      <c r="F43" s="105">
        <f>E43*F37</f>
        <v>4.0199999999999996</v>
      </c>
      <c r="G43" s="244"/>
      <c r="H43" s="244"/>
      <c r="I43" s="245"/>
      <c r="J43" s="245"/>
      <c r="K43" s="245"/>
      <c r="L43" s="245"/>
      <c r="M43" s="245"/>
    </row>
    <row r="44" spans="1:26">
      <c r="A44" s="100">
        <f t="shared" si="4"/>
        <v>9.6999999999999975</v>
      </c>
      <c r="B44" s="100"/>
      <c r="C44" s="100" t="s">
        <v>90</v>
      </c>
      <c r="D44" s="100" t="s">
        <v>0</v>
      </c>
      <c r="E44" s="106">
        <v>9.6</v>
      </c>
      <c r="F44" s="106">
        <f>E44*F37</f>
        <v>19.295999999999996</v>
      </c>
      <c r="G44" s="244"/>
      <c r="H44" s="244"/>
      <c r="I44" s="245"/>
      <c r="J44" s="245"/>
      <c r="K44" s="245"/>
      <c r="L44" s="245"/>
      <c r="M44" s="245"/>
    </row>
    <row r="45" spans="1:26" s="26" customFormat="1">
      <c r="A45" s="61">
        <v>10</v>
      </c>
      <c r="B45" s="27" t="s">
        <v>25</v>
      </c>
      <c r="C45" s="27" t="s">
        <v>232</v>
      </c>
      <c r="D45" s="27" t="s">
        <v>23</v>
      </c>
      <c r="E45" s="53" t="s">
        <v>72</v>
      </c>
      <c r="F45" s="30">
        <v>19</v>
      </c>
      <c r="G45" s="52"/>
      <c r="H45" s="52"/>
      <c r="I45" s="260"/>
      <c r="J45" s="260"/>
      <c r="K45" s="260"/>
      <c r="L45" s="260"/>
      <c r="M45" s="260"/>
    </row>
    <row r="46" spans="1:26" ht="51">
      <c r="A46" s="130">
        <v>11</v>
      </c>
      <c r="B46" s="97" t="s">
        <v>210</v>
      </c>
      <c r="C46" s="97" t="s">
        <v>211</v>
      </c>
      <c r="D46" s="97" t="s">
        <v>155</v>
      </c>
      <c r="E46" s="101"/>
      <c r="F46" s="101">
        <v>0.34799999999999998</v>
      </c>
      <c r="G46" s="243"/>
      <c r="H46" s="261"/>
      <c r="I46" s="261"/>
      <c r="J46" s="261"/>
      <c r="K46" s="261"/>
      <c r="L46" s="261"/>
      <c r="M46" s="243"/>
      <c r="N46" s="19"/>
    </row>
    <row r="47" spans="1:26">
      <c r="A47" s="141">
        <f t="shared" ref="A47:A50" si="5">A46+0.1</f>
        <v>11.1</v>
      </c>
      <c r="B47" s="104"/>
      <c r="C47" s="104" t="s">
        <v>65</v>
      </c>
      <c r="D47" s="104" t="s">
        <v>19</v>
      </c>
      <c r="E47" s="105">
        <v>12.3</v>
      </c>
      <c r="F47" s="105">
        <f>E47*F46</f>
        <v>4.2804000000000002</v>
      </c>
      <c r="G47" s="243"/>
      <c r="H47" s="261"/>
      <c r="I47" s="261"/>
      <c r="J47" s="261"/>
      <c r="K47" s="261"/>
      <c r="L47" s="261"/>
      <c r="M47" s="243"/>
    </row>
    <row r="48" spans="1:26">
      <c r="A48" s="125">
        <f t="shared" si="5"/>
        <v>11.2</v>
      </c>
      <c r="B48" s="104"/>
      <c r="C48" s="104" t="s">
        <v>85</v>
      </c>
      <c r="D48" s="104" t="s">
        <v>0</v>
      </c>
      <c r="E48" s="105">
        <v>1.4</v>
      </c>
      <c r="F48" s="105">
        <f>E48*F46</f>
        <v>0.48719999999999991</v>
      </c>
      <c r="G48" s="243"/>
      <c r="H48" s="261"/>
      <c r="I48" s="261"/>
      <c r="J48" s="261"/>
      <c r="K48" s="261"/>
      <c r="L48" s="261"/>
      <c r="M48" s="243"/>
    </row>
    <row r="49" spans="1:26">
      <c r="A49" s="104">
        <f t="shared" si="5"/>
        <v>11.299999999999999</v>
      </c>
      <c r="B49" s="105" t="s">
        <v>280</v>
      </c>
      <c r="C49" s="104" t="s">
        <v>212</v>
      </c>
      <c r="D49" s="104" t="s">
        <v>26</v>
      </c>
      <c r="E49" s="105" t="s">
        <v>72</v>
      </c>
      <c r="F49" s="105">
        <f>F46</f>
        <v>0.34799999999999998</v>
      </c>
      <c r="G49" s="243"/>
      <c r="H49" s="261"/>
      <c r="I49" s="261"/>
      <c r="J49" s="261"/>
      <c r="K49" s="261"/>
      <c r="L49" s="261"/>
      <c r="M49" s="243"/>
      <c r="N49" s="20"/>
    </row>
    <row r="50" spans="1:26">
      <c r="A50" s="141">
        <f t="shared" si="5"/>
        <v>11.399999999999999</v>
      </c>
      <c r="B50" s="104"/>
      <c r="C50" s="104" t="s">
        <v>32</v>
      </c>
      <c r="D50" s="100" t="s">
        <v>0</v>
      </c>
      <c r="E50" s="105">
        <v>7.15</v>
      </c>
      <c r="F50" s="105">
        <f>E50*F46</f>
        <v>2.4882</v>
      </c>
      <c r="G50" s="243"/>
      <c r="H50" s="261"/>
      <c r="I50" s="261"/>
      <c r="J50" s="261"/>
      <c r="K50" s="261"/>
      <c r="L50" s="261"/>
      <c r="M50" s="243"/>
    </row>
    <row r="51" spans="1:26" ht="51">
      <c r="A51" s="130">
        <v>12</v>
      </c>
      <c r="B51" s="97" t="s">
        <v>137</v>
      </c>
      <c r="C51" s="97" t="s">
        <v>234</v>
      </c>
      <c r="D51" s="97" t="s">
        <v>64</v>
      </c>
      <c r="E51" s="101"/>
      <c r="F51" s="101">
        <f>F56*0.08</f>
        <v>6.4</v>
      </c>
      <c r="G51" s="243"/>
      <c r="H51" s="261"/>
      <c r="I51" s="261"/>
      <c r="J51" s="261"/>
      <c r="K51" s="261"/>
      <c r="L51" s="261"/>
      <c r="M51" s="243"/>
      <c r="N51" s="21"/>
      <c r="O51" s="6"/>
      <c r="P51" s="6"/>
      <c r="Q51" s="22"/>
      <c r="R51" s="6"/>
      <c r="S51" s="6"/>
      <c r="T51" s="6"/>
      <c r="U51" s="6"/>
      <c r="V51" s="6"/>
      <c r="W51" s="6"/>
      <c r="X51" s="6"/>
      <c r="Y51" s="6"/>
      <c r="Z51" s="6"/>
    </row>
    <row r="52" spans="1:26" ht="15">
      <c r="A52" s="141">
        <f t="shared" ref="A52:A55" si="6">A51+0.1</f>
        <v>12.1</v>
      </c>
      <c r="B52" s="104"/>
      <c r="C52" s="104" t="s">
        <v>65</v>
      </c>
      <c r="D52" s="104" t="s">
        <v>19</v>
      </c>
      <c r="E52" s="105">
        <v>1.37</v>
      </c>
      <c r="F52" s="105">
        <f>E52*F51</f>
        <v>8.7680000000000007</v>
      </c>
      <c r="G52" s="243"/>
      <c r="H52" s="261"/>
      <c r="I52" s="261"/>
      <c r="J52" s="261"/>
      <c r="K52" s="261"/>
      <c r="L52" s="261"/>
      <c r="M52" s="24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>
      <c r="A53" s="125">
        <f t="shared" si="6"/>
        <v>12.2</v>
      </c>
      <c r="B53" s="104"/>
      <c r="C53" s="104" t="s">
        <v>85</v>
      </c>
      <c r="D53" s="104" t="s">
        <v>0</v>
      </c>
      <c r="E53" s="105">
        <v>0.28299999999999997</v>
      </c>
      <c r="F53" s="105">
        <f>E53*F51</f>
        <v>1.8111999999999999</v>
      </c>
      <c r="G53" s="243"/>
      <c r="H53" s="261"/>
      <c r="I53" s="261"/>
      <c r="J53" s="261"/>
      <c r="K53" s="261"/>
      <c r="L53" s="261"/>
      <c r="M53" s="243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>
      <c r="A54" s="141">
        <f t="shared" si="6"/>
        <v>12.299999999999999</v>
      </c>
      <c r="B54" s="104" t="s">
        <v>281</v>
      </c>
      <c r="C54" s="104" t="s">
        <v>235</v>
      </c>
      <c r="D54" s="104" t="s">
        <v>64</v>
      </c>
      <c r="E54" s="105">
        <v>1.02</v>
      </c>
      <c r="F54" s="105">
        <f>E54*F51</f>
        <v>6.5280000000000005</v>
      </c>
      <c r="G54" s="243"/>
      <c r="H54" s="261"/>
      <c r="I54" s="261"/>
      <c r="J54" s="261"/>
      <c r="K54" s="261"/>
      <c r="L54" s="261"/>
      <c r="M54" s="243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>
      <c r="A55" s="141">
        <f t="shared" si="6"/>
        <v>12.399999999999999</v>
      </c>
      <c r="B55" s="104"/>
      <c r="C55" s="104" t="s">
        <v>32</v>
      </c>
      <c r="D55" s="104" t="s">
        <v>0</v>
      </c>
      <c r="E55" s="105">
        <v>0.62</v>
      </c>
      <c r="F55" s="105">
        <f>E55*F51</f>
        <v>3.968</v>
      </c>
      <c r="G55" s="243"/>
      <c r="H55" s="261"/>
      <c r="I55" s="261"/>
      <c r="J55" s="261"/>
      <c r="K55" s="261"/>
      <c r="L55" s="261"/>
      <c r="M55" s="243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8.25">
      <c r="A56" s="120">
        <v>13</v>
      </c>
      <c r="B56" s="154" t="s">
        <v>213</v>
      </c>
      <c r="C56" s="154" t="s">
        <v>214</v>
      </c>
      <c r="D56" s="155" t="s">
        <v>17</v>
      </c>
      <c r="E56" s="156"/>
      <c r="F56" s="101">
        <v>80</v>
      </c>
      <c r="G56" s="243"/>
      <c r="H56" s="253"/>
      <c r="I56" s="253"/>
      <c r="J56" s="253"/>
      <c r="K56" s="253"/>
      <c r="L56" s="253"/>
      <c r="M56" s="243"/>
      <c r="N56" s="2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>
      <c r="A57" s="77">
        <f t="shared" ref="A57:A59" si="7">A56+0.1</f>
        <v>13.1</v>
      </c>
      <c r="B57" s="157"/>
      <c r="C57" s="158" t="s">
        <v>215</v>
      </c>
      <c r="D57" s="159" t="s">
        <v>0</v>
      </c>
      <c r="E57" s="160">
        <v>1</v>
      </c>
      <c r="F57" s="105">
        <f>E57*F56</f>
        <v>80</v>
      </c>
      <c r="G57" s="253"/>
      <c r="H57" s="253"/>
      <c r="I57" s="245"/>
      <c r="J57" s="245"/>
      <c r="K57" s="253"/>
      <c r="L57" s="253"/>
      <c r="M57" s="24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>
      <c r="A58" s="77">
        <f t="shared" si="7"/>
        <v>13.2</v>
      </c>
      <c r="B58" s="100" t="s">
        <v>25</v>
      </c>
      <c r="C58" s="161" t="s">
        <v>216</v>
      </c>
      <c r="D58" s="162" t="s">
        <v>217</v>
      </c>
      <c r="E58" s="160">
        <v>1.02</v>
      </c>
      <c r="F58" s="105">
        <f>E58*F56</f>
        <v>81.599999999999994</v>
      </c>
      <c r="G58" s="253"/>
      <c r="H58" s="253"/>
      <c r="I58" s="245"/>
      <c r="J58" s="245"/>
      <c r="K58" s="253"/>
      <c r="L58" s="253"/>
      <c r="M58" s="24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77">
        <f t="shared" si="7"/>
        <v>13.299999999999999</v>
      </c>
      <c r="B59" s="100" t="s">
        <v>25</v>
      </c>
      <c r="C59" s="163" t="s">
        <v>218</v>
      </c>
      <c r="D59" s="162" t="s">
        <v>219</v>
      </c>
      <c r="E59" s="160">
        <v>0.5</v>
      </c>
      <c r="F59" s="105">
        <f>F56*E59</f>
        <v>40</v>
      </c>
      <c r="G59" s="253"/>
      <c r="H59" s="253"/>
      <c r="I59" s="245"/>
      <c r="J59" s="245"/>
      <c r="K59" s="253"/>
      <c r="L59" s="253"/>
      <c r="M59" s="24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8.25">
      <c r="A60" s="95" t="s">
        <v>233</v>
      </c>
      <c r="B60" s="120" t="s">
        <v>127</v>
      </c>
      <c r="C60" s="96" t="s">
        <v>128</v>
      </c>
      <c r="D60" s="96" t="s">
        <v>64</v>
      </c>
      <c r="E60" s="98"/>
      <c r="F60" s="99">
        <v>10.65</v>
      </c>
      <c r="G60" s="253"/>
      <c r="H60" s="253"/>
      <c r="I60" s="245"/>
      <c r="J60" s="245"/>
      <c r="K60" s="253"/>
      <c r="L60" s="253"/>
      <c r="M60" s="245"/>
    </row>
    <row r="61" spans="1:26">
      <c r="A61" s="128">
        <f t="shared" ref="A61:A64" si="8">A60+0.1</f>
        <v>14.1</v>
      </c>
      <c r="B61" s="100"/>
      <c r="C61" s="104" t="s">
        <v>18</v>
      </c>
      <c r="D61" s="104" t="s">
        <v>19</v>
      </c>
      <c r="E61" s="105">
        <v>3</v>
      </c>
      <c r="F61" s="104">
        <f>E61*F60</f>
        <v>31.950000000000003</v>
      </c>
      <c r="G61" s="253"/>
      <c r="H61" s="253"/>
      <c r="I61" s="245"/>
      <c r="J61" s="245"/>
      <c r="K61" s="253"/>
      <c r="L61" s="253"/>
      <c r="M61" s="245"/>
    </row>
    <row r="62" spans="1:26">
      <c r="A62" s="128">
        <f t="shared" si="8"/>
        <v>14.2</v>
      </c>
      <c r="B62" s="100" t="s">
        <v>282</v>
      </c>
      <c r="C62" s="103" t="s">
        <v>129</v>
      </c>
      <c r="D62" s="100" t="s">
        <v>64</v>
      </c>
      <c r="E62" s="106" t="s">
        <v>83</v>
      </c>
      <c r="F62" s="106">
        <f>F60*0.8</f>
        <v>8.5200000000000014</v>
      </c>
      <c r="G62" s="253"/>
      <c r="H62" s="253"/>
      <c r="I62" s="245"/>
      <c r="J62" s="245"/>
      <c r="K62" s="253"/>
      <c r="L62" s="253"/>
      <c r="M62" s="245"/>
    </row>
    <row r="63" spans="1:26">
      <c r="A63" s="128">
        <f t="shared" si="8"/>
        <v>14.299999999999999</v>
      </c>
      <c r="B63" s="100" t="s">
        <v>25</v>
      </c>
      <c r="C63" s="103" t="s">
        <v>130</v>
      </c>
      <c r="D63" s="100" t="s">
        <v>64</v>
      </c>
      <c r="E63" s="106" t="s">
        <v>83</v>
      </c>
      <c r="F63" s="106">
        <f>F60*0.2</f>
        <v>2.1300000000000003</v>
      </c>
      <c r="G63" s="253"/>
      <c r="H63" s="253"/>
      <c r="I63" s="245"/>
      <c r="J63" s="245"/>
      <c r="K63" s="253"/>
      <c r="L63" s="253"/>
      <c r="M63" s="245"/>
    </row>
    <row r="64" spans="1:26">
      <c r="A64" s="164">
        <f t="shared" si="8"/>
        <v>14.399999999999999</v>
      </c>
      <c r="B64" s="165"/>
      <c r="C64" s="165" t="s">
        <v>131</v>
      </c>
      <c r="D64" s="165" t="s">
        <v>0</v>
      </c>
      <c r="E64" s="166">
        <v>0.01</v>
      </c>
      <c r="F64" s="166">
        <f>E64*F60</f>
        <v>0.10650000000000001</v>
      </c>
      <c r="G64" s="253"/>
      <c r="H64" s="253"/>
      <c r="I64" s="245"/>
      <c r="J64" s="245"/>
      <c r="K64" s="253"/>
      <c r="L64" s="253"/>
      <c r="M64" s="245"/>
    </row>
    <row r="65" spans="1:26" ht="63.75">
      <c r="A65" s="167">
        <v>15</v>
      </c>
      <c r="B65" s="168" t="s">
        <v>132</v>
      </c>
      <c r="C65" s="27" t="s">
        <v>133</v>
      </c>
      <c r="D65" s="27" t="s">
        <v>134</v>
      </c>
      <c r="E65" s="53"/>
      <c r="F65" s="53">
        <v>2.13</v>
      </c>
      <c r="G65" s="253"/>
      <c r="H65" s="253"/>
      <c r="I65" s="245"/>
      <c r="J65" s="245"/>
      <c r="K65" s="253"/>
      <c r="L65" s="253"/>
      <c r="M65" s="245"/>
    </row>
    <row r="66" spans="1:26">
      <c r="A66" s="169">
        <f t="shared" ref="A66:A69" si="9">A65+0.1</f>
        <v>15.1</v>
      </c>
      <c r="B66" s="37"/>
      <c r="C66" s="50" t="s">
        <v>120</v>
      </c>
      <c r="D66" s="50" t="s">
        <v>19</v>
      </c>
      <c r="E66" s="50">
        <v>40.200000000000003</v>
      </c>
      <c r="F66" s="73">
        <f>E66*F65</f>
        <v>85.626000000000005</v>
      </c>
      <c r="G66" s="253"/>
      <c r="H66" s="253"/>
      <c r="I66" s="245"/>
      <c r="J66" s="245"/>
      <c r="K66" s="253"/>
      <c r="L66" s="253"/>
      <c r="M66" s="245"/>
    </row>
    <row r="67" spans="1:26" ht="15">
      <c r="A67" s="170">
        <f t="shared" si="9"/>
        <v>15.2</v>
      </c>
      <c r="B67" s="50"/>
      <c r="C67" s="50" t="s">
        <v>135</v>
      </c>
      <c r="D67" s="50" t="s">
        <v>136</v>
      </c>
      <c r="E67" s="73">
        <v>12.9</v>
      </c>
      <c r="F67" s="73">
        <f>F65*E67</f>
        <v>27.477</v>
      </c>
      <c r="G67" s="253"/>
      <c r="H67" s="253"/>
      <c r="I67" s="245"/>
      <c r="J67" s="245"/>
      <c r="K67" s="253"/>
      <c r="L67" s="253"/>
      <c r="M67" s="24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7">
      <c r="A68" s="169">
        <f t="shared" si="9"/>
        <v>15.299999999999999</v>
      </c>
      <c r="B68" s="37" t="s">
        <v>25</v>
      </c>
      <c r="C68" s="74" t="s">
        <v>231</v>
      </c>
      <c r="D68" s="37" t="s">
        <v>95</v>
      </c>
      <c r="E68" s="56">
        <v>100</v>
      </c>
      <c r="F68" s="56">
        <f>F65*E68</f>
        <v>213</v>
      </c>
      <c r="G68" s="253"/>
      <c r="H68" s="253"/>
      <c r="I68" s="245"/>
      <c r="J68" s="245"/>
      <c r="K68" s="253"/>
      <c r="L68" s="253"/>
      <c r="M68" s="245"/>
    </row>
    <row r="69" spans="1:26">
      <c r="A69" s="169">
        <f t="shared" si="9"/>
        <v>15.399999999999999</v>
      </c>
      <c r="B69" s="37" t="s">
        <v>209</v>
      </c>
      <c r="C69" s="37" t="s">
        <v>80</v>
      </c>
      <c r="D69" s="37" t="s">
        <v>64</v>
      </c>
      <c r="E69" s="56">
        <v>0.05</v>
      </c>
      <c r="F69" s="56">
        <f>E69*F65</f>
        <v>0.1065</v>
      </c>
      <c r="G69" s="253"/>
      <c r="H69" s="253"/>
      <c r="I69" s="245"/>
      <c r="J69" s="245"/>
      <c r="K69" s="253"/>
      <c r="L69" s="253"/>
      <c r="M69" s="245"/>
    </row>
    <row r="70" spans="1:26" ht="15">
      <c r="A70" s="171"/>
      <c r="B70" s="171"/>
      <c r="C70" s="172" t="s">
        <v>43</v>
      </c>
      <c r="D70" s="171"/>
      <c r="E70" s="171"/>
      <c r="F70" s="173"/>
      <c r="G70" s="173"/>
      <c r="H70" s="174"/>
      <c r="I70" s="171"/>
      <c r="J70" s="174"/>
      <c r="K70" s="173"/>
      <c r="L70" s="174"/>
      <c r="M70" s="175"/>
      <c r="N70" s="15">
        <f>L70+J70+H70</f>
        <v>0</v>
      </c>
      <c r="O70" s="14"/>
      <c r="P70" s="14"/>
      <c r="Q70" s="14"/>
      <c r="R70" s="15"/>
      <c r="S70" s="14"/>
      <c r="T70" s="14"/>
      <c r="U70" s="14"/>
      <c r="V70" s="14"/>
      <c r="W70" s="14"/>
      <c r="X70" s="14"/>
      <c r="Y70" s="14"/>
      <c r="Z70" s="14"/>
    </row>
    <row r="71" spans="1:26" ht="15">
      <c r="A71" s="171"/>
      <c r="B71" s="171"/>
      <c r="C71" s="176" t="s">
        <v>138</v>
      </c>
      <c r="D71" s="177" t="s">
        <v>0</v>
      </c>
      <c r="E71" s="178" t="s">
        <v>297</v>
      </c>
      <c r="F71" s="173"/>
      <c r="G71" s="173"/>
      <c r="H71" s="171"/>
      <c r="I71" s="171"/>
      <c r="J71" s="174"/>
      <c r="K71" s="173"/>
      <c r="L71" s="174"/>
      <c r="M71" s="179"/>
      <c r="N71" s="14"/>
      <c r="O71" s="14"/>
      <c r="P71" s="14"/>
      <c r="Q71" s="14"/>
      <c r="R71" s="14"/>
      <c r="S71" s="16"/>
      <c r="T71" s="14"/>
      <c r="U71" s="14"/>
      <c r="V71" s="14"/>
      <c r="W71" s="14"/>
      <c r="X71" s="14"/>
      <c r="Y71" s="14"/>
      <c r="Z71" s="14"/>
    </row>
    <row r="72" spans="1:26" ht="15">
      <c r="A72" s="171"/>
      <c r="B72" s="171"/>
      <c r="C72" s="171" t="s">
        <v>139</v>
      </c>
      <c r="D72" s="173" t="s">
        <v>0</v>
      </c>
      <c r="E72" s="176"/>
      <c r="F72" s="173"/>
      <c r="G72" s="173"/>
      <c r="H72" s="171"/>
      <c r="I72" s="171"/>
      <c r="J72" s="174"/>
      <c r="K72" s="173"/>
      <c r="L72" s="174"/>
      <c r="M72" s="180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">
      <c r="A73" s="171"/>
      <c r="B73" s="171"/>
      <c r="C73" s="176" t="s">
        <v>140</v>
      </c>
      <c r="D73" s="177" t="s">
        <v>0</v>
      </c>
      <c r="E73" s="178" t="s">
        <v>297</v>
      </c>
      <c r="F73" s="173"/>
      <c r="G73" s="173"/>
      <c r="H73" s="171"/>
      <c r="I73" s="171"/>
      <c r="J73" s="174"/>
      <c r="K73" s="173"/>
      <c r="L73" s="174"/>
      <c r="M73" s="179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>
      <c r="A74" s="110"/>
      <c r="B74" s="110"/>
      <c r="C74" s="110" t="s">
        <v>43</v>
      </c>
      <c r="D74" s="110" t="s">
        <v>0</v>
      </c>
      <c r="E74" s="111"/>
      <c r="F74" s="111"/>
      <c r="G74" s="111"/>
      <c r="H74" s="132"/>
      <c r="I74" s="132"/>
      <c r="J74" s="132"/>
      <c r="K74" s="132"/>
      <c r="L74" s="132"/>
      <c r="M74" s="111"/>
    </row>
    <row r="77" spans="1:26" ht="15.75">
      <c r="C77" s="137" t="s">
        <v>10</v>
      </c>
      <c r="D77" s="138"/>
    </row>
    <row r="78" spans="1:26" ht="15.75">
      <c r="C78" s="138"/>
      <c r="D78" s="138"/>
    </row>
    <row r="79" spans="1:26" ht="15.75">
      <c r="C79" s="138"/>
      <c r="D79" s="138"/>
    </row>
  </sheetData>
  <mergeCells count="12">
    <mergeCell ref="A1:M1"/>
    <mergeCell ref="A2:D2"/>
    <mergeCell ref="A3:A4"/>
    <mergeCell ref="B3:B4"/>
    <mergeCell ref="C3:C4"/>
    <mergeCell ref="D3:D4"/>
    <mergeCell ref="E3:F3"/>
    <mergeCell ref="A6:M6"/>
    <mergeCell ref="G3:H3"/>
    <mergeCell ref="I3:J3"/>
    <mergeCell ref="K3:L3"/>
    <mergeCell ref="M3:M4"/>
  </mergeCells>
  <printOptions horizontalCentered="1"/>
  <pageMargins left="0" right="0" top="0.55118110236220474" bottom="0.55118110236220474" header="0" footer="0.19685039370078741"/>
  <pageSetup paperSize="9" scale="85" orientation="landscape" r:id="rId1"/>
  <headerFooter>
    <oddFooter>Страница  &amp;P из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8"/>
  <sheetViews>
    <sheetView view="pageBreakPreview" topLeftCell="B1" zoomScale="90" zoomScaleNormal="100" zoomScaleSheetLayoutView="90" workbookViewId="0">
      <selection activeCell="I8" sqref="I8"/>
    </sheetView>
  </sheetViews>
  <sheetFormatPr defaultColWidth="12.625" defaultRowHeight="15" customHeight="1"/>
  <cols>
    <col min="1" max="1" width="4.875" style="139" customWidth="1"/>
    <col min="2" max="2" width="12.5" style="139" customWidth="1"/>
    <col min="3" max="3" width="33.25" style="139" customWidth="1"/>
    <col min="4" max="4" width="8" style="139" customWidth="1"/>
    <col min="5" max="5" width="8.625" style="139" customWidth="1"/>
    <col min="6" max="6" width="9" style="139" customWidth="1"/>
    <col min="7" max="7" width="7.625" style="139" customWidth="1"/>
    <col min="8" max="8" width="10.625" style="139" customWidth="1"/>
    <col min="9" max="9" width="5" style="139" customWidth="1"/>
    <col min="10" max="10" width="7.5" style="139" customWidth="1"/>
    <col min="11" max="11" width="6" style="139" customWidth="1"/>
    <col min="12" max="12" width="5.75" style="139" customWidth="1"/>
    <col min="13" max="13" width="11.125" style="139" customWidth="1"/>
    <col min="14" max="16" width="8" customWidth="1"/>
    <col min="17" max="36" width="7.625" customWidth="1"/>
  </cols>
  <sheetData>
    <row r="1" spans="1:36" ht="36.75" customHeight="1">
      <c r="A1" s="266" t="e">
        <f>#REF!</f>
        <v>#REF!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36" ht="14.25">
      <c r="A2" s="288" t="str">
        <f>მოსამზად!A2</f>
        <v>Sedgenilia 2020 wlis II kvartlis fasebiT</v>
      </c>
      <c r="B2" s="289"/>
      <c r="C2" s="289"/>
      <c r="D2" s="289"/>
      <c r="E2" s="116"/>
      <c r="F2" s="117"/>
      <c r="G2" s="117"/>
      <c r="H2" s="116"/>
      <c r="I2" s="116"/>
      <c r="J2" s="117"/>
      <c r="K2" s="116"/>
      <c r="L2" s="116"/>
      <c r="M2" s="116"/>
    </row>
    <row r="3" spans="1:36" ht="27" customHeight="1">
      <c r="A3" s="285" t="s">
        <v>11</v>
      </c>
      <c r="B3" s="285" t="s">
        <v>12</v>
      </c>
      <c r="C3" s="285" t="s">
        <v>236</v>
      </c>
      <c r="D3" s="285" t="s">
        <v>237</v>
      </c>
      <c r="E3" s="290" t="s">
        <v>13</v>
      </c>
      <c r="F3" s="291"/>
      <c r="G3" s="284" t="s">
        <v>254</v>
      </c>
      <c r="H3" s="283"/>
      <c r="I3" s="284" t="s">
        <v>238</v>
      </c>
      <c r="J3" s="283"/>
      <c r="K3" s="284" t="s">
        <v>239</v>
      </c>
      <c r="L3" s="283"/>
      <c r="M3" s="285" t="s">
        <v>14</v>
      </c>
    </row>
    <row r="4" spans="1:36" ht="38.25">
      <c r="A4" s="286"/>
      <c r="B4" s="286"/>
      <c r="C4" s="286"/>
      <c r="D4" s="286"/>
      <c r="E4" s="104" t="s">
        <v>15</v>
      </c>
      <c r="F4" s="77" t="s">
        <v>16</v>
      </c>
      <c r="G4" s="78" t="s">
        <v>240</v>
      </c>
      <c r="H4" s="104" t="s">
        <v>14</v>
      </c>
      <c r="I4" s="104" t="s">
        <v>240</v>
      </c>
      <c r="J4" s="77" t="s">
        <v>14</v>
      </c>
      <c r="K4" s="104" t="s">
        <v>240</v>
      </c>
      <c r="L4" s="104" t="s">
        <v>14</v>
      </c>
      <c r="M4" s="286"/>
    </row>
    <row r="5" spans="1:36" ht="21" customHeight="1">
      <c r="A5" s="118">
        <v>1</v>
      </c>
      <c r="B5" s="118">
        <v>2</v>
      </c>
      <c r="C5" s="118">
        <v>3</v>
      </c>
      <c r="D5" s="118">
        <v>4</v>
      </c>
      <c r="E5" s="119">
        <v>5</v>
      </c>
      <c r="F5" s="80">
        <v>6</v>
      </c>
      <c r="G5" s="79">
        <v>7</v>
      </c>
      <c r="H5" s="118">
        <v>8</v>
      </c>
      <c r="I5" s="118">
        <v>9</v>
      </c>
      <c r="J5" s="79">
        <v>10</v>
      </c>
      <c r="K5" s="118">
        <v>11</v>
      </c>
      <c r="L5" s="118">
        <v>12</v>
      </c>
      <c r="M5" s="118">
        <v>13</v>
      </c>
    </row>
    <row r="6" spans="1:36" ht="23.25" customHeight="1">
      <c r="A6" s="281" t="s">
        <v>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36" ht="30.75" customHeight="1">
      <c r="A7" s="144">
        <v>1</v>
      </c>
      <c r="B7" s="95" t="s">
        <v>74</v>
      </c>
      <c r="C7" s="96" t="s">
        <v>75</v>
      </c>
      <c r="D7" s="96" t="s">
        <v>21</v>
      </c>
      <c r="E7" s="98"/>
      <c r="F7" s="99">
        <v>5.0400000000000002E-3</v>
      </c>
      <c r="G7" s="241"/>
      <c r="H7" s="240"/>
      <c r="I7" s="240"/>
      <c r="J7" s="240"/>
      <c r="K7" s="240"/>
      <c r="L7" s="240"/>
      <c r="M7" s="241"/>
    </row>
    <row r="8" spans="1:36" ht="23.25" customHeight="1">
      <c r="A8" s="143">
        <f>A7+0.1</f>
        <v>1.1000000000000001</v>
      </c>
      <c r="B8" s="102"/>
      <c r="C8" s="103" t="s">
        <v>18</v>
      </c>
      <c r="D8" s="103" t="s">
        <v>19</v>
      </c>
      <c r="E8" s="108">
        <v>206</v>
      </c>
      <c r="F8" s="142">
        <f>F7*E8</f>
        <v>1.0382400000000001</v>
      </c>
      <c r="G8" s="242"/>
      <c r="H8" s="259"/>
      <c r="I8" s="245"/>
      <c r="J8" s="244"/>
      <c r="K8" s="242"/>
      <c r="L8" s="242"/>
      <c r="M8" s="244"/>
    </row>
    <row r="9" spans="1:36" ht="34.5" customHeight="1">
      <c r="A9" s="95" t="s">
        <v>20</v>
      </c>
      <c r="B9" s="96" t="s">
        <v>141</v>
      </c>
      <c r="C9" s="96" t="s">
        <v>63</v>
      </c>
      <c r="D9" s="96" t="s">
        <v>142</v>
      </c>
      <c r="E9" s="98"/>
      <c r="F9" s="99">
        <f>F7*100</f>
        <v>0.504</v>
      </c>
      <c r="G9" s="242"/>
      <c r="H9" s="259"/>
      <c r="I9" s="245"/>
      <c r="J9" s="244"/>
      <c r="K9" s="242"/>
      <c r="L9" s="242"/>
      <c r="M9" s="244"/>
    </row>
    <row r="10" spans="1:36" ht="23.25" customHeight="1">
      <c r="A10" s="102">
        <f>A9+0.1</f>
        <v>2.1</v>
      </c>
      <c r="B10" s="103"/>
      <c r="C10" s="121" t="s">
        <v>65</v>
      </c>
      <c r="D10" s="121" t="s">
        <v>19</v>
      </c>
      <c r="E10" s="127">
        <v>0.87</v>
      </c>
      <c r="F10" s="105">
        <f>F9*E10</f>
        <v>0.43847999999999998</v>
      </c>
      <c r="G10" s="242"/>
      <c r="H10" s="259"/>
      <c r="I10" s="245"/>
      <c r="J10" s="244"/>
      <c r="K10" s="242"/>
      <c r="L10" s="242"/>
      <c r="M10" s="244"/>
    </row>
    <row r="11" spans="1:36" ht="23.25" customHeight="1">
      <c r="A11" s="95" t="s">
        <v>22</v>
      </c>
      <c r="B11" s="96"/>
      <c r="C11" s="96" t="s">
        <v>66</v>
      </c>
      <c r="D11" s="96" t="s">
        <v>26</v>
      </c>
      <c r="E11" s="98"/>
      <c r="F11" s="99">
        <f>F9*1.85</f>
        <v>0.93240000000000001</v>
      </c>
      <c r="G11" s="242"/>
      <c r="H11" s="259"/>
      <c r="I11" s="245"/>
      <c r="J11" s="244"/>
      <c r="K11" s="242"/>
      <c r="L11" s="242"/>
      <c r="M11" s="244"/>
    </row>
    <row r="12" spans="1:36" ht="23.25" customHeight="1">
      <c r="A12" s="102">
        <f>A11+0.1</f>
        <v>3.1</v>
      </c>
      <c r="B12" s="103" t="s">
        <v>27</v>
      </c>
      <c r="C12" s="77" t="s">
        <v>28</v>
      </c>
      <c r="D12" s="77" t="s">
        <v>26</v>
      </c>
      <c r="E12" s="77">
        <v>1</v>
      </c>
      <c r="F12" s="105">
        <f>F11*E12</f>
        <v>0.93240000000000001</v>
      </c>
      <c r="G12" s="242"/>
      <c r="H12" s="259"/>
      <c r="I12" s="245"/>
      <c r="J12" s="244"/>
      <c r="K12" s="242"/>
      <c r="L12" s="242"/>
      <c r="M12" s="244"/>
    </row>
    <row r="13" spans="1:36" ht="46.5" customHeight="1">
      <c r="A13" s="96">
        <v>4</v>
      </c>
      <c r="B13" s="146" t="s">
        <v>103</v>
      </c>
      <c r="C13" s="120" t="s">
        <v>143</v>
      </c>
      <c r="D13" s="120" t="s">
        <v>21</v>
      </c>
      <c r="E13" s="140"/>
      <c r="F13" s="181">
        <v>1.4E-3</v>
      </c>
      <c r="G13" s="242"/>
      <c r="H13" s="259"/>
      <c r="I13" s="245"/>
      <c r="J13" s="244"/>
      <c r="K13" s="242"/>
      <c r="L13" s="242"/>
      <c r="M13" s="24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23.25" customHeight="1">
      <c r="A14" s="103">
        <f t="shared" ref="A14:A17" si="0">A13+0.1</f>
        <v>4.0999999999999996</v>
      </c>
      <c r="B14" s="77"/>
      <c r="C14" s="121" t="s">
        <v>104</v>
      </c>
      <c r="D14" s="121" t="s">
        <v>19</v>
      </c>
      <c r="E14" s="121">
        <v>89</v>
      </c>
      <c r="F14" s="105">
        <f>E14*F13</f>
        <v>0.1246</v>
      </c>
      <c r="G14" s="242"/>
      <c r="H14" s="259"/>
      <c r="I14" s="245"/>
      <c r="J14" s="244"/>
      <c r="K14" s="242"/>
      <c r="L14" s="242"/>
      <c r="M14" s="24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23.25" customHeight="1">
      <c r="A15" s="103">
        <f t="shared" si="0"/>
        <v>4.1999999999999993</v>
      </c>
      <c r="B15" s="120"/>
      <c r="C15" s="77" t="s">
        <v>85</v>
      </c>
      <c r="D15" s="77" t="s">
        <v>144</v>
      </c>
      <c r="E15" s="121">
        <v>37</v>
      </c>
      <c r="F15" s="105">
        <f>E15*F13</f>
        <v>5.1799999999999999E-2</v>
      </c>
      <c r="G15" s="242"/>
      <c r="H15" s="259"/>
      <c r="I15" s="245"/>
      <c r="J15" s="244"/>
      <c r="K15" s="242"/>
      <c r="L15" s="242"/>
      <c r="M15" s="24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23.25" customHeight="1">
      <c r="A16" s="103">
        <f t="shared" si="0"/>
        <v>4.2999999999999989</v>
      </c>
      <c r="B16" s="100" t="s">
        <v>275</v>
      </c>
      <c r="C16" s="104" t="s">
        <v>115</v>
      </c>
      <c r="D16" s="77" t="s">
        <v>64</v>
      </c>
      <c r="E16" s="121" t="s">
        <v>83</v>
      </c>
      <c r="F16" s="105">
        <f>F13*100</f>
        <v>0.13999999999999999</v>
      </c>
      <c r="G16" s="242"/>
      <c r="H16" s="259"/>
      <c r="I16" s="245"/>
      <c r="J16" s="244"/>
      <c r="K16" s="242"/>
      <c r="L16" s="242"/>
      <c r="M16" s="24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3.25" customHeight="1">
      <c r="A17" s="103">
        <f t="shared" si="0"/>
        <v>4.3999999999999986</v>
      </c>
      <c r="B17" s="77"/>
      <c r="C17" s="103" t="s">
        <v>90</v>
      </c>
      <c r="D17" s="103" t="s">
        <v>89</v>
      </c>
      <c r="E17" s="108">
        <v>2</v>
      </c>
      <c r="F17" s="106">
        <f>E17*F13</f>
        <v>2.8E-3</v>
      </c>
      <c r="G17" s="242"/>
      <c r="H17" s="259"/>
      <c r="I17" s="245"/>
      <c r="J17" s="244"/>
      <c r="K17" s="242"/>
      <c r="L17" s="242"/>
      <c r="M17" s="24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34.5" customHeight="1">
      <c r="A18" s="109">
        <v>5</v>
      </c>
      <c r="B18" s="182" t="s">
        <v>145</v>
      </c>
      <c r="C18" s="96" t="s">
        <v>146</v>
      </c>
      <c r="D18" s="96" t="s">
        <v>61</v>
      </c>
      <c r="E18" s="96"/>
      <c r="F18" s="99">
        <v>0.378</v>
      </c>
      <c r="G18" s="242"/>
      <c r="H18" s="259"/>
      <c r="I18" s="245"/>
      <c r="J18" s="244"/>
      <c r="K18" s="242"/>
      <c r="L18" s="242"/>
      <c r="M18" s="24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30" customHeight="1">
      <c r="A19" s="77">
        <f t="shared" ref="A19:A24" si="1">A18+0.1</f>
        <v>5.0999999999999996</v>
      </c>
      <c r="B19" s="103"/>
      <c r="C19" s="78" t="s">
        <v>65</v>
      </c>
      <c r="D19" s="77" t="s">
        <v>19</v>
      </c>
      <c r="E19" s="121">
        <v>4.5</v>
      </c>
      <c r="F19" s="105">
        <f>E19*F18</f>
        <v>1.7010000000000001</v>
      </c>
      <c r="G19" s="242"/>
      <c r="H19" s="259"/>
      <c r="I19" s="245"/>
      <c r="J19" s="244"/>
      <c r="K19" s="242"/>
      <c r="L19" s="242"/>
      <c r="M19" s="24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4" customHeight="1">
      <c r="A20" s="183">
        <f t="shared" si="1"/>
        <v>5.1999999999999993</v>
      </c>
      <c r="B20" s="184"/>
      <c r="C20" s="77" t="s">
        <v>85</v>
      </c>
      <c r="D20" s="77" t="s">
        <v>0</v>
      </c>
      <c r="E20" s="121">
        <v>0.37</v>
      </c>
      <c r="F20" s="121">
        <f>E20*F18</f>
        <v>0.13986000000000001</v>
      </c>
      <c r="G20" s="242"/>
      <c r="H20" s="259"/>
      <c r="I20" s="245"/>
      <c r="J20" s="244"/>
      <c r="K20" s="242"/>
      <c r="L20" s="242"/>
      <c r="M20" s="24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24" customHeight="1">
      <c r="A21" s="77">
        <f t="shared" si="1"/>
        <v>5.2999999999999989</v>
      </c>
      <c r="B21" s="126" t="s">
        <v>260</v>
      </c>
      <c r="C21" s="77" t="s">
        <v>106</v>
      </c>
      <c r="D21" s="77" t="s">
        <v>64</v>
      </c>
      <c r="E21" s="121">
        <v>1.02</v>
      </c>
      <c r="F21" s="121">
        <f>E21*F18</f>
        <v>0.38556000000000001</v>
      </c>
      <c r="G21" s="242"/>
      <c r="H21" s="259"/>
      <c r="I21" s="245"/>
      <c r="J21" s="244"/>
      <c r="K21" s="242"/>
      <c r="L21" s="242"/>
      <c r="M21" s="244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77">
        <f t="shared" si="1"/>
        <v>5.3999999999999986</v>
      </c>
      <c r="B22" s="103" t="s">
        <v>261</v>
      </c>
      <c r="C22" s="77" t="s">
        <v>147</v>
      </c>
      <c r="D22" s="77" t="s">
        <v>95</v>
      </c>
      <c r="E22" s="121">
        <v>1.61</v>
      </c>
      <c r="F22" s="121">
        <f>F18*E22</f>
        <v>0.60858000000000001</v>
      </c>
      <c r="G22" s="242"/>
      <c r="H22" s="259"/>
      <c r="I22" s="245"/>
      <c r="J22" s="244"/>
      <c r="K22" s="242"/>
      <c r="L22" s="242"/>
      <c r="M22" s="24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77">
        <f t="shared" si="1"/>
        <v>5.4999999999999982</v>
      </c>
      <c r="B23" s="108" t="s">
        <v>262</v>
      </c>
      <c r="C23" s="77" t="s">
        <v>148</v>
      </c>
      <c r="D23" s="77" t="s">
        <v>64</v>
      </c>
      <c r="E23" s="121">
        <f>1.72/100</f>
        <v>1.72E-2</v>
      </c>
      <c r="F23" s="121">
        <f>F18*E23</f>
        <v>6.5015999999999997E-3</v>
      </c>
      <c r="G23" s="242"/>
      <c r="H23" s="259"/>
      <c r="I23" s="245"/>
      <c r="J23" s="244"/>
      <c r="K23" s="242"/>
      <c r="L23" s="242"/>
      <c r="M23" s="244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77">
        <f t="shared" si="1"/>
        <v>5.5999999999999979</v>
      </c>
      <c r="B24" s="103"/>
      <c r="C24" s="77" t="s">
        <v>32</v>
      </c>
      <c r="D24" s="77" t="s">
        <v>0</v>
      </c>
      <c r="E24" s="121">
        <v>0.28000000000000003</v>
      </c>
      <c r="F24" s="121">
        <f>E24*F18</f>
        <v>0.10584000000000002</v>
      </c>
      <c r="G24" s="242"/>
      <c r="H24" s="259"/>
      <c r="I24" s="245"/>
      <c r="J24" s="244"/>
      <c r="K24" s="242"/>
      <c r="L24" s="242"/>
      <c r="M24" s="24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37.5" customHeight="1">
      <c r="A25" s="185">
        <v>6</v>
      </c>
      <c r="B25" s="186" t="s">
        <v>149</v>
      </c>
      <c r="C25" s="187" t="s">
        <v>150</v>
      </c>
      <c r="D25" s="187" t="s">
        <v>76</v>
      </c>
      <c r="E25" s="187"/>
      <c r="F25" s="188">
        <f>SUM(F26:F27)</f>
        <v>6</v>
      </c>
      <c r="G25" s="242"/>
      <c r="H25" s="259"/>
      <c r="I25" s="245"/>
      <c r="J25" s="244"/>
      <c r="K25" s="242"/>
      <c r="L25" s="242"/>
      <c r="M25" s="244"/>
    </row>
    <row r="26" spans="1:36" ht="55.5" customHeight="1">
      <c r="A26" s="77">
        <f t="shared" ref="A26:A27" si="2">A25+0.1</f>
        <v>6.1</v>
      </c>
      <c r="B26" s="189" t="s">
        <v>149</v>
      </c>
      <c r="C26" s="100" t="s">
        <v>151</v>
      </c>
      <c r="D26" s="100" t="s">
        <v>35</v>
      </c>
      <c r="E26" s="100" t="s">
        <v>83</v>
      </c>
      <c r="F26" s="106">
        <v>3</v>
      </c>
      <c r="G26" s="242"/>
      <c r="H26" s="259"/>
      <c r="I26" s="245"/>
      <c r="J26" s="244"/>
      <c r="K26" s="242"/>
      <c r="L26" s="242"/>
      <c r="M26" s="244"/>
    </row>
    <row r="27" spans="1:36" ht="42.75" customHeight="1">
      <c r="A27" s="77">
        <f t="shared" si="2"/>
        <v>6.1999999999999993</v>
      </c>
      <c r="B27" s="129" t="s">
        <v>149</v>
      </c>
      <c r="C27" s="100" t="s">
        <v>251</v>
      </c>
      <c r="D27" s="100" t="s">
        <v>35</v>
      </c>
      <c r="E27" s="100" t="s">
        <v>72</v>
      </c>
      <c r="F27" s="106">
        <v>3</v>
      </c>
      <c r="G27" s="242"/>
      <c r="H27" s="259"/>
      <c r="I27" s="245"/>
      <c r="J27" s="244"/>
      <c r="K27" s="242"/>
      <c r="L27" s="242"/>
      <c r="M27" s="244"/>
      <c r="N27" s="6"/>
      <c r="O27" s="6"/>
      <c r="P27" s="6"/>
      <c r="Q27" s="13"/>
      <c r="R27" s="13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5.75" customHeight="1">
      <c r="A28" s="109">
        <v>7</v>
      </c>
      <c r="B28" s="190" t="s">
        <v>149</v>
      </c>
      <c r="C28" s="109" t="s">
        <v>152</v>
      </c>
      <c r="D28" s="109" t="s">
        <v>76</v>
      </c>
      <c r="E28" s="109"/>
      <c r="F28" s="99">
        <f>F29</f>
        <v>4</v>
      </c>
      <c r="G28" s="242"/>
      <c r="H28" s="259"/>
      <c r="I28" s="245"/>
      <c r="J28" s="244"/>
      <c r="K28" s="242"/>
      <c r="L28" s="242"/>
      <c r="M28" s="244"/>
    </row>
    <row r="29" spans="1:36" ht="38.25" customHeight="1">
      <c r="A29" s="77">
        <f>A28+0.1</f>
        <v>7.1</v>
      </c>
      <c r="B29" s="129" t="s">
        <v>149</v>
      </c>
      <c r="C29" s="100" t="s">
        <v>250</v>
      </c>
      <c r="D29" s="100" t="s">
        <v>35</v>
      </c>
      <c r="E29" s="100">
        <v>1</v>
      </c>
      <c r="F29" s="106">
        <v>4</v>
      </c>
      <c r="G29" s="242"/>
      <c r="H29" s="259"/>
      <c r="I29" s="245"/>
      <c r="J29" s="244"/>
      <c r="K29" s="242"/>
      <c r="L29" s="242"/>
      <c r="M29" s="244"/>
    </row>
    <row r="30" spans="1:36" ht="27">
      <c r="A30" s="109">
        <v>8</v>
      </c>
      <c r="B30" s="190" t="s">
        <v>149</v>
      </c>
      <c r="C30" s="109" t="s">
        <v>220</v>
      </c>
      <c r="D30" s="109" t="s">
        <v>76</v>
      </c>
      <c r="E30" s="109"/>
      <c r="F30" s="99">
        <f>SUM(F31:F58)</f>
        <v>480.05918919199991</v>
      </c>
      <c r="G30" s="242"/>
      <c r="H30" s="259"/>
      <c r="I30" s="245"/>
      <c r="J30" s="244"/>
      <c r="K30" s="242"/>
      <c r="L30" s="242"/>
      <c r="M30" s="244"/>
    </row>
    <row r="31" spans="1:36" ht="59.25" customHeight="1">
      <c r="A31" s="77">
        <f t="shared" ref="A31:A33" si="3">A30+0.1</f>
        <v>8.1</v>
      </c>
      <c r="B31" s="129" t="s">
        <v>149</v>
      </c>
      <c r="C31" s="100" t="s">
        <v>221</v>
      </c>
      <c r="D31" s="100" t="s">
        <v>35</v>
      </c>
      <c r="E31" s="191" t="s">
        <v>83</v>
      </c>
      <c r="F31" s="106">
        <v>2</v>
      </c>
      <c r="G31" s="242"/>
      <c r="H31" s="259"/>
      <c r="I31" s="245"/>
      <c r="J31" s="244"/>
      <c r="K31" s="242"/>
      <c r="L31" s="242"/>
      <c r="M31" s="24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36" ht="59.25" customHeight="1">
      <c r="A32" s="77">
        <v>21.2</v>
      </c>
      <c r="B32" s="129" t="s">
        <v>149</v>
      </c>
      <c r="C32" s="100" t="s">
        <v>222</v>
      </c>
      <c r="D32" s="100" t="s">
        <v>35</v>
      </c>
      <c r="E32" s="191" t="s">
        <v>83</v>
      </c>
      <c r="F32" s="106">
        <v>1</v>
      </c>
      <c r="G32" s="242"/>
      <c r="H32" s="259"/>
      <c r="I32" s="245"/>
      <c r="J32" s="244"/>
      <c r="K32" s="242"/>
      <c r="L32" s="242"/>
      <c r="M32" s="244"/>
      <c r="N32" s="2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4">
      <c r="A33" s="77">
        <f t="shared" si="3"/>
        <v>21.3</v>
      </c>
      <c r="B33" s="129" t="s">
        <v>149</v>
      </c>
      <c r="C33" s="100" t="s">
        <v>223</v>
      </c>
      <c r="D33" s="100" t="s">
        <v>35</v>
      </c>
      <c r="E33" s="191" t="s">
        <v>83</v>
      </c>
      <c r="F33" s="106">
        <v>1</v>
      </c>
      <c r="G33" s="242"/>
      <c r="H33" s="259"/>
      <c r="I33" s="245"/>
      <c r="J33" s="244"/>
      <c r="K33" s="242"/>
      <c r="L33" s="242"/>
      <c r="M33" s="244"/>
      <c r="N33" s="6"/>
      <c r="O33" s="6"/>
      <c r="P33" s="6"/>
      <c r="Q33" s="13"/>
      <c r="R33" s="13"/>
      <c r="S33" s="6"/>
      <c r="T33" s="6"/>
      <c r="U33" s="6"/>
      <c r="V33" s="6"/>
      <c r="W33" s="6"/>
      <c r="X33" s="6"/>
      <c r="Y33" s="6"/>
      <c r="Z33" s="6"/>
    </row>
    <row r="34" spans="1:26" s="26" customFormat="1" ht="23.25" customHeight="1">
      <c r="A34" s="24"/>
      <c r="B34" s="24"/>
      <c r="C34" s="25" t="s">
        <v>224</v>
      </c>
      <c r="D34" s="192"/>
      <c r="E34" s="192"/>
      <c r="F34" s="193"/>
      <c r="G34" s="242"/>
      <c r="H34" s="259"/>
      <c r="I34" s="245"/>
      <c r="J34" s="244"/>
      <c r="K34" s="242"/>
      <c r="L34" s="242"/>
      <c r="M34" s="244"/>
    </row>
    <row r="35" spans="1:26" s="31" customFormat="1" ht="32.25" customHeight="1">
      <c r="A35" s="27">
        <v>1</v>
      </c>
      <c r="B35" s="75" t="s">
        <v>145</v>
      </c>
      <c r="C35" s="29" t="s">
        <v>146</v>
      </c>
      <c r="D35" s="29" t="s">
        <v>61</v>
      </c>
      <c r="E35" s="28"/>
      <c r="F35" s="29">
        <v>1.37</v>
      </c>
      <c r="G35" s="242"/>
      <c r="H35" s="259"/>
      <c r="I35" s="245"/>
      <c r="J35" s="244"/>
      <c r="K35" s="242"/>
      <c r="L35" s="242"/>
      <c r="M35" s="244"/>
    </row>
    <row r="36" spans="1:26" s="31" customFormat="1" ht="23.25" customHeight="1">
      <c r="A36" s="194">
        <f>A35+0.1</f>
        <v>1.1000000000000001</v>
      </c>
      <c r="B36" s="32"/>
      <c r="C36" s="33" t="s">
        <v>65</v>
      </c>
      <c r="D36" s="195" t="s">
        <v>19</v>
      </c>
      <c r="E36" s="34">
        <v>4.5</v>
      </c>
      <c r="F36" s="35">
        <f>E36*F35</f>
        <v>6.1650000000000009</v>
      </c>
      <c r="G36" s="242"/>
      <c r="H36" s="259"/>
      <c r="I36" s="245"/>
      <c r="J36" s="244"/>
      <c r="K36" s="242"/>
      <c r="L36" s="242"/>
      <c r="M36" s="244"/>
    </row>
    <row r="37" spans="1:26" s="31" customFormat="1" ht="23.25" customHeight="1">
      <c r="A37" s="194">
        <f t="shared" ref="A37:A42" si="4">A36+0.1</f>
        <v>1.2000000000000002</v>
      </c>
      <c r="B37" s="32"/>
      <c r="C37" s="33" t="s">
        <v>85</v>
      </c>
      <c r="D37" s="195" t="s">
        <v>0</v>
      </c>
      <c r="E37" s="34">
        <v>0.37</v>
      </c>
      <c r="F37" s="35">
        <f>E37*F35</f>
        <v>0.50690000000000002</v>
      </c>
      <c r="G37" s="242"/>
      <c r="H37" s="259"/>
      <c r="I37" s="245"/>
      <c r="J37" s="244"/>
      <c r="K37" s="242"/>
      <c r="L37" s="242"/>
      <c r="M37" s="244"/>
    </row>
    <row r="38" spans="1:26" s="31" customFormat="1" ht="23.25" customHeight="1">
      <c r="A38" s="33">
        <f t="shared" si="4"/>
        <v>1.3000000000000003</v>
      </c>
      <c r="B38" s="126" t="s">
        <v>260</v>
      </c>
      <c r="C38" s="33" t="s">
        <v>106</v>
      </c>
      <c r="D38" s="33" t="s">
        <v>64</v>
      </c>
      <c r="E38" s="34">
        <v>1.02</v>
      </c>
      <c r="F38" s="35">
        <f>E38*F35</f>
        <v>1.3974000000000002</v>
      </c>
      <c r="G38" s="242"/>
      <c r="H38" s="259"/>
      <c r="I38" s="245"/>
      <c r="J38" s="244"/>
      <c r="K38" s="242"/>
      <c r="L38" s="242"/>
      <c r="M38" s="244"/>
      <c r="O38" s="57"/>
    </row>
    <row r="39" spans="1:26" s="31" customFormat="1" ht="23.25" customHeight="1">
      <c r="A39" s="33">
        <f t="shared" si="4"/>
        <v>1.4000000000000004</v>
      </c>
      <c r="B39" s="33" t="s">
        <v>259</v>
      </c>
      <c r="C39" s="36" t="s">
        <v>105</v>
      </c>
      <c r="D39" s="33" t="s">
        <v>64</v>
      </c>
      <c r="E39" s="34" t="s">
        <v>83</v>
      </c>
      <c r="F39" s="35">
        <v>0.46</v>
      </c>
      <c r="G39" s="242"/>
      <c r="H39" s="259"/>
      <c r="I39" s="245"/>
      <c r="J39" s="244"/>
      <c r="K39" s="242"/>
      <c r="L39" s="242"/>
      <c r="M39" s="244"/>
      <c r="O39" s="57"/>
    </row>
    <row r="40" spans="1:26" s="26" customFormat="1" ht="26.25" customHeight="1">
      <c r="A40" s="33">
        <f t="shared" si="4"/>
        <v>1.5000000000000004</v>
      </c>
      <c r="B40" s="103" t="s">
        <v>261</v>
      </c>
      <c r="C40" s="37" t="s">
        <v>107</v>
      </c>
      <c r="D40" s="33" t="s">
        <v>95</v>
      </c>
      <c r="E40" s="34">
        <v>1.61</v>
      </c>
      <c r="F40" s="35">
        <f>E40*F35</f>
        <v>2.2057000000000002</v>
      </c>
      <c r="G40" s="242"/>
      <c r="H40" s="259"/>
      <c r="I40" s="245"/>
      <c r="J40" s="244"/>
      <c r="K40" s="242"/>
      <c r="L40" s="242"/>
      <c r="M40" s="244"/>
      <c r="O40" s="57"/>
    </row>
    <row r="41" spans="1:26" s="26" customFormat="1" ht="19.5" customHeight="1">
      <c r="A41" s="33">
        <f t="shared" si="4"/>
        <v>1.6000000000000005</v>
      </c>
      <c r="B41" s="108" t="s">
        <v>262</v>
      </c>
      <c r="C41" s="33" t="s">
        <v>148</v>
      </c>
      <c r="D41" s="33" t="s">
        <v>64</v>
      </c>
      <c r="E41" s="34">
        <v>1.72E-2</v>
      </c>
      <c r="F41" s="35">
        <f>E41*F35</f>
        <v>2.3564000000000002E-2</v>
      </c>
      <c r="G41" s="242"/>
      <c r="H41" s="259"/>
      <c r="I41" s="245"/>
      <c r="J41" s="244"/>
      <c r="K41" s="242"/>
      <c r="L41" s="242"/>
      <c r="M41" s="244"/>
    </row>
    <row r="42" spans="1:26" s="26" customFormat="1" ht="19.5" customHeight="1">
      <c r="A42" s="33">
        <f t="shared" si="4"/>
        <v>1.7000000000000006</v>
      </c>
      <c r="B42" s="32"/>
      <c r="C42" s="33" t="s">
        <v>32</v>
      </c>
      <c r="D42" s="33" t="s">
        <v>0</v>
      </c>
      <c r="E42" s="34">
        <v>0.28000000000000003</v>
      </c>
      <c r="F42" s="35">
        <f>E42*F35</f>
        <v>0.38360000000000005</v>
      </c>
      <c r="G42" s="242"/>
      <c r="H42" s="259"/>
      <c r="I42" s="245"/>
      <c r="J42" s="244"/>
      <c r="K42" s="242"/>
      <c r="L42" s="242"/>
      <c r="M42" s="244"/>
    </row>
    <row r="43" spans="1:26" s="26" customFormat="1" ht="28.5" customHeight="1">
      <c r="A43" s="38">
        <v>2</v>
      </c>
      <c r="B43" s="39" t="s">
        <v>154</v>
      </c>
      <c r="C43" s="40" t="s">
        <v>225</v>
      </c>
      <c r="D43" s="40" t="s">
        <v>155</v>
      </c>
      <c r="E43" s="41"/>
      <c r="F43" s="42">
        <f>O50/1000</f>
        <v>0.45074039999999999</v>
      </c>
      <c r="G43" s="242"/>
      <c r="H43" s="259"/>
      <c r="I43" s="245"/>
      <c r="J43" s="244"/>
      <c r="K43" s="242"/>
      <c r="L43" s="242"/>
      <c r="M43" s="244"/>
    </row>
    <row r="44" spans="1:26" s="26" customFormat="1" ht="19.5" customHeight="1">
      <c r="A44" s="196">
        <f>A43+0.1</f>
        <v>2.1</v>
      </c>
      <c r="B44" s="44"/>
      <c r="C44" s="45" t="s">
        <v>87</v>
      </c>
      <c r="D44" s="45" t="s">
        <v>19</v>
      </c>
      <c r="E44" s="46">
        <v>30.1</v>
      </c>
      <c r="F44" s="47">
        <f>E44*F43</f>
        <v>13.567286040000001</v>
      </c>
      <c r="G44" s="242"/>
      <c r="H44" s="259"/>
      <c r="I44" s="245"/>
      <c r="J44" s="244"/>
      <c r="K44" s="242"/>
      <c r="L44" s="242"/>
      <c r="M44" s="244"/>
    </row>
    <row r="45" spans="1:26" s="26" customFormat="1" ht="19.5" customHeight="1">
      <c r="A45" s="196">
        <f>A44+0.1</f>
        <v>2.2000000000000002</v>
      </c>
      <c r="B45" s="44"/>
      <c r="C45" s="45" t="s">
        <v>82</v>
      </c>
      <c r="D45" s="33" t="s">
        <v>0</v>
      </c>
      <c r="E45" s="46">
        <v>6.46</v>
      </c>
      <c r="F45" s="47">
        <f>E45*F43</f>
        <v>2.9117829839999998</v>
      </c>
      <c r="G45" s="242"/>
      <c r="H45" s="259"/>
      <c r="I45" s="245"/>
      <c r="J45" s="244"/>
      <c r="K45" s="242"/>
      <c r="L45" s="242"/>
      <c r="M45" s="244"/>
    </row>
    <row r="46" spans="1:26" s="26" customFormat="1" ht="19.5" customHeight="1">
      <c r="A46" s="43">
        <f>A45+0.1</f>
        <v>2.3000000000000003</v>
      </c>
      <c r="B46" s="232" t="s">
        <v>264</v>
      </c>
      <c r="C46" s="45" t="s">
        <v>226</v>
      </c>
      <c r="D46" s="45" t="s">
        <v>156</v>
      </c>
      <c r="E46" s="46" t="s">
        <v>72</v>
      </c>
      <c r="F46" s="47">
        <v>38</v>
      </c>
      <c r="G46" s="242"/>
      <c r="H46" s="259"/>
      <c r="I46" s="245"/>
      <c r="J46" s="244"/>
      <c r="K46" s="242"/>
      <c r="L46" s="242"/>
      <c r="M46" s="244"/>
      <c r="N46" s="48">
        <v>3.77</v>
      </c>
      <c r="O46" s="48">
        <f>N46*F46</f>
        <v>143.26</v>
      </c>
      <c r="P46" s="48">
        <f>F46*0.24</f>
        <v>9.1199999999999992</v>
      </c>
    </row>
    <row r="47" spans="1:26" s="26" customFormat="1" ht="19.5" customHeight="1">
      <c r="A47" s="43">
        <f t="shared" ref="A47:A51" si="5">A46+0.1</f>
        <v>2.4000000000000004</v>
      </c>
      <c r="B47" s="44" t="s">
        <v>283</v>
      </c>
      <c r="C47" s="45" t="s">
        <v>227</v>
      </c>
      <c r="D47" s="45" t="s">
        <v>156</v>
      </c>
      <c r="E47" s="46" t="s">
        <v>72</v>
      </c>
      <c r="F47" s="47">
        <v>108</v>
      </c>
      <c r="G47" s="242"/>
      <c r="H47" s="259"/>
      <c r="I47" s="245"/>
      <c r="J47" s="244"/>
      <c r="K47" s="242"/>
      <c r="L47" s="242"/>
      <c r="M47" s="244"/>
      <c r="N47" s="48">
        <v>1.88</v>
      </c>
      <c r="O47" s="48">
        <f t="shared" ref="O47:O48" si="6">N47*F47</f>
        <v>203.04</v>
      </c>
      <c r="P47" s="48">
        <f>F47*0.2</f>
        <v>21.6</v>
      </c>
    </row>
    <row r="48" spans="1:26" s="49" customFormat="1" ht="35.25" customHeight="1">
      <c r="A48" s="43">
        <f t="shared" si="5"/>
        <v>2.5000000000000004</v>
      </c>
      <c r="B48" s="44" t="s">
        <v>284</v>
      </c>
      <c r="C48" s="45" t="s">
        <v>229</v>
      </c>
      <c r="D48" s="45" t="s">
        <v>156</v>
      </c>
      <c r="E48" s="46" t="s">
        <v>72</v>
      </c>
      <c r="F48" s="47">
        <v>205.2</v>
      </c>
      <c r="G48" s="242"/>
      <c r="H48" s="259"/>
      <c r="I48" s="245"/>
      <c r="J48" s="244"/>
      <c r="K48" s="242"/>
      <c r="L48" s="242"/>
      <c r="M48" s="244"/>
      <c r="N48" s="48">
        <v>0.502</v>
      </c>
      <c r="O48" s="48">
        <f t="shared" si="6"/>
        <v>103.01039999999999</v>
      </c>
      <c r="P48" s="48">
        <f>F48*0.032</f>
        <v>6.5663999999999998</v>
      </c>
    </row>
    <row r="49" spans="1:18" s="26" customFormat="1" ht="39.75" customHeight="1">
      <c r="A49" s="43">
        <f t="shared" si="5"/>
        <v>2.6000000000000005</v>
      </c>
      <c r="B49" s="232" t="s">
        <v>285</v>
      </c>
      <c r="C49" s="45" t="s">
        <v>230</v>
      </c>
      <c r="D49" s="45" t="s">
        <v>17</v>
      </c>
      <c r="E49" s="46" t="s">
        <v>72</v>
      </c>
      <c r="F49" s="58">
        <v>6.0999999999999999E-2</v>
      </c>
      <c r="G49" s="242"/>
      <c r="H49" s="259"/>
      <c r="I49" s="245"/>
      <c r="J49" s="244"/>
      <c r="K49" s="242"/>
      <c r="L49" s="242"/>
      <c r="M49" s="244"/>
      <c r="N49" s="49">
        <v>23.55</v>
      </c>
      <c r="O49" s="49">
        <v>1.43</v>
      </c>
      <c r="P49" s="59">
        <f>F49</f>
        <v>6.0999999999999999E-2</v>
      </c>
      <c r="Q49" s="48"/>
      <c r="R49" s="48"/>
    </row>
    <row r="50" spans="1:18" s="49" customFormat="1" ht="19.5" customHeight="1">
      <c r="A50" s="43">
        <f t="shared" si="5"/>
        <v>2.7000000000000006</v>
      </c>
      <c r="B50" s="233" t="s">
        <v>263</v>
      </c>
      <c r="C50" s="45" t="s">
        <v>108</v>
      </c>
      <c r="D50" s="45" t="s">
        <v>86</v>
      </c>
      <c r="E50" s="46">
        <v>4.8</v>
      </c>
      <c r="F50" s="47">
        <f>E50*F43</f>
        <v>2.16355392</v>
      </c>
      <c r="G50" s="242"/>
      <c r="H50" s="259"/>
      <c r="I50" s="245"/>
      <c r="J50" s="244"/>
      <c r="K50" s="242"/>
      <c r="L50" s="242"/>
      <c r="M50" s="244"/>
      <c r="N50" s="48"/>
      <c r="O50" s="48">
        <f>SUM(O46:O49)</f>
        <v>450.74039999999997</v>
      </c>
      <c r="P50" s="48">
        <f>SUM(P46:P49)</f>
        <v>37.3474</v>
      </c>
      <c r="Q50" s="48"/>
      <c r="R50" s="48"/>
    </row>
    <row r="51" spans="1:18" s="49" customFormat="1" ht="19.5" customHeight="1">
      <c r="A51" s="43">
        <f t="shared" si="5"/>
        <v>2.8000000000000007</v>
      </c>
      <c r="B51" s="44"/>
      <c r="C51" s="45" t="s">
        <v>90</v>
      </c>
      <c r="D51" s="33" t="s">
        <v>136</v>
      </c>
      <c r="E51" s="46">
        <v>5.4</v>
      </c>
      <c r="F51" s="47">
        <f>E51*F43</f>
        <v>2.4339981600000002</v>
      </c>
      <c r="G51" s="242"/>
      <c r="H51" s="259"/>
      <c r="I51" s="245"/>
      <c r="J51" s="244"/>
      <c r="K51" s="242"/>
      <c r="L51" s="242"/>
      <c r="M51" s="244"/>
      <c r="N51" s="48"/>
      <c r="O51" s="48"/>
      <c r="P51" s="48"/>
      <c r="Q51" s="48"/>
      <c r="R51" s="48"/>
    </row>
    <row r="52" spans="1:18" s="48" customFormat="1" ht="30.75" customHeight="1">
      <c r="A52" s="27">
        <v>3</v>
      </c>
      <c r="B52" s="51" t="s">
        <v>157</v>
      </c>
      <c r="C52" s="27" t="s">
        <v>228</v>
      </c>
      <c r="D52" s="27" t="s">
        <v>17</v>
      </c>
      <c r="E52" s="27"/>
      <c r="F52" s="52">
        <f>P50*1.1</f>
        <v>41.082140000000003</v>
      </c>
      <c r="G52" s="242"/>
      <c r="H52" s="259"/>
      <c r="I52" s="245"/>
      <c r="J52" s="244"/>
      <c r="K52" s="242"/>
      <c r="L52" s="242"/>
      <c r="M52" s="244"/>
    </row>
    <row r="53" spans="1:18" s="48" customFormat="1" ht="19.5" customHeight="1">
      <c r="A53" s="50">
        <f>A52+0.1</f>
        <v>3.1</v>
      </c>
      <c r="B53" s="54"/>
      <c r="C53" s="50" t="s">
        <v>30</v>
      </c>
      <c r="D53" s="50" t="s">
        <v>19</v>
      </c>
      <c r="E53" s="50">
        <v>0.68</v>
      </c>
      <c r="F53" s="35">
        <f>E53*F52</f>
        <v>27.935855200000002</v>
      </c>
      <c r="G53" s="242"/>
      <c r="H53" s="259"/>
      <c r="I53" s="245"/>
      <c r="J53" s="244"/>
      <c r="K53" s="242"/>
      <c r="L53" s="242"/>
      <c r="M53" s="244"/>
    </row>
    <row r="54" spans="1:18" s="48" customFormat="1" ht="19.5" customHeight="1">
      <c r="A54" s="45">
        <f>A53+0.1</f>
        <v>3.2</v>
      </c>
      <c r="B54" s="44"/>
      <c r="C54" s="45" t="s">
        <v>158</v>
      </c>
      <c r="D54" s="33" t="s">
        <v>0</v>
      </c>
      <c r="E54" s="46">
        <v>2.9999999999999997E-4</v>
      </c>
      <c r="F54" s="47">
        <f>E54*F52</f>
        <v>1.2324642E-2</v>
      </c>
      <c r="G54" s="242"/>
      <c r="H54" s="259"/>
      <c r="I54" s="245"/>
      <c r="J54" s="244"/>
      <c r="K54" s="242"/>
      <c r="L54" s="242"/>
      <c r="M54" s="244"/>
      <c r="Q54" s="49"/>
      <c r="R54" s="49"/>
    </row>
    <row r="55" spans="1:18" s="48" customFormat="1" ht="19.5" customHeight="1">
      <c r="A55" s="33">
        <f>A54+0.1</f>
        <v>3.3000000000000003</v>
      </c>
      <c r="B55" s="197" t="s">
        <v>286</v>
      </c>
      <c r="C55" s="37" t="s">
        <v>159</v>
      </c>
      <c r="D55" s="37" t="s">
        <v>86</v>
      </c>
      <c r="E55" s="37">
        <v>0.5</v>
      </c>
      <c r="F55" s="55">
        <f>E55*F52</f>
        <v>20.541070000000001</v>
      </c>
      <c r="G55" s="242"/>
      <c r="H55" s="259"/>
      <c r="I55" s="245"/>
      <c r="J55" s="244"/>
      <c r="K55" s="242"/>
      <c r="L55" s="242"/>
      <c r="M55" s="244"/>
    </row>
    <row r="56" spans="1:18" s="48" customFormat="1" ht="35.25" customHeight="1">
      <c r="A56" s="33">
        <f t="shared" ref="A56:A57" si="7">A55+0.1</f>
        <v>3.4000000000000004</v>
      </c>
      <c r="B56" s="197" t="s">
        <v>287</v>
      </c>
      <c r="C56" s="37" t="s">
        <v>160</v>
      </c>
      <c r="D56" s="37" t="s">
        <v>86</v>
      </c>
      <c r="E56" s="37">
        <v>2.7E-2</v>
      </c>
      <c r="F56" s="55">
        <f>E56*F52</f>
        <v>1.10921778</v>
      </c>
      <c r="G56" s="242"/>
      <c r="H56" s="259"/>
      <c r="I56" s="245"/>
      <c r="J56" s="244"/>
      <c r="K56" s="242"/>
      <c r="L56" s="242"/>
      <c r="M56" s="244"/>
    </row>
    <row r="57" spans="1:18" s="48" customFormat="1" ht="19.5" customHeight="1">
      <c r="A57" s="33">
        <f t="shared" si="7"/>
        <v>3.5000000000000004</v>
      </c>
      <c r="B57" s="54"/>
      <c r="C57" s="37" t="s">
        <v>32</v>
      </c>
      <c r="D57" s="37" t="s">
        <v>0</v>
      </c>
      <c r="E57" s="37">
        <v>1.9E-3</v>
      </c>
      <c r="F57" s="56">
        <f>E57*F52</f>
        <v>7.8056066000000007E-2</v>
      </c>
      <c r="G57" s="242"/>
      <c r="H57" s="259"/>
      <c r="I57" s="245"/>
      <c r="J57" s="244"/>
      <c r="K57" s="242"/>
      <c r="L57" s="242"/>
      <c r="M57" s="244"/>
    </row>
    <row r="58" spans="1:18" ht="15.75" customHeight="1">
      <c r="A58" s="130"/>
      <c r="B58" s="97"/>
      <c r="C58" s="109" t="s">
        <v>7</v>
      </c>
      <c r="D58" s="109" t="s">
        <v>0</v>
      </c>
      <c r="E58" s="99"/>
      <c r="F58" s="98"/>
      <c r="G58" s="241"/>
      <c r="H58" s="255"/>
      <c r="I58" s="256"/>
      <c r="J58" s="241"/>
      <c r="K58" s="246"/>
      <c r="L58" s="241"/>
      <c r="M58" s="241"/>
      <c r="N58" s="11">
        <f>L58+J58+H58</f>
        <v>0</v>
      </c>
    </row>
    <row r="59" spans="1:18" ht="15.75" customHeight="1">
      <c r="A59" s="100"/>
      <c r="B59" s="100"/>
      <c r="C59" s="100" t="s">
        <v>295</v>
      </c>
      <c r="D59" s="100" t="s">
        <v>0</v>
      </c>
      <c r="E59" s="106"/>
      <c r="F59" s="108"/>
      <c r="G59" s="244"/>
      <c r="H59" s="253"/>
      <c r="I59" s="253"/>
      <c r="J59" s="253"/>
      <c r="K59" s="253"/>
      <c r="L59" s="253"/>
      <c r="M59" s="244"/>
      <c r="N59" s="11"/>
      <c r="O59" s="17"/>
    </row>
    <row r="60" spans="1:18" ht="15.75" customHeight="1">
      <c r="A60" s="109"/>
      <c r="B60" s="109"/>
      <c r="C60" s="109" t="s">
        <v>7</v>
      </c>
      <c r="D60" s="109" t="s">
        <v>0</v>
      </c>
      <c r="E60" s="99"/>
      <c r="F60" s="98"/>
      <c r="G60" s="241"/>
      <c r="H60" s="256"/>
      <c r="I60" s="256"/>
      <c r="J60" s="256"/>
      <c r="K60" s="256"/>
      <c r="L60" s="256"/>
      <c r="M60" s="241"/>
    </row>
    <row r="61" spans="1:18" ht="15.75" customHeight="1">
      <c r="A61" s="100"/>
      <c r="B61" s="100"/>
      <c r="C61" s="100" t="s">
        <v>296</v>
      </c>
      <c r="D61" s="100" t="s">
        <v>0</v>
      </c>
      <c r="E61" s="106"/>
      <c r="F61" s="108"/>
      <c r="G61" s="244"/>
      <c r="H61" s="253"/>
      <c r="I61" s="253"/>
      <c r="J61" s="253"/>
      <c r="K61" s="253"/>
      <c r="L61" s="253"/>
      <c r="M61" s="244"/>
    </row>
    <row r="62" spans="1:18" ht="15.75" customHeight="1">
      <c r="A62" s="110"/>
      <c r="B62" s="110"/>
      <c r="C62" s="110" t="s">
        <v>43</v>
      </c>
      <c r="D62" s="110" t="s">
        <v>0</v>
      </c>
      <c r="E62" s="111"/>
      <c r="F62" s="111"/>
      <c r="G62" s="111"/>
      <c r="H62" s="132"/>
      <c r="I62" s="132"/>
      <c r="J62" s="132"/>
      <c r="K62" s="132"/>
      <c r="L62" s="132"/>
      <c r="M62" s="111"/>
    </row>
    <row r="63" spans="1:18" ht="15.75" customHeight="1"/>
    <row r="64" spans="1:18" ht="15.75" customHeight="1"/>
    <row r="65" spans="3:4" ht="15.75" customHeight="1">
      <c r="C65" s="137" t="s">
        <v>10</v>
      </c>
      <c r="D65" s="138"/>
    </row>
    <row r="66" spans="3:4" ht="15.75" customHeight="1">
      <c r="C66" s="138"/>
      <c r="D66" s="138"/>
    </row>
    <row r="67" spans="3:4" ht="15.75" customHeight="1">
      <c r="C67" s="138"/>
      <c r="D67" s="138"/>
    </row>
    <row r="68" spans="3:4" ht="15.75" customHeight="1"/>
    <row r="69" spans="3:4" ht="15.75" customHeight="1"/>
    <row r="70" spans="3:4" ht="15.75" customHeight="1"/>
    <row r="71" spans="3:4" ht="15.75" customHeight="1"/>
    <row r="72" spans="3:4" ht="15.75" customHeight="1"/>
    <row r="73" spans="3:4" ht="15.75" customHeight="1"/>
    <row r="74" spans="3:4" ht="15.75" customHeight="1"/>
    <row r="75" spans="3:4" ht="15.75" customHeight="1"/>
    <row r="76" spans="3:4" ht="15.75" customHeight="1"/>
    <row r="77" spans="3:4" ht="15.75" customHeight="1"/>
    <row r="78" spans="3:4" ht="15.75" customHeight="1"/>
    <row r="79" spans="3:4" ht="15.75" customHeight="1"/>
    <row r="80" spans="3:4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</sheetData>
  <mergeCells count="12">
    <mergeCell ref="A6:M6"/>
    <mergeCell ref="A1:M1"/>
    <mergeCell ref="A2:D2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 horizontalCentered="1"/>
  <pageMargins left="0" right="0" top="0.55118110236220474" bottom="0.55118110236220474" header="0" footer="0.19685039370078741"/>
  <pageSetup paperSize="9" scale="85" orientation="landscape" r:id="rId1"/>
  <headerFooter>
    <oddFooter>Страница  &amp;P из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view="pageBreakPreview" topLeftCell="A88" zoomScale="90" zoomScaleNormal="100" zoomScaleSheetLayoutView="90" workbookViewId="0">
      <selection activeCell="J61" sqref="J61"/>
    </sheetView>
  </sheetViews>
  <sheetFormatPr defaultColWidth="12.625" defaultRowHeight="15" customHeight="1"/>
  <cols>
    <col min="1" max="1" width="4.875" style="139" customWidth="1"/>
    <col min="2" max="2" width="8.75" style="139" customWidth="1"/>
    <col min="3" max="3" width="34.375" style="139" customWidth="1"/>
    <col min="4" max="4" width="10.75" style="139" customWidth="1"/>
    <col min="5" max="5" width="11.125" style="139" customWidth="1"/>
    <col min="6" max="6" width="7.125" style="139" customWidth="1"/>
    <col min="7" max="7" width="7" style="139" customWidth="1"/>
    <col min="8" max="8" width="7.625" style="139" customWidth="1"/>
    <col min="9" max="9" width="5.625" style="139" customWidth="1"/>
    <col min="10" max="10" width="7.5" style="139" customWidth="1"/>
    <col min="11" max="11" width="6" style="139" customWidth="1"/>
    <col min="12" max="12" width="8" style="139" customWidth="1"/>
    <col min="13" max="13" width="7.625" style="139" customWidth="1"/>
    <col min="14" max="16" width="8" customWidth="1"/>
    <col min="17" max="26" width="7.625" customWidth="1"/>
  </cols>
  <sheetData>
    <row r="1" spans="1:16" ht="35.25" customHeight="1">
      <c r="A1" s="266" t="e">
        <f>#REF!</f>
        <v>#REF!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6" ht="14.25">
      <c r="A2" s="288" t="str">
        <f>მოსამზად!A2</f>
        <v>Sedgenilia 2020 wlis II kvartlis fasebiT</v>
      </c>
      <c r="B2" s="289"/>
      <c r="C2" s="289"/>
      <c r="D2" s="289"/>
      <c r="E2" s="116"/>
      <c r="F2" s="117"/>
      <c r="G2" s="117"/>
      <c r="H2" s="116"/>
      <c r="I2" s="116"/>
      <c r="J2" s="117"/>
      <c r="K2" s="116"/>
      <c r="L2" s="116"/>
      <c r="M2" s="116"/>
    </row>
    <row r="3" spans="1:16" ht="27" customHeight="1">
      <c r="A3" s="285" t="s">
        <v>11</v>
      </c>
      <c r="B3" s="285" t="s">
        <v>12</v>
      </c>
      <c r="C3" s="285" t="s">
        <v>236</v>
      </c>
      <c r="D3" s="285" t="s">
        <v>237</v>
      </c>
      <c r="E3" s="290" t="s">
        <v>13</v>
      </c>
      <c r="F3" s="291"/>
      <c r="G3" s="284" t="s">
        <v>254</v>
      </c>
      <c r="H3" s="283"/>
      <c r="I3" s="284" t="s">
        <v>238</v>
      </c>
      <c r="J3" s="283"/>
      <c r="K3" s="284" t="s">
        <v>239</v>
      </c>
      <c r="L3" s="283"/>
      <c r="M3" s="285" t="s">
        <v>14</v>
      </c>
    </row>
    <row r="4" spans="1:16" ht="51">
      <c r="A4" s="286"/>
      <c r="B4" s="286"/>
      <c r="C4" s="286"/>
      <c r="D4" s="286"/>
      <c r="E4" s="104" t="s">
        <v>15</v>
      </c>
      <c r="F4" s="77" t="s">
        <v>16</v>
      </c>
      <c r="G4" s="78" t="s">
        <v>240</v>
      </c>
      <c r="H4" s="104" t="s">
        <v>14</v>
      </c>
      <c r="I4" s="104" t="s">
        <v>240</v>
      </c>
      <c r="J4" s="77" t="s">
        <v>14</v>
      </c>
      <c r="K4" s="104" t="s">
        <v>240</v>
      </c>
      <c r="L4" s="104" t="s">
        <v>14</v>
      </c>
      <c r="M4" s="286"/>
    </row>
    <row r="5" spans="1:16" ht="21.75" customHeight="1">
      <c r="A5" s="118">
        <v>1</v>
      </c>
      <c r="B5" s="118">
        <v>2</v>
      </c>
      <c r="C5" s="118">
        <v>3</v>
      </c>
      <c r="D5" s="118">
        <v>4</v>
      </c>
      <c r="E5" s="119">
        <v>5</v>
      </c>
      <c r="F5" s="80">
        <v>6</v>
      </c>
      <c r="G5" s="79">
        <v>7</v>
      </c>
      <c r="H5" s="118">
        <v>8</v>
      </c>
      <c r="I5" s="118">
        <v>9</v>
      </c>
      <c r="J5" s="79">
        <v>10</v>
      </c>
      <c r="K5" s="118">
        <v>11</v>
      </c>
      <c r="L5" s="118">
        <v>12</v>
      </c>
      <c r="M5" s="118">
        <v>13</v>
      </c>
    </row>
    <row r="6" spans="1:16" ht="23.25" customHeight="1">
      <c r="A6" s="281" t="s">
        <v>162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16" ht="21" customHeight="1">
      <c r="A7" s="281" t="s">
        <v>163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3"/>
    </row>
    <row r="8" spans="1:16" ht="28.5" customHeight="1">
      <c r="A8" s="144">
        <v>1</v>
      </c>
      <c r="B8" s="95" t="s">
        <v>74</v>
      </c>
      <c r="C8" s="96" t="s">
        <v>164</v>
      </c>
      <c r="D8" s="96" t="s">
        <v>21</v>
      </c>
      <c r="E8" s="98"/>
      <c r="F8" s="198">
        <f>N8*0.5*0.8/100</f>
        <v>0.75600000000000012</v>
      </c>
      <c r="G8" s="241"/>
      <c r="H8" s="240"/>
      <c r="I8" s="240"/>
      <c r="J8" s="240"/>
      <c r="K8" s="240"/>
      <c r="L8" s="240"/>
      <c r="M8" s="241"/>
      <c r="N8" s="18">
        <v>189</v>
      </c>
    </row>
    <row r="9" spans="1:16" ht="23.25" customHeight="1">
      <c r="A9" s="143">
        <f>A8+0.1</f>
        <v>1.1000000000000001</v>
      </c>
      <c r="B9" s="102"/>
      <c r="C9" s="103" t="s">
        <v>18</v>
      </c>
      <c r="D9" s="103" t="s">
        <v>19</v>
      </c>
      <c r="E9" s="108">
        <v>206</v>
      </c>
      <c r="F9" s="199">
        <f>F8*E9</f>
        <v>155.73600000000002</v>
      </c>
      <c r="G9" s="242"/>
      <c r="H9" s="259"/>
      <c r="I9" s="245"/>
      <c r="J9" s="244"/>
      <c r="K9" s="242"/>
      <c r="L9" s="242"/>
      <c r="M9" s="244"/>
    </row>
    <row r="10" spans="1:16" ht="38.25" customHeight="1">
      <c r="A10" s="120">
        <v>2</v>
      </c>
      <c r="B10" s="146" t="s">
        <v>103</v>
      </c>
      <c r="C10" s="120" t="s">
        <v>143</v>
      </c>
      <c r="D10" s="120" t="s">
        <v>21</v>
      </c>
      <c r="E10" s="140"/>
      <c r="F10" s="200">
        <f>F15/5/100</f>
        <v>1.25E-3</v>
      </c>
      <c r="G10" s="242"/>
      <c r="H10" s="259"/>
      <c r="I10" s="245"/>
      <c r="J10" s="244"/>
      <c r="K10" s="242"/>
      <c r="L10" s="242"/>
      <c r="M10" s="244"/>
    </row>
    <row r="11" spans="1:16" ht="24" customHeight="1">
      <c r="A11" s="77">
        <f t="shared" ref="A11:A14" si="0">A10+0.1</f>
        <v>2.1</v>
      </c>
      <c r="B11" s="77"/>
      <c r="C11" s="121" t="s">
        <v>104</v>
      </c>
      <c r="D11" s="121" t="s">
        <v>19</v>
      </c>
      <c r="E11" s="121">
        <v>89</v>
      </c>
      <c r="F11" s="121">
        <f>E11*F10</f>
        <v>0.11125</v>
      </c>
      <c r="G11" s="242"/>
      <c r="H11" s="259"/>
      <c r="I11" s="245"/>
      <c r="J11" s="244"/>
      <c r="K11" s="242"/>
      <c r="L11" s="242"/>
      <c r="M11" s="244"/>
    </row>
    <row r="12" spans="1:16" ht="24" customHeight="1">
      <c r="A12" s="77">
        <f t="shared" si="0"/>
        <v>2.2000000000000002</v>
      </c>
      <c r="B12" s="120"/>
      <c r="C12" s="77" t="s">
        <v>85</v>
      </c>
      <c r="D12" s="77" t="s">
        <v>144</v>
      </c>
      <c r="E12" s="121">
        <v>37</v>
      </c>
      <c r="F12" s="121">
        <f>E12*F10</f>
        <v>4.6249999999999999E-2</v>
      </c>
      <c r="G12" s="242"/>
      <c r="H12" s="259"/>
      <c r="I12" s="245"/>
      <c r="J12" s="244"/>
      <c r="K12" s="242"/>
      <c r="L12" s="242"/>
      <c r="M12" s="244"/>
    </row>
    <row r="13" spans="1:16" ht="24" customHeight="1">
      <c r="A13" s="77">
        <f t="shared" si="0"/>
        <v>2.3000000000000003</v>
      </c>
      <c r="B13" s="104" t="s">
        <v>275</v>
      </c>
      <c r="C13" s="104" t="s">
        <v>115</v>
      </c>
      <c r="D13" s="77" t="s">
        <v>64</v>
      </c>
      <c r="E13" s="121" t="s">
        <v>83</v>
      </c>
      <c r="F13" s="121">
        <f>F10*100</f>
        <v>0.125</v>
      </c>
      <c r="G13" s="242"/>
      <c r="H13" s="259"/>
      <c r="I13" s="245"/>
      <c r="J13" s="244"/>
      <c r="K13" s="242"/>
      <c r="L13" s="242"/>
      <c r="M13" s="244"/>
    </row>
    <row r="14" spans="1:16" ht="24" customHeight="1">
      <c r="A14" s="77">
        <f t="shared" si="0"/>
        <v>2.4000000000000004</v>
      </c>
      <c r="B14" s="77"/>
      <c r="C14" s="103" t="s">
        <v>90</v>
      </c>
      <c r="D14" s="103" t="s">
        <v>89</v>
      </c>
      <c r="E14" s="108">
        <v>2</v>
      </c>
      <c r="F14" s="108">
        <f>E14*F10</f>
        <v>2.5000000000000001E-3</v>
      </c>
      <c r="G14" s="242"/>
      <c r="H14" s="259"/>
      <c r="I14" s="245"/>
      <c r="J14" s="244"/>
      <c r="K14" s="242"/>
      <c r="L14" s="242"/>
      <c r="M14" s="244"/>
    </row>
    <row r="15" spans="1:16" ht="28.5" customHeight="1">
      <c r="A15" s="109">
        <v>3</v>
      </c>
      <c r="B15" s="182" t="s">
        <v>145</v>
      </c>
      <c r="C15" s="96" t="s">
        <v>146</v>
      </c>
      <c r="D15" s="109" t="s">
        <v>61</v>
      </c>
      <c r="E15" s="109"/>
      <c r="F15" s="98">
        <f>F22*0.5*0.5*0.5</f>
        <v>0.625</v>
      </c>
      <c r="G15" s="242"/>
      <c r="H15" s="259"/>
      <c r="I15" s="245"/>
      <c r="J15" s="244"/>
      <c r="K15" s="242"/>
      <c r="L15" s="242"/>
      <c r="M15" s="244"/>
      <c r="N15" s="13"/>
      <c r="O15" s="13"/>
      <c r="P15" s="13"/>
    </row>
    <row r="16" spans="1:16" ht="24" customHeight="1">
      <c r="A16" s="77">
        <f t="shared" ref="A16:A21" si="1">A15+0.1</f>
        <v>3.1</v>
      </c>
      <c r="B16" s="100"/>
      <c r="C16" s="104" t="s">
        <v>65</v>
      </c>
      <c r="D16" s="104" t="s">
        <v>19</v>
      </c>
      <c r="E16" s="105">
        <v>4.5</v>
      </c>
      <c r="F16" s="121">
        <f>E16*F15</f>
        <v>2.8125</v>
      </c>
      <c r="G16" s="242"/>
      <c r="H16" s="259"/>
      <c r="I16" s="245"/>
      <c r="J16" s="244"/>
      <c r="K16" s="242"/>
      <c r="L16" s="242"/>
      <c r="M16" s="244"/>
      <c r="N16" s="13"/>
      <c r="O16" s="13"/>
      <c r="P16" s="13"/>
    </row>
    <row r="17" spans="1:26" ht="24" customHeight="1">
      <c r="A17" s="77">
        <f t="shared" si="1"/>
        <v>3.2</v>
      </c>
      <c r="B17" s="100"/>
      <c r="C17" s="104" t="s">
        <v>85</v>
      </c>
      <c r="D17" s="104" t="s">
        <v>0</v>
      </c>
      <c r="E17" s="105">
        <v>0.37</v>
      </c>
      <c r="F17" s="121">
        <f>E17*F15</f>
        <v>0.23125000000000001</v>
      </c>
      <c r="G17" s="242"/>
      <c r="H17" s="259"/>
      <c r="I17" s="245"/>
      <c r="J17" s="244"/>
      <c r="K17" s="242"/>
      <c r="L17" s="242"/>
      <c r="M17" s="244"/>
      <c r="N17" s="13"/>
      <c r="O17" s="13"/>
      <c r="P17" s="13"/>
    </row>
    <row r="18" spans="1:26" ht="24" customHeight="1">
      <c r="A18" s="77">
        <f t="shared" si="1"/>
        <v>3.3000000000000003</v>
      </c>
      <c r="B18" s="126" t="s">
        <v>265</v>
      </c>
      <c r="C18" s="103" t="s">
        <v>165</v>
      </c>
      <c r="D18" s="104" t="s">
        <v>64</v>
      </c>
      <c r="E18" s="105">
        <v>1.02</v>
      </c>
      <c r="F18" s="121">
        <f>E18*F15</f>
        <v>0.63749999999999996</v>
      </c>
      <c r="G18" s="242"/>
      <c r="H18" s="259"/>
      <c r="I18" s="245"/>
      <c r="J18" s="244"/>
      <c r="K18" s="242"/>
      <c r="L18" s="242"/>
      <c r="M18" s="244"/>
      <c r="N18" s="13"/>
      <c r="O18" s="13"/>
      <c r="P18" s="13"/>
    </row>
    <row r="19" spans="1:26" ht="24" customHeight="1">
      <c r="A19" s="77">
        <f t="shared" si="1"/>
        <v>3.4000000000000004</v>
      </c>
      <c r="B19" s="103" t="s">
        <v>261</v>
      </c>
      <c r="C19" s="103" t="s">
        <v>161</v>
      </c>
      <c r="D19" s="77" t="s">
        <v>95</v>
      </c>
      <c r="E19" s="121">
        <v>1.61</v>
      </c>
      <c r="F19" s="121">
        <f>F15*E19</f>
        <v>1.0062500000000001</v>
      </c>
      <c r="G19" s="242"/>
      <c r="H19" s="259"/>
      <c r="I19" s="245"/>
      <c r="J19" s="244"/>
      <c r="K19" s="242"/>
      <c r="L19" s="242"/>
      <c r="M19" s="244"/>
      <c r="N19" s="13"/>
      <c r="O19" s="13"/>
      <c r="P19" s="13"/>
    </row>
    <row r="20" spans="1:26" ht="24" customHeight="1">
      <c r="A20" s="77">
        <f t="shared" si="1"/>
        <v>3.5000000000000004</v>
      </c>
      <c r="B20" s="106" t="s">
        <v>262</v>
      </c>
      <c r="C20" s="103" t="s">
        <v>148</v>
      </c>
      <c r="D20" s="77" t="s">
        <v>95</v>
      </c>
      <c r="E20" s="121">
        <f>1.72/100</f>
        <v>1.72E-2</v>
      </c>
      <c r="F20" s="121">
        <f>F15*E20</f>
        <v>1.0749999999999999E-2</v>
      </c>
      <c r="G20" s="242"/>
      <c r="H20" s="259"/>
      <c r="I20" s="245"/>
      <c r="J20" s="244"/>
      <c r="K20" s="242"/>
      <c r="L20" s="242"/>
      <c r="M20" s="244"/>
      <c r="N20" s="13"/>
      <c r="O20" s="13"/>
      <c r="P20" s="13"/>
    </row>
    <row r="21" spans="1:26" ht="24" customHeight="1">
      <c r="A21" s="77">
        <f t="shared" si="1"/>
        <v>3.6000000000000005</v>
      </c>
      <c r="B21" s="77"/>
      <c r="C21" s="77" t="s">
        <v>32</v>
      </c>
      <c r="D21" s="77" t="s">
        <v>0</v>
      </c>
      <c r="E21" s="121">
        <v>0.28000000000000003</v>
      </c>
      <c r="F21" s="105">
        <f>E21*F15</f>
        <v>0.17500000000000002</v>
      </c>
      <c r="G21" s="242"/>
      <c r="H21" s="259"/>
      <c r="I21" s="245"/>
      <c r="J21" s="244"/>
      <c r="K21" s="242"/>
      <c r="L21" s="242"/>
      <c r="M21" s="244"/>
      <c r="N21" s="13"/>
      <c r="O21" s="13"/>
      <c r="P21" s="13"/>
    </row>
    <row r="22" spans="1:26" ht="40.5" customHeight="1">
      <c r="A22" s="96">
        <v>4</v>
      </c>
      <c r="B22" s="201" t="s">
        <v>166</v>
      </c>
      <c r="C22" s="120" t="s">
        <v>167</v>
      </c>
      <c r="D22" s="120" t="s">
        <v>35</v>
      </c>
      <c r="E22" s="140"/>
      <c r="F22" s="101">
        <v>5</v>
      </c>
      <c r="G22" s="242"/>
      <c r="H22" s="259"/>
      <c r="I22" s="245"/>
      <c r="J22" s="244"/>
      <c r="K22" s="242"/>
      <c r="L22" s="242"/>
      <c r="M22" s="244"/>
      <c r="N22" s="13"/>
      <c r="O22" s="13"/>
      <c r="P22" s="13"/>
    </row>
    <row r="23" spans="1:26" ht="24" customHeight="1">
      <c r="A23" s="77">
        <f t="shared" ref="A23:A28" si="2">A22+0.1</f>
        <v>4.0999999999999996</v>
      </c>
      <c r="B23" s="120"/>
      <c r="C23" s="77" t="s">
        <v>87</v>
      </c>
      <c r="D23" s="77" t="s">
        <v>19</v>
      </c>
      <c r="E23" s="77">
        <v>5.4</v>
      </c>
      <c r="F23" s="104">
        <f>E23*F22</f>
        <v>27</v>
      </c>
      <c r="G23" s="242"/>
      <c r="H23" s="259"/>
      <c r="I23" s="245"/>
      <c r="J23" s="244"/>
      <c r="K23" s="242"/>
      <c r="L23" s="242"/>
      <c r="M23" s="244"/>
      <c r="N23" s="13"/>
      <c r="O23" s="13"/>
      <c r="P23" s="13"/>
    </row>
    <row r="24" spans="1:26" ht="20.25" customHeight="1">
      <c r="A24" s="77">
        <f t="shared" si="2"/>
        <v>4.1999999999999993</v>
      </c>
      <c r="B24" s="100">
        <v>13.38</v>
      </c>
      <c r="C24" s="103" t="s">
        <v>168</v>
      </c>
      <c r="D24" s="103" t="s">
        <v>58</v>
      </c>
      <c r="E24" s="108">
        <v>1.25</v>
      </c>
      <c r="F24" s="106">
        <f>E24*F22</f>
        <v>6.25</v>
      </c>
      <c r="G24" s="242"/>
      <c r="H24" s="259"/>
      <c r="I24" s="245"/>
      <c r="J24" s="244"/>
      <c r="K24" s="242"/>
      <c r="L24" s="242"/>
      <c r="M24" s="244"/>
      <c r="N24" s="13"/>
      <c r="O24" s="13"/>
      <c r="P24" s="13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>
      <c r="A25" s="77">
        <f t="shared" si="2"/>
        <v>4.2999999999999989</v>
      </c>
      <c r="B25" s="106" t="s">
        <v>288</v>
      </c>
      <c r="C25" s="103" t="s">
        <v>169</v>
      </c>
      <c r="D25" s="103" t="s">
        <v>23</v>
      </c>
      <c r="E25" s="108" t="s">
        <v>72</v>
      </c>
      <c r="F25" s="106">
        <f>F22*N25</f>
        <v>12.5</v>
      </c>
      <c r="G25" s="242"/>
      <c r="H25" s="259"/>
      <c r="I25" s="245"/>
      <c r="J25" s="244"/>
      <c r="K25" s="242"/>
      <c r="L25" s="242"/>
      <c r="M25" s="244"/>
      <c r="N25" s="13">
        <v>2.5</v>
      </c>
      <c r="O25" s="13">
        <f>F25*0.34</f>
        <v>4.25</v>
      </c>
      <c r="P25" s="13"/>
    </row>
    <row r="26" spans="1:26" ht="24" customHeight="1">
      <c r="A26" s="77">
        <f t="shared" si="2"/>
        <v>4.3999999999999986</v>
      </c>
      <c r="B26" s="106" t="s">
        <v>289</v>
      </c>
      <c r="C26" s="103" t="s">
        <v>170</v>
      </c>
      <c r="D26" s="103" t="s">
        <v>23</v>
      </c>
      <c r="E26" s="108" t="s">
        <v>72</v>
      </c>
      <c r="F26" s="106">
        <f>F22*N26</f>
        <v>6.5</v>
      </c>
      <c r="G26" s="242"/>
      <c r="H26" s="259"/>
      <c r="I26" s="245"/>
      <c r="J26" s="244"/>
      <c r="K26" s="242"/>
      <c r="L26" s="242"/>
      <c r="M26" s="244"/>
      <c r="N26" s="13">
        <v>1.3</v>
      </c>
      <c r="O26" s="13">
        <f>F26*0.24</f>
        <v>1.56</v>
      </c>
      <c r="P26" s="13"/>
    </row>
    <row r="27" spans="1:26" ht="24" customHeight="1">
      <c r="A27" s="77">
        <f t="shared" si="2"/>
        <v>4.4999999999999982</v>
      </c>
      <c r="B27" s="106" t="s">
        <v>290</v>
      </c>
      <c r="C27" s="103" t="s">
        <v>171</v>
      </c>
      <c r="D27" s="103" t="s">
        <v>23</v>
      </c>
      <c r="E27" s="108" t="s">
        <v>72</v>
      </c>
      <c r="F27" s="106">
        <f>F22*N27</f>
        <v>4</v>
      </c>
      <c r="G27" s="242"/>
      <c r="H27" s="259"/>
      <c r="I27" s="245"/>
      <c r="J27" s="244"/>
      <c r="K27" s="242"/>
      <c r="L27" s="242"/>
      <c r="M27" s="244"/>
      <c r="N27" s="13">
        <v>0.8</v>
      </c>
      <c r="O27" s="13">
        <f>F27*0.18</f>
        <v>0.72</v>
      </c>
      <c r="P27" s="13"/>
    </row>
    <row r="28" spans="1:26" ht="24" customHeight="1">
      <c r="A28" s="77">
        <f t="shared" si="2"/>
        <v>4.5999999999999979</v>
      </c>
      <c r="B28" s="103"/>
      <c r="C28" s="103" t="s">
        <v>84</v>
      </c>
      <c r="D28" s="103" t="s">
        <v>0</v>
      </c>
      <c r="E28" s="108">
        <v>1.5</v>
      </c>
      <c r="F28" s="106">
        <f>E28*F22</f>
        <v>7.5</v>
      </c>
      <c r="G28" s="242"/>
      <c r="H28" s="259"/>
      <c r="I28" s="245"/>
      <c r="J28" s="244"/>
      <c r="K28" s="242"/>
      <c r="L28" s="242"/>
      <c r="M28" s="244"/>
      <c r="N28" s="13"/>
      <c r="O28" s="13">
        <f>SUM(O25:O27)</f>
        <v>6.53</v>
      </c>
      <c r="P28" s="13"/>
    </row>
    <row r="29" spans="1:26" ht="24" customHeight="1">
      <c r="A29" s="96">
        <v>5</v>
      </c>
      <c r="B29" s="202" t="s">
        <v>172</v>
      </c>
      <c r="C29" s="96" t="s">
        <v>173</v>
      </c>
      <c r="D29" s="96" t="s">
        <v>76</v>
      </c>
      <c r="E29" s="98"/>
      <c r="F29" s="99">
        <v>5</v>
      </c>
      <c r="G29" s="242"/>
      <c r="H29" s="259"/>
      <c r="I29" s="245"/>
      <c r="J29" s="244"/>
      <c r="K29" s="242"/>
      <c r="L29" s="242"/>
      <c r="M29" s="244"/>
      <c r="N29" s="13"/>
      <c r="O29" s="13"/>
      <c r="P29" s="13"/>
    </row>
    <row r="30" spans="1:26" ht="24" customHeight="1">
      <c r="A30" s="77">
        <f t="shared" ref="A30:A35" si="3">A29+0.1</f>
        <v>5.0999999999999996</v>
      </c>
      <c r="B30" s="203"/>
      <c r="C30" s="103" t="s">
        <v>87</v>
      </c>
      <c r="D30" s="103" t="s">
        <v>19</v>
      </c>
      <c r="E30" s="108">
        <v>0.9</v>
      </c>
      <c r="F30" s="106">
        <f>F29*E30</f>
        <v>4.5</v>
      </c>
      <c r="G30" s="242"/>
      <c r="H30" s="259"/>
      <c r="I30" s="245"/>
      <c r="J30" s="244"/>
      <c r="K30" s="242"/>
      <c r="L30" s="242"/>
      <c r="M30" s="244"/>
      <c r="N30" s="13"/>
      <c r="O30" s="13"/>
      <c r="P30" s="13"/>
    </row>
    <row r="31" spans="1:26" ht="20.25" customHeight="1">
      <c r="A31" s="77">
        <f t="shared" si="3"/>
        <v>5.1999999999999993</v>
      </c>
      <c r="B31" s="203"/>
      <c r="C31" s="103" t="s">
        <v>153</v>
      </c>
      <c r="D31" s="103" t="s">
        <v>0</v>
      </c>
      <c r="E31" s="108">
        <f>0.7/100</f>
        <v>6.9999999999999993E-3</v>
      </c>
      <c r="F31" s="108">
        <f>F29*E31</f>
        <v>3.4999999999999996E-2</v>
      </c>
      <c r="G31" s="242"/>
      <c r="H31" s="259"/>
      <c r="I31" s="245"/>
      <c r="J31" s="244"/>
      <c r="K31" s="242"/>
      <c r="L31" s="242"/>
      <c r="M31" s="244"/>
      <c r="N31" s="13"/>
      <c r="O31" s="13"/>
      <c r="P31" s="13"/>
    </row>
    <row r="32" spans="1:26" ht="22.5" customHeight="1">
      <c r="A32" s="77">
        <f t="shared" si="3"/>
        <v>5.2999999999999989</v>
      </c>
      <c r="B32" s="102" t="s">
        <v>266</v>
      </c>
      <c r="C32" s="204" t="s">
        <v>174</v>
      </c>
      <c r="D32" s="204" t="s">
        <v>23</v>
      </c>
      <c r="E32" s="108" t="s">
        <v>72</v>
      </c>
      <c r="F32" s="108">
        <v>35</v>
      </c>
      <c r="G32" s="242"/>
      <c r="H32" s="259"/>
      <c r="I32" s="245"/>
      <c r="J32" s="244"/>
      <c r="K32" s="242"/>
      <c r="L32" s="242"/>
      <c r="M32" s="244"/>
      <c r="N32" s="10">
        <v>8.5</v>
      </c>
      <c r="O32" s="13"/>
      <c r="P32" s="13"/>
    </row>
    <row r="33" spans="1:26" ht="24" customHeight="1">
      <c r="A33" s="77">
        <f t="shared" si="3"/>
        <v>5.3999999999999986</v>
      </c>
      <c r="B33" s="204" t="s">
        <v>25</v>
      </c>
      <c r="C33" s="204" t="s">
        <v>175</v>
      </c>
      <c r="D33" s="204" t="s">
        <v>23</v>
      </c>
      <c r="E33" s="108" t="s">
        <v>72</v>
      </c>
      <c r="F33" s="108">
        <v>198</v>
      </c>
      <c r="G33" s="242"/>
      <c r="H33" s="259"/>
      <c r="I33" s="245"/>
      <c r="J33" s="244"/>
      <c r="K33" s="242"/>
      <c r="L33" s="242"/>
      <c r="M33" s="244"/>
      <c r="N33" s="13">
        <f>N8+(F29*0.9)</f>
        <v>193.5</v>
      </c>
      <c r="O33" s="13"/>
      <c r="P33" s="13"/>
    </row>
    <row r="34" spans="1:26" ht="24" customHeight="1">
      <c r="A34" s="77">
        <f t="shared" si="3"/>
        <v>5.4999999999999982</v>
      </c>
      <c r="B34" s="204" t="s">
        <v>176</v>
      </c>
      <c r="C34" s="204" t="s">
        <v>177</v>
      </c>
      <c r="D34" s="204" t="s">
        <v>35</v>
      </c>
      <c r="E34" s="108" t="s">
        <v>72</v>
      </c>
      <c r="F34" s="108">
        <f>F29</f>
        <v>5</v>
      </c>
      <c r="G34" s="242"/>
      <c r="H34" s="259"/>
      <c r="I34" s="245"/>
      <c r="J34" s="244"/>
      <c r="K34" s="242"/>
      <c r="L34" s="242"/>
      <c r="M34" s="244"/>
      <c r="N34" s="13"/>
      <c r="O34" s="13"/>
      <c r="P34" s="13"/>
    </row>
    <row r="35" spans="1:26" ht="24" customHeight="1">
      <c r="A35" s="77">
        <f t="shared" si="3"/>
        <v>5.5999999999999979</v>
      </c>
      <c r="B35" s="205"/>
      <c r="C35" s="204" t="s">
        <v>84</v>
      </c>
      <c r="D35" s="103" t="s">
        <v>0</v>
      </c>
      <c r="E35" s="206">
        <v>0.14000000000000001</v>
      </c>
      <c r="F35" s="206">
        <f>E35*F29</f>
        <v>0.70000000000000007</v>
      </c>
      <c r="G35" s="242"/>
      <c r="H35" s="259"/>
      <c r="I35" s="245"/>
      <c r="J35" s="244"/>
      <c r="K35" s="242"/>
      <c r="L35" s="242"/>
      <c r="M35" s="244"/>
      <c r="N35" s="13"/>
      <c r="O35" s="13"/>
      <c r="P35" s="13"/>
    </row>
    <row r="36" spans="1:26" ht="35.25" customHeight="1">
      <c r="A36" s="96">
        <v>6</v>
      </c>
      <c r="B36" s="123" t="s">
        <v>157</v>
      </c>
      <c r="C36" s="96" t="s">
        <v>178</v>
      </c>
      <c r="D36" s="96" t="s">
        <v>17</v>
      </c>
      <c r="E36" s="96"/>
      <c r="F36" s="98">
        <f>O28*1.1</f>
        <v>7.1830000000000007</v>
      </c>
      <c r="G36" s="242"/>
      <c r="H36" s="259"/>
      <c r="I36" s="245"/>
      <c r="J36" s="244"/>
      <c r="K36" s="242"/>
      <c r="L36" s="242"/>
      <c r="M36" s="244"/>
      <c r="N36" s="13"/>
      <c r="O36" s="13"/>
      <c r="P36" s="13"/>
    </row>
    <row r="37" spans="1:26" ht="24" customHeight="1">
      <c r="A37" s="77">
        <f t="shared" ref="A37:A41" si="4">A36+0.1</f>
        <v>6.1</v>
      </c>
      <c r="B37" s="103"/>
      <c r="C37" s="77" t="s">
        <v>30</v>
      </c>
      <c r="D37" s="77" t="s">
        <v>19</v>
      </c>
      <c r="E37" s="77">
        <v>0.68</v>
      </c>
      <c r="F37" s="121">
        <f>F36*E37</f>
        <v>4.8844400000000006</v>
      </c>
      <c r="G37" s="242"/>
      <c r="H37" s="259"/>
      <c r="I37" s="245"/>
      <c r="J37" s="244"/>
      <c r="K37" s="242"/>
      <c r="L37" s="242"/>
      <c r="M37" s="244"/>
      <c r="N37" s="13"/>
      <c r="O37" s="13"/>
      <c r="P37" s="13"/>
    </row>
    <row r="38" spans="1:26" ht="20.25" customHeight="1">
      <c r="A38" s="77">
        <f t="shared" si="4"/>
        <v>6.1999999999999993</v>
      </c>
      <c r="B38" s="203"/>
      <c r="C38" s="103" t="s">
        <v>158</v>
      </c>
      <c r="D38" s="103" t="s">
        <v>0</v>
      </c>
      <c r="E38" s="153">
        <v>2.9999999999999997E-4</v>
      </c>
      <c r="F38" s="152">
        <f>F36*E38</f>
        <v>2.1549E-3</v>
      </c>
      <c r="G38" s="242"/>
      <c r="H38" s="259"/>
      <c r="I38" s="245"/>
      <c r="J38" s="244"/>
      <c r="K38" s="242"/>
      <c r="L38" s="242"/>
      <c r="M38" s="244"/>
      <c r="N38" s="13"/>
      <c r="O38" s="13"/>
      <c r="P38" s="13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>
      <c r="A39" s="77">
        <f t="shared" si="4"/>
        <v>6.2999999999999989</v>
      </c>
      <c r="B39" s="126" t="s">
        <v>286</v>
      </c>
      <c r="C39" s="207" t="s">
        <v>159</v>
      </c>
      <c r="D39" s="103" t="s">
        <v>86</v>
      </c>
      <c r="E39" s="207">
        <f>25.3/100</f>
        <v>0.253</v>
      </c>
      <c r="F39" s="108">
        <f>F36*E39</f>
        <v>1.8172990000000002</v>
      </c>
      <c r="G39" s="242"/>
      <c r="H39" s="259"/>
      <c r="I39" s="245"/>
      <c r="J39" s="244"/>
      <c r="K39" s="242"/>
      <c r="L39" s="242"/>
      <c r="M39" s="244"/>
      <c r="N39" s="13"/>
      <c r="O39" s="13"/>
      <c r="P39" s="13"/>
    </row>
    <row r="40" spans="1:26" ht="24" customHeight="1">
      <c r="A40" s="77">
        <f t="shared" si="4"/>
        <v>6.3999999999999986</v>
      </c>
      <c r="B40" s="126" t="s">
        <v>287</v>
      </c>
      <c r="C40" s="103" t="s">
        <v>160</v>
      </c>
      <c r="D40" s="103" t="s">
        <v>86</v>
      </c>
      <c r="E40" s="207">
        <v>2.7E-2</v>
      </c>
      <c r="F40" s="108">
        <f>F36*E40</f>
        <v>0.19394100000000003</v>
      </c>
      <c r="G40" s="242"/>
      <c r="H40" s="259"/>
      <c r="I40" s="245"/>
      <c r="J40" s="244"/>
      <c r="K40" s="242"/>
      <c r="L40" s="242"/>
      <c r="M40" s="244"/>
      <c r="N40" s="13"/>
      <c r="O40" s="13"/>
      <c r="P40" s="13"/>
    </row>
    <row r="41" spans="1:26" ht="24" customHeight="1">
      <c r="A41" s="77">
        <f t="shared" si="4"/>
        <v>6.4999999999999982</v>
      </c>
      <c r="B41" s="103"/>
      <c r="C41" s="103" t="s">
        <v>32</v>
      </c>
      <c r="D41" s="103" t="s">
        <v>0</v>
      </c>
      <c r="E41" s="207">
        <f>0.19/100</f>
        <v>1.9E-3</v>
      </c>
      <c r="F41" s="108">
        <f>E41*F36</f>
        <v>1.3647700000000002E-2</v>
      </c>
      <c r="G41" s="242"/>
      <c r="H41" s="259"/>
      <c r="I41" s="245"/>
      <c r="J41" s="244"/>
      <c r="K41" s="242"/>
      <c r="L41" s="242"/>
      <c r="M41" s="244"/>
      <c r="N41" s="13"/>
      <c r="O41" s="13"/>
      <c r="P41" s="13"/>
    </row>
    <row r="42" spans="1:26" ht="39" customHeight="1">
      <c r="A42" s="146" t="s">
        <v>34</v>
      </c>
      <c r="B42" s="120" t="s">
        <v>179</v>
      </c>
      <c r="C42" s="120" t="s">
        <v>77</v>
      </c>
      <c r="D42" s="120" t="s">
        <v>21</v>
      </c>
      <c r="E42" s="140"/>
      <c r="F42" s="140">
        <f>(N8*0.5*0.2)/100</f>
        <v>0.18900000000000003</v>
      </c>
      <c r="G42" s="242"/>
      <c r="H42" s="259"/>
      <c r="I42" s="245"/>
      <c r="J42" s="244"/>
      <c r="K42" s="242"/>
      <c r="L42" s="242"/>
      <c r="M42" s="244"/>
    </row>
    <row r="43" spans="1:26" ht="24" customHeight="1">
      <c r="A43" s="128">
        <f t="shared" ref="A43:A45" si="5">A42+0.1</f>
        <v>7.1</v>
      </c>
      <c r="B43" s="77"/>
      <c r="C43" s="77" t="s">
        <v>78</v>
      </c>
      <c r="D43" s="77" t="s">
        <v>19</v>
      </c>
      <c r="E43" s="121">
        <v>300</v>
      </c>
      <c r="F43" s="121">
        <f>E43*F42</f>
        <v>56.70000000000001</v>
      </c>
      <c r="G43" s="242"/>
      <c r="H43" s="259"/>
      <c r="I43" s="245"/>
      <c r="J43" s="244"/>
      <c r="K43" s="242"/>
      <c r="L43" s="242"/>
      <c r="M43" s="244"/>
    </row>
    <row r="44" spans="1:26" ht="24" customHeight="1">
      <c r="A44" s="128">
        <f t="shared" si="5"/>
        <v>7.1999999999999993</v>
      </c>
      <c r="B44" s="100" t="s">
        <v>291</v>
      </c>
      <c r="C44" s="77" t="s">
        <v>80</v>
      </c>
      <c r="D44" s="77" t="s">
        <v>64</v>
      </c>
      <c r="E44" s="121">
        <v>115</v>
      </c>
      <c r="F44" s="121">
        <f>E44*F42</f>
        <v>21.735000000000003</v>
      </c>
      <c r="G44" s="242"/>
      <c r="H44" s="259"/>
      <c r="I44" s="245"/>
      <c r="J44" s="244"/>
      <c r="K44" s="242"/>
      <c r="L44" s="242"/>
      <c r="M44" s="244"/>
    </row>
    <row r="45" spans="1:26" ht="20.25" customHeight="1">
      <c r="A45" s="128">
        <f t="shared" si="5"/>
        <v>7.2999999999999989</v>
      </c>
      <c r="B45" s="77"/>
      <c r="C45" s="77" t="s">
        <v>32</v>
      </c>
      <c r="D45" s="77" t="s">
        <v>0</v>
      </c>
      <c r="E45" s="121">
        <v>1</v>
      </c>
      <c r="F45" s="121">
        <f>F42*E45</f>
        <v>0.18900000000000003</v>
      </c>
      <c r="G45" s="242"/>
      <c r="H45" s="259"/>
      <c r="I45" s="245"/>
      <c r="J45" s="244"/>
      <c r="K45" s="242"/>
      <c r="L45" s="242"/>
      <c r="M45" s="244"/>
    </row>
    <row r="46" spans="1:26" ht="36.75" customHeight="1">
      <c r="A46" s="96">
        <v>8</v>
      </c>
      <c r="B46" s="96" t="s">
        <v>91</v>
      </c>
      <c r="C46" s="96" t="s">
        <v>180</v>
      </c>
      <c r="D46" s="120" t="s">
        <v>21</v>
      </c>
      <c r="E46" s="208"/>
      <c r="F46" s="209">
        <f>(N8*0.5*0.6)/100</f>
        <v>0.56699999999999995</v>
      </c>
      <c r="G46" s="242"/>
      <c r="H46" s="259"/>
      <c r="I46" s="245"/>
      <c r="J46" s="244"/>
      <c r="K46" s="242"/>
      <c r="L46" s="242"/>
      <c r="M46" s="244"/>
    </row>
    <row r="47" spans="1:26" ht="24" customHeight="1">
      <c r="A47" s="77">
        <f>A46+0.1</f>
        <v>8.1</v>
      </c>
      <c r="B47" s="103"/>
      <c r="C47" s="121" t="s">
        <v>65</v>
      </c>
      <c r="D47" s="103" t="s">
        <v>0</v>
      </c>
      <c r="E47" s="108">
        <v>121</v>
      </c>
      <c r="F47" s="199">
        <f>E47*F46</f>
        <v>68.606999999999999</v>
      </c>
      <c r="G47" s="242"/>
      <c r="H47" s="259"/>
      <c r="I47" s="245"/>
      <c r="J47" s="244"/>
      <c r="K47" s="242"/>
      <c r="L47" s="242"/>
      <c r="M47" s="244"/>
    </row>
    <row r="48" spans="1:26" ht="27" customHeight="1">
      <c r="A48" s="95" t="s">
        <v>36</v>
      </c>
      <c r="B48" s="96" t="s">
        <v>141</v>
      </c>
      <c r="C48" s="96" t="s">
        <v>63</v>
      </c>
      <c r="D48" s="96" t="s">
        <v>181</v>
      </c>
      <c r="E48" s="98"/>
      <c r="F48" s="98">
        <f>F8-F46</f>
        <v>0.18900000000000017</v>
      </c>
      <c r="G48" s="242"/>
      <c r="H48" s="259"/>
      <c r="I48" s="245"/>
      <c r="J48" s="244"/>
      <c r="K48" s="242"/>
      <c r="L48" s="242"/>
      <c r="M48" s="244"/>
    </row>
    <row r="49" spans="1:14" ht="24" customHeight="1">
      <c r="A49" s="102">
        <f>A48+0.1</f>
        <v>9.1</v>
      </c>
      <c r="B49" s="103"/>
      <c r="C49" s="121" t="s">
        <v>65</v>
      </c>
      <c r="D49" s="121" t="s">
        <v>19</v>
      </c>
      <c r="E49" s="127">
        <v>0.87</v>
      </c>
      <c r="F49" s="121">
        <f>F48*E49</f>
        <v>0.16443000000000013</v>
      </c>
      <c r="G49" s="242"/>
      <c r="H49" s="259"/>
      <c r="I49" s="245"/>
      <c r="J49" s="244"/>
      <c r="K49" s="242"/>
      <c r="L49" s="242"/>
      <c r="M49" s="244"/>
    </row>
    <row r="50" spans="1:14" ht="24" customHeight="1">
      <c r="A50" s="95" t="s">
        <v>37</v>
      </c>
      <c r="B50" s="96"/>
      <c r="C50" s="96" t="s">
        <v>66</v>
      </c>
      <c r="D50" s="96" t="s">
        <v>26</v>
      </c>
      <c r="E50" s="98"/>
      <c r="F50" s="98">
        <f>F48*185</f>
        <v>34.965000000000032</v>
      </c>
      <c r="G50" s="242"/>
      <c r="H50" s="259"/>
      <c r="I50" s="245"/>
      <c r="J50" s="244"/>
      <c r="K50" s="242"/>
      <c r="L50" s="242"/>
      <c r="M50" s="244"/>
    </row>
    <row r="51" spans="1:14" ht="30.75" customHeight="1">
      <c r="A51" s="102">
        <f>A50+0.1</f>
        <v>10.1</v>
      </c>
      <c r="B51" s="103" t="s">
        <v>27</v>
      </c>
      <c r="C51" s="77" t="s">
        <v>28</v>
      </c>
      <c r="D51" s="77" t="s">
        <v>26</v>
      </c>
      <c r="E51" s="77">
        <v>1</v>
      </c>
      <c r="F51" s="121">
        <f>F50*E51</f>
        <v>34.965000000000032</v>
      </c>
      <c r="G51" s="242"/>
      <c r="H51" s="259"/>
      <c r="I51" s="245"/>
      <c r="J51" s="244"/>
      <c r="K51" s="242"/>
      <c r="L51" s="242"/>
      <c r="M51" s="244"/>
    </row>
    <row r="52" spans="1:14" s="71" customFormat="1" ht="26.25" customHeight="1">
      <c r="A52" s="210"/>
      <c r="B52" s="211"/>
      <c r="C52" s="212" t="s">
        <v>7</v>
      </c>
      <c r="D52" s="212" t="s">
        <v>0</v>
      </c>
      <c r="E52" s="213"/>
      <c r="F52" s="213"/>
      <c r="G52" s="213"/>
      <c r="H52" s="214"/>
      <c r="I52" s="215"/>
      <c r="J52" s="213"/>
      <c r="K52" s="216"/>
      <c r="L52" s="217"/>
      <c r="M52" s="213"/>
      <c r="N52" s="70">
        <f>SUM(H52:L52)</f>
        <v>0</v>
      </c>
    </row>
    <row r="53" spans="1:14" ht="21.75" customHeight="1">
      <c r="A53" s="103"/>
      <c r="B53" s="103"/>
      <c r="C53" s="103" t="s">
        <v>295</v>
      </c>
      <c r="D53" s="103" t="s">
        <v>0</v>
      </c>
      <c r="E53" s="108"/>
      <c r="F53" s="108"/>
      <c r="G53" s="108"/>
      <c r="H53" s="147"/>
      <c r="I53" s="147"/>
      <c r="J53" s="147"/>
      <c r="K53" s="147"/>
      <c r="L53" s="147"/>
      <c r="M53" s="108"/>
    </row>
    <row r="54" spans="1:14" ht="23.25" customHeight="1">
      <c r="A54" s="96"/>
      <c r="B54" s="103"/>
      <c r="C54" s="96" t="s">
        <v>7</v>
      </c>
      <c r="D54" s="96" t="s">
        <v>0</v>
      </c>
      <c r="E54" s="98"/>
      <c r="F54" s="98"/>
      <c r="G54" s="98"/>
      <c r="H54" s="218"/>
      <c r="I54" s="218"/>
      <c r="J54" s="218"/>
      <c r="K54" s="218"/>
      <c r="L54" s="218"/>
      <c r="M54" s="98"/>
    </row>
    <row r="55" spans="1:14" ht="23.25" customHeight="1">
      <c r="A55" s="103"/>
      <c r="B55" s="103"/>
      <c r="C55" s="103" t="s">
        <v>296</v>
      </c>
      <c r="D55" s="103" t="s">
        <v>0</v>
      </c>
      <c r="E55" s="108"/>
      <c r="F55" s="108"/>
      <c r="G55" s="108"/>
      <c r="H55" s="147"/>
      <c r="I55" s="147"/>
      <c r="J55" s="147"/>
      <c r="K55" s="147"/>
      <c r="L55" s="147"/>
      <c r="M55" s="108"/>
    </row>
    <row r="56" spans="1:14" ht="21" customHeight="1">
      <c r="A56" s="96"/>
      <c r="B56" s="96"/>
      <c r="C56" s="96" t="s">
        <v>182</v>
      </c>
      <c r="D56" s="96" t="s">
        <v>0</v>
      </c>
      <c r="E56" s="98"/>
      <c r="F56" s="98"/>
      <c r="G56" s="98"/>
      <c r="H56" s="218"/>
      <c r="I56" s="218"/>
      <c r="J56" s="218"/>
      <c r="K56" s="218"/>
      <c r="L56" s="218"/>
      <c r="M56" s="98"/>
    </row>
    <row r="57" spans="1:14" ht="21" customHeight="1">
      <c r="A57" s="292" t="s">
        <v>183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3"/>
    </row>
    <row r="58" spans="1:14" ht="39.75" customHeight="1">
      <c r="A58" s="120">
        <v>1</v>
      </c>
      <c r="B58" s="95" t="s">
        <v>184</v>
      </c>
      <c r="C58" s="96" t="s">
        <v>185</v>
      </c>
      <c r="D58" s="120" t="s">
        <v>144</v>
      </c>
      <c r="E58" s="98"/>
      <c r="F58" s="99">
        <v>5</v>
      </c>
      <c r="G58" s="241"/>
      <c r="H58" s="244"/>
      <c r="I58" s="244"/>
      <c r="J58" s="241"/>
      <c r="K58" s="241"/>
      <c r="L58" s="241"/>
      <c r="M58" s="241"/>
    </row>
    <row r="59" spans="1:14" ht="19.5" customHeight="1">
      <c r="A59" s="77">
        <f t="shared" ref="A59:A62" si="6">A58+0.1</f>
        <v>1.1000000000000001</v>
      </c>
      <c r="B59" s="96"/>
      <c r="C59" s="103" t="s">
        <v>87</v>
      </c>
      <c r="D59" s="103" t="s">
        <v>0</v>
      </c>
      <c r="E59" s="199">
        <v>2.97</v>
      </c>
      <c r="F59" s="142">
        <f t="shared" ref="F59:F60" si="7">E59*F58</f>
        <v>14.850000000000001</v>
      </c>
      <c r="G59" s="244"/>
      <c r="H59" s="244"/>
      <c r="I59" s="244"/>
      <c r="J59" s="244"/>
      <c r="K59" s="244"/>
      <c r="L59" s="244"/>
      <c r="M59" s="244"/>
    </row>
    <row r="60" spans="1:14" ht="21.75" customHeight="1">
      <c r="A60" s="77">
        <f t="shared" si="6"/>
        <v>1.2000000000000002</v>
      </c>
      <c r="B60" s="96"/>
      <c r="C60" s="103" t="s">
        <v>153</v>
      </c>
      <c r="D60" s="103" t="s">
        <v>0</v>
      </c>
      <c r="E60" s="108">
        <v>1.05</v>
      </c>
      <c r="F60" s="142">
        <f t="shared" si="7"/>
        <v>15.592500000000003</v>
      </c>
      <c r="G60" s="244"/>
      <c r="H60" s="244"/>
      <c r="I60" s="244"/>
      <c r="J60" s="244"/>
      <c r="K60" s="244"/>
      <c r="L60" s="244"/>
      <c r="M60" s="244"/>
    </row>
    <row r="61" spans="1:14" ht="44.25" customHeight="1">
      <c r="A61" s="77">
        <f t="shared" si="6"/>
        <v>1.3000000000000003</v>
      </c>
      <c r="B61" s="103" t="s">
        <v>186</v>
      </c>
      <c r="C61" s="103" t="s">
        <v>187</v>
      </c>
      <c r="D61" s="103" t="s">
        <v>144</v>
      </c>
      <c r="E61" s="108" t="s">
        <v>188</v>
      </c>
      <c r="F61" s="142">
        <f>F58</f>
        <v>5</v>
      </c>
      <c r="G61" s="244"/>
      <c r="H61" s="244"/>
      <c r="I61" s="244"/>
      <c r="J61" s="244"/>
      <c r="K61" s="244"/>
      <c r="L61" s="244"/>
      <c r="M61" s="244"/>
    </row>
    <row r="62" spans="1:14" ht="24" customHeight="1">
      <c r="A62" s="77">
        <f t="shared" si="6"/>
        <v>1.4000000000000004</v>
      </c>
      <c r="B62" s="103"/>
      <c r="C62" s="103" t="s">
        <v>84</v>
      </c>
      <c r="D62" s="103" t="s">
        <v>0</v>
      </c>
      <c r="E62" s="108">
        <v>2.11</v>
      </c>
      <c r="F62" s="142">
        <f>E62*F58</f>
        <v>10.549999999999999</v>
      </c>
      <c r="G62" s="244"/>
      <c r="H62" s="244"/>
      <c r="I62" s="244"/>
      <c r="J62" s="244"/>
      <c r="K62" s="244"/>
      <c r="L62" s="244"/>
      <c r="M62" s="244"/>
    </row>
    <row r="63" spans="1:14" ht="24" customHeight="1">
      <c r="A63" s="97">
        <v>2</v>
      </c>
      <c r="B63" s="219" t="s">
        <v>25</v>
      </c>
      <c r="C63" s="109" t="s">
        <v>189</v>
      </c>
      <c r="D63" s="97" t="s">
        <v>144</v>
      </c>
      <c r="E63" s="99"/>
      <c r="F63" s="99">
        <v>5</v>
      </c>
      <c r="G63" s="244"/>
      <c r="H63" s="244"/>
      <c r="I63" s="244"/>
      <c r="J63" s="244"/>
      <c r="K63" s="244"/>
      <c r="L63" s="244"/>
      <c r="M63" s="244"/>
    </row>
    <row r="64" spans="1:14" ht="24" customHeight="1">
      <c r="A64" s="77">
        <f t="shared" ref="A64:A65" si="8">A63+0.1</f>
        <v>2.1</v>
      </c>
      <c r="B64" s="109"/>
      <c r="C64" s="100" t="s">
        <v>87</v>
      </c>
      <c r="D64" s="100" t="s">
        <v>0</v>
      </c>
      <c r="E64" s="142">
        <v>1</v>
      </c>
      <c r="F64" s="142">
        <f>E64*F63</f>
        <v>5</v>
      </c>
      <c r="G64" s="244"/>
      <c r="H64" s="244"/>
      <c r="I64" s="244"/>
      <c r="J64" s="244"/>
      <c r="K64" s="244"/>
      <c r="L64" s="244"/>
      <c r="M64" s="244"/>
    </row>
    <row r="65" spans="1:26" ht="24" customHeight="1">
      <c r="A65" s="77">
        <f t="shared" si="8"/>
        <v>2.2000000000000002</v>
      </c>
      <c r="B65" s="100" t="s">
        <v>25</v>
      </c>
      <c r="C65" s="100" t="s">
        <v>190</v>
      </c>
      <c r="D65" s="100" t="s">
        <v>0</v>
      </c>
      <c r="E65" s="106">
        <v>1</v>
      </c>
      <c r="F65" s="142">
        <f>E65*F63</f>
        <v>5</v>
      </c>
      <c r="G65" s="244"/>
      <c r="H65" s="244"/>
      <c r="I65" s="244"/>
      <c r="J65" s="244"/>
      <c r="K65" s="244"/>
      <c r="L65" s="244"/>
      <c r="M65" s="244"/>
    </row>
    <row r="66" spans="1:26" ht="38.25" customHeight="1">
      <c r="A66" s="97">
        <v>3</v>
      </c>
      <c r="B66" s="219" t="s">
        <v>191</v>
      </c>
      <c r="C66" s="109" t="s">
        <v>192</v>
      </c>
      <c r="D66" s="97" t="s">
        <v>193</v>
      </c>
      <c r="E66" s="99"/>
      <c r="F66" s="99">
        <f>F69+F70</f>
        <v>315</v>
      </c>
      <c r="G66" s="244"/>
      <c r="H66" s="244"/>
      <c r="I66" s="244"/>
      <c r="J66" s="244"/>
      <c r="K66" s="244"/>
      <c r="L66" s="244"/>
      <c r="M66" s="244"/>
    </row>
    <row r="67" spans="1:26" ht="23.25" customHeight="1">
      <c r="A67" s="77">
        <f t="shared" ref="A67:A72" si="9">A66+0.1</f>
        <v>3.1</v>
      </c>
      <c r="B67" s="109"/>
      <c r="C67" s="100" t="s">
        <v>87</v>
      </c>
      <c r="D67" s="100" t="s">
        <v>0</v>
      </c>
      <c r="E67" s="142">
        <v>7.0000000000000007E-2</v>
      </c>
      <c r="F67" s="142">
        <f>E67*F66</f>
        <v>22.05</v>
      </c>
      <c r="G67" s="244"/>
      <c r="H67" s="244"/>
      <c r="I67" s="244"/>
      <c r="J67" s="244"/>
      <c r="K67" s="244"/>
      <c r="L67" s="244"/>
      <c r="M67" s="244"/>
    </row>
    <row r="68" spans="1:26" ht="24" customHeight="1">
      <c r="A68" s="77">
        <f t="shared" si="9"/>
        <v>3.2</v>
      </c>
      <c r="B68" s="109"/>
      <c r="C68" s="100" t="s">
        <v>153</v>
      </c>
      <c r="D68" s="100" t="s">
        <v>58</v>
      </c>
      <c r="E68" s="142">
        <v>4.8399999999999999E-2</v>
      </c>
      <c r="F68" s="220">
        <f>E68*F66</f>
        <v>15.245999999999999</v>
      </c>
      <c r="G68" s="244"/>
      <c r="H68" s="244"/>
      <c r="I68" s="244"/>
      <c r="J68" s="244"/>
      <c r="K68" s="244"/>
      <c r="L68" s="244"/>
      <c r="M68" s="244"/>
    </row>
    <row r="69" spans="1:26" ht="29.25" customHeight="1">
      <c r="A69" s="77">
        <f>A68+0.1</f>
        <v>3.3000000000000003</v>
      </c>
      <c r="B69" s="100" t="s">
        <v>267</v>
      </c>
      <c r="C69" s="100" t="s">
        <v>194</v>
      </c>
      <c r="D69" s="100" t="s">
        <v>193</v>
      </c>
      <c r="E69" s="121" t="s">
        <v>72</v>
      </c>
      <c r="F69" s="220">
        <v>250</v>
      </c>
      <c r="G69" s="244"/>
      <c r="H69" s="244"/>
      <c r="I69" s="244"/>
      <c r="J69" s="244"/>
      <c r="K69" s="244"/>
      <c r="L69" s="244"/>
      <c r="M69" s="244"/>
      <c r="N69">
        <v>67</v>
      </c>
      <c r="O69">
        <v>250</v>
      </c>
    </row>
    <row r="70" spans="1:26" ht="32.25" customHeight="1">
      <c r="A70" s="77">
        <f t="shared" si="9"/>
        <v>3.4000000000000004</v>
      </c>
      <c r="B70" s="100" t="s">
        <v>292</v>
      </c>
      <c r="C70" s="100" t="s">
        <v>195</v>
      </c>
      <c r="D70" s="100" t="s">
        <v>193</v>
      </c>
      <c r="E70" s="121" t="s">
        <v>72</v>
      </c>
      <c r="F70" s="220">
        <v>65</v>
      </c>
      <c r="G70" s="244"/>
      <c r="H70" s="244"/>
      <c r="I70" s="244"/>
      <c r="J70" s="244"/>
      <c r="K70" s="244"/>
      <c r="L70" s="244"/>
      <c r="M70" s="244"/>
      <c r="N70">
        <v>32</v>
      </c>
      <c r="O70">
        <v>65</v>
      </c>
    </row>
    <row r="71" spans="1:26" ht="24" customHeight="1">
      <c r="A71" s="77">
        <f t="shared" si="9"/>
        <v>3.5000000000000004</v>
      </c>
      <c r="B71" s="100" t="s">
        <v>25</v>
      </c>
      <c r="C71" s="100" t="s">
        <v>196</v>
      </c>
      <c r="D71" s="100" t="s">
        <v>193</v>
      </c>
      <c r="E71" s="121" t="s">
        <v>72</v>
      </c>
      <c r="F71" s="220">
        <f>N8</f>
        <v>189</v>
      </c>
      <c r="G71" s="244"/>
      <c r="H71" s="244"/>
      <c r="I71" s="244"/>
      <c r="J71" s="244"/>
      <c r="K71" s="244"/>
      <c r="L71" s="244"/>
      <c r="M71" s="244"/>
    </row>
    <row r="72" spans="1:26" ht="24" customHeight="1">
      <c r="A72" s="77">
        <f t="shared" si="9"/>
        <v>3.6000000000000005</v>
      </c>
      <c r="B72" s="100" t="s">
        <v>293</v>
      </c>
      <c r="C72" s="100" t="s">
        <v>197</v>
      </c>
      <c r="D72" s="100" t="s">
        <v>193</v>
      </c>
      <c r="E72" s="121" t="s">
        <v>72</v>
      </c>
      <c r="F72" s="142">
        <f>F69</f>
        <v>250</v>
      </c>
      <c r="G72" s="244"/>
      <c r="H72" s="244"/>
      <c r="I72" s="244"/>
      <c r="J72" s="244"/>
      <c r="K72" s="244"/>
      <c r="L72" s="244"/>
      <c r="M72" s="244"/>
    </row>
    <row r="73" spans="1:26" ht="24" customHeight="1">
      <c r="A73" s="77">
        <f>A72+0.1</f>
        <v>3.7000000000000006</v>
      </c>
      <c r="B73" s="100"/>
      <c r="C73" s="100" t="s">
        <v>84</v>
      </c>
      <c r="D73" s="100" t="s">
        <v>0</v>
      </c>
      <c r="E73" s="221">
        <v>3.5000000000000001E-3</v>
      </c>
      <c r="F73" s="142">
        <f>E73*F66</f>
        <v>1.1025</v>
      </c>
      <c r="G73" s="244"/>
      <c r="H73" s="244"/>
      <c r="I73" s="244"/>
      <c r="J73" s="244"/>
      <c r="K73" s="244"/>
      <c r="L73" s="244"/>
      <c r="M73" s="244"/>
    </row>
    <row r="74" spans="1:26" ht="38.25" customHeight="1">
      <c r="A74" s="97">
        <v>4</v>
      </c>
      <c r="B74" s="109" t="s">
        <v>198</v>
      </c>
      <c r="C74" s="109" t="s">
        <v>199</v>
      </c>
      <c r="D74" s="97" t="s">
        <v>200</v>
      </c>
      <c r="E74" s="99"/>
      <c r="F74" s="99">
        <v>1</v>
      </c>
      <c r="G74" s="244"/>
      <c r="H74" s="244"/>
      <c r="I74" s="244"/>
      <c r="J74" s="244"/>
      <c r="K74" s="244"/>
      <c r="L74" s="244"/>
      <c r="M74" s="244"/>
    </row>
    <row r="75" spans="1:26" ht="15.75" customHeight="1">
      <c r="A75" s="77">
        <f t="shared" ref="A75:A82" si="10">A74+0.1</f>
        <v>4.0999999999999996</v>
      </c>
      <c r="B75" s="109"/>
      <c r="C75" s="100" t="s">
        <v>87</v>
      </c>
      <c r="D75" s="100" t="s">
        <v>19</v>
      </c>
      <c r="E75" s="106">
        <v>25</v>
      </c>
      <c r="F75" s="142">
        <f>E75*F74</f>
        <v>25</v>
      </c>
      <c r="G75" s="244"/>
      <c r="H75" s="244"/>
      <c r="I75" s="244"/>
      <c r="J75" s="244"/>
      <c r="K75" s="244"/>
      <c r="L75" s="244"/>
      <c r="M75" s="244"/>
    </row>
    <row r="76" spans="1:26" ht="18" customHeight="1">
      <c r="A76" s="77">
        <f t="shared" si="10"/>
        <v>4.1999999999999993</v>
      </c>
      <c r="B76" s="109"/>
      <c r="C76" s="100" t="s">
        <v>153</v>
      </c>
      <c r="D76" s="100" t="s">
        <v>58</v>
      </c>
      <c r="E76" s="106">
        <v>0.7</v>
      </c>
      <c r="F76" s="142">
        <f>E76*F74</f>
        <v>0.7</v>
      </c>
      <c r="G76" s="244"/>
      <c r="H76" s="244"/>
      <c r="I76" s="244"/>
      <c r="J76" s="244"/>
      <c r="K76" s="244"/>
      <c r="L76" s="244"/>
      <c r="M76" s="244"/>
    </row>
    <row r="77" spans="1:26" ht="24.75" customHeight="1">
      <c r="A77" s="77">
        <f t="shared" si="10"/>
        <v>4.2999999999999989</v>
      </c>
      <c r="B77" s="100" t="s">
        <v>25</v>
      </c>
      <c r="C77" s="100" t="s">
        <v>201</v>
      </c>
      <c r="D77" s="100" t="s">
        <v>35</v>
      </c>
      <c r="E77" s="105" t="s">
        <v>72</v>
      </c>
      <c r="F77" s="142">
        <v>1</v>
      </c>
      <c r="G77" s="244"/>
      <c r="H77" s="244"/>
      <c r="I77" s="244"/>
      <c r="J77" s="244"/>
      <c r="K77" s="244"/>
      <c r="L77" s="244"/>
      <c r="M77" s="244"/>
    </row>
    <row r="78" spans="1:26" ht="27" customHeight="1">
      <c r="A78" s="77">
        <f t="shared" si="10"/>
        <v>4.3999999999999986</v>
      </c>
      <c r="B78" s="100" t="s">
        <v>25</v>
      </c>
      <c r="C78" s="100" t="s">
        <v>202</v>
      </c>
      <c r="D78" s="100" t="s">
        <v>35</v>
      </c>
      <c r="E78" s="105" t="s">
        <v>72</v>
      </c>
      <c r="F78" s="142">
        <v>1</v>
      </c>
      <c r="G78" s="244"/>
      <c r="H78" s="244"/>
      <c r="I78" s="244"/>
      <c r="J78" s="244"/>
      <c r="K78" s="244"/>
      <c r="L78" s="244"/>
      <c r="M78" s="244"/>
    </row>
    <row r="79" spans="1:26" ht="15.75" customHeight="1">
      <c r="A79" s="77">
        <f t="shared" si="10"/>
        <v>4.4999999999999982</v>
      </c>
      <c r="B79" s="100" t="s">
        <v>25</v>
      </c>
      <c r="C79" s="100" t="s">
        <v>203</v>
      </c>
      <c r="D79" s="100" t="s">
        <v>35</v>
      </c>
      <c r="E79" s="105" t="s">
        <v>72</v>
      </c>
      <c r="F79" s="142">
        <v>1</v>
      </c>
      <c r="G79" s="244"/>
      <c r="H79" s="244"/>
      <c r="I79" s="244"/>
      <c r="J79" s="244"/>
      <c r="K79" s="244"/>
      <c r="L79" s="244"/>
      <c r="M79" s="244"/>
    </row>
    <row r="80" spans="1:26" ht="26.25" customHeight="1">
      <c r="A80" s="77">
        <f t="shared" si="10"/>
        <v>4.5999999999999979</v>
      </c>
      <c r="B80" s="100" t="s">
        <v>25</v>
      </c>
      <c r="C80" s="100" t="s">
        <v>204</v>
      </c>
      <c r="D80" s="100" t="s">
        <v>35</v>
      </c>
      <c r="E80" s="121" t="s">
        <v>72</v>
      </c>
      <c r="F80" s="142">
        <v>1</v>
      </c>
      <c r="G80" s="244"/>
      <c r="H80" s="244"/>
      <c r="I80" s="244"/>
      <c r="J80" s="244"/>
      <c r="K80" s="244"/>
      <c r="L80" s="244"/>
      <c r="M80" s="244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15" ht="28.5" customHeight="1">
      <c r="A81" s="77">
        <f t="shared" si="10"/>
        <v>4.6999999999999975</v>
      </c>
      <c r="B81" s="100" t="s">
        <v>25</v>
      </c>
      <c r="C81" s="100" t="s">
        <v>205</v>
      </c>
      <c r="D81" s="100" t="s">
        <v>35</v>
      </c>
      <c r="E81" s="121" t="s">
        <v>72</v>
      </c>
      <c r="F81" s="142">
        <v>1</v>
      </c>
      <c r="G81" s="244"/>
      <c r="H81" s="244"/>
      <c r="I81" s="244"/>
      <c r="J81" s="244"/>
      <c r="K81" s="244"/>
      <c r="L81" s="244"/>
      <c r="M81" s="244"/>
    </row>
    <row r="82" spans="1:15" ht="24.75" customHeight="1">
      <c r="A82" s="77">
        <f t="shared" si="10"/>
        <v>4.7999999999999972</v>
      </c>
      <c r="B82" s="100"/>
      <c r="C82" s="103" t="s">
        <v>32</v>
      </c>
      <c r="D82" s="103" t="s">
        <v>0</v>
      </c>
      <c r="E82" s="121">
        <v>10.1</v>
      </c>
      <c r="F82" s="142">
        <f>F74*E82</f>
        <v>10.1</v>
      </c>
      <c r="G82" s="244"/>
      <c r="H82" s="244"/>
      <c r="I82" s="244"/>
      <c r="J82" s="244"/>
      <c r="K82" s="244"/>
      <c r="L82" s="244"/>
      <c r="M82" s="244"/>
    </row>
    <row r="83" spans="1:15" s="71" customFormat="1" ht="19.5" customHeight="1">
      <c r="A83" s="222"/>
      <c r="B83" s="223"/>
      <c r="C83" s="224" t="s">
        <v>7</v>
      </c>
      <c r="D83" s="224" t="s">
        <v>0</v>
      </c>
      <c r="E83" s="225"/>
      <c r="F83" s="225"/>
      <c r="G83" s="213"/>
      <c r="H83" s="226"/>
      <c r="I83" s="227"/>
      <c r="J83" s="225"/>
      <c r="K83" s="223"/>
      <c r="L83" s="225"/>
      <c r="M83" s="225"/>
      <c r="N83" s="70"/>
      <c r="O83" s="72"/>
    </row>
    <row r="84" spans="1:15" ht="15.75" customHeight="1">
      <c r="A84" s="100"/>
      <c r="B84" s="100"/>
      <c r="C84" s="100" t="s">
        <v>298</v>
      </c>
      <c r="D84" s="100" t="s">
        <v>0</v>
      </c>
      <c r="E84" s="106"/>
      <c r="F84" s="106"/>
      <c r="G84" s="108"/>
      <c r="H84" s="124"/>
      <c r="I84" s="124"/>
      <c r="J84" s="124"/>
      <c r="K84" s="124"/>
      <c r="L84" s="124"/>
      <c r="M84" s="106"/>
    </row>
    <row r="85" spans="1:15" ht="15.75" customHeight="1">
      <c r="A85" s="109"/>
      <c r="B85" s="109"/>
      <c r="C85" s="109" t="s">
        <v>7</v>
      </c>
      <c r="D85" s="109" t="s">
        <v>0</v>
      </c>
      <c r="E85" s="99"/>
      <c r="F85" s="98"/>
      <c r="G85" s="98"/>
      <c r="H85" s="131"/>
      <c r="I85" s="131"/>
      <c r="J85" s="131"/>
      <c r="K85" s="131"/>
      <c r="L85" s="131"/>
      <c r="M85" s="99"/>
    </row>
    <row r="86" spans="1:15" ht="15.75" customHeight="1">
      <c r="A86" s="100"/>
      <c r="B86" s="100"/>
      <c r="C86" s="100" t="s">
        <v>296</v>
      </c>
      <c r="D86" s="100" t="s">
        <v>0</v>
      </c>
      <c r="E86" s="106"/>
      <c r="F86" s="108"/>
      <c r="G86" s="108"/>
      <c r="H86" s="124"/>
      <c r="I86" s="124"/>
      <c r="J86" s="124"/>
      <c r="K86" s="124"/>
      <c r="L86" s="124"/>
      <c r="M86" s="106"/>
    </row>
    <row r="87" spans="1:15" s="71" customFormat="1" ht="15.75" customHeight="1">
      <c r="A87" s="228"/>
      <c r="B87" s="228"/>
      <c r="C87" s="228" t="s">
        <v>206</v>
      </c>
      <c r="D87" s="228" t="s">
        <v>0</v>
      </c>
      <c r="E87" s="229"/>
      <c r="F87" s="229"/>
      <c r="G87" s="229"/>
      <c r="H87" s="230"/>
      <c r="I87" s="230"/>
      <c r="J87" s="230"/>
      <c r="K87" s="230"/>
      <c r="L87" s="230"/>
      <c r="M87" s="229"/>
    </row>
    <row r="88" spans="1:15" s="71" customFormat="1" ht="25.5" customHeight="1">
      <c r="A88" s="228"/>
      <c r="B88" s="228"/>
      <c r="C88" s="228" t="s">
        <v>207</v>
      </c>
      <c r="D88" s="228" t="s">
        <v>0</v>
      </c>
      <c r="E88" s="229"/>
      <c r="F88" s="229"/>
      <c r="G88" s="229"/>
      <c r="H88" s="230"/>
      <c r="I88" s="230"/>
      <c r="J88" s="230"/>
      <c r="K88" s="230"/>
      <c r="L88" s="230"/>
      <c r="M88" s="229"/>
    </row>
    <row r="89" spans="1:15" ht="15.75" customHeight="1"/>
    <row r="90" spans="1:15" ht="15.75" customHeight="1">
      <c r="C90" s="137" t="s">
        <v>10</v>
      </c>
      <c r="D90" s="138"/>
    </row>
    <row r="91" spans="1:15" ht="15.75" customHeight="1">
      <c r="C91" s="138"/>
      <c r="D91" s="138"/>
    </row>
    <row r="92" spans="1:15" ht="15.75" customHeight="1">
      <c r="C92" s="231"/>
      <c r="D92" s="138"/>
    </row>
    <row r="93" spans="1:15" ht="15.75" customHeight="1"/>
    <row r="94" spans="1:15" ht="15.75" customHeight="1"/>
    <row r="95" spans="1:15" ht="15.75" customHeight="1"/>
    <row r="96" spans="1:15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7:M7"/>
    <mergeCell ref="A57:M57"/>
    <mergeCell ref="A1:M1"/>
    <mergeCell ref="A2:D2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6:M6"/>
  </mergeCells>
  <printOptions horizontalCentered="1"/>
  <pageMargins left="0" right="0" top="0.55118110236220474" bottom="0.55118110236220474" header="0" footer="0.19685039370078741"/>
  <pageSetup paperSize="9" scale="85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კრებული</vt:lpstr>
      <vt:lpstr>მოსამზად</vt:lpstr>
      <vt:lpstr>გამწვანება</vt:lpstr>
      <vt:lpstr>კეთილმოწყობა</vt:lpstr>
      <vt:lpstr>მცირე არქ.</vt:lpstr>
      <vt:lpstr>ელექტროობა</vt:lpstr>
      <vt:lpstr>გამწვანება!Print_Area</vt:lpstr>
      <vt:lpstr>ელექტროობა!Print_Area</vt:lpstr>
      <vt:lpstr>კეთილმოწყობა!Print_Area</vt:lpstr>
      <vt:lpstr>კრებული!Print_Area</vt:lpstr>
      <vt:lpstr>მოსამზად!Print_Area</vt:lpstr>
      <vt:lpstr>'მცირე არქ.'!Print_Area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</dc:creator>
  <cp:lastModifiedBy>Laliko</cp:lastModifiedBy>
  <cp:lastPrinted>2020-07-30T15:00:26Z</cp:lastPrinted>
  <dcterms:created xsi:type="dcterms:W3CDTF">2021-06-09T06:58:35Z</dcterms:created>
  <dcterms:modified xsi:type="dcterms:W3CDTF">2021-09-27T17:31:08Z</dcterms:modified>
</cp:coreProperties>
</file>