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80"/>
  </bookViews>
  <sheets>
    <sheet name="ხარჯთაღრიცხვა" sheetId="3" r:id="rId1"/>
  </sheets>
  <definedNames>
    <definedName name="_xlnm.Print_Area" localSheetId="0">ხარჯთაღრიცხვა!$A$1:$M$278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2" i="3" l="1"/>
  <c r="F168" i="3" s="1"/>
  <c r="F159" i="3"/>
  <c r="F160" i="3" s="1"/>
  <c r="F161" i="3" s="1"/>
  <c r="F158" i="3"/>
  <c r="F170" i="3"/>
  <c r="F166" i="3" l="1"/>
  <c r="F163" i="3"/>
  <c r="F167" i="3"/>
  <c r="F164" i="3"/>
  <c r="F165" i="3"/>
  <c r="F250" i="3"/>
  <c r="F249" i="3"/>
  <c r="F248" i="3"/>
  <c r="F247" i="3"/>
  <c r="F132" i="3" l="1"/>
  <c r="F150" i="3"/>
  <c r="F149" i="3"/>
  <c r="F148" i="3"/>
  <c r="F147" i="3"/>
  <c r="F118" i="3" l="1"/>
  <c r="E112" i="3"/>
  <c r="E110" i="3"/>
  <c r="E109" i="3"/>
  <c r="E104" i="3"/>
  <c r="E106" i="3"/>
  <c r="E98" i="3"/>
  <c r="E102" i="3"/>
  <c r="E101" i="3"/>
  <c r="F90" i="3"/>
  <c r="F23" i="3"/>
  <c r="E36" i="3"/>
  <c r="F30" i="3"/>
  <c r="F37" i="3" s="1"/>
  <c r="F15" i="3"/>
  <c r="F17" i="3" s="1"/>
  <c r="F114" i="3" l="1"/>
  <c r="F18" i="3"/>
  <c r="F20" i="3" s="1"/>
  <c r="F16" i="3"/>
  <c r="E14" i="3"/>
  <c r="F14" i="3" s="1"/>
  <c r="E13" i="3"/>
  <c r="F13" i="3" s="1"/>
  <c r="F19" i="3" l="1"/>
  <c r="F22" i="3" l="1"/>
  <c r="F21" i="3"/>
  <c r="F54" i="3" l="1"/>
  <c r="F62" i="3" l="1"/>
  <c r="F63" i="3" s="1"/>
  <c r="F61" i="3"/>
  <c r="F66" i="3"/>
  <c r="F72" i="3" s="1"/>
  <c r="F64" i="3" l="1"/>
  <c r="F65" i="3"/>
  <c r="F197" i="3"/>
  <c r="E185" i="3"/>
  <c r="F178" i="3"/>
  <c r="F47" i="3"/>
  <c r="F24" i="3" l="1"/>
  <c r="F252" i="3"/>
  <c r="F254" i="3" s="1"/>
  <c r="F241" i="3"/>
  <c r="F243" i="3" s="1"/>
  <c r="F234" i="3"/>
  <c r="F235" i="3" s="1"/>
  <c r="F236" i="3" s="1"/>
  <c r="F233" i="3"/>
  <c r="F232" i="3"/>
  <c r="F231" i="3"/>
  <c r="F230" i="3"/>
  <c r="F229" i="3"/>
  <c r="F223" i="3"/>
  <c r="F227" i="3" s="1"/>
  <c r="F217" i="3"/>
  <c r="F219" i="3" s="1"/>
  <c r="F208" i="3"/>
  <c r="F209" i="3" s="1"/>
  <c r="F205" i="3"/>
  <c r="F206" i="3" s="1"/>
  <c r="F192" i="3"/>
  <c r="F198" i="3" s="1"/>
  <c r="F189" i="3"/>
  <c r="F188" i="3"/>
  <c r="E186" i="3"/>
  <c r="F186" i="3" s="1"/>
  <c r="F185" i="3"/>
  <c r="F179" i="3"/>
  <c r="F180" i="3" s="1"/>
  <c r="E143" i="3"/>
  <c r="F143" i="3" s="1"/>
  <c r="E142" i="3"/>
  <c r="F142" i="3" s="1"/>
  <c r="F133" i="3"/>
  <c r="F135" i="3" s="1"/>
  <c r="F129" i="3"/>
  <c r="F130" i="3" s="1"/>
  <c r="F131" i="3" s="1"/>
  <c r="E127" i="3"/>
  <c r="F115" i="3"/>
  <c r="F112" i="3"/>
  <c r="F110" i="3"/>
  <c r="F109" i="3"/>
  <c r="E96" i="3"/>
  <c r="E95" i="3"/>
  <c r="F91" i="3"/>
  <c r="F93" i="3" s="1"/>
  <c r="E88" i="3"/>
  <c r="F88" i="3" s="1"/>
  <c r="F87" i="3"/>
  <c r="E85" i="3"/>
  <c r="F85" i="3" s="1"/>
  <c r="E84" i="3"/>
  <c r="F84" i="3" s="1"/>
  <c r="E77" i="3"/>
  <c r="F73" i="3"/>
  <c r="F80" i="3" s="1"/>
  <c r="F67" i="3"/>
  <c r="F71" i="3" s="1"/>
  <c r="F55" i="3"/>
  <c r="F56" i="3" s="1"/>
  <c r="F48" i="3"/>
  <c r="F44" i="3"/>
  <c r="F50" i="3" s="1"/>
  <c r="F36" i="3"/>
  <c r="F31" i="3"/>
  <c r="F33" i="3" s="1"/>
  <c r="F28" i="3"/>
  <c r="F29" i="3" s="1"/>
  <c r="F122" i="3" l="1"/>
  <c r="F123" i="3" s="1"/>
  <c r="F125" i="3" s="1"/>
  <c r="F39" i="3"/>
  <c r="F42" i="3" s="1"/>
  <c r="F38" i="3"/>
  <c r="F34" i="3"/>
  <c r="F60" i="3"/>
  <c r="F32" i="3"/>
  <c r="F35" i="3"/>
  <c r="F120" i="3"/>
  <c r="F116" i="3"/>
  <c r="F51" i="3"/>
  <c r="F77" i="3"/>
  <c r="F92" i="3"/>
  <c r="F104" i="3"/>
  <c r="F196" i="3"/>
  <c r="F242" i="3"/>
  <c r="F52" i="3"/>
  <c r="F75" i="3"/>
  <c r="F106" i="3"/>
  <c r="F107" i="3" s="1"/>
  <c r="F193" i="3"/>
  <c r="F45" i="3"/>
  <c r="F49" i="3"/>
  <c r="F53" i="3"/>
  <c r="F76" i="3"/>
  <c r="F195" i="3"/>
  <c r="F226" i="3"/>
  <c r="F138" i="3"/>
  <c r="F151" i="3" s="1"/>
  <c r="F59" i="3"/>
  <c r="F78" i="3"/>
  <c r="F79" i="3"/>
  <c r="F74" i="3"/>
  <c r="F81" i="3"/>
  <c r="F117" i="3"/>
  <c r="F182" i="3"/>
  <c r="F26" i="3"/>
  <c r="F68" i="3"/>
  <c r="F69" i="3"/>
  <c r="F70" i="3"/>
  <c r="F25" i="3"/>
  <c r="F46" i="3"/>
  <c r="F58" i="3"/>
  <c r="F96" i="3"/>
  <c r="F95" i="3"/>
  <c r="F94" i="3"/>
  <c r="F97" i="3"/>
  <c r="F57" i="3"/>
  <c r="F102" i="3"/>
  <c r="F101" i="3"/>
  <c r="F136" i="3"/>
  <c r="F137" i="3"/>
  <c r="F134" i="3"/>
  <c r="F220" i="3"/>
  <c r="F218" i="3"/>
  <c r="F255" i="3"/>
  <c r="F256" i="3"/>
  <c r="F253" i="3"/>
  <c r="F225" i="3"/>
  <c r="F238" i="3"/>
  <c r="F239" i="3"/>
  <c r="F245" i="3"/>
  <c r="F224" i="3"/>
  <c r="F237" i="3"/>
  <c r="F244" i="3"/>
  <c r="F194" i="3"/>
  <c r="F124" i="3" l="1"/>
  <c r="F127" i="3"/>
  <c r="F126" i="3"/>
  <c r="F41" i="3"/>
  <c r="F40" i="3"/>
  <c r="F113" i="3"/>
  <c r="F111" i="3"/>
  <c r="F108" i="3"/>
  <c r="F98" i="3"/>
  <c r="F86" i="3"/>
  <c r="F83" i="3"/>
  <c r="F82" i="3"/>
  <c r="F89" i="3"/>
  <c r="F139" i="3"/>
  <c r="F145" i="3"/>
  <c r="F140" i="3"/>
  <c r="F141" i="3"/>
  <c r="F190" i="3"/>
  <c r="F184" i="3"/>
  <c r="F187" i="3"/>
  <c r="F183" i="3"/>
  <c r="F199" i="3"/>
  <c r="F202" i="3" l="1"/>
  <c r="F203" i="3"/>
  <c r="F200" i="3"/>
  <c r="F201" i="3"/>
  <c r="F99" i="3"/>
  <c r="F100" i="3"/>
  <c r="F103" i="3"/>
  <c r="F105" i="3"/>
  <c r="F154" i="3"/>
  <c r="F155" i="3"/>
  <c r="F152" i="3"/>
  <c r="F153" i="3"/>
  <c r="J6" i="3" l="1"/>
</calcChain>
</file>

<file path=xl/sharedStrings.xml><?xml version="1.0" encoding="utf-8"?>
<sst xmlns="http://schemas.openxmlformats.org/spreadsheetml/2006/main" count="545" uniqueCount="219">
  <si>
    <t>1-80-3</t>
  </si>
  <si>
    <t>1-81-2</t>
  </si>
  <si>
    <t>8-409-1</t>
  </si>
  <si>
    <t>N</t>
  </si>
  <si>
    <t>საფუძველი</t>
  </si>
  <si>
    <t>სამუშაოს დასახელება</t>
  </si>
  <si>
    <t>ნორმატიული რესურსი</t>
  </si>
  <si>
    <t>მასალები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</si>
  <si>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</si>
  <si>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</si>
  <si>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</si>
  <si>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</si>
  <si>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</si>
  <si>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>თავი #1 მინი-საფეხბურთო მოედანი</t>
  </si>
  <si>
    <t>ტერიტორიის პლანირება გრეიდერით</t>
  </si>
  <si>
    <t>სხვა მანქანები</t>
  </si>
  <si>
    <t>ტ</t>
  </si>
  <si>
    <t>მ</t>
  </si>
  <si>
    <t>მ3</t>
  </si>
  <si>
    <t>მ2</t>
  </si>
  <si>
    <t>სხვა მასალები</t>
  </si>
  <si>
    <t>კგ</t>
  </si>
  <si>
    <t>ც</t>
  </si>
  <si>
    <t xml:space="preserve">ზეთოვანი საღებავი  </t>
  </si>
  <si>
    <t xml:space="preserve">მიწის დამუშავება ხელით მე-3 ჯგუფის გრუნტში </t>
  </si>
  <si>
    <t xml:space="preserve">სხვა მასალები    </t>
  </si>
  <si>
    <t>ფეხბურთის კარების მოწყობა</t>
  </si>
  <si>
    <t>ლითონის მილებისაგან კარების მოწყობა</t>
  </si>
  <si>
    <t>თავი #1 ჯამი</t>
  </si>
  <si>
    <t>თავი #2 ელ. სამონტაჟო სამუშაოები</t>
  </si>
  <si>
    <t>მიწის უკუჩაყრა ხელით</t>
  </si>
  <si>
    <t>პლასტმასის კარადა</t>
  </si>
  <si>
    <t>ჩამოსაკიდი კაბელებისათვის (საკიდი)</t>
  </si>
  <si>
    <t>თავი #2 ჯამი</t>
  </si>
  <si>
    <t>თავი #1+#2 ჯამი</t>
  </si>
  <si>
    <t>საბაზრო</t>
  </si>
  <si>
    <t>1000 მ2</t>
  </si>
  <si>
    <t>100 მ3</t>
  </si>
  <si>
    <t>100 ც</t>
  </si>
  <si>
    <t>100 მ2</t>
  </si>
  <si>
    <t>100 მ</t>
  </si>
  <si>
    <t>მიწის დამუშავება ხელით III კატ. გრუნტში საძირკვლის მოსაწყობად</t>
  </si>
  <si>
    <t>მიწის დამუშავება ხელით III კატ. გრუნტში გოფრირებული მილის მოსაწყობად</t>
  </si>
  <si>
    <t xml:space="preserve">შრომითი დანახარჯები    </t>
  </si>
  <si>
    <t>კაც/სთ</t>
  </si>
  <si>
    <t>ზოლოვანა 50x5 მმ</t>
  </si>
  <si>
    <t>გოფრირებული მილი Ø20 მმ</t>
  </si>
  <si>
    <t>პროფილის მილი 100x100x3 მმ</t>
  </si>
  <si>
    <t>ავტოგრეიდერი საშუალო ტიპის 79 კვტ (108 ცხ. ძ.)</t>
  </si>
  <si>
    <t>მანქ/სთ</t>
  </si>
  <si>
    <t>ლარი</t>
  </si>
  <si>
    <t>8-14-362</t>
  </si>
  <si>
    <t>ფანერა ლამინირებული საყალიბე 2440x1220x18 მმ</t>
  </si>
  <si>
    <t>ბეტონი В-22.5 (მ-300)</t>
  </si>
  <si>
    <t>ფიცარი ჩამოგანილი წიწვოვანი III ხარ. 40-60 მმ</t>
  </si>
  <si>
    <t>ქვიშა სამშენებლო</t>
  </si>
  <si>
    <t>არასაყოფაცხოვრებო წყალი</t>
  </si>
  <si>
    <t>სატკეპნი საგზაო თვითმავალი გლუვი 5 ტ-ანი</t>
  </si>
  <si>
    <t>მოსარწყავ-მოსარეცხი მანქანა 6000 ლ</t>
  </si>
  <si>
    <t>ელ. ავტომატი 25ა</t>
  </si>
  <si>
    <t>ბულდოზერი 79 კვტ (108 ცხ. ძ.)</t>
  </si>
  <si>
    <t>ЕНиР</t>
  </si>
  <si>
    <t xml:space="preserve">შრომითი დანახარჯები             </t>
  </si>
  <si>
    <t>ღობის საძირკვლისა და ზეძირკვლის მოწყობა მონოლითური რკ/ბეტონით</t>
  </si>
  <si>
    <t>6-15-1</t>
  </si>
  <si>
    <t>ფიცარი ჩამოგანილი წიწვოვანი III ხარ. 25-32 მმ</t>
  </si>
  <si>
    <t>09-08-001-01</t>
  </si>
  <si>
    <t>ГЭСН</t>
  </si>
  <si>
    <t>შრომითი დანახარჯები</t>
  </si>
  <si>
    <t>ავტოამწე საბურღი მოწყობილობით</t>
  </si>
  <si>
    <t>ხის ლარტყა ზომით 50x50 მმ</t>
  </si>
  <si>
    <t>სვ-1 ღობის ბოძების მოწყობა</t>
  </si>
  <si>
    <t>ავტობეტონმრევი</t>
  </si>
  <si>
    <t>ავტომობილი ბორტიანი 5 ტ-მდე</t>
  </si>
  <si>
    <t>პროექტი</t>
  </si>
  <si>
    <t>09-08-001-04</t>
  </si>
  <si>
    <t>6-9-8.</t>
  </si>
  <si>
    <t>27-11-1; -4</t>
  </si>
  <si>
    <t>სპორტული მოედნის ტერიტორიის ამაღლება ღორღის ფენით                                                     (5 ტ ვიბროსატკეპნის დატკეპნით, სისქე 20 სმ)</t>
  </si>
  <si>
    <t>27-04-016-04</t>
  </si>
  <si>
    <t>გეოტექსტილის ქვეშსაფენის მოწყობა</t>
  </si>
  <si>
    <t>გეოტექსტილის ქვეშსაფენი</t>
  </si>
  <si>
    <t>ნაჭედი სხვადასხვა</t>
  </si>
  <si>
    <t>27-13-009-1 ЭСН</t>
  </si>
  <si>
    <t>ავტომობილი ბორტიანი 7 ტ-მდე</t>
  </si>
  <si>
    <t>ავტოსატვირთველი 5 ტ</t>
  </si>
  <si>
    <t>ხელოვნური საფარის წებო</t>
  </si>
  <si>
    <t>ხელოვნური საფარის ნაკერის გადასაბმელი ლენტი</t>
  </si>
  <si>
    <t>საკეტი</t>
  </si>
  <si>
    <t>ანჯამა</t>
  </si>
  <si>
    <t>9-17-5</t>
  </si>
  <si>
    <t>ლითონის კუთხოვანა 45x45x3 მმ</t>
  </si>
  <si>
    <t>ელექტროდი შედუღების</t>
  </si>
  <si>
    <t>7-22-9</t>
  </si>
  <si>
    <t>ლითონის კუტიკარის მოწყობა</t>
  </si>
  <si>
    <t>09-08-002-05</t>
  </si>
  <si>
    <t>სტადიონის შემოღობვის მოწყობა დამზადებული ბადე-პანელებით</t>
  </si>
  <si>
    <t>10 ც</t>
  </si>
  <si>
    <t>შესადუღებელი ავტომატი</t>
  </si>
  <si>
    <t>ლითონის კონსტრუქციის შეღებვა ზეთოვანი საღებავით</t>
  </si>
  <si>
    <t>15-164-8</t>
  </si>
  <si>
    <t>ოლიფა</t>
  </si>
  <si>
    <t>6-1-1.</t>
  </si>
  <si>
    <t>ფოლადის მილი Ø40x3 მმ</t>
  </si>
  <si>
    <t>ფოლადის მილი Ø102x4 მმ</t>
  </si>
  <si>
    <t>33-253-1</t>
  </si>
  <si>
    <t>ზედნადები ხარჯები</t>
  </si>
  <si>
    <t>გეგმიური დაგროვება</t>
  </si>
  <si>
    <t>მიწის დამუშავება ხელით III კატ გრუნტში საძირკვლის მოსაწყობათ</t>
  </si>
  <si>
    <t>განათების ბოძების მოწყობა</t>
  </si>
  <si>
    <t>განათების ბოძების დამზადება</t>
  </si>
  <si>
    <t>ფოლადის ფურცლოვანა 200x200x5 მმ, სულ 4 ც</t>
  </si>
  <si>
    <t>პროფილის მილი 120x120x4 მმ, L=1.0 მ, სულ 4 ც</t>
  </si>
  <si>
    <t>8-142-1</t>
  </si>
  <si>
    <t>ქვიშის ბალიშის მოწყობა სისქით 10 სმ</t>
  </si>
  <si>
    <t xml:space="preserve">შრომითი დანახარჯები </t>
  </si>
  <si>
    <t>8-418-1</t>
  </si>
  <si>
    <t>პლასტმასის დამცავი გოფრირებული მილის მოწყობა Ø20 მმ</t>
  </si>
  <si>
    <t xml:space="preserve">ელ. კაბელის АВВГ Ø2x10 მმ2 მონტაჟი </t>
  </si>
  <si>
    <t>ელ. კაბელი АВВГ Ø2x10 მმ2</t>
  </si>
  <si>
    <t>8-149-2</t>
  </si>
  <si>
    <t>ზედნადები ხარჯები ელ. სამონტაჟო სამუშაოებზე</t>
  </si>
  <si>
    <t>ელ. კაბელი Ø2x2.5 მმ2 გაჭიმვა ბოძებში</t>
  </si>
  <si>
    <t>გაუთვალისწინებელი ხარჯები</t>
  </si>
  <si>
    <t>დღგ</t>
  </si>
  <si>
    <t>2.1 თავი სამშენებლო ნაწილი</t>
  </si>
  <si>
    <t>2.1 თავი ჯამი</t>
  </si>
  <si>
    <t>2.2 თავი სამონტაჟო სამუშაოები</t>
  </si>
  <si>
    <t>2.2 თავი ჯამი</t>
  </si>
  <si>
    <t>8-609-1</t>
  </si>
  <si>
    <t>განათების პროჟექტორების მონტაჟი</t>
  </si>
  <si>
    <t>8-526-1</t>
  </si>
  <si>
    <t>პლასტმასის კარადის მოწყობა</t>
  </si>
  <si>
    <t>სახარჯთაღრიცხვო ღირებულება:</t>
  </si>
  <si>
    <t xml:space="preserve"> ჯამი სულ</t>
  </si>
  <si>
    <t>ფოლადი ფურცლოვანი სისქ. 5 მმ</t>
  </si>
  <si>
    <t>არმატურა A-III კლასის Ø10 მმ, L=108 მ, სულ 4 ც</t>
  </si>
  <si>
    <t>არმატურა A-I კლასის Ø8 მმ, L=1.15 მ, სულ 432 ც</t>
  </si>
  <si>
    <t>ლითონის კუთხოვანა 45x45x3 მმ, L=0.6 მ, სულ 7x4=28 ც</t>
  </si>
  <si>
    <t>პროფილის მილი 120x120x4 მმ, L=8.5 მ, სულ 4 ც</t>
  </si>
  <si>
    <t>მოთუთიებული მავთულბადე სისქით 3.0 მმ უჯრედი 50x50 მმ პლასტმასის გარსაცმით</t>
  </si>
  <si>
    <t>ლითონის კონსტრუქციის შეღებვა ზეთოვანი საღებავით (ლითონის დგარები და კოჭები)</t>
  </si>
  <si>
    <t>25 მმ სიმაღლის ხელოვნური საფარი ( პრო. მიხ)</t>
  </si>
  <si>
    <t>grZ/m</t>
  </si>
  <si>
    <t>pro</t>
  </si>
  <si>
    <t>bagirisTvis WanWikiani momWerebi</t>
  </si>
  <si>
    <t>c</t>
  </si>
  <si>
    <t>11--1--11</t>
  </si>
  <si>
    <t xml:space="preserve">Sromis danaxarjebi </t>
  </si>
  <si>
    <t>k/sT</t>
  </si>
  <si>
    <t>sxva masala</t>
  </si>
  <si>
    <t>lari</t>
  </si>
  <si>
    <t>bagiri moTuTiebuli d-6 mm, mavTulbadis dasaWimad Robis perimetris yvela sarTulis Sua zolze</t>
  </si>
  <si>
    <t>27-9-6.                  27-9-5</t>
  </si>
  <si>
    <t xml:space="preserve">საპროექტო ტერიტორიაზე არსებული ა/ბეტონის საფარის დაშლა </t>
  </si>
  <si>
    <t>სანგრევი ჩაქუჩები მომუშავე მოძრავ კომპრესორზე</t>
  </si>
  <si>
    <t>20-1-255/1   ЕНиР</t>
  </si>
  <si>
    <t xml:space="preserve">სამშენებლო ნარჩენების და ნაგვის შეგროვება-გამოტანა ა/თვითმცლელზე დასატვირთად </t>
  </si>
  <si>
    <t>1-22/1-а</t>
  </si>
  <si>
    <t xml:space="preserve">სამშენებლო ნარჩენების და ზედმეტი გრუნტის დატვირთვა ავტოთვითმცლელებზე </t>
  </si>
  <si>
    <t>სამშენებლო ნარჩენების და ზედმეტი გრუნტის განატანა ნაყარში</t>
  </si>
  <si>
    <t>1-84-2</t>
  </si>
  <si>
    <t>m3</t>
  </si>
  <si>
    <t>შრომის დანახარჯები</t>
  </si>
  <si>
    <t>სანგრევი ჩaქუჩი</t>
  </si>
  <si>
    <t>არსებული ღობის საძირკვლების და ზეზირკვლების დემონტაჟი ღობის ლითონ–კონსტრუქციის დამკვეთის მიერ მითითებულ ადგილზე დასაწყობებით</t>
  </si>
  <si>
    <t>მასალების ტრანსპორტირება</t>
  </si>
  <si>
    <t xml:space="preserve">moewyos  betonis  fenili m-300 mini  stadionze  sisqiT 10 sm </t>
  </si>
  <si>
    <t xml:space="preserve">betoni m-300 </t>
  </si>
  <si>
    <t>პროფილის მილკვადრატიი 40x40x3 მმ</t>
  </si>
  <si>
    <t>არმატურა A-I კლასის Ø8 მმ</t>
  </si>
  <si>
    <r>
      <t>m</t>
    </r>
    <r>
      <rPr>
        <b/>
        <sz val="9"/>
        <color theme="1"/>
        <rFont val="Sylfaen"/>
        <family val="1"/>
        <charset val="204"/>
      </rPr>
      <t>³</t>
    </r>
  </si>
  <si>
    <r>
      <t>m</t>
    </r>
    <r>
      <rPr>
        <sz val="9"/>
        <color theme="1"/>
        <rFont val="Sylfaen"/>
        <family val="1"/>
        <charset val="204"/>
      </rPr>
      <t>³</t>
    </r>
  </si>
  <si>
    <r>
      <t xml:space="preserve">ლითონის ჩარჩოებში მავთულბადის </t>
    </r>
    <r>
      <rPr>
        <b/>
        <i/>
        <sz val="9"/>
        <color theme="1"/>
        <rFont val="Arial"/>
        <family val="2"/>
        <charset val="204"/>
      </rPr>
      <t>კუტი კარის</t>
    </r>
    <r>
      <rPr>
        <b/>
        <sz val="9"/>
        <color theme="1"/>
        <rFont val="Arial"/>
        <family val="2"/>
        <charset val="204"/>
      </rPr>
      <t xml:space="preserve"> მოწყობა</t>
    </r>
  </si>
  <si>
    <r>
      <t xml:space="preserve">ელ.კაბელი Ø2x2.5 მმ2 </t>
    </r>
    <r>
      <rPr>
        <b/>
        <i/>
        <u/>
        <sz val="9"/>
        <rFont val="Arial"/>
        <family val="2"/>
      </rPr>
      <t>სპილენძის</t>
    </r>
    <r>
      <rPr>
        <sz val="9"/>
        <rFont val="Arial"/>
        <family val="2"/>
      </rPr>
      <t xml:space="preserve"> ძარღვით</t>
    </r>
  </si>
  <si>
    <t>სვ-1 ღობის ბოძების შეძენა–დამზადება</t>
  </si>
  <si>
    <t>მარტკუთხა პროფილის მილი ზომით 100x100x3 მმ     (კ–1,05)</t>
  </si>
  <si>
    <t>ფრაქციული ღორღი 20-40 მმ   (კ–1,26)</t>
  </si>
  <si>
    <t>25 მმ სიმაღლის ხელოვნური საფარის შეძენა-მოწყობა სპორტ მოედნის ტერიტორიაზე, პროექტში მითითებული მოხაზვებით (კვარცის ქვიშის გათვალისწინებით)</t>
  </si>
  <si>
    <t>კვარცის ქვიშა</t>
  </si>
  <si>
    <t>N1 ბადე-პანელის დამზადება ზომით 3120x1500 მმ, სულ 60 ც</t>
  </si>
  <si>
    <t>N2 ბადე-პანელის დამზადება ზომით 3240x1500 მმ, სულ 30 ც</t>
  </si>
  <si>
    <t>sabazro</t>
  </si>
  <si>
    <t>კალათბურთის ფარის მოწყობა (პრო.მიხ)</t>
  </si>
  <si>
    <t>ცალი</t>
  </si>
  <si>
    <t xml:space="preserve">შრომის დანახარჯი </t>
  </si>
  <si>
    <t>კ/სთ</t>
  </si>
  <si>
    <t>სხვამანქანები</t>
  </si>
  <si>
    <t xml:space="preserve">საფეხბურთო კარების  და კალათბურთის დგარებისთვის საძირკვლების მოწყობა </t>
  </si>
  <si>
    <t>kom.</t>
  </si>
  <si>
    <t>Sromis danaxarjebi</t>
  </si>
  <si>
    <t>liTonis moTuTiavebuli zolovana 40X4 mm</t>
  </si>
  <si>
    <t>m</t>
  </si>
  <si>
    <r>
      <t>moTuTiavebuli Rero d-16 mm</t>
    </r>
    <r>
      <rPr>
        <sz val="9"/>
        <rFont val="Arial"/>
        <family val="2"/>
        <charset val="204"/>
      </rPr>
      <t xml:space="preserve"> L</t>
    </r>
    <r>
      <rPr>
        <sz val="9"/>
        <rFont val="AcadNusx"/>
      </rPr>
      <t>=1500 mm</t>
    </r>
  </si>
  <si>
    <t xml:space="preserve">moTuTiavebuli mavTuli d-8 mm </t>
  </si>
  <si>
    <t xml:space="preserve">СНИП-
IV-6-82
8-724-1
</t>
  </si>
  <si>
    <t>ბეტონი В-22,5 (მ-300)</t>
  </si>
  <si>
    <t>ატრაქციონი</t>
  </si>
  <si>
    <t>კუბ.მ</t>
  </si>
  <si>
    <t>შრომითი რესურსები</t>
  </si>
  <si>
    <t>6-1-3</t>
  </si>
  <si>
    <t>მან/სთ</t>
  </si>
  <si>
    <t>ბეტონი მ-200 (ბ-15)</t>
  </si>
  <si>
    <t>საყალიბე ფარი 25 მმ</t>
  </si>
  <si>
    <t>კვ.მ</t>
  </si>
  <si>
    <t>სხვა მასალა</t>
  </si>
  <si>
    <t>საბ.ფ</t>
  </si>
  <si>
    <t>არსებული ატრაქციონის აწყობა–მონტაჟი</t>
  </si>
  <si>
    <t>არსებული ატრაქციონის დემინტაჟი შემდგომი მონტაჟის მიზნით</t>
  </si>
  <si>
    <t>კომლპექტი</t>
  </si>
  <si>
    <t>ბეტონის წერტილოვანი საძირკვლების მოწყობა</t>
  </si>
  <si>
    <t>damiwebis mowyoba ყველა განათების დგართან</t>
  </si>
  <si>
    <t>განზომილება</t>
  </si>
  <si>
    <r>
      <t xml:space="preserve">ხის </t>
    </r>
    <r>
      <rPr>
        <sz val="9"/>
        <rFont val="Sylfaen"/>
        <family val="1"/>
        <charset val="204"/>
      </rPr>
      <t>მასალა</t>
    </r>
  </si>
  <si>
    <t>q. tyibuli dumbaZis quCaze sportuli moednis mowyoba</t>
  </si>
  <si>
    <t>რესურსული   ხარჯთაღრიცხვა</t>
  </si>
  <si>
    <t>კალათბრუთის ფარი ყველა აქსესუალის გათვალისწინებით (კომპლექტი პროექტის მიხედვით და ფარზე პლასტმასის მინის მოწყობით)</t>
  </si>
  <si>
    <t>LED SMD პროჟექტორები LEP-SMD-100w</t>
  </si>
  <si>
    <t>შეადგინა:                                                                        ხვიჩა აშორდია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</si>
</sst>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(* #,##0.00_);_(* \(#,##0.00\);_(* &quot;-&quot;??_);_(@_)"/>
    <numFmt numFmtId="165" formatCode="#,##0.000"/>
    <numFmt numFmtId="166" formatCode="0;\-0;;@"/>
    <numFmt numFmtId="167" formatCode="0.000"/>
    <numFmt numFmtId="168" formatCode="0.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b/>
      <sz val="9"/>
      <name val="AcadNusx"/>
    </font>
    <font>
      <b/>
      <sz val="9"/>
      <color theme="1"/>
      <name val="AcadNusx"/>
    </font>
    <font>
      <sz val="9"/>
      <name val="AcadNusx"/>
    </font>
    <font>
      <sz val="9"/>
      <color theme="1"/>
      <name val="AcadNusx"/>
    </font>
    <font>
      <sz val="9"/>
      <color theme="1"/>
      <name val="Calibri"/>
      <family val="2"/>
      <scheme val="minor"/>
    </font>
    <font>
      <b/>
      <sz val="9"/>
      <color theme="1"/>
      <name val="AcadMtav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trike/>
      <sz val="9"/>
      <color theme="1"/>
      <name val="Arial"/>
      <family val="2"/>
      <charset val="204"/>
    </font>
    <font>
      <b/>
      <strike/>
      <sz val="9"/>
      <name val="Arial"/>
      <family val="2"/>
      <charset val="204"/>
    </font>
    <font>
      <sz val="9"/>
      <color theme="1"/>
      <name val="Arial"/>
      <family val="2"/>
    </font>
    <font>
      <sz val="9"/>
      <name val="Arial"/>
      <family val="2"/>
    </font>
    <font>
      <b/>
      <i/>
      <u/>
      <sz val="9"/>
      <name val="Arial"/>
      <family val="2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b/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3" fillId="0" borderId="0"/>
  </cellStyleXfs>
  <cellXfs count="222">
    <xf numFmtId="0" fontId="0" fillId="0" borderId="0" xfId="0"/>
    <xf numFmtId="2" fontId="6" fillId="0" borderId="1" xfId="0" applyNumberFormat="1" applyFont="1" applyFill="1" applyBorder="1" applyAlignment="1">
      <alignment horizontal="center" vertical="distributed"/>
    </xf>
    <xf numFmtId="2" fontId="6" fillId="0" borderId="1" xfId="0" applyNumberFormat="1" applyFont="1" applyFill="1" applyBorder="1" applyAlignment="1">
      <alignment vertical="distributed"/>
    </xf>
    <xf numFmtId="2" fontId="6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left" vertical="center"/>
    </xf>
    <xf numFmtId="2" fontId="9" fillId="0" borderId="1" xfId="0" applyNumberFormat="1" applyFont="1" applyFill="1" applyBorder="1" applyAlignment="1">
      <alignment horizontal="center" vertical="center"/>
    </xf>
    <xf numFmtId="168" fontId="8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distributed"/>
    </xf>
    <xf numFmtId="2" fontId="6" fillId="0" borderId="1" xfId="0" applyNumberFormat="1" applyFont="1" applyFill="1" applyBorder="1" applyAlignment="1">
      <alignment horizontal="left" vertical="distributed"/>
    </xf>
    <xf numFmtId="2" fontId="6" fillId="0" borderId="1" xfId="6" quotePrefix="1" applyNumberFormat="1" applyFont="1" applyFill="1" applyBorder="1" applyAlignment="1">
      <alignment horizontal="center" vertical="center"/>
    </xf>
    <xf numFmtId="2" fontId="8" fillId="0" borderId="1" xfId="6" applyNumberFormat="1" applyFont="1" applyFill="1" applyBorder="1" applyAlignment="1">
      <alignment horizontal="center" vertical="center"/>
    </xf>
    <xf numFmtId="2" fontId="8" fillId="0" borderId="1" xfId="3" applyNumberFormat="1" applyFont="1" applyFill="1" applyBorder="1" applyAlignment="1" applyProtection="1">
      <alignment horizontal="center" vertical="center"/>
    </xf>
    <xf numFmtId="2" fontId="6" fillId="0" borderId="1" xfId="6" applyNumberFormat="1" applyFont="1" applyFill="1" applyBorder="1" applyAlignment="1">
      <alignment horizontal="left" vertical="distributed"/>
    </xf>
    <xf numFmtId="2" fontId="6" fillId="0" borderId="1" xfId="6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 indent="1"/>
    </xf>
    <xf numFmtId="4" fontId="15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" fontId="16" fillId="0" borderId="6" xfId="0" applyNumberFormat="1" applyFont="1" applyFill="1" applyBorder="1" applyAlignment="1" applyProtection="1">
      <alignment horizontal="center" vertical="center"/>
    </xf>
    <xf numFmtId="1" fontId="16" fillId="0" borderId="1" xfId="0" applyNumberFormat="1" applyFont="1" applyFill="1" applyBorder="1" applyAlignment="1" applyProtection="1">
      <alignment horizontal="center" vertical="center"/>
    </xf>
    <xf numFmtId="1" fontId="16" fillId="0" borderId="1" xfId="0" applyNumberFormat="1" applyFont="1" applyFill="1" applyBorder="1" applyAlignment="1" applyProtection="1">
      <alignment horizontal="center" vertical="center" wrapText="1"/>
    </xf>
    <xf numFmtId="1" fontId="16" fillId="0" borderId="2" xfId="0" applyNumberFormat="1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4" fontId="12" fillId="0" borderId="2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16" fontId="18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vertical="center"/>
    </xf>
    <xf numFmtId="4" fontId="13" fillId="0" borderId="2" xfId="0" applyNumberFormat="1" applyFont="1" applyFill="1" applyBorder="1" applyAlignment="1">
      <alignment vertical="center"/>
    </xf>
    <xf numFmtId="16" fontId="1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4" fontId="17" fillId="0" borderId="1" xfId="6" applyNumberFormat="1" applyFont="1" applyFill="1" applyBorder="1" applyAlignment="1" applyProtection="1">
      <alignment horizontal="center" vertical="center"/>
    </xf>
    <xf numFmtId="165" fontId="16" fillId="0" borderId="1" xfId="3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17" fillId="0" borderId="1" xfId="4" applyFont="1" applyFill="1" applyBorder="1" applyAlignment="1">
      <alignment vertical="center"/>
    </xf>
    <xf numFmtId="0" fontId="16" fillId="0" borderId="1" xfId="4" applyFont="1" applyFill="1" applyBorder="1" applyAlignment="1">
      <alignment horizontal="center" vertical="center"/>
    </xf>
    <xf numFmtId="0" fontId="17" fillId="0" borderId="1" xfId="4" applyFont="1" applyFill="1" applyBorder="1" applyAlignment="1">
      <alignment horizontal="center" vertical="center"/>
    </xf>
    <xf numFmtId="4" fontId="17" fillId="0" borderId="1" xfId="4" applyNumberFormat="1" applyFont="1" applyFill="1" applyBorder="1" applyAlignment="1">
      <alignment horizontal="center" vertical="center"/>
    </xf>
    <xf numFmtId="4" fontId="17" fillId="0" borderId="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6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166" fontId="19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4" fontId="17" fillId="0" borderId="1" xfId="5" applyNumberFormat="1" applyFont="1" applyFill="1" applyBorder="1" applyAlignment="1">
      <alignment horizontal="center" vertical="center"/>
    </xf>
    <xf numFmtId="4" fontId="17" fillId="0" borderId="2" xfId="5" applyNumberFormat="1" applyFont="1" applyFill="1" applyBorder="1" applyAlignment="1">
      <alignment horizontal="center" vertical="center"/>
    </xf>
    <xf numFmtId="2" fontId="17" fillId="0" borderId="1" xfId="7" applyNumberFormat="1" applyFont="1" applyFill="1" applyBorder="1" applyAlignment="1">
      <alignment horizontal="left" vertical="center"/>
    </xf>
    <xf numFmtId="4" fontId="13" fillId="0" borderId="1" xfId="0" applyNumberFormat="1" applyFont="1" applyFill="1" applyBorder="1" applyAlignment="1" applyProtection="1">
      <alignment horizontal="center" vertical="center"/>
    </xf>
    <xf numFmtId="4" fontId="13" fillId="0" borderId="1" xfId="3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6" fillId="0" borderId="1" xfId="2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distributed"/>
    </xf>
    <xf numFmtId="0" fontId="13" fillId="0" borderId="0" xfId="0" applyNumberFormat="1" applyFont="1" applyFill="1" applyAlignment="1">
      <alignment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distributed"/>
    </xf>
    <xf numFmtId="4" fontId="16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17" fontId="12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" fontId="17" fillId="0" borderId="1" xfId="1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vertical="center"/>
    </xf>
    <xf numFmtId="9" fontId="12" fillId="0" borderId="1" xfId="0" applyNumberFormat="1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NumberFormat="1" applyFont="1" applyFill="1" applyBorder="1" applyAlignment="1">
      <alignment horizontal="left" vertical="center"/>
    </xf>
    <xf numFmtId="4" fontId="17" fillId="0" borderId="1" xfId="7" applyNumberFormat="1" applyFont="1" applyFill="1" applyBorder="1" applyAlignment="1">
      <alignment horizontal="center" vertical="center"/>
    </xf>
    <xf numFmtId="165" fontId="16" fillId="0" borderId="1" xfId="7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/>
    </xf>
    <xf numFmtId="2" fontId="16" fillId="0" borderId="1" xfId="0" applyNumberFormat="1" applyFont="1" applyFill="1" applyBorder="1" applyAlignment="1">
      <alignment horizontal="center" vertical="center"/>
    </xf>
    <xf numFmtId="9" fontId="16" fillId="0" borderId="1" xfId="0" applyNumberFormat="1" applyFont="1" applyFill="1" applyBorder="1" applyAlignment="1">
      <alignment horizontal="center" vertical="center"/>
    </xf>
    <xf numFmtId="4" fontId="25" fillId="0" borderId="2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4" fontId="16" fillId="0" borderId="8" xfId="0" applyNumberFormat="1" applyFont="1" applyFill="1" applyBorder="1" applyAlignment="1">
      <alignment horizontal="center" vertical="center"/>
    </xf>
    <xf numFmtId="4" fontId="16" fillId="0" borderId="9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" fontId="13" fillId="0" borderId="0" xfId="0" applyNumberFormat="1" applyFont="1" applyFill="1" applyAlignment="1">
      <alignment vertical="center"/>
    </xf>
    <xf numFmtId="16" fontId="6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vertical="distributed"/>
    </xf>
    <xf numFmtId="0" fontId="6" fillId="0" borderId="1" xfId="0" applyFont="1" applyBorder="1" applyAlignment="1">
      <alignment vertical="distributed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/>
    </xf>
    <xf numFmtId="0" fontId="28" fillId="0" borderId="1" xfId="0" applyFont="1" applyBorder="1" applyAlignment="1">
      <alignment horizontal="center"/>
    </xf>
    <xf numFmtId="2" fontId="28" fillId="0" borderId="1" xfId="3" applyNumberFormat="1" applyFont="1" applyFill="1" applyBorder="1" applyAlignment="1">
      <alignment horizontal="center" vertical="center"/>
    </xf>
    <xf numFmtId="2" fontId="8" fillId="0" borderId="1" xfId="3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11" applyFont="1" applyBorder="1" applyAlignment="1">
      <alignment horizontal="center" vertical="center" wrapText="1"/>
    </xf>
    <xf numFmtId="0" fontId="8" fillId="0" borderId="1" xfId="12" applyFont="1" applyBorder="1" applyAlignment="1" applyProtection="1">
      <alignment horizontal="center"/>
      <protection hidden="1"/>
    </xf>
    <xf numFmtId="2" fontId="8" fillId="0" borderId="1" xfId="12" applyNumberFormat="1" applyFont="1" applyBorder="1" applyAlignment="1" applyProtection="1">
      <alignment horizontal="center"/>
      <protection hidden="1"/>
    </xf>
    <xf numFmtId="2" fontId="28" fillId="0" borderId="1" xfId="0" applyNumberFormat="1" applyFont="1" applyBorder="1" applyAlignment="1">
      <alignment horizontal="center"/>
    </xf>
    <xf numFmtId="164" fontId="28" fillId="0" borderId="1" xfId="0" applyNumberFormat="1" applyFont="1" applyBorder="1" applyAlignment="1">
      <alignment horizontal="center"/>
    </xf>
    <xf numFmtId="0" fontId="28" fillId="0" borderId="1" xfId="13" applyFont="1" applyBorder="1" applyAlignment="1">
      <alignment horizontal="center"/>
    </xf>
    <xf numFmtId="49" fontId="8" fillId="0" borderId="1" xfId="0" applyNumberFormat="1" applyFont="1" applyBorder="1" applyAlignment="1">
      <alignment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6" xfId="0" applyNumberFormat="1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" fontId="6" fillId="0" borderId="13" xfId="0" applyNumberFormat="1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/>
    </xf>
    <xf numFmtId="1" fontId="6" fillId="0" borderId="15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</cellXfs>
  <cellStyles count="14">
    <cellStyle name="Normal 10" xfId="2"/>
    <cellStyle name="Normal 13 5 3" xfId="11"/>
    <cellStyle name="Normal 2" xfId="4"/>
    <cellStyle name="Normal 3" xfId="6"/>
    <cellStyle name="Normal_gare wyalsadfenigagarini 10" xfId="1"/>
    <cellStyle name="Normal_gare wyalsadfenigagarini 2_SMSH2008-IIkv ." xfId="13"/>
    <cellStyle name="Normal_senaki keTilmowyoba_xarj-va keTilmowyobis" xfId="12"/>
    <cellStyle name="Обычный" xfId="0" builtinId="0"/>
    <cellStyle name="Обычный 2" xfId="8"/>
    <cellStyle name="Обычный 3" xfId="5"/>
    <cellStyle name="Обычный_Лист1" xfId="7"/>
    <cellStyle name="Финансовый" xfId="3" builtinId="3"/>
    <cellStyle name="ჩვეულებრივი 2" xfId="9"/>
    <cellStyle name="ჩვეულებრივი 2 2 2" xfId="10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562225" y="890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562225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38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562225" y="8582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0" cy="28575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2562225" y="9067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157</xdr:row>
      <xdr:rowOff>0</xdr:rowOff>
    </xdr:from>
    <xdr:to>
      <xdr:col>3</xdr:col>
      <xdr:colOff>76200</xdr:colOff>
      <xdr:row>160</xdr:row>
      <xdr:rowOff>106680</xdr:rowOff>
    </xdr:to>
    <xdr:sp macro="" textlink="">
      <xdr:nvSpPr>
        <xdr:cNvPr id="1098" name="Text Box 3">
          <a:extLst>
            <a:ext uri="{FF2B5EF4-FFF2-40B4-BE49-F238E27FC236}">
              <a16:creationId xmlns:a16="http://schemas.microsoft.com/office/drawing/2014/main" id="{3A8F7232-95E5-4C0F-AE0D-EE48B4A58713}"/>
            </a:ext>
          </a:extLst>
        </xdr:cNvPr>
        <xdr:cNvSpPr txBox="1">
          <a:spLocks noChangeArrowheads="1"/>
        </xdr:cNvSpPr>
      </xdr:nvSpPr>
      <xdr:spPr bwMode="auto">
        <a:xfrm>
          <a:off x="4351020" y="27713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76200</xdr:colOff>
      <xdr:row>160</xdr:row>
      <xdr:rowOff>106680</xdr:rowOff>
    </xdr:to>
    <xdr:sp macro="" textlink="">
      <xdr:nvSpPr>
        <xdr:cNvPr id="1099" name="Text Box 4">
          <a:extLst>
            <a:ext uri="{FF2B5EF4-FFF2-40B4-BE49-F238E27FC236}">
              <a16:creationId xmlns:a16="http://schemas.microsoft.com/office/drawing/2014/main" id="{9985CCFD-302E-475F-A0C2-9FC3B8222DEC}"/>
            </a:ext>
          </a:extLst>
        </xdr:cNvPr>
        <xdr:cNvSpPr txBox="1">
          <a:spLocks noChangeArrowheads="1"/>
        </xdr:cNvSpPr>
      </xdr:nvSpPr>
      <xdr:spPr bwMode="auto">
        <a:xfrm>
          <a:off x="4351020" y="27713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76200</xdr:colOff>
      <xdr:row>160</xdr:row>
      <xdr:rowOff>106680</xdr:rowOff>
    </xdr:to>
    <xdr:sp macro="" textlink="">
      <xdr:nvSpPr>
        <xdr:cNvPr id="1100" name="Text Box 5">
          <a:extLst>
            <a:ext uri="{FF2B5EF4-FFF2-40B4-BE49-F238E27FC236}">
              <a16:creationId xmlns:a16="http://schemas.microsoft.com/office/drawing/2014/main" id="{51ABD9AB-E21F-43A3-ADB7-F154BD387137}"/>
            </a:ext>
          </a:extLst>
        </xdr:cNvPr>
        <xdr:cNvSpPr txBox="1">
          <a:spLocks noChangeArrowheads="1"/>
        </xdr:cNvSpPr>
      </xdr:nvSpPr>
      <xdr:spPr bwMode="auto">
        <a:xfrm>
          <a:off x="4351020" y="27713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76200</xdr:colOff>
      <xdr:row>160</xdr:row>
      <xdr:rowOff>106680</xdr:rowOff>
    </xdr:to>
    <xdr:sp macro="" textlink="">
      <xdr:nvSpPr>
        <xdr:cNvPr id="1101" name="Text Box 6">
          <a:extLst>
            <a:ext uri="{FF2B5EF4-FFF2-40B4-BE49-F238E27FC236}">
              <a16:creationId xmlns:a16="http://schemas.microsoft.com/office/drawing/2014/main" id="{589DF2C0-06B1-43EC-9107-321E420EB4C6}"/>
            </a:ext>
          </a:extLst>
        </xdr:cNvPr>
        <xdr:cNvSpPr txBox="1">
          <a:spLocks noChangeArrowheads="1"/>
        </xdr:cNvSpPr>
      </xdr:nvSpPr>
      <xdr:spPr bwMode="auto">
        <a:xfrm>
          <a:off x="4351020" y="27713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76200</xdr:colOff>
      <xdr:row>160</xdr:row>
      <xdr:rowOff>106680</xdr:rowOff>
    </xdr:to>
    <xdr:sp macro="" textlink="">
      <xdr:nvSpPr>
        <xdr:cNvPr id="1102" name="Text Box 7">
          <a:extLst>
            <a:ext uri="{FF2B5EF4-FFF2-40B4-BE49-F238E27FC236}">
              <a16:creationId xmlns:a16="http://schemas.microsoft.com/office/drawing/2014/main" id="{D98C5DD8-B470-4AB8-8275-70E149929F98}"/>
            </a:ext>
          </a:extLst>
        </xdr:cNvPr>
        <xdr:cNvSpPr txBox="1">
          <a:spLocks noChangeArrowheads="1"/>
        </xdr:cNvSpPr>
      </xdr:nvSpPr>
      <xdr:spPr bwMode="auto">
        <a:xfrm>
          <a:off x="4351020" y="277139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76200</xdr:colOff>
      <xdr:row>165</xdr:row>
      <xdr:rowOff>76200</xdr:rowOff>
    </xdr:to>
    <xdr:sp macro="" textlink="">
      <xdr:nvSpPr>
        <xdr:cNvPr id="1103" name="Text Box 3">
          <a:extLst>
            <a:ext uri="{FF2B5EF4-FFF2-40B4-BE49-F238E27FC236}">
              <a16:creationId xmlns:a16="http://schemas.microsoft.com/office/drawing/2014/main" id="{6301A8D0-61A2-45E8-B998-08DF5E4C3D41}"/>
            </a:ext>
          </a:extLst>
        </xdr:cNvPr>
        <xdr:cNvSpPr txBox="1">
          <a:spLocks noChangeArrowheads="1"/>
        </xdr:cNvSpPr>
      </xdr:nvSpPr>
      <xdr:spPr bwMode="auto">
        <a:xfrm>
          <a:off x="4351020" y="293674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76200</xdr:colOff>
      <xdr:row>165</xdr:row>
      <xdr:rowOff>76200</xdr:rowOff>
    </xdr:to>
    <xdr:sp macro="" textlink="">
      <xdr:nvSpPr>
        <xdr:cNvPr id="1104" name="Text Box 4">
          <a:extLst>
            <a:ext uri="{FF2B5EF4-FFF2-40B4-BE49-F238E27FC236}">
              <a16:creationId xmlns:a16="http://schemas.microsoft.com/office/drawing/2014/main" id="{9F03C215-624F-4176-8FC7-BA4360B5B3D8}"/>
            </a:ext>
          </a:extLst>
        </xdr:cNvPr>
        <xdr:cNvSpPr txBox="1">
          <a:spLocks noChangeArrowheads="1"/>
        </xdr:cNvSpPr>
      </xdr:nvSpPr>
      <xdr:spPr bwMode="auto">
        <a:xfrm>
          <a:off x="4351020" y="293674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76200</xdr:colOff>
      <xdr:row>165</xdr:row>
      <xdr:rowOff>76200</xdr:rowOff>
    </xdr:to>
    <xdr:sp macro="" textlink="">
      <xdr:nvSpPr>
        <xdr:cNvPr id="1105" name="Text Box 5">
          <a:extLst>
            <a:ext uri="{FF2B5EF4-FFF2-40B4-BE49-F238E27FC236}">
              <a16:creationId xmlns:a16="http://schemas.microsoft.com/office/drawing/2014/main" id="{F9D957E5-CF76-445B-95F4-05C83F488838}"/>
            </a:ext>
          </a:extLst>
        </xdr:cNvPr>
        <xdr:cNvSpPr txBox="1">
          <a:spLocks noChangeArrowheads="1"/>
        </xdr:cNvSpPr>
      </xdr:nvSpPr>
      <xdr:spPr bwMode="auto">
        <a:xfrm>
          <a:off x="4351020" y="293674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76200</xdr:colOff>
      <xdr:row>165</xdr:row>
      <xdr:rowOff>76200</xdr:rowOff>
    </xdr:to>
    <xdr:sp macro="" textlink="">
      <xdr:nvSpPr>
        <xdr:cNvPr id="1106" name="Text Box 6">
          <a:extLst>
            <a:ext uri="{FF2B5EF4-FFF2-40B4-BE49-F238E27FC236}">
              <a16:creationId xmlns:a16="http://schemas.microsoft.com/office/drawing/2014/main" id="{70CA811B-F2BF-4DF4-99BC-F9BBE10AFBBD}"/>
            </a:ext>
          </a:extLst>
        </xdr:cNvPr>
        <xdr:cNvSpPr txBox="1">
          <a:spLocks noChangeArrowheads="1"/>
        </xdr:cNvSpPr>
      </xdr:nvSpPr>
      <xdr:spPr bwMode="auto">
        <a:xfrm>
          <a:off x="4351020" y="293674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76200</xdr:colOff>
      <xdr:row>165</xdr:row>
      <xdr:rowOff>76200</xdr:rowOff>
    </xdr:to>
    <xdr:sp macro="" textlink="">
      <xdr:nvSpPr>
        <xdr:cNvPr id="1107" name="Text Box 7">
          <a:extLst>
            <a:ext uri="{FF2B5EF4-FFF2-40B4-BE49-F238E27FC236}">
              <a16:creationId xmlns:a16="http://schemas.microsoft.com/office/drawing/2014/main" id="{AF1E8672-F234-4EF4-9D62-87254F2B28EA}"/>
            </a:ext>
          </a:extLst>
        </xdr:cNvPr>
        <xdr:cNvSpPr txBox="1">
          <a:spLocks noChangeArrowheads="1"/>
        </xdr:cNvSpPr>
      </xdr:nvSpPr>
      <xdr:spPr bwMode="auto">
        <a:xfrm>
          <a:off x="4351020" y="293674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76200</xdr:colOff>
      <xdr:row>167</xdr:row>
      <xdr:rowOff>99060</xdr:rowOff>
    </xdr:to>
    <xdr:sp macro="" textlink="">
      <xdr:nvSpPr>
        <xdr:cNvPr id="1108" name="Text Box 3">
          <a:extLst>
            <a:ext uri="{FF2B5EF4-FFF2-40B4-BE49-F238E27FC236}">
              <a16:creationId xmlns:a16="http://schemas.microsoft.com/office/drawing/2014/main" id="{24218A77-E1CF-4F74-9582-83A35BF7246C}"/>
            </a:ext>
          </a:extLst>
        </xdr:cNvPr>
        <xdr:cNvSpPr txBox="1">
          <a:spLocks noChangeArrowheads="1"/>
        </xdr:cNvSpPr>
      </xdr:nvSpPr>
      <xdr:spPr bwMode="auto">
        <a:xfrm>
          <a:off x="4351020" y="2974848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76200</xdr:colOff>
      <xdr:row>167</xdr:row>
      <xdr:rowOff>99060</xdr:rowOff>
    </xdr:to>
    <xdr:sp macro="" textlink="">
      <xdr:nvSpPr>
        <xdr:cNvPr id="1109" name="Text Box 4">
          <a:extLst>
            <a:ext uri="{FF2B5EF4-FFF2-40B4-BE49-F238E27FC236}">
              <a16:creationId xmlns:a16="http://schemas.microsoft.com/office/drawing/2014/main" id="{3CAED710-EF3F-4A15-AC25-237D9112DAA5}"/>
            </a:ext>
          </a:extLst>
        </xdr:cNvPr>
        <xdr:cNvSpPr txBox="1">
          <a:spLocks noChangeArrowheads="1"/>
        </xdr:cNvSpPr>
      </xdr:nvSpPr>
      <xdr:spPr bwMode="auto">
        <a:xfrm>
          <a:off x="4351020" y="2974848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76200</xdr:colOff>
      <xdr:row>167</xdr:row>
      <xdr:rowOff>99060</xdr:rowOff>
    </xdr:to>
    <xdr:sp macro="" textlink="">
      <xdr:nvSpPr>
        <xdr:cNvPr id="1110" name="Text Box 5">
          <a:extLst>
            <a:ext uri="{FF2B5EF4-FFF2-40B4-BE49-F238E27FC236}">
              <a16:creationId xmlns:a16="http://schemas.microsoft.com/office/drawing/2014/main" id="{DFF941DA-AAFA-44DF-8767-4FC160070029}"/>
            </a:ext>
          </a:extLst>
        </xdr:cNvPr>
        <xdr:cNvSpPr txBox="1">
          <a:spLocks noChangeArrowheads="1"/>
        </xdr:cNvSpPr>
      </xdr:nvSpPr>
      <xdr:spPr bwMode="auto">
        <a:xfrm>
          <a:off x="4351020" y="2974848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76200</xdr:colOff>
      <xdr:row>167</xdr:row>
      <xdr:rowOff>99060</xdr:rowOff>
    </xdr:to>
    <xdr:sp macro="" textlink="">
      <xdr:nvSpPr>
        <xdr:cNvPr id="1111" name="Text Box 6">
          <a:extLst>
            <a:ext uri="{FF2B5EF4-FFF2-40B4-BE49-F238E27FC236}">
              <a16:creationId xmlns:a16="http://schemas.microsoft.com/office/drawing/2014/main" id="{5BA81E11-A7BC-48AC-AB08-967A988CB3D7}"/>
            </a:ext>
          </a:extLst>
        </xdr:cNvPr>
        <xdr:cNvSpPr txBox="1">
          <a:spLocks noChangeArrowheads="1"/>
        </xdr:cNvSpPr>
      </xdr:nvSpPr>
      <xdr:spPr bwMode="auto">
        <a:xfrm>
          <a:off x="4351020" y="2974848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76200</xdr:colOff>
      <xdr:row>167</xdr:row>
      <xdr:rowOff>99060</xdr:rowOff>
    </xdr:to>
    <xdr:sp macro="" textlink="">
      <xdr:nvSpPr>
        <xdr:cNvPr id="1112" name="Text Box 7">
          <a:extLst>
            <a:ext uri="{FF2B5EF4-FFF2-40B4-BE49-F238E27FC236}">
              <a16:creationId xmlns:a16="http://schemas.microsoft.com/office/drawing/2014/main" id="{FB771B31-E89C-4F81-A51E-17A732492088}"/>
            </a:ext>
          </a:extLst>
        </xdr:cNvPr>
        <xdr:cNvSpPr txBox="1">
          <a:spLocks noChangeArrowheads="1"/>
        </xdr:cNvSpPr>
      </xdr:nvSpPr>
      <xdr:spPr bwMode="auto">
        <a:xfrm>
          <a:off x="4351020" y="29748480"/>
          <a:ext cx="762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76200</xdr:colOff>
      <xdr:row>169</xdr:row>
      <xdr:rowOff>7620</xdr:rowOff>
    </xdr:to>
    <xdr:sp macro="" textlink="">
      <xdr:nvSpPr>
        <xdr:cNvPr id="1113" name="Text Box 3">
          <a:extLst>
            <a:ext uri="{FF2B5EF4-FFF2-40B4-BE49-F238E27FC236}">
              <a16:creationId xmlns:a16="http://schemas.microsoft.com/office/drawing/2014/main" id="{A87E5177-0FED-4DD9-9952-624E69F84AC7}"/>
            </a:ext>
          </a:extLst>
        </xdr:cNvPr>
        <xdr:cNvSpPr txBox="1">
          <a:spLocks noChangeArrowheads="1"/>
        </xdr:cNvSpPr>
      </xdr:nvSpPr>
      <xdr:spPr bwMode="auto">
        <a:xfrm>
          <a:off x="4351020" y="301294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76200</xdr:colOff>
      <xdr:row>169</xdr:row>
      <xdr:rowOff>7620</xdr:rowOff>
    </xdr:to>
    <xdr:sp macro="" textlink="">
      <xdr:nvSpPr>
        <xdr:cNvPr id="1114" name="Text Box 4">
          <a:extLst>
            <a:ext uri="{FF2B5EF4-FFF2-40B4-BE49-F238E27FC236}">
              <a16:creationId xmlns:a16="http://schemas.microsoft.com/office/drawing/2014/main" id="{E7DC4AFD-0037-4194-AE79-6035359988BB}"/>
            </a:ext>
          </a:extLst>
        </xdr:cNvPr>
        <xdr:cNvSpPr txBox="1">
          <a:spLocks noChangeArrowheads="1"/>
        </xdr:cNvSpPr>
      </xdr:nvSpPr>
      <xdr:spPr bwMode="auto">
        <a:xfrm>
          <a:off x="4351020" y="301294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76200</xdr:colOff>
      <xdr:row>169</xdr:row>
      <xdr:rowOff>7620</xdr:rowOff>
    </xdr:to>
    <xdr:sp macro="" textlink="">
      <xdr:nvSpPr>
        <xdr:cNvPr id="1115" name="Text Box 5">
          <a:extLst>
            <a:ext uri="{FF2B5EF4-FFF2-40B4-BE49-F238E27FC236}">
              <a16:creationId xmlns:a16="http://schemas.microsoft.com/office/drawing/2014/main" id="{B66E4006-A5B4-45C5-9562-DAA60E5AFF1F}"/>
            </a:ext>
          </a:extLst>
        </xdr:cNvPr>
        <xdr:cNvSpPr txBox="1">
          <a:spLocks noChangeArrowheads="1"/>
        </xdr:cNvSpPr>
      </xdr:nvSpPr>
      <xdr:spPr bwMode="auto">
        <a:xfrm>
          <a:off x="4351020" y="301294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76200</xdr:colOff>
      <xdr:row>169</xdr:row>
      <xdr:rowOff>7620</xdr:rowOff>
    </xdr:to>
    <xdr:sp macro="" textlink="">
      <xdr:nvSpPr>
        <xdr:cNvPr id="1116" name="Text Box 6">
          <a:extLst>
            <a:ext uri="{FF2B5EF4-FFF2-40B4-BE49-F238E27FC236}">
              <a16:creationId xmlns:a16="http://schemas.microsoft.com/office/drawing/2014/main" id="{CBB7CAA9-0204-4BB2-A332-6D5886575284}"/>
            </a:ext>
          </a:extLst>
        </xdr:cNvPr>
        <xdr:cNvSpPr txBox="1">
          <a:spLocks noChangeArrowheads="1"/>
        </xdr:cNvSpPr>
      </xdr:nvSpPr>
      <xdr:spPr bwMode="auto">
        <a:xfrm>
          <a:off x="4351020" y="301294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76200</xdr:colOff>
      <xdr:row>169</xdr:row>
      <xdr:rowOff>7620</xdr:rowOff>
    </xdr:to>
    <xdr:sp macro="" textlink="">
      <xdr:nvSpPr>
        <xdr:cNvPr id="1117" name="Text Box 7">
          <a:extLst>
            <a:ext uri="{FF2B5EF4-FFF2-40B4-BE49-F238E27FC236}">
              <a16:creationId xmlns:a16="http://schemas.microsoft.com/office/drawing/2014/main" id="{2623F289-33D6-40F7-BAB3-B602D62ACD7F}"/>
            </a:ext>
          </a:extLst>
        </xdr:cNvPr>
        <xdr:cNvSpPr txBox="1">
          <a:spLocks noChangeArrowheads="1"/>
        </xdr:cNvSpPr>
      </xdr:nvSpPr>
      <xdr:spPr bwMode="auto">
        <a:xfrm>
          <a:off x="4351020" y="301294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171</xdr:row>
      <xdr:rowOff>83820</xdr:rowOff>
    </xdr:to>
    <xdr:sp macro="" textlink="">
      <xdr:nvSpPr>
        <xdr:cNvPr id="1118" name="Text Box 3">
          <a:extLst>
            <a:ext uri="{FF2B5EF4-FFF2-40B4-BE49-F238E27FC236}">
              <a16:creationId xmlns:a16="http://schemas.microsoft.com/office/drawing/2014/main" id="{A84C338C-5E51-4584-BDA7-18DBF75D1D30}"/>
            </a:ext>
          </a:extLst>
        </xdr:cNvPr>
        <xdr:cNvSpPr txBox="1">
          <a:spLocks noChangeArrowheads="1"/>
        </xdr:cNvSpPr>
      </xdr:nvSpPr>
      <xdr:spPr bwMode="auto">
        <a:xfrm>
          <a:off x="4351020" y="30548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171</xdr:row>
      <xdr:rowOff>83820</xdr:rowOff>
    </xdr:to>
    <xdr:sp macro="" textlink="">
      <xdr:nvSpPr>
        <xdr:cNvPr id="1119" name="Text Box 4">
          <a:extLst>
            <a:ext uri="{FF2B5EF4-FFF2-40B4-BE49-F238E27FC236}">
              <a16:creationId xmlns:a16="http://schemas.microsoft.com/office/drawing/2014/main" id="{5F515047-8EB7-4295-9ABA-48FF61482886}"/>
            </a:ext>
          </a:extLst>
        </xdr:cNvPr>
        <xdr:cNvSpPr txBox="1">
          <a:spLocks noChangeArrowheads="1"/>
        </xdr:cNvSpPr>
      </xdr:nvSpPr>
      <xdr:spPr bwMode="auto">
        <a:xfrm>
          <a:off x="4351020" y="30548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171</xdr:row>
      <xdr:rowOff>83820</xdr:rowOff>
    </xdr:to>
    <xdr:sp macro="" textlink="">
      <xdr:nvSpPr>
        <xdr:cNvPr id="1120" name="Text Box 5">
          <a:extLst>
            <a:ext uri="{FF2B5EF4-FFF2-40B4-BE49-F238E27FC236}">
              <a16:creationId xmlns:a16="http://schemas.microsoft.com/office/drawing/2014/main" id="{AC8DF83A-FE99-42B3-8CA0-003E38AABB5A}"/>
            </a:ext>
          </a:extLst>
        </xdr:cNvPr>
        <xdr:cNvSpPr txBox="1">
          <a:spLocks noChangeArrowheads="1"/>
        </xdr:cNvSpPr>
      </xdr:nvSpPr>
      <xdr:spPr bwMode="auto">
        <a:xfrm>
          <a:off x="4351020" y="30548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171</xdr:row>
      <xdr:rowOff>83820</xdr:rowOff>
    </xdr:to>
    <xdr:sp macro="" textlink="">
      <xdr:nvSpPr>
        <xdr:cNvPr id="1121" name="Text Box 6">
          <a:extLst>
            <a:ext uri="{FF2B5EF4-FFF2-40B4-BE49-F238E27FC236}">
              <a16:creationId xmlns:a16="http://schemas.microsoft.com/office/drawing/2014/main" id="{F7CF4FD8-E571-447B-BD9F-671091AC09ED}"/>
            </a:ext>
          </a:extLst>
        </xdr:cNvPr>
        <xdr:cNvSpPr txBox="1">
          <a:spLocks noChangeArrowheads="1"/>
        </xdr:cNvSpPr>
      </xdr:nvSpPr>
      <xdr:spPr bwMode="auto">
        <a:xfrm>
          <a:off x="4351020" y="30548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76200</xdr:colOff>
      <xdr:row>169</xdr:row>
      <xdr:rowOff>7620</xdr:rowOff>
    </xdr:to>
    <xdr:sp macro="" textlink="">
      <xdr:nvSpPr>
        <xdr:cNvPr id="1122" name="Text Box 7">
          <a:extLst>
            <a:ext uri="{FF2B5EF4-FFF2-40B4-BE49-F238E27FC236}">
              <a16:creationId xmlns:a16="http://schemas.microsoft.com/office/drawing/2014/main" id="{60E05E6A-640C-4DE4-BBF5-3A95A26E83A6}"/>
            </a:ext>
          </a:extLst>
        </xdr:cNvPr>
        <xdr:cNvSpPr txBox="1">
          <a:spLocks noChangeArrowheads="1"/>
        </xdr:cNvSpPr>
      </xdr:nvSpPr>
      <xdr:spPr bwMode="auto">
        <a:xfrm>
          <a:off x="4351020" y="30548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171</xdr:row>
      <xdr:rowOff>83820</xdr:rowOff>
    </xdr:to>
    <xdr:sp macro="" textlink="">
      <xdr:nvSpPr>
        <xdr:cNvPr id="1123" name="Text Box 3">
          <a:extLst>
            <a:ext uri="{FF2B5EF4-FFF2-40B4-BE49-F238E27FC236}">
              <a16:creationId xmlns:a16="http://schemas.microsoft.com/office/drawing/2014/main" id="{D73E4FF0-6104-44DD-89CE-1C3CD65ECC1B}"/>
            </a:ext>
          </a:extLst>
        </xdr:cNvPr>
        <xdr:cNvSpPr txBox="1">
          <a:spLocks noChangeArrowheads="1"/>
        </xdr:cNvSpPr>
      </xdr:nvSpPr>
      <xdr:spPr bwMode="auto">
        <a:xfrm>
          <a:off x="4351020" y="30548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76200</xdr:colOff>
      <xdr:row>169</xdr:row>
      <xdr:rowOff>7620</xdr:rowOff>
    </xdr:to>
    <xdr:sp macro="" textlink="">
      <xdr:nvSpPr>
        <xdr:cNvPr id="1124" name="Text Box 4">
          <a:extLst>
            <a:ext uri="{FF2B5EF4-FFF2-40B4-BE49-F238E27FC236}">
              <a16:creationId xmlns:a16="http://schemas.microsoft.com/office/drawing/2014/main" id="{1C26CBB2-E01B-4860-9E5F-E3D176294686}"/>
            </a:ext>
          </a:extLst>
        </xdr:cNvPr>
        <xdr:cNvSpPr txBox="1">
          <a:spLocks noChangeArrowheads="1"/>
        </xdr:cNvSpPr>
      </xdr:nvSpPr>
      <xdr:spPr bwMode="auto">
        <a:xfrm>
          <a:off x="4351020" y="30548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171</xdr:row>
      <xdr:rowOff>83820</xdr:rowOff>
    </xdr:to>
    <xdr:sp macro="" textlink="">
      <xdr:nvSpPr>
        <xdr:cNvPr id="1125" name="Text Box 5">
          <a:extLst>
            <a:ext uri="{FF2B5EF4-FFF2-40B4-BE49-F238E27FC236}">
              <a16:creationId xmlns:a16="http://schemas.microsoft.com/office/drawing/2014/main" id="{852D4025-E28B-4B9D-91FC-EF5BAE5D24D9}"/>
            </a:ext>
          </a:extLst>
        </xdr:cNvPr>
        <xdr:cNvSpPr txBox="1">
          <a:spLocks noChangeArrowheads="1"/>
        </xdr:cNvSpPr>
      </xdr:nvSpPr>
      <xdr:spPr bwMode="auto">
        <a:xfrm>
          <a:off x="4351020" y="30548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76200</xdr:colOff>
      <xdr:row>169</xdr:row>
      <xdr:rowOff>7620</xdr:rowOff>
    </xdr:to>
    <xdr:sp macro="" textlink="">
      <xdr:nvSpPr>
        <xdr:cNvPr id="1126" name="Text Box 6">
          <a:extLst>
            <a:ext uri="{FF2B5EF4-FFF2-40B4-BE49-F238E27FC236}">
              <a16:creationId xmlns:a16="http://schemas.microsoft.com/office/drawing/2014/main" id="{919EB00C-058D-4AA7-A08D-EAB471309A72}"/>
            </a:ext>
          </a:extLst>
        </xdr:cNvPr>
        <xdr:cNvSpPr txBox="1">
          <a:spLocks noChangeArrowheads="1"/>
        </xdr:cNvSpPr>
      </xdr:nvSpPr>
      <xdr:spPr bwMode="auto">
        <a:xfrm>
          <a:off x="4351020" y="30548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76200</xdr:colOff>
      <xdr:row>169</xdr:row>
      <xdr:rowOff>7620</xdr:rowOff>
    </xdr:to>
    <xdr:sp macro="" textlink="">
      <xdr:nvSpPr>
        <xdr:cNvPr id="1127" name="Text Box 7">
          <a:extLst>
            <a:ext uri="{FF2B5EF4-FFF2-40B4-BE49-F238E27FC236}">
              <a16:creationId xmlns:a16="http://schemas.microsoft.com/office/drawing/2014/main" id="{F48B38C2-EBBD-468B-ACBC-922B3A2267FC}"/>
            </a:ext>
          </a:extLst>
        </xdr:cNvPr>
        <xdr:cNvSpPr txBox="1">
          <a:spLocks noChangeArrowheads="1"/>
        </xdr:cNvSpPr>
      </xdr:nvSpPr>
      <xdr:spPr bwMode="auto">
        <a:xfrm>
          <a:off x="4351020" y="30548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171</xdr:row>
      <xdr:rowOff>83820</xdr:rowOff>
    </xdr:to>
    <xdr:sp macro="" textlink="">
      <xdr:nvSpPr>
        <xdr:cNvPr id="1128" name="Text Box 3">
          <a:extLst>
            <a:ext uri="{FF2B5EF4-FFF2-40B4-BE49-F238E27FC236}">
              <a16:creationId xmlns:a16="http://schemas.microsoft.com/office/drawing/2014/main" id="{7DD6D5DF-037C-4930-8EC8-FC70D3195128}"/>
            </a:ext>
          </a:extLst>
        </xdr:cNvPr>
        <xdr:cNvSpPr txBox="1">
          <a:spLocks noChangeArrowheads="1"/>
        </xdr:cNvSpPr>
      </xdr:nvSpPr>
      <xdr:spPr bwMode="auto">
        <a:xfrm>
          <a:off x="4351020" y="30548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171</xdr:row>
      <xdr:rowOff>83820</xdr:rowOff>
    </xdr:to>
    <xdr:sp macro="" textlink="">
      <xdr:nvSpPr>
        <xdr:cNvPr id="1129" name="Text Box 4">
          <a:extLst>
            <a:ext uri="{FF2B5EF4-FFF2-40B4-BE49-F238E27FC236}">
              <a16:creationId xmlns:a16="http://schemas.microsoft.com/office/drawing/2014/main" id="{34EEB275-EA18-4AB1-884A-98FD1290B494}"/>
            </a:ext>
          </a:extLst>
        </xdr:cNvPr>
        <xdr:cNvSpPr txBox="1">
          <a:spLocks noChangeArrowheads="1"/>
        </xdr:cNvSpPr>
      </xdr:nvSpPr>
      <xdr:spPr bwMode="auto">
        <a:xfrm>
          <a:off x="4351020" y="30548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76200</xdr:colOff>
      <xdr:row>169</xdr:row>
      <xdr:rowOff>7620</xdr:rowOff>
    </xdr:to>
    <xdr:sp macro="" textlink="">
      <xdr:nvSpPr>
        <xdr:cNvPr id="1130" name="Text Box 5">
          <a:extLst>
            <a:ext uri="{FF2B5EF4-FFF2-40B4-BE49-F238E27FC236}">
              <a16:creationId xmlns:a16="http://schemas.microsoft.com/office/drawing/2014/main" id="{330E7438-4789-4C78-AF19-CCDAF1FB5DA0}"/>
            </a:ext>
          </a:extLst>
        </xdr:cNvPr>
        <xdr:cNvSpPr txBox="1">
          <a:spLocks noChangeArrowheads="1"/>
        </xdr:cNvSpPr>
      </xdr:nvSpPr>
      <xdr:spPr bwMode="auto">
        <a:xfrm>
          <a:off x="4351020" y="30548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171</xdr:row>
      <xdr:rowOff>83820</xdr:rowOff>
    </xdr:to>
    <xdr:sp macro="" textlink="">
      <xdr:nvSpPr>
        <xdr:cNvPr id="1131" name="Text Box 6">
          <a:extLst>
            <a:ext uri="{FF2B5EF4-FFF2-40B4-BE49-F238E27FC236}">
              <a16:creationId xmlns:a16="http://schemas.microsoft.com/office/drawing/2014/main" id="{524F22F8-106B-49C6-A173-8DB0487740EF}"/>
            </a:ext>
          </a:extLst>
        </xdr:cNvPr>
        <xdr:cNvSpPr txBox="1">
          <a:spLocks noChangeArrowheads="1"/>
        </xdr:cNvSpPr>
      </xdr:nvSpPr>
      <xdr:spPr bwMode="auto">
        <a:xfrm>
          <a:off x="4351020" y="30548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171</xdr:row>
      <xdr:rowOff>83820</xdr:rowOff>
    </xdr:to>
    <xdr:sp macro="" textlink="">
      <xdr:nvSpPr>
        <xdr:cNvPr id="1132" name="Text Box 7">
          <a:extLst>
            <a:ext uri="{FF2B5EF4-FFF2-40B4-BE49-F238E27FC236}">
              <a16:creationId xmlns:a16="http://schemas.microsoft.com/office/drawing/2014/main" id="{A17B0E1A-5A39-4870-9927-CC15C891D8A2}"/>
            </a:ext>
          </a:extLst>
        </xdr:cNvPr>
        <xdr:cNvSpPr txBox="1">
          <a:spLocks noChangeArrowheads="1"/>
        </xdr:cNvSpPr>
      </xdr:nvSpPr>
      <xdr:spPr bwMode="auto">
        <a:xfrm>
          <a:off x="4351020" y="30548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171</xdr:row>
      <xdr:rowOff>83820</xdr:rowOff>
    </xdr:to>
    <xdr:sp macro="" textlink="">
      <xdr:nvSpPr>
        <xdr:cNvPr id="1133" name="Text Box 3">
          <a:extLst>
            <a:ext uri="{FF2B5EF4-FFF2-40B4-BE49-F238E27FC236}">
              <a16:creationId xmlns:a16="http://schemas.microsoft.com/office/drawing/2014/main" id="{C58C2523-6116-48D8-97C8-69107A88B659}"/>
            </a:ext>
          </a:extLst>
        </xdr:cNvPr>
        <xdr:cNvSpPr txBox="1">
          <a:spLocks noChangeArrowheads="1"/>
        </xdr:cNvSpPr>
      </xdr:nvSpPr>
      <xdr:spPr bwMode="auto">
        <a:xfrm>
          <a:off x="4351020" y="30548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171</xdr:row>
      <xdr:rowOff>83820</xdr:rowOff>
    </xdr:to>
    <xdr:sp macro="" textlink="">
      <xdr:nvSpPr>
        <xdr:cNvPr id="1134" name="Text Box 4">
          <a:extLst>
            <a:ext uri="{FF2B5EF4-FFF2-40B4-BE49-F238E27FC236}">
              <a16:creationId xmlns:a16="http://schemas.microsoft.com/office/drawing/2014/main" id="{0F53B31F-16B3-4D8B-A3D0-B102FB7F24F9}"/>
            </a:ext>
          </a:extLst>
        </xdr:cNvPr>
        <xdr:cNvSpPr txBox="1">
          <a:spLocks noChangeArrowheads="1"/>
        </xdr:cNvSpPr>
      </xdr:nvSpPr>
      <xdr:spPr bwMode="auto">
        <a:xfrm>
          <a:off x="4351020" y="30548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76200</xdr:colOff>
      <xdr:row>171</xdr:row>
      <xdr:rowOff>83820</xdr:rowOff>
    </xdr:to>
    <xdr:sp macro="" textlink="">
      <xdr:nvSpPr>
        <xdr:cNvPr id="1135" name="Text Box 5">
          <a:extLst>
            <a:ext uri="{FF2B5EF4-FFF2-40B4-BE49-F238E27FC236}">
              <a16:creationId xmlns:a16="http://schemas.microsoft.com/office/drawing/2014/main" id="{40D5FE41-D05A-40C5-A75E-CED5A6558AA0}"/>
            </a:ext>
          </a:extLst>
        </xdr:cNvPr>
        <xdr:cNvSpPr txBox="1">
          <a:spLocks noChangeArrowheads="1"/>
        </xdr:cNvSpPr>
      </xdr:nvSpPr>
      <xdr:spPr bwMode="auto">
        <a:xfrm>
          <a:off x="4351020" y="30548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76200</xdr:colOff>
      <xdr:row>169</xdr:row>
      <xdr:rowOff>7620</xdr:rowOff>
    </xdr:to>
    <xdr:sp macro="" textlink="">
      <xdr:nvSpPr>
        <xdr:cNvPr id="1136" name="Text Box 6">
          <a:extLst>
            <a:ext uri="{FF2B5EF4-FFF2-40B4-BE49-F238E27FC236}">
              <a16:creationId xmlns:a16="http://schemas.microsoft.com/office/drawing/2014/main" id="{E0038E71-AD96-45F3-B7D6-B19C475AD901}"/>
            </a:ext>
          </a:extLst>
        </xdr:cNvPr>
        <xdr:cNvSpPr txBox="1">
          <a:spLocks noChangeArrowheads="1"/>
        </xdr:cNvSpPr>
      </xdr:nvSpPr>
      <xdr:spPr bwMode="auto">
        <a:xfrm>
          <a:off x="4351020" y="30548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76200</xdr:colOff>
      <xdr:row>169</xdr:row>
      <xdr:rowOff>7620</xdr:rowOff>
    </xdr:to>
    <xdr:sp macro="" textlink="">
      <xdr:nvSpPr>
        <xdr:cNvPr id="1137" name="Text Box 7">
          <a:extLst>
            <a:ext uri="{FF2B5EF4-FFF2-40B4-BE49-F238E27FC236}">
              <a16:creationId xmlns:a16="http://schemas.microsoft.com/office/drawing/2014/main" id="{FFCD8071-CB90-4B72-8DF8-2A16051266A6}"/>
            </a:ext>
          </a:extLst>
        </xdr:cNvPr>
        <xdr:cNvSpPr txBox="1">
          <a:spLocks noChangeArrowheads="1"/>
        </xdr:cNvSpPr>
      </xdr:nvSpPr>
      <xdr:spPr bwMode="auto">
        <a:xfrm>
          <a:off x="4351020" y="30548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156</xdr:row>
      <xdr:rowOff>0</xdr:rowOff>
    </xdr:from>
    <xdr:ext cx="76200" cy="236220"/>
    <xdr:sp macro="" textlink="">
      <xdr:nvSpPr>
        <xdr:cNvPr id="1138" name="Text Box 3">
          <a:extLst>
            <a:ext uri="{FF2B5EF4-FFF2-40B4-BE49-F238E27FC236}">
              <a16:creationId xmlns:a16="http://schemas.microsoft.com/office/drawing/2014/main" id="{330F5E81-6E3C-4A36-B69D-19110F33FAC4}"/>
            </a:ext>
          </a:extLst>
        </xdr:cNvPr>
        <xdr:cNvSpPr txBox="1">
          <a:spLocks noChangeArrowheads="1"/>
        </xdr:cNvSpPr>
      </xdr:nvSpPr>
      <xdr:spPr bwMode="auto">
        <a:xfrm>
          <a:off x="5783580" y="2894838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76200" cy="236220"/>
    <xdr:sp macro="" textlink="">
      <xdr:nvSpPr>
        <xdr:cNvPr id="1139" name="Text Box 4">
          <a:extLst>
            <a:ext uri="{FF2B5EF4-FFF2-40B4-BE49-F238E27FC236}">
              <a16:creationId xmlns:a16="http://schemas.microsoft.com/office/drawing/2014/main" id="{DFE7697D-CD61-4C13-B588-21530A7A3936}"/>
            </a:ext>
          </a:extLst>
        </xdr:cNvPr>
        <xdr:cNvSpPr txBox="1">
          <a:spLocks noChangeArrowheads="1"/>
        </xdr:cNvSpPr>
      </xdr:nvSpPr>
      <xdr:spPr bwMode="auto">
        <a:xfrm>
          <a:off x="5783580" y="2894838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76200" cy="236220"/>
    <xdr:sp macro="" textlink="">
      <xdr:nvSpPr>
        <xdr:cNvPr id="1140" name="Text Box 5">
          <a:extLst>
            <a:ext uri="{FF2B5EF4-FFF2-40B4-BE49-F238E27FC236}">
              <a16:creationId xmlns:a16="http://schemas.microsoft.com/office/drawing/2014/main" id="{E2D829A4-6CB0-42EE-882B-6DE1DDC315A6}"/>
            </a:ext>
          </a:extLst>
        </xdr:cNvPr>
        <xdr:cNvSpPr txBox="1">
          <a:spLocks noChangeArrowheads="1"/>
        </xdr:cNvSpPr>
      </xdr:nvSpPr>
      <xdr:spPr bwMode="auto">
        <a:xfrm>
          <a:off x="5783580" y="2894838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76200" cy="236220"/>
    <xdr:sp macro="" textlink="">
      <xdr:nvSpPr>
        <xdr:cNvPr id="1141" name="Text Box 6">
          <a:extLst>
            <a:ext uri="{FF2B5EF4-FFF2-40B4-BE49-F238E27FC236}">
              <a16:creationId xmlns:a16="http://schemas.microsoft.com/office/drawing/2014/main" id="{C36EE5CF-02F4-43CD-9248-6DC8F70497DB}"/>
            </a:ext>
          </a:extLst>
        </xdr:cNvPr>
        <xdr:cNvSpPr txBox="1">
          <a:spLocks noChangeArrowheads="1"/>
        </xdr:cNvSpPr>
      </xdr:nvSpPr>
      <xdr:spPr bwMode="auto">
        <a:xfrm>
          <a:off x="5783580" y="2894838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156</xdr:row>
      <xdr:rowOff>0</xdr:rowOff>
    </xdr:from>
    <xdr:ext cx="76200" cy="236220"/>
    <xdr:sp macro="" textlink="">
      <xdr:nvSpPr>
        <xdr:cNvPr id="1142" name="Text Box 7">
          <a:extLst>
            <a:ext uri="{FF2B5EF4-FFF2-40B4-BE49-F238E27FC236}">
              <a16:creationId xmlns:a16="http://schemas.microsoft.com/office/drawing/2014/main" id="{1F1D6081-8D58-4BCF-BC91-6F51858D0089}"/>
            </a:ext>
          </a:extLst>
        </xdr:cNvPr>
        <xdr:cNvSpPr txBox="1">
          <a:spLocks noChangeArrowheads="1"/>
        </xdr:cNvSpPr>
      </xdr:nvSpPr>
      <xdr:spPr bwMode="auto">
        <a:xfrm>
          <a:off x="5783580" y="2894838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168</xdr:row>
      <xdr:rowOff>0</xdr:rowOff>
    </xdr:from>
    <xdr:ext cx="76200" cy="236220"/>
    <xdr:sp macro="" textlink="">
      <xdr:nvSpPr>
        <xdr:cNvPr id="1143" name="Text Box 3">
          <a:extLst>
            <a:ext uri="{FF2B5EF4-FFF2-40B4-BE49-F238E27FC236}">
              <a16:creationId xmlns:a16="http://schemas.microsoft.com/office/drawing/2014/main" id="{663EF52D-5128-46CF-B424-9FF85A796CF4}"/>
            </a:ext>
          </a:extLst>
        </xdr:cNvPr>
        <xdr:cNvSpPr txBox="1">
          <a:spLocks noChangeArrowheads="1"/>
        </xdr:cNvSpPr>
      </xdr:nvSpPr>
      <xdr:spPr bwMode="auto">
        <a:xfrm>
          <a:off x="5783580" y="2715768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168</xdr:row>
      <xdr:rowOff>0</xdr:rowOff>
    </xdr:from>
    <xdr:ext cx="76200" cy="236220"/>
    <xdr:sp macro="" textlink="">
      <xdr:nvSpPr>
        <xdr:cNvPr id="1144" name="Text Box 4">
          <a:extLst>
            <a:ext uri="{FF2B5EF4-FFF2-40B4-BE49-F238E27FC236}">
              <a16:creationId xmlns:a16="http://schemas.microsoft.com/office/drawing/2014/main" id="{DA2F39F5-43E1-4AE9-B763-10A402065895}"/>
            </a:ext>
          </a:extLst>
        </xdr:cNvPr>
        <xdr:cNvSpPr txBox="1">
          <a:spLocks noChangeArrowheads="1"/>
        </xdr:cNvSpPr>
      </xdr:nvSpPr>
      <xdr:spPr bwMode="auto">
        <a:xfrm>
          <a:off x="5783580" y="2715768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168</xdr:row>
      <xdr:rowOff>0</xdr:rowOff>
    </xdr:from>
    <xdr:ext cx="76200" cy="236220"/>
    <xdr:sp macro="" textlink="">
      <xdr:nvSpPr>
        <xdr:cNvPr id="1145" name="Text Box 5">
          <a:extLst>
            <a:ext uri="{FF2B5EF4-FFF2-40B4-BE49-F238E27FC236}">
              <a16:creationId xmlns:a16="http://schemas.microsoft.com/office/drawing/2014/main" id="{44FCC690-1BCE-4C02-B452-443BC076C9FE}"/>
            </a:ext>
          </a:extLst>
        </xdr:cNvPr>
        <xdr:cNvSpPr txBox="1">
          <a:spLocks noChangeArrowheads="1"/>
        </xdr:cNvSpPr>
      </xdr:nvSpPr>
      <xdr:spPr bwMode="auto">
        <a:xfrm>
          <a:off x="5783580" y="2715768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168</xdr:row>
      <xdr:rowOff>0</xdr:rowOff>
    </xdr:from>
    <xdr:ext cx="76200" cy="236220"/>
    <xdr:sp macro="" textlink="">
      <xdr:nvSpPr>
        <xdr:cNvPr id="1146" name="Text Box 6">
          <a:extLst>
            <a:ext uri="{FF2B5EF4-FFF2-40B4-BE49-F238E27FC236}">
              <a16:creationId xmlns:a16="http://schemas.microsoft.com/office/drawing/2014/main" id="{D86E2A46-A35D-45C8-A5B7-A17E70F70EB6}"/>
            </a:ext>
          </a:extLst>
        </xdr:cNvPr>
        <xdr:cNvSpPr txBox="1">
          <a:spLocks noChangeArrowheads="1"/>
        </xdr:cNvSpPr>
      </xdr:nvSpPr>
      <xdr:spPr bwMode="auto">
        <a:xfrm>
          <a:off x="5783580" y="2715768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168</xdr:row>
      <xdr:rowOff>0</xdr:rowOff>
    </xdr:from>
    <xdr:ext cx="76200" cy="236220"/>
    <xdr:sp macro="" textlink="">
      <xdr:nvSpPr>
        <xdr:cNvPr id="1147" name="Text Box 7">
          <a:extLst>
            <a:ext uri="{FF2B5EF4-FFF2-40B4-BE49-F238E27FC236}">
              <a16:creationId xmlns:a16="http://schemas.microsoft.com/office/drawing/2014/main" id="{B793D089-C3A3-46E3-AE46-867A1201A3B8}"/>
            </a:ext>
          </a:extLst>
        </xdr:cNvPr>
        <xdr:cNvSpPr txBox="1">
          <a:spLocks noChangeArrowheads="1"/>
        </xdr:cNvSpPr>
      </xdr:nvSpPr>
      <xdr:spPr bwMode="auto">
        <a:xfrm>
          <a:off x="5783580" y="2715768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P274"/>
  <sheetViews>
    <sheetView tabSelected="1" view="pageBreakPreview" zoomScale="90" zoomScaleNormal="90" zoomScaleSheetLayoutView="90" workbookViewId="0">
      <selection activeCell="J16" sqref="J16"/>
    </sheetView>
  </sheetViews>
  <sheetFormatPr defaultColWidth="9" defaultRowHeight="12" x14ac:dyDescent="0.25"/>
  <cols>
    <col min="1" max="1" width="3" style="24" bestFit="1" customWidth="1"/>
    <col min="2" max="2" width="13.28515625" style="24" customWidth="1"/>
    <col min="3" max="3" width="68" style="27" customWidth="1"/>
    <col min="4" max="4" width="12.28515625" style="27" customWidth="1"/>
    <col min="5" max="7" width="9.42578125" style="27" customWidth="1"/>
    <col min="8" max="8" width="10" style="27" customWidth="1"/>
    <col min="9" max="9" width="9.42578125" style="27" customWidth="1"/>
    <col min="10" max="10" width="10" style="27" customWidth="1"/>
    <col min="11" max="12" width="9.42578125" style="27" customWidth="1"/>
    <col min="13" max="13" width="11.42578125" style="27" customWidth="1"/>
    <col min="14" max="15" width="6.28515625" style="27" customWidth="1"/>
    <col min="16" max="16384" width="9" style="27"/>
  </cols>
  <sheetData>
    <row r="2" spans="1:13" s="24" customFormat="1" ht="22.15" customHeight="1" x14ac:dyDescent="0.25">
      <c r="A2" s="203" t="s">
        <v>214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</row>
    <row r="3" spans="1:13" s="24" customFormat="1" ht="16.5" customHeight="1" x14ac:dyDescent="0.25">
      <c r="A3" s="142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13" s="24" customFormat="1" ht="16.5" customHeight="1" x14ac:dyDescent="0.25">
      <c r="A4" s="201" t="s">
        <v>215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</row>
    <row r="5" spans="1:13" s="24" customFormat="1" x14ac:dyDescent="0.25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</row>
    <row r="6" spans="1:13" x14ac:dyDescent="0.25">
      <c r="A6" s="141"/>
      <c r="B6" s="141"/>
      <c r="C6" s="26"/>
      <c r="I6" s="28" t="s">
        <v>133</v>
      </c>
      <c r="J6" s="29">
        <f>M270</f>
        <v>0</v>
      </c>
      <c r="K6" s="30" t="s">
        <v>50</v>
      </c>
      <c r="M6" s="25"/>
    </row>
    <row r="7" spans="1:13" ht="12.75" thickBot="1" x14ac:dyDescent="0.3">
      <c r="A7" s="32"/>
      <c r="B7" s="32"/>
      <c r="C7" s="31"/>
      <c r="M7" s="25"/>
    </row>
    <row r="8" spans="1:13" ht="30.75" customHeight="1" x14ac:dyDescent="0.25">
      <c r="A8" s="205" t="s">
        <v>3</v>
      </c>
      <c r="B8" s="207" t="s">
        <v>4</v>
      </c>
      <c r="C8" s="209" t="s">
        <v>5</v>
      </c>
      <c r="D8" s="209" t="s">
        <v>212</v>
      </c>
      <c r="E8" s="207" t="s">
        <v>6</v>
      </c>
      <c r="F8" s="207"/>
      <c r="G8" s="209" t="s">
        <v>7</v>
      </c>
      <c r="H8" s="209"/>
      <c r="I8" s="209" t="s">
        <v>8</v>
      </c>
      <c r="J8" s="209"/>
      <c r="K8" s="207" t="s">
        <v>9</v>
      </c>
      <c r="L8" s="207"/>
      <c r="M8" s="211" t="s">
        <v>10</v>
      </c>
    </row>
    <row r="9" spans="1:13" ht="30.75" customHeight="1" x14ac:dyDescent="0.25">
      <c r="A9" s="206"/>
      <c r="B9" s="208"/>
      <c r="C9" s="210"/>
      <c r="D9" s="210"/>
      <c r="E9" s="144" t="s">
        <v>11</v>
      </c>
      <c r="F9" s="144" t="s">
        <v>12</v>
      </c>
      <c r="G9" s="144" t="s">
        <v>11</v>
      </c>
      <c r="H9" s="144" t="s">
        <v>12</v>
      </c>
      <c r="I9" s="144" t="s">
        <v>11</v>
      </c>
      <c r="J9" s="144" t="s">
        <v>12</v>
      </c>
      <c r="K9" s="144" t="s">
        <v>11</v>
      </c>
      <c r="L9" s="144" t="s">
        <v>12</v>
      </c>
      <c r="M9" s="212"/>
    </row>
    <row r="10" spans="1:13" x14ac:dyDescent="0.25">
      <c r="A10" s="33">
        <v>1</v>
      </c>
      <c r="B10" s="34">
        <v>2</v>
      </c>
      <c r="C10" s="34">
        <v>3</v>
      </c>
      <c r="D10" s="35">
        <v>4</v>
      </c>
      <c r="E10" s="35">
        <v>5</v>
      </c>
      <c r="F10" s="35">
        <v>6</v>
      </c>
      <c r="G10" s="35">
        <v>7</v>
      </c>
      <c r="H10" s="34">
        <v>8</v>
      </c>
      <c r="I10" s="35">
        <v>9</v>
      </c>
      <c r="J10" s="34">
        <v>10</v>
      </c>
      <c r="K10" s="35">
        <v>11</v>
      </c>
      <c r="L10" s="34">
        <v>12</v>
      </c>
      <c r="M10" s="36">
        <v>13</v>
      </c>
    </row>
    <row r="11" spans="1:13" x14ac:dyDescent="0.25">
      <c r="A11" s="37"/>
      <c r="B11" s="38"/>
      <c r="C11" s="144" t="s">
        <v>13</v>
      </c>
      <c r="D11" s="38"/>
      <c r="E11" s="39"/>
      <c r="F11" s="39"/>
      <c r="G11" s="39"/>
      <c r="H11" s="39"/>
      <c r="I11" s="39"/>
      <c r="J11" s="39"/>
      <c r="K11" s="39"/>
      <c r="L11" s="39"/>
      <c r="M11" s="40"/>
    </row>
    <row r="12" spans="1:13" ht="25.5" x14ac:dyDescent="0.25">
      <c r="A12" s="213">
        <v>1</v>
      </c>
      <c r="B12" s="1" t="s">
        <v>153</v>
      </c>
      <c r="C12" s="2" t="s">
        <v>154</v>
      </c>
      <c r="D12" s="3" t="s">
        <v>19</v>
      </c>
      <c r="E12" s="3"/>
      <c r="F12" s="3">
        <v>357.75</v>
      </c>
      <c r="G12" s="4"/>
      <c r="H12" s="4"/>
      <c r="I12" s="4"/>
      <c r="J12" s="4"/>
      <c r="K12" s="4"/>
      <c r="L12" s="4"/>
      <c r="M12" s="22"/>
    </row>
    <row r="13" spans="1:13" ht="12.75" x14ac:dyDescent="0.25">
      <c r="A13" s="214"/>
      <c r="B13" s="3"/>
      <c r="C13" s="5" t="s">
        <v>68</v>
      </c>
      <c r="D13" s="6" t="s">
        <v>44</v>
      </c>
      <c r="E13" s="7">
        <f>60.8/1000</f>
        <v>6.08E-2</v>
      </c>
      <c r="F13" s="4">
        <f>E13*F12</f>
        <v>21.751200000000001</v>
      </c>
      <c r="G13" s="4"/>
      <c r="H13" s="4"/>
      <c r="I13" s="4"/>
      <c r="J13" s="4"/>
      <c r="K13" s="4"/>
      <c r="L13" s="4"/>
      <c r="M13" s="22"/>
    </row>
    <row r="14" spans="1:13" ht="12.75" x14ac:dyDescent="0.25">
      <c r="A14" s="215"/>
      <c r="B14" s="3"/>
      <c r="C14" s="5" t="s">
        <v>155</v>
      </c>
      <c r="D14" s="6" t="s">
        <v>49</v>
      </c>
      <c r="E14" s="4">
        <f>77.5/1000</f>
        <v>7.7499999999999999E-2</v>
      </c>
      <c r="F14" s="4">
        <f>E14*F12</f>
        <v>27.725625000000001</v>
      </c>
      <c r="G14" s="4"/>
      <c r="H14" s="4"/>
      <c r="I14" s="4"/>
      <c r="J14" s="4"/>
      <c r="K14" s="4"/>
      <c r="L14" s="4"/>
      <c r="M14" s="22"/>
    </row>
    <row r="15" spans="1:13" ht="38.25" x14ac:dyDescent="0.25">
      <c r="A15" s="200">
        <v>2</v>
      </c>
      <c r="B15" s="41" t="s">
        <v>161</v>
      </c>
      <c r="C15" s="42" t="s">
        <v>165</v>
      </c>
      <c r="D15" s="43" t="s">
        <v>162</v>
      </c>
      <c r="E15" s="44"/>
      <c r="F15" s="45">
        <f>80*0.5*0.2</f>
        <v>8</v>
      </c>
      <c r="G15" s="46"/>
      <c r="H15" s="46"/>
      <c r="I15" s="46"/>
      <c r="J15" s="46"/>
      <c r="K15" s="46"/>
      <c r="L15" s="46"/>
      <c r="M15" s="47"/>
    </row>
    <row r="16" spans="1:13" ht="12.75" x14ac:dyDescent="0.25">
      <c r="A16" s="200"/>
      <c r="B16" s="41"/>
      <c r="C16" s="15" t="s">
        <v>163</v>
      </c>
      <c r="D16" s="44" t="s">
        <v>44</v>
      </c>
      <c r="E16" s="44">
        <v>4.12</v>
      </c>
      <c r="F16" s="44">
        <f>F15*E16</f>
        <v>32.96</v>
      </c>
      <c r="G16" s="46"/>
      <c r="H16" s="46"/>
      <c r="I16" s="46"/>
      <c r="J16" s="46"/>
      <c r="K16" s="46"/>
      <c r="L16" s="46"/>
      <c r="M16" s="47"/>
    </row>
    <row r="17" spans="1:13" ht="12.75" x14ac:dyDescent="0.25">
      <c r="A17" s="200"/>
      <c r="B17" s="41"/>
      <c r="C17" s="15" t="s">
        <v>164</v>
      </c>
      <c r="D17" s="44" t="s">
        <v>49</v>
      </c>
      <c r="E17" s="44">
        <v>2.6</v>
      </c>
      <c r="F17" s="44">
        <f>F15*E17</f>
        <v>20.8</v>
      </c>
      <c r="G17" s="46"/>
      <c r="H17" s="46"/>
      <c r="I17" s="46"/>
      <c r="J17" s="46"/>
      <c r="K17" s="46"/>
      <c r="L17" s="46"/>
      <c r="M17" s="47"/>
    </row>
    <row r="18" spans="1:13" ht="25.5" x14ac:dyDescent="0.25">
      <c r="A18" s="213">
        <v>3</v>
      </c>
      <c r="B18" s="8" t="s">
        <v>156</v>
      </c>
      <c r="C18" s="9" t="s">
        <v>157</v>
      </c>
      <c r="D18" s="3" t="s">
        <v>18</v>
      </c>
      <c r="E18" s="3"/>
      <c r="F18" s="3">
        <f>F12*0.1+F15+F27</f>
        <v>55.774999999999999</v>
      </c>
      <c r="G18" s="4"/>
      <c r="H18" s="4"/>
      <c r="I18" s="4"/>
      <c r="J18" s="4"/>
      <c r="K18" s="4"/>
      <c r="L18" s="4"/>
      <c r="M18" s="22"/>
    </row>
    <row r="19" spans="1:13" ht="12.75" x14ac:dyDescent="0.25">
      <c r="A19" s="215"/>
      <c r="B19" s="10"/>
      <c r="C19" s="5" t="s">
        <v>68</v>
      </c>
      <c r="D19" s="6" t="s">
        <v>44</v>
      </c>
      <c r="E19" s="11">
        <v>0.6</v>
      </c>
      <c r="F19" s="4">
        <f>F18*E19</f>
        <v>33.464999999999996</v>
      </c>
      <c r="G19" s="12"/>
      <c r="H19" s="4"/>
      <c r="I19" s="12"/>
      <c r="J19" s="4"/>
      <c r="K19" s="4"/>
      <c r="L19" s="4"/>
      <c r="M19" s="22"/>
    </row>
    <row r="20" spans="1:13" ht="25.5" x14ac:dyDescent="0.25">
      <c r="A20" s="213">
        <v>4</v>
      </c>
      <c r="B20" s="10" t="s">
        <v>158</v>
      </c>
      <c r="C20" s="13" t="s">
        <v>159</v>
      </c>
      <c r="D20" s="3" t="s">
        <v>16</v>
      </c>
      <c r="E20" s="14"/>
      <c r="F20" s="3">
        <f>F18*1.2</f>
        <v>66.929999999999993</v>
      </c>
      <c r="G20" s="12"/>
      <c r="H20" s="4"/>
      <c r="I20" s="12"/>
      <c r="J20" s="4"/>
      <c r="K20" s="12"/>
      <c r="L20" s="4"/>
      <c r="M20" s="22"/>
    </row>
    <row r="21" spans="1:13" ht="12.75" x14ac:dyDescent="0.25">
      <c r="A21" s="215"/>
      <c r="B21" s="10" t="s">
        <v>61</v>
      </c>
      <c r="C21" s="5" t="s">
        <v>68</v>
      </c>
      <c r="D21" s="6" t="s">
        <v>44</v>
      </c>
      <c r="E21" s="11">
        <v>0.53</v>
      </c>
      <c r="F21" s="4">
        <f>F20*E21</f>
        <v>35.472899999999996</v>
      </c>
      <c r="G21" s="12"/>
      <c r="H21" s="4"/>
      <c r="I21" s="12"/>
      <c r="J21" s="4"/>
      <c r="K21" s="12"/>
      <c r="L21" s="4"/>
      <c r="M21" s="22"/>
    </row>
    <row r="22" spans="1:13" ht="12.75" x14ac:dyDescent="0.25">
      <c r="A22" s="21">
        <v>5</v>
      </c>
      <c r="B22" s="3"/>
      <c r="C22" s="9" t="s">
        <v>160</v>
      </c>
      <c r="D22" s="3" t="s">
        <v>16</v>
      </c>
      <c r="E22" s="14"/>
      <c r="F22" s="3">
        <f>F20</f>
        <v>66.929999999999993</v>
      </c>
      <c r="G22" s="12"/>
      <c r="H22" s="4"/>
      <c r="I22" s="12"/>
      <c r="J22" s="4"/>
      <c r="K22" s="6"/>
      <c r="L22" s="6"/>
      <c r="M22" s="23"/>
    </row>
    <row r="23" spans="1:13" x14ac:dyDescent="0.25">
      <c r="A23" s="194">
        <v>6</v>
      </c>
      <c r="B23" s="48"/>
      <c r="C23" s="49" t="s">
        <v>14</v>
      </c>
      <c r="D23" s="144" t="s">
        <v>19</v>
      </c>
      <c r="E23" s="50"/>
      <c r="F23" s="50">
        <f>31.2*16.2</f>
        <v>505.43999999999994</v>
      </c>
      <c r="G23" s="51"/>
      <c r="H23" s="51"/>
      <c r="I23" s="51"/>
      <c r="J23" s="51"/>
      <c r="K23" s="51"/>
      <c r="L23" s="51"/>
      <c r="M23" s="52"/>
    </row>
    <row r="24" spans="1:13" x14ac:dyDescent="0.25">
      <c r="A24" s="194"/>
      <c r="B24" s="48"/>
      <c r="C24" s="53"/>
      <c r="D24" s="54" t="s">
        <v>36</v>
      </c>
      <c r="E24" s="51"/>
      <c r="F24" s="50">
        <f>F23/1000</f>
        <v>0.50543999999999989</v>
      </c>
      <c r="G24" s="51"/>
      <c r="H24" s="51"/>
      <c r="I24" s="51"/>
      <c r="J24" s="51"/>
      <c r="K24" s="51"/>
      <c r="L24" s="51"/>
      <c r="M24" s="52"/>
    </row>
    <row r="25" spans="1:13" x14ac:dyDescent="0.25">
      <c r="A25" s="194"/>
      <c r="B25" s="144"/>
      <c r="C25" s="53" t="s">
        <v>60</v>
      </c>
      <c r="D25" s="54" t="s">
        <v>49</v>
      </c>
      <c r="E25" s="51">
        <v>0.9</v>
      </c>
      <c r="F25" s="51">
        <f>F24*E25</f>
        <v>0.45489599999999991</v>
      </c>
      <c r="G25" s="51"/>
      <c r="H25" s="51"/>
      <c r="I25" s="51"/>
      <c r="J25" s="51"/>
      <c r="K25" s="55"/>
      <c r="L25" s="51"/>
      <c r="M25" s="52"/>
    </row>
    <row r="26" spans="1:13" x14ac:dyDescent="0.25">
      <c r="A26" s="194"/>
      <c r="B26" s="144"/>
      <c r="C26" s="53" t="s">
        <v>48</v>
      </c>
      <c r="D26" s="54" t="s">
        <v>49</v>
      </c>
      <c r="E26" s="51">
        <v>0.45</v>
      </c>
      <c r="F26" s="51">
        <f>F24*E26</f>
        <v>0.22744799999999996</v>
      </c>
      <c r="G26" s="51"/>
      <c r="H26" s="51"/>
      <c r="I26" s="51"/>
      <c r="J26" s="51"/>
      <c r="K26" s="55"/>
      <c r="L26" s="51"/>
      <c r="M26" s="52"/>
    </row>
    <row r="27" spans="1:13" ht="21" customHeight="1" x14ac:dyDescent="0.25">
      <c r="A27" s="194">
        <v>7</v>
      </c>
      <c r="B27" s="56" t="s">
        <v>0</v>
      </c>
      <c r="C27" s="57" t="s">
        <v>41</v>
      </c>
      <c r="D27" s="54" t="s">
        <v>18</v>
      </c>
      <c r="E27" s="58"/>
      <c r="F27" s="50">
        <v>12</v>
      </c>
      <c r="G27" s="58"/>
      <c r="H27" s="58"/>
      <c r="I27" s="58"/>
      <c r="J27" s="58"/>
      <c r="K27" s="58"/>
      <c r="L27" s="58"/>
      <c r="M27" s="59"/>
    </row>
    <row r="28" spans="1:13" x14ac:dyDescent="0.25">
      <c r="A28" s="194"/>
      <c r="B28" s="60"/>
      <c r="C28" s="53"/>
      <c r="D28" s="61" t="s">
        <v>37</v>
      </c>
      <c r="E28" s="62"/>
      <c r="F28" s="63">
        <f>F27/100</f>
        <v>0.12</v>
      </c>
      <c r="G28" s="58"/>
      <c r="H28" s="58"/>
      <c r="I28" s="58"/>
      <c r="J28" s="58"/>
      <c r="K28" s="58"/>
      <c r="L28" s="58"/>
      <c r="M28" s="59"/>
    </row>
    <row r="29" spans="1:13" x14ac:dyDescent="0.25">
      <c r="A29" s="194"/>
      <c r="B29" s="64"/>
      <c r="C29" s="65" t="s">
        <v>43</v>
      </c>
      <c r="D29" s="54" t="s">
        <v>44</v>
      </c>
      <c r="E29" s="51">
        <v>206</v>
      </c>
      <c r="F29" s="51">
        <f>F28*E29</f>
        <v>24.72</v>
      </c>
      <c r="G29" s="51"/>
      <c r="H29" s="51"/>
      <c r="I29" s="51"/>
      <c r="J29" s="51"/>
      <c r="K29" s="51"/>
      <c r="L29" s="51"/>
      <c r="M29" s="52"/>
    </row>
    <row r="30" spans="1:13" x14ac:dyDescent="0.25">
      <c r="A30" s="194">
        <v>8</v>
      </c>
      <c r="B30" s="66" t="s">
        <v>66</v>
      </c>
      <c r="C30" s="49" t="s">
        <v>175</v>
      </c>
      <c r="D30" s="54" t="s">
        <v>22</v>
      </c>
      <c r="E30" s="51"/>
      <c r="F30" s="50">
        <f>22+8</f>
        <v>30</v>
      </c>
      <c r="G30" s="51"/>
      <c r="H30" s="51"/>
      <c r="I30" s="51"/>
      <c r="J30" s="51"/>
      <c r="K30" s="51"/>
      <c r="L30" s="51"/>
      <c r="M30" s="52"/>
    </row>
    <row r="31" spans="1:13" x14ac:dyDescent="0.25">
      <c r="A31" s="194"/>
      <c r="B31" s="66" t="s">
        <v>67</v>
      </c>
      <c r="C31" s="53"/>
      <c r="D31" s="54" t="s">
        <v>38</v>
      </c>
      <c r="E31" s="51"/>
      <c r="F31" s="50">
        <f>F30/100</f>
        <v>0.3</v>
      </c>
      <c r="G31" s="51"/>
      <c r="H31" s="51"/>
      <c r="I31" s="51"/>
      <c r="J31" s="51"/>
      <c r="K31" s="51"/>
      <c r="L31" s="51"/>
      <c r="M31" s="52"/>
    </row>
    <row r="32" spans="1:13" x14ac:dyDescent="0.25">
      <c r="A32" s="194"/>
      <c r="B32" s="48"/>
      <c r="C32" s="67" t="s">
        <v>68</v>
      </c>
      <c r="D32" s="54" t="s">
        <v>44</v>
      </c>
      <c r="E32" s="51">
        <v>35.64</v>
      </c>
      <c r="F32" s="51">
        <f>F31*E32</f>
        <v>10.692</v>
      </c>
      <c r="G32" s="51"/>
      <c r="H32" s="51"/>
      <c r="I32" s="51"/>
      <c r="J32" s="51"/>
      <c r="K32" s="51"/>
      <c r="L32" s="51"/>
      <c r="M32" s="52"/>
    </row>
    <row r="33" spans="1:13" s="72" customFormat="1" x14ac:dyDescent="0.2">
      <c r="A33" s="194"/>
      <c r="B33" s="68"/>
      <c r="C33" s="67" t="s">
        <v>72</v>
      </c>
      <c r="D33" s="69" t="s">
        <v>49</v>
      </c>
      <c r="E33" s="70">
        <v>10.74</v>
      </c>
      <c r="F33" s="70">
        <f>E33*F31</f>
        <v>3.222</v>
      </c>
      <c r="G33" s="55"/>
      <c r="H33" s="55"/>
      <c r="I33" s="70"/>
      <c r="J33" s="55"/>
      <c r="K33" s="70"/>
      <c r="L33" s="55"/>
      <c r="M33" s="71"/>
    </row>
    <row r="34" spans="1:13" s="72" customFormat="1" x14ac:dyDescent="0.2">
      <c r="A34" s="194"/>
      <c r="B34" s="68"/>
      <c r="C34" s="67" t="s">
        <v>69</v>
      </c>
      <c r="D34" s="69" t="s">
        <v>49</v>
      </c>
      <c r="E34" s="70">
        <v>10.93</v>
      </c>
      <c r="F34" s="70">
        <f>E34*F31</f>
        <v>3.2789999999999999</v>
      </c>
      <c r="G34" s="55"/>
      <c r="H34" s="55"/>
      <c r="I34" s="70"/>
      <c r="J34" s="55"/>
      <c r="K34" s="70"/>
      <c r="L34" s="55"/>
      <c r="M34" s="71"/>
    </row>
    <row r="35" spans="1:13" s="72" customFormat="1" x14ac:dyDescent="0.2">
      <c r="A35" s="194"/>
      <c r="B35" s="68"/>
      <c r="C35" s="67" t="s">
        <v>73</v>
      </c>
      <c r="D35" s="69" t="s">
        <v>49</v>
      </c>
      <c r="E35" s="70">
        <v>0.81</v>
      </c>
      <c r="F35" s="70">
        <f>E35*F31</f>
        <v>0.24299999999999999</v>
      </c>
      <c r="G35" s="55"/>
      <c r="H35" s="55"/>
      <c r="I35" s="70"/>
      <c r="J35" s="55"/>
      <c r="K35" s="70"/>
      <c r="L35" s="55"/>
      <c r="M35" s="71"/>
    </row>
    <row r="36" spans="1:13" x14ac:dyDescent="0.25">
      <c r="A36" s="194"/>
      <c r="B36" s="48"/>
      <c r="C36" s="53" t="s">
        <v>176</v>
      </c>
      <c r="D36" s="54" t="s">
        <v>17</v>
      </c>
      <c r="E36" s="51">
        <f>5.35*1.05</f>
        <v>5.6174999999999997</v>
      </c>
      <c r="F36" s="51">
        <f>E36*F30</f>
        <v>168.52499999999998</v>
      </c>
      <c r="G36" s="51"/>
      <c r="H36" s="51"/>
      <c r="I36" s="51"/>
      <c r="J36" s="51"/>
      <c r="K36" s="51"/>
      <c r="L36" s="51"/>
      <c r="M36" s="52"/>
    </row>
    <row r="37" spans="1:13" x14ac:dyDescent="0.25">
      <c r="A37" s="194"/>
      <c r="B37" s="48"/>
      <c r="C37" s="53" t="s">
        <v>135</v>
      </c>
      <c r="D37" s="54" t="s">
        <v>19</v>
      </c>
      <c r="E37" s="51" t="s">
        <v>74</v>
      </c>
      <c r="F37" s="51">
        <f>0.04*1.05*F30</f>
        <v>1.26</v>
      </c>
      <c r="G37" s="51"/>
      <c r="H37" s="51"/>
      <c r="I37" s="51"/>
      <c r="J37" s="51"/>
      <c r="K37" s="51"/>
      <c r="L37" s="51"/>
      <c r="M37" s="52"/>
    </row>
    <row r="38" spans="1:13" x14ac:dyDescent="0.25">
      <c r="A38" s="194"/>
      <c r="B38" s="48"/>
      <c r="C38" s="53" t="s">
        <v>70</v>
      </c>
      <c r="D38" s="54" t="s">
        <v>17</v>
      </c>
      <c r="E38" s="51">
        <v>55.9</v>
      </c>
      <c r="F38" s="51">
        <f>F31*E38</f>
        <v>16.77</v>
      </c>
      <c r="G38" s="51"/>
      <c r="H38" s="51"/>
      <c r="I38" s="51"/>
      <c r="J38" s="51"/>
      <c r="K38" s="51"/>
      <c r="L38" s="51"/>
      <c r="M38" s="52"/>
    </row>
    <row r="39" spans="1:13" x14ac:dyDescent="0.25">
      <c r="A39" s="194">
        <v>9</v>
      </c>
      <c r="B39" s="76" t="s">
        <v>76</v>
      </c>
      <c r="C39" s="38" t="s">
        <v>71</v>
      </c>
      <c r="D39" s="54" t="s">
        <v>16</v>
      </c>
      <c r="E39" s="51"/>
      <c r="F39" s="77">
        <f>F36*9.02/1000</f>
        <v>1.5200954999999996</v>
      </c>
      <c r="G39" s="51"/>
      <c r="H39" s="51"/>
      <c r="I39" s="51"/>
      <c r="J39" s="51"/>
      <c r="K39" s="51"/>
      <c r="L39" s="51"/>
      <c r="M39" s="52"/>
    </row>
    <row r="40" spans="1:13" x14ac:dyDescent="0.25">
      <c r="A40" s="194"/>
      <c r="B40" s="78"/>
      <c r="C40" s="53" t="s">
        <v>62</v>
      </c>
      <c r="D40" s="54" t="s">
        <v>44</v>
      </c>
      <c r="E40" s="51">
        <v>64</v>
      </c>
      <c r="F40" s="51">
        <f>E40*F39</f>
        <v>97.286111999999974</v>
      </c>
      <c r="G40" s="51"/>
      <c r="H40" s="51"/>
      <c r="I40" s="51"/>
      <c r="J40" s="79"/>
      <c r="K40" s="51"/>
      <c r="L40" s="51"/>
      <c r="M40" s="80"/>
    </row>
    <row r="41" spans="1:13" x14ac:dyDescent="0.25">
      <c r="A41" s="194"/>
      <c r="B41" s="78"/>
      <c r="C41" s="81" t="s">
        <v>15</v>
      </c>
      <c r="D41" s="54" t="s">
        <v>50</v>
      </c>
      <c r="E41" s="51">
        <v>1.3</v>
      </c>
      <c r="F41" s="51">
        <f>E41*F39</f>
        <v>1.9761241499999995</v>
      </c>
      <c r="G41" s="51"/>
      <c r="H41" s="51"/>
      <c r="I41" s="51"/>
      <c r="J41" s="51"/>
      <c r="K41" s="82"/>
      <c r="L41" s="51"/>
      <c r="M41" s="80"/>
    </row>
    <row r="42" spans="1:13" x14ac:dyDescent="0.25">
      <c r="A42" s="194"/>
      <c r="B42" s="78"/>
      <c r="C42" s="84" t="s">
        <v>20</v>
      </c>
      <c r="D42" s="54" t="s">
        <v>50</v>
      </c>
      <c r="E42" s="51">
        <v>2</v>
      </c>
      <c r="F42" s="51">
        <f>E42*F39</f>
        <v>3.0401909999999992</v>
      </c>
      <c r="G42" s="51"/>
      <c r="H42" s="83"/>
      <c r="I42" s="51"/>
      <c r="J42" s="51"/>
      <c r="K42" s="82"/>
      <c r="L42" s="51"/>
      <c r="M42" s="80"/>
    </row>
    <row r="43" spans="1:13" ht="24" x14ac:dyDescent="0.25">
      <c r="A43" s="194">
        <v>10</v>
      </c>
      <c r="B43" s="85" t="s">
        <v>64</v>
      </c>
      <c r="C43" s="86" t="s">
        <v>63</v>
      </c>
      <c r="D43" s="54" t="s">
        <v>18</v>
      </c>
      <c r="E43" s="51"/>
      <c r="F43" s="50">
        <v>12</v>
      </c>
      <c r="G43" s="51"/>
      <c r="H43" s="51"/>
      <c r="I43" s="51"/>
      <c r="J43" s="51"/>
      <c r="K43" s="51"/>
      <c r="L43" s="51"/>
      <c r="M43" s="52"/>
    </row>
    <row r="44" spans="1:13" x14ac:dyDescent="0.25">
      <c r="A44" s="194"/>
      <c r="B44" s="87"/>
      <c r="C44" s="88"/>
      <c r="D44" s="61" t="s">
        <v>37</v>
      </c>
      <c r="E44" s="62"/>
      <c r="F44" s="63">
        <f>F43/100</f>
        <v>0.12</v>
      </c>
      <c r="G44" s="51"/>
      <c r="H44" s="51"/>
      <c r="I44" s="51"/>
      <c r="J44" s="51"/>
      <c r="K44" s="51"/>
      <c r="L44" s="51"/>
      <c r="M44" s="52"/>
    </row>
    <row r="45" spans="1:13" x14ac:dyDescent="0.25">
      <c r="A45" s="194"/>
      <c r="B45" s="144"/>
      <c r="C45" s="65" t="s">
        <v>43</v>
      </c>
      <c r="D45" s="54" t="s">
        <v>44</v>
      </c>
      <c r="E45" s="51">
        <v>1110</v>
      </c>
      <c r="F45" s="51">
        <f>F44*E45</f>
        <v>133.19999999999999</v>
      </c>
      <c r="G45" s="51"/>
      <c r="H45" s="51"/>
      <c r="I45" s="51"/>
      <c r="J45" s="51"/>
      <c r="K45" s="51"/>
      <c r="L45" s="51"/>
      <c r="M45" s="52"/>
    </row>
    <row r="46" spans="1:13" x14ac:dyDescent="0.25">
      <c r="A46" s="194"/>
      <c r="B46" s="64"/>
      <c r="C46" s="65" t="s">
        <v>15</v>
      </c>
      <c r="D46" s="54" t="s">
        <v>50</v>
      </c>
      <c r="E46" s="51">
        <v>96</v>
      </c>
      <c r="F46" s="51">
        <f>F44*E46</f>
        <v>11.52</v>
      </c>
      <c r="G46" s="51"/>
      <c r="H46" s="51"/>
      <c r="I46" s="51"/>
      <c r="J46" s="51"/>
      <c r="K46" s="51"/>
      <c r="L46" s="51"/>
      <c r="M46" s="52"/>
    </row>
    <row r="47" spans="1:13" x14ac:dyDescent="0.25">
      <c r="A47" s="194"/>
      <c r="B47" s="64"/>
      <c r="C47" s="53" t="s">
        <v>137</v>
      </c>
      <c r="D47" s="54" t="s">
        <v>17</v>
      </c>
      <c r="E47" s="51">
        <v>1.1499999999999999</v>
      </c>
      <c r="F47" s="51">
        <f>E47*432</f>
        <v>496.79999999999995</v>
      </c>
      <c r="G47" s="51"/>
      <c r="H47" s="51"/>
      <c r="I47" s="51"/>
      <c r="J47" s="51"/>
      <c r="K47" s="51"/>
      <c r="L47" s="51"/>
      <c r="M47" s="52"/>
    </row>
    <row r="48" spans="1:13" x14ac:dyDescent="0.25">
      <c r="A48" s="194"/>
      <c r="B48" s="64"/>
      <c r="C48" s="53" t="s">
        <v>136</v>
      </c>
      <c r="D48" s="54" t="s">
        <v>17</v>
      </c>
      <c r="E48" s="51">
        <v>108</v>
      </c>
      <c r="F48" s="51">
        <f>E48*4</f>
        <v>432</v>
      </c>
      <c r="G48" s="51"/>
      <c r="H48" s="51"/>
      <c r="I48" s="51"/>
      <c r="J48" s="51"/>
      <c r="K48" s="51"/>
      <c r="L48" s="51"/>
      <c r="M48" s="52"/>
    </row>
    <row r="49" spans="1:13" x14ac:dyDescent="0.25">
      <c r="A49" s="194"/>
      <c r="B49" s="73"/>
      <c r="C49" s="74" t="s">
        <v>53</v>
      </c>
      <c r="D49" s="75" t="s">
        <v>18</v>
      </c>
      <c r="E49" s="51">
        <v>101.5</v>
      </c>
      <c r="F49" s="51">
        <f>F44*E49</f>
        <v>12.18</v>
      </c>
      <c r="G49" s="55"/>
      <c r="H49" s="51"/>
      <c r="I49" s="51"/>
      <c r="J49" s="51"/>
      <c r="K49" s="51"/>
      <c r="L49" s="51"/>
      <c r="M49" s="52"/>
    </row>
    <row r="50" spans="1:13" x14ac:dyDescent="0.25">
      <c r="A50" s="194"/>
      <c r="B50" s="73"/>
      <c r="C50" s="74" t="s">
        <v>65</v>
      </c>
      <c r="D50" s="75" t="s">
        <v>18</v>
      </c>
      <c r="E50" s="51">
        <v>0.3</v>
      </c>
      <c r="F50" s="51">
        <f>F44*E50</f>
        <v>3.5999999999999997E-2</v>
      </c>
      <c r="G50" s="51"/>
      <c r="H50" s="51"/>
      <c r="I50" s="51"/>
      <c r="J50" s="51"/>
      <c r="K50" s="51"/>
      <c r="L50" s="51"/>
      <c r="M50" s="52"/>
    </row>
    <row r="51" spans="1:13" x14ac:dyDescent="0.25">
      <c r="A51" s="194"/>
      <c r="B51" s="73"/>
      <c r="C51" s="74" t="s">
        <v>54</v>
      </c>
      <c r="D51" s="75" t="s">
        <v>18</v>
      </c>
      <c r="E51" s="51">
        <v>2.78</v>
      </c>
      <c r="F51" s="51">
        <f>F44*E51</f>
        <v>0.33359999999999995</v>
      </c>
      <c r="G51" s="51"/>
      <c r="H51" s="51"/>
      <c r="I51" s="51"/>
      <c r="J51" s="51"/>
      <c r="K51" s="51"/>
      <c r="L51" s="51"/>
      <c r="M51" s="52"/>
    </row>
    <row r="52" spans="1:13" x14ac:dyDescent="0.25">
      <c r="A52" s="194"/>
      <c r="B52" s="73"/>
      <c r="C52" s="74" t="s">
        <v>52</v>
      </c>
      <c r="D52" s="75" t="s">
        <v>19</v>
      </c>
      <c r="E52" s="51">
        <v>205</v>
      </c>
      <c r="F52" s="51">
        <f>F44*E52</f>
        <v>24.599999999999998</v>
      </c>
      <c r="G52" s="55"/>
      <c r="H52" s="51"/>
      <c r="I52" s="51"/>
      <c r="J52" s="51"/>
      <c r="K52" s="51"/>
      <c r="L52" s="51"/>
      <c r="M52" s="52"/>
    </row>
    <row r="53" spans="1:13" x14ac:dyDescent="0.25">
      <c r="A53" s="194"/>
      <c r="B53" s="64"/>
      <c r="C53" s="89" t="s">
        <v>20</v>
      </c>
      <c r="D53" s="54" t="s">
        <v>50</v>
      </c>
      <c r="E53" s="51">
        <v>60</v>
      </c>
      <c r="F53" s="51">
        <f>F44*E53</f>
        <v>7.1999999999999993</v>
      </c>
      <c r="G53" s="51"/>
      <c r="H53" s="51"/>
      <c r="I53" s="51"/>
      <c r="J53" s="51"/>
      <c r="K53" s="51"/>
      <c r="L53" s="51"/>
      <c r="M53" s="52"/>
    </row>
    <row r="54" spans="1:13" ht="24" x14ac:dyDescent="0.25">
      <c r="A54" s="194">
        <v>11</v>
      </c>
      <c r="B54" s="66" t="s">
        <v>77</v>
      </c>
      <c r="C54" s="90" t="s">
        <v>78</v>
      </c>
      <c r="D54" s="54" t="s">
        <v>19</v>
      </c>
      <c r="E54" s="51"/>
      <c r="F54" s="50">
        <f>F23</f>
        <v>505.43999999999994</v>
      </c>
      <c r="G54" s="51"/>
      <c r="H54" s="51"/>
      <c r="I54" s="51"/>
      <c r="J54" s="51"/>
      <c r="K54" s="51"/>
      <c r="L54" s="51"/>
      <c r="M54" s="52"/>
    </row>
    <row r="55" spans="1:13" x14ac:dyDescent="0.25">
      <c r="A55" s="194"/>
      <c r="B55" s="48"/>
      <c r="C55" s="65"/>
      <c r="D55" s="54" t="s">
        <v>36</v>
      </c>
      <c r="E55" s="51"/>
      <c r="F55" s="77">
        <f>F54/1000</f>
        <v>0.50543999999999989</v>
      </c>
      <c r="G55" s="51"/>
      <c r="H55" s="51"/>
      <c r="I55" s="51"/>
      <c r="J55" s="51"/>
      <c r="K55" s="51"/>
      <c r="L55" s="51"/>
      <c r="M55" s="52"/>
    </row>
    <row r="56" spans="1:13" x14ac:dyDescent="0.25">
      <c r="A56" s="194"/>
      <c r="B56" s="144"/>
      <c r="C56" s="65" t="s">
        <v>43</v>
      </c>
      <c r="D56" s="54" t="s">
        <v>44</v>
      </c>
      <c r="E56" s="51">
        <v>33</v>
      </c>
      <c r="F56" s="51">
        <f>F55*E56</f>
        <v>16.679519999999997</v>
      </c>
      <c r="G56" s="51"/>
      <c r="H56" s="51"/>
      <c r="I56" s="51"/>
      <c r="J56" s="51"/>
      <c r="K56" s="51"/>
      <c r="L56" s="51"/>
      <c r="M56" s="52"/>
    </row>
    <row r="57" spans="1:13" x14ac:dyDescent="0.25">
      <c r="A57" s="194"/>
      <c r="B57" s="144"/>
      <c r="C57" s="53" t="s">
        <v>48</v>
      </c>
      <c r="D57" s="54" t="s">
        <v>49</v>
      </c>
      <c r="E57" s="51">
        <v>0.42</v>
      </c>
      <c r="F57" s="51">
        <f>F55*E57</f>
        <v>0.21228479999999994</v>
      </c>
      <c r="G57" s="51"/>
      <c r="H57" s="51"/>
      <c r="I57" s="51"/>
      <c r="J57" s="51"/>
      <c r="K57" s="55"/>
      <c r="L57" s="51"/>
      <c r="M57" s="52"/>
    </row>
    <row r="58" spans="1:13" x14ac:dyDescent="0.25">
      <c r="A58" s="194"/>
      <c r="B58" s="91"/>
      <c r="C58" s="92" t="s">
        <v>57</v>
      </c>
      <c r="D58" s="54" t="s">
        <v>49</v>
      </c>
      <c r="E58" s="51">
        <v>11.2</v>
      </c>
      <c r="F58" s="51">
        <f>F55*E58</f>
        <v>5.6609279999999984</v>
      </c>
      <c r="G58" s="51"/>
      <c r="H58" s="51"/>
      <c r="I58" s="51"/>
      <c r="J58" s="51"/>
      <c r="K58" s="51"/>
      <c r="L58" s="51"/>
      <c r="M58" s="52"/>
    </row>
    <row r="59" spans="1:13" x14ac:dyDescent="0.25">
      <c r="A59" s="194"/>
      <c r="B59" s="93"/>
      <c r="C59" s="94" t="s">
        <v>58</v>
      </c>
      <c r="D59" s="54" t="s">
        <v>49</v>
      </c>
      <c r="E59" s="51">
        <v>4.1399999999999997</v>
      </c>
      <c r="F59" s="51">
        <f>F55*E59</f>
        <v>2.0925215999999995</v>
      </c>
      <c r="G59" s="51"/>
      <c r="H59" s="51"/>
      <c r="I59" s="51"/>
      <c r="J59" s="51"/>
      <c r="K59" s="51"/>
      <c r="L59" s="51"/>
      <c r="M59" s="52"/>
    </row>
    <row r="60" spans="1:13" x14ac:dyDescent="0.25">
      <c r="A60" s="194"/>
      <c r="B60" s="93"/>
      <c r="C60" s="94" t="s">
        <v>56</v>
      </c>
      <c r="D60" s="54" t="s">
        <v>18</v>
      </c>
      <c r="E60" s="51">
        <v>30</v>
      </c>
      <c r="F60" s="51">
        <f>F55*E60</f>
        <v>15.163199999999996</v>
      </c>
      <c r="G60" s="51"/>
      <c r="H60" s="51"/>
      <c r="I60" s="51"/>
      <c r="J60" s="51"/>
      <c r="K60" s="51"/>
      <c r="L60" s="51"/>
      <c r="M60" s="52"/>
    </row>
    <row r="61" spans="1:13" x14ac:dyDescent="0.25">
      <c r="A61" s="194"/>
      <c r="B61" s="144"/>
      <c r="C61" s="65" t="s">
        <v>177</v>
      </c>
      <c r="D61" s="54" t="s">
        <v>18</v>
      </c>
      <c r="E61" s="51" t="s">
        <v>74</v>
      </c>
      <c r="F61" s="51">
        <f>F54*0.2*1.26</f>
        <v>127.37088</v>
      </c>
      <c r="G61" s="51"/>
      <c r="H61" s="51"/>
      <c r="I61" s="51"/>
      <c r="J61" s="51"/>
      <c r="K61" s="51"/>
      <c r="L61" s="51"/>
      <c r="M61" s="52"/>
    </row>
    <row r="62" spans="1:13" ht="25.5" x14ac:dyDescent="0.25">
      <c r="A62" s="216">
        <v>12</v>
      </c>
      <c r="B62" s="95" t="s">
        <v>147</v>
      </c>
      <c r="C62" s="96" t="s">
        <v>167</v>
      </c>
      <c r="D62" s="97" t="s">
        <v>171</v>
      </c>
      <c r="E62" s="97"/>
      <c r="F62" s="98">
        <f>F54*0.1</f>
        <v>50.543999999999997</v>
      </c>
      <c r="G62" s="98"/>
      <c r="H62" s="99"/>
      <c r="I62" s="51"/>
      <c r="J62" s="51"/>
      <c r="K62" s="51"/>
      <c r="L62" s="51"/>
      <c r="M62" s="52"/>
    </row>
    <row r="63" spans="1:13" ht="12.75" x14ac:dyDescent="0.25">
      <c r="A63" s="217"/>
      <c r="B63" s="100"/>
      <c r="C63" s="101" t="s">
        <v>148</v>
      </c>
      <c r="D63" s="16" t="s">
        <v>149</v>
      </c>
      <c r="E63" s="16">
        <v>2.9</v>
      </c>
      <c r="F63" s="99">
        <f>F62*E63</f>
        <v>146.57759999999999</v>
      </c>
      <c r="G63" s="99"/>
      <c r="H63" s="99"/>
      <c r="I63" s="51"/>
      <c r="J63" s="51"/>
      <c r="K63" s="51"/>
      <c r="L63" s="51"/>
      <c r="M63" s="52"/>
    </row>
    <row r="64" spans="1:13" ht="12.75" x14ac:dyDescent="0.25">
      <c r="A64" s="217"/>
      <c r="B64" s="100"/>
      <c r="C64" s="101" t="s">
        <v>150</v>
      </c>
      <c r="D64" s="16" t="s">
        <v>151</v>
      </c>
      <c r="E64" s="16">
        <v>0.88</v>
      </c>
      <c r="F64" s="99">
        <f>F62*E64</f>
        <v>44.478719999999996</v>
      </c>
      <c r="G64" s="99"/>
      <c r="H64" s="99"/>
      <c r="I64" s="51"/>
      <c r="J64" s="51"/>
      <c r="K64" s="51"/>
      <c r="L64" s="51"/>
      <c r="M64" s="52"/>
    </row>
    <row r="65" spans="1:13" ht="12.75" x14ac:dyDescent="0.25">
      <c r="A65" s="218"/>
      <c r="B65" s="100"/>
      <c r="C65" s="101" t="s">
        <v>168</v>
      </c>
      <c r="D65" s="16" t="s">
        <v>172</v>
      </c>
      <c r="E65" s="16">
        <v>1.02</v>
      </c>
      <c r="F65" s="99">
        <f>F62*E65</f>
        <v>51.554879999999997</v>
      </c>
      <c r="G65" s="99"/>
      <c r="H65" s="99"/>
      <c r="I65" s="51"/>
      <c r="J65" s="51"/>
      <c r="K65" s="51"/>
      <c r="L65" s="51"/>
      <c r="M65" s="52"/>
    </row>
    <row r="66" spans="1:13" ht="17.25" customHeight="1" x14ac:dyDescent="0.25">
      <c r="A66" s="194">
        <v>13</v>
      </c>
      <c r="B66" s="66" t="s">
        <v>79</v>
      </c>
      <c r="C66" s="49" t="s">
        <v>80</v>
      </c>
      <c r="D66" s="54" t="s">
        <v>19</v>
      </c>
      <c r="E66" s="51"/>
      <c r="F66" s="50">
        <f>F54</f>
        <v>505.43999999999994</v>
      </c>
      <c r="G66" s="51"/>
      <c r="H66" s="51"/>
      <c r="I66" s="51"/>
      <c r="J66" s="51"/>
      <c r="K66" s="51"/>
      <c r="L66" s="51"/>
      <c r="M66" s="52"/>
    </row>
    <row r="67" spans="1:13" x14ac:dyDescent="0.25">
      <c r="A67" s="194"/>
      <c r="B67" s="66" t="s">
        <v>67</v>
      </c>
      <c r="C67" s="53"/>
      <c r="D67" s="54" t="s">
        <v>39</v>
      </c>
      <c r="E67" s="51"/>
      <c r="F67" s="77">
        <f>F66/100</f>
        <v>5.0543999999999993</v>
      </c>
      <c r="G67" s="51"/>
      <c r="H67" s="51"/>
      <c r="I67" s="51"/>
      <c r="J67" s="51"/>
      <c r="K67" s="51"/>
      <c r="L67" s="51"/>
      <c r="M67" s="52"/>
    </row>
    <row r="68" spans="1:13" x14ac:dyDescent="0.25">
      <c r="A68" s="194"/>
      <c r="B68" s="48"/>
      <c r="C68" s="67" t="s">
        <v>68</v>
      </c>
      <c r="D68" s="54" t="s">
        <v>44</v>
      </c>
      <c r="E68" s="51">
        <v>30.75</v>
      </c>
      <c r="F68" s="51">
        <f>F67*E68</f>
        <v>155.42279999999997</v>
      </c>
      <c r="G68" s="51"/>
      <c r="H68" s="51"/>
      <c r="I68" s="51"/>
      <c r="J68" s="51"/>
      <c r="K68" s="51"/>
      <c r="L68" s="51"/>
      <c r="M68" s="52"/>
    </row>
    <row r="69" spans="1:13" s="72" customFormat="1" x14ac:dyDescent="0.2">
      <c r="A69" s="194"/>
      <c r="B69" s="68"/>
      <c r="C69" s="67" t="s">
        <v>73</v>
      </c>
      <c r="D69" s="69" t="s">
        <v>49</v>
      </c>
      <c r="E69" s="70">
        <v>0.3</v>
      </c>
      <c r="F69" s="70">
        <f>E69*F67</f>
        <v>1.5163199999999997</v>
      </c>
      <c r="G69" s="55"/>
      <c r="H69" s="55"/>
      <c r="I69" s="70"/>
      <c r="J69" s="55"/>
      <c r="K69" s="70"/>
      <c r="L69" s="55"/>
      <c r="M69" s="71"/>
    </row>
    <row r="70" spans="1:13" x14ac:dyDescent="0.25">
      <c r="A70" s="194"/>
      <c r="B70" s="48"/>
      <c r="C70" s="53" t="s">
        <v>82</v>
      </c>
      <c r="D70" s="54" t="s">
        <v>21</v>
      </c>
      <c r="E70" s="51">
        <v>0.13</v>
      </c>
      <c r="F70" s="51">
        <f>E70*F67</f>
        <v>0.65707199999999999</v>
      </c>
      <c r="G70" s="51"/>
      <c r="H70" s="51"/>
      <c r="I70" s="51"/>
      <c r="J70" s="51"/>
      <c r="K70" s="51"/>
      <c r="L70" s="51"/>
      <c r="M70" s="52"/>
    </row>
    <row r="71" spans="1:13" x14ac:dyDescent="0.25">
      <c r="A71" s="194"/>
      <c r="B71" s="144"/>
      <c r="C71" s="65" t="s">
        <v>81</v>
      </c>
      <c r="D71" s="54" t="s">
        <v>19</v>
      </c>
      <c r="E71" s="51">
        <v>102</v>
      </c>
      <c r="F71" s="51">
        <f>E71*F67</f>
        <v>515.54879999999991</v>
      </c>
      <c r="G71" s="51"/>
      <c r="H71" s="51"/>
      <c r="I71" s="51"/>
      <c r="J71" s="51"/>
      <c r="K71" s="51"/>
      <c r="L71" s="51"/>
      <c r="M71" s="52"/>
    </row>
    <row r="72" spans="1:13" ht="36" x14ac:dyDescent="0.25">
      <c r="A72" s="194">
        <v>14</v>
      </c>
      <c r="B72" s="102" t="s">
        <v>83</v>
      </c>
      <c r="C72" s="90" t="s">
        <v>178</v>
      </c>
      <c r="D72" s="54" t="s">
        <v>19</v>
      </c>
      <c r="E72" s="51"/>
      <c r="F72" s="50">
        <f>F66</f>
        <v>505.43999999999994</v>
      </c>
      <c r="G72" s="103"/>
      <c r="H72" s="103"/>
      <c r="I72" s="51"/>
      <c r="J72" s="51"/>
      <c r="K72" s="51"/>
      <c r="L72" s="51"/>
      <c r="M72" s="104"/>
    </row>
    <row r="73" spans="1:13" x14ac:dyDescent="0.25">
      <c r="A73" s="194"/>
      <c r="B73" s="144"/>
      <c r="C73" s="65"/>
      <c r="D73" s="54" t="s">
        <v>39</v>
      </c>
      <c r="E73" s="51"/>
      <c r="F73" s="77">
        <f>F72/100</f>
        <v>5.0543999999999993</v>
      </c>
      <c r="G73" s="51"/>
      <c r="H73" s="51"/>
      <c r="I73" s="51"/>
      <c r="J73" s="51"/>
      <c r="K73" s="51"/>
      <c r="L73" s="51"/>
      <c r="M73" s="52"/>
    </row>
    <row r="74" spans="1:13" x14ac:dyDescent="0.25">
      <c r="A74" s="194"/>
      <c r="B74" s="48"/>
      <c r="C74" s="67" t="s">
        <v>68</v>
      </c>
      <c r="D74" s="54" t="s">
        <v>44</v>
      </c>
      <c r="E74" s="51">
        <v>12.35</v>
      </c>
      <c r="F74" s="51">
        <f>F73*E74</f>
        <v>62.421839999999989</v>
      </c>
      <c r="G74" s="51"/>
      <c r="H74" s="51"/>
      <c r="I74" s="51"/>
      <c r="J74" s="51"/>
      <c r="K74" s="51"/>
      <c r="L74" s="51"/>
      <c r="M74" s="52"/>
    </row>
    <row r="75" spans="1:13" s="72" customFormat="1" x14ac:dyDescent="0.2">
      <c r="A75" s="194"/>
      <c r="B75" s="68"/>
      <c r="C75" s="67" t="s">
        <v>85</v>
      </c>
      <c r="D75" s="69" t="s">
        <v>49</v>
      </c>
      <c r="E75" s="70">
        <v>0.04</v>
      </c>
      <c r="F75" s="70">
        <f>E75*F73</f>
        <v>0.20217599999999997</v>
      </c>
      <c r="G75" s="55"/>
      <c r="H75" s="55"/>
      <c r="I75" s="70"/>
      <c r="J75" s="55"/>
      <c r="K75" s="70"/>
      <c r="L75" s="55"/>
      <c r="M75" s="71"/>
    </row>
    <row r="76" spans="1:13" s="72" customFormat="1" x14ac:dyDescent="0.2">
      <c r="A76" s="194"/>
      <c r="B76" s="68"/>
      <c r="C76" s="67" t="s">
        <v>84</v>
      </c>
      <c r="D76" s="69" t="s">
        <v>49</v>
      </c>
      <c r="E76" s="70">
        <v>0.27</v>
      </c>
      <c r="F76" s="70">
        <f>E76*F73</f>
        <v>1.3646879999999999</v>
      </c>
      <c r="G76" s="55"/>
      <c r="H76" s="55"/>
      <c r="I76" s="70"/>
      <c r="J76" s="55"/>
      <c r="K76" s="70"/>
      <c r="L76" s="55"/>
      <c r="M76" s="71"/>
    </row>
    <row r="77" spans="1:13" x14ac:dyDescent="0.25">
      <c r="A77" s="194"/>
      <c r="B77" s="144"/>
      <c r="C77" s="65" t="s">
        <v>179</v>
      </c>
      <c r="D77" s="54" t="s">
        <v>18</v>
      </c>
      <c r="E77" s="51">
        <f>1.7/1.45</f>
        <v>1.1724137931034482</v>
      </c>
      <c r="F77" s="51">
        <f>F73*E77</f>
        <v>5.9258482758620676</v>
      </c>
      <c r="G77" s="51"/>
      <c r="H77" s="51"/>
      <c r="I77" s="51"/>
      <c r="J77" s="51"/>
      <c r="K77" s="51"/>
      <c r="L77" s="51"/>
      <c r="M77" s="52"/>
    </row>
    <row r="78" spans="1:13" x14ac:dyDescent="0.25">
      <c r="A78" s="194"/>
      <c r="B78" s="144"/>
      <c r="C78" s="65" t="s">
        <v>142</v>
      </c>
      <c r="D78" s="54" t="s">
        <v>19</v>
      </c>
      <c r="E78" s="51">
        <v>103</v>
      </c>
      <c r="F78" s="51">
        <f>E78*F73</f>
        <v>520.6031999999999</v>
      </c>
      <c r="G78" s="51"/>
      <c r="H78" s="51"/>
      <c r="I78" s="51"/>
      <c r="J78" s="51"/>
      <c r="K78" s="51"/>
      <c r="L78" s="51"/>
      <c r="M78" s="52"/>
    </row>
    <row r="79" spans="1:13" x14ac:dyDescent="0.25">
      <c r="A79" s="194"/>
      <c r="B79" s="144"/>
      <c r="C79" s="65" t="s">
        <v>86</v>
      </c>
      <c r="D79" s="54" t="s">
        <v>21</v>
      </c>
      <c r="E79" s="51">
        <v>10.62</v>
      </c>
      <c r="F79" s="51">
        <f>E79*F73</f>
        <v>53.677727999999988</v>
      </c>
      <c r="G79" s="51"/>
      <c r="H79" s="51"/>
      <c r="I79" s="51"/>
      <c r="J79" s="51"/>
      <c r="K79" s="51"/>
      <c r="L79" s="51"/>
      <c r="M79" s="52"/>
    </row>
    <row r="80" spans="1:13" x14ac:dyDescent="0.25">
      <c r="A80" s="194"/>
      <c r="B80" s="144"/>
      <c r="C80" s="65" t="s">
        <v>87</v>
      </c>
      <c r="D80" s="54" t="s">
        <v>17</v>
      </c>
      <c r="E80" s="51">
        <v>28.3</v>
      </c>
      <c r="F80" s="51">
        <f>E80*F73</f>
        <v>143.03951999999998</v>
      </c>
      <c r="G80" s="51"/>
      <c r="H80" s="51"/>
      <c r="I80" s="51"/>
      <c r="J80" s="51"/>
      <c r="K80" s="51"/>
      <c r="L80" s="51"/>
      <c r="M80" s="52"/>
    </row>
    <row r="81" spans="1:13" x14ac:dyDescent="0.25">
      <c r="A81" s="194">
        <v>15</v>
      </c>
      <c r="B81" s="56" t="s">
        <v>90</v>
      </c>
      <c r="C81" s="90" t="s">
        <v>173</v>
      </c>
      <c r="D81" s="54" t="s">
        <v>16</v>
      </c>
      <c r="E81" s="51">
        <v>1</v>
      </c>
      <c r="F81" s="77">
        <f>(F84*2.08+F85*1.95+F87*3.77+F88*0.222)/1000</f>
        <v>2.3237500000000001E-2</v>
      </c>
      <c r="G81" s="51"/>
      <c r="H81" s="51"/>
      <c r="I81" s="51"/>
      <c r="J81" s="51"/>
      <c r="K81" s="51"/>
      <c r="L81" s="51"/>
      <c r="M81" s="52"/>
    </row>
    <row r="82" spans="1:13" x14ac:dyDescent="0.25">
      <c r="A82" s="194"/>
      <c r="B82" s="144"/>
      <c r="C82" s="65" t="s">
        <v>43</v>
      </c>
      <c r="D82" s="54" t="s">
        <v>44</v>
      </c>
      <c r="E82" s="51">
        <v>34.9</v>
      </c>
      <c r="F82" s="51">
        <f>F81*E82</f>
        <v>0.81098875000000004</v>
      </c>
      <c r="G82" s="51"/>
      <c r="H82" s="51"/>
      <c r="I82" s="51"/>
      <c r="J82" s="51"/>
      <c r="K82" s="51"/>
      <c r="L82" s="51"/>
      <c r="M82" s="52"/>
    </row>
    <row r="83" spans="1:13" x14ac:dyDescent="0.25">
      <c r="A83" s="194"/>
      <c r="B83" s="144"/>
      <c r="C83" s="65" t="s">
        <v>15</v>
      </c>
      <c r="D83" s="54" t="s">
        <v>50</v>
      </c>
      <c r="E83" s="51">
        <v>4.07</v>
      </c>
      <c r="F83" s="51">
        <f>F81*E83</f>
        <v>9.4576625000000011E-2</v>
      </c>
      <c r="G83" s="51"/>
      <c r="H83" s="51"/>
      <c r="I83" s="51"/>
      <c r="J83" s="51"/>
      <c r="K83" s="51"/>
      <c r="L83" s="51"/>
      <c r="M83" s="52"/>
    </row>
    <row r="84" spans="1:13" x14ac:dyDescent="0.25">
      <c r="A84" s="194"/>
      <c r="B84" s="144"/>
      <c r="C84" s="53" t="s">
        <v>91</v>
      </c>
      <c r="D84" s="54" t="s">
        <v>17</v>
      </c>
      <c r="E84" s="51">
        <f>(1.05+2.2)*2</f>
        <v>6.5</v>
      </c>
      <c r="F84" s="51">
        <f>E81*E84</f>
        <v>6.5</v>
      </c>
      <c r="G84" s="51"/>
      <c r="H84" s="51"/>
      <c r="I84" s="51"/>
      <c r="J84" s="51"/>
      <c r="K84" s="51"/>
      <c r="L84" s="51"/>
      <c r="M84" s="52"/>
    </row>
    <row r="85" spans="1:13" ht="24" x14ac:dyDescent="0.25">
      <c r="A85" s="194"/>
      <c r="B85" s="144"/>
      <c r="C85" s="105" t="s">
        <v>140</v>
      </c>
      <c r="D85" s="54" t="s">
        <v>19</v>
      </c>
      <c r="E85" s="51">
        <f>1.05*2.2</f>
        <v>2.3100000000000005</v>
      </c>
      <c r="F85" s="51">
        <f>E81*E85</f>
        <v>2.3100000000000005</v>
      </c>
      <c r="G85" s="51"/>
      <c r="H85" s="51"/>
      <c r="I85" s="51"/>
      <c r="J85" s="51"/>
      <c r="K85" s="51"/>
      <c r="L85" s="51"/>
      <c r="M85" s="52"/>
    </row>
    <row r="86" spans="1:13" x14ac:dyDescent="0.25">
      <c r="A86" s="194"/>
      <c r="B86" s="144"/>
      <c r="C86" s="53" t="s">
        <v>92</v>
      </c>
      <c r="D86" s="54" t="s">
        <v>21</v>
      </c>
      <c r="E86" s="51">
        <v>15.2</v>
      </c>
      <c r="F86" s="51">
        <f>F81*E86</f>
        <v>0.35321000000000002</v>
      </c>
      <c r="G86" s="51"/>
      <c r="H86" s="51"/>
      <c r="I86" s="51"/>
      <c r="J86" s="51"/>
      <c r="K86" s="51"/>
      <c r="L86" s="51"/>
      <c r="M86" s="52"/>
    </row>
    <row r="87" spans="1:13" x14ac:dyDescent="0.25">
      <c r="A87" s="194"/>
      <c r="B87" s="144"/>
      <c r="C87" s="53" t="s">
        <v>169</v>
      </c>
      <c r="D87" s="54" t="s">
        <v>17</v>
      </c>
      <c r="E87" s="51">
        <v>1</v>
      </c>
      <c r="F87" s="51">
        <f>E81*E87</f>
        <v>1</v>
      </c>
      <c r="G87" s="51"/>
      <c r="H87" s="51"/>
      <c r="I87" s="51"/>
      <c r="J87" s="51"/>
      <c r="K87" s="51"/>
      <c r="L87" s="51"/>
      <c r="M87" s="52"/>
    </row>
    <row r="88" spans="1:13" x14ac:dyDescent="0.25">
      <c r="A88" s="194"/>
      <c r="B88" s="144"/>
      <c r="C88" s="53" t="s">
        <v>170</v>
      </c>
      <c r="D88" s="54" t="s">
        <v>17</v>
      </c>
      <c r="E88" s="51">
        <f>(1.05+2.2)*2</f>
        <v>6.5</v>
      </c>
      <c r="F88" s="51">
        <f>E81*E88</f>
        <v>6.5</v>
      </c>
      <c r="G88" s="51"/>
      <c r="H88" s="51"/>
      <c r="I88" s="51"/>
      <c r="J88" s="51"/>
      <c r="K88" s="51"/>
      <c r="L88" s="51"/>
      <c r="M88" s="52"/>
    </row>
    <row r="89" spans="1:13" x14ac:dyDescent="0.25">
      <c r="A89" s="194"/>
      <c r="B89" s="38"/>
      <c r="C89" s="65" t="s">
        <v>20</v>
      </c>
      <c r="D89" s="54" t="s">
        <v>50</v>
      </c>
      <c r="E89" s="51">
        <v>2.78</v>
      </c>
      <c r="F89" s="51">
        <f>F81*E89</f>
        <v>6.4600249999999998E-2</v>
      </c>
      <c r="G89" s="51"/>
      <c r="H89" s="51"/>
      <c r="I89" s="51"/>
      <c r="J89" s="51"/>
      <c r="K89" s="51"/>
      <c r="L89" s="51"/>
      <c r="M89" s="52"/>
    </row>
    <row r="90" spans="1:13" s="106" customFormat="1" x14ac:dyDescent="0.25">
      <c r="A90" s="194">
        <v>16</v>
      </c>
      <c r="B90" s="76" t="s">
        <v>93</v>
      </c>
      <c r="C90" s="38" t="s">
        <v>94</v>
      </c>
      <c r="D90" s="54" t="s">
        <v>22</v>
      </c>
      <c r="E90" s="51"/>
      <c r="F90" s="50">
        <f>E81</f>
        <v>1</v>
      </c>
      <c r="G90" s="51"/>
      <c r="H90" s="51"/>
      <c r="I90" s="51"/>
      <c r="J90" s="51"/>
      <c r="K90" s="51"/>
      <c r="L90" s="51"/>
      <c r="M90" s="52"/>
    </row>
    <row r="91" spans="1:13" s="106" customFormat="1" x14ac:dyDescent="0.25">
      <c r="A91" s="194"/>
      <c r="B91" s="78"/>
      <c r="C91" s="65"/>
      <c r="D91" s="54" t="s">
        <v>38</v>
      </c>
      <c r="E91" s="51"/>
      <c r="F91" s="77">
        <f>F90/100</f>
        <v>0.01</v>
      </c>
      <c r="G91" s="51"/>
      <c r="H91" s="51"/>
      <c r="I91" s="51"/>
      <c r="J91" s="51"/>
      <c r="K91" s="51"/>
      <c r="L91" s="51"/>
      <c r="M91" s="52"/>
    </row>
    <row r="92" spans="1:13" s="106" customFormat="1" x14ac:dyDescent="0.25">
      <c r="A92" s="194"/>
      <c r="B92" s="78"/>
      <c r="C92" s="88" t="s">
        <v>68</v>
      </c>
      <c r="D92" s="107" t="s">
        <v>44</v>
      </c>
      <c r="E92" s="51">
        <v>75.900000000000006</v>
      </c>
      <c r="F92" s="51">
        <f>E92*F91</f>
        <v>0.75900000000000012</v>
      </c>
      <c r="G92" s="51"/>
      <c r="H92" s="51"/>
      <c r="I92" s="51"/>
      <c r="J92" s="55"/>
      <c r="K92" s="51"/>
      <c r="L92" s="51"/>
      <c r="M92" s="52"/>
    </row>
    <row r="93" spans="1:13" s="106" customFormat="1" x14ac:dyDescent="0.25">
      <c r="A93" s="194"/>
      <c r="B93" s="60"/>
      <c r="C93" s="88" t="s">
        <v>15</v>
      </c>
      <c r="D93" s="54" t="s">
        <v>50</v>
      </c>
      <c r="E93" s="51">
        <v>4</v>
      </c>
      <c r="F93" s="51">
        <f>E93*F91</f>
        <v>0.04</v>
      </c>
      <c r="G93" s="51"/>
      <c r="H93" s="51"/>
      <c r="I93" s="51"/>
      <c r="J93" s="51"/>
      <c r="K93" s="82"/>
      <c r="L93" s="55"/>
      <c r="M93" s="52"/>
    </row>
    <row r="94" spans="1:13" s="106" customFormat="1" x14ac:dyDescent="0.25">
      <c r="A94" s="194"/>
      <c r="B94" s="78"/>
      <c r="C94" s="65" t="s">
        <v>92</v>
      </c>
      <c r="D94" s="75" t="s">
        <v>21</v>
      </c>
      <c r="E94" s="51">
        <v>20</v>
      </c>
      <c r="F94" s="51">
        <f>E94*F91</f>
        <v>0.2</v>
      </c>
      <c r="G94" s="51"/>
      <c r="H94" s="55"/>
      <c r="I94" s="51"/>
      <c r="J94" s="51"/>
      <c r="K94" s="51"/>
      <c r="L94" s="51"/>
      <c r="M94" s="52"/>
    </row>
    <row r="95" spans="1:13" x14ac:dyDescent="0.25">
      <c r="A95" s="194"/>
      <c r="B95" s="144"/>
      <c r="C95" s="53" t="s">
        <v>47</v>
      </c>
      <c r="D95" s="54" t="s">
        <v>17</v>
      </c>
      <c r="E95" s="51">
        <f>1.1*100</f>
        <v>110.00000000000001</v>
      </c>
      <c r="F95" s="51">
        <f>F91*E95</f>
        <v>1.1000000000000001</v>
      </c>
      <c r="G95" s="51"/>
      <c r="H95" s="51"/>
      <c r="I95" s="51"/>
      <c r="J95" s="51"/>
      <c r="K95" s="51"/>
      <c r="L95" s="51"/>
      <c r="M95" s="52"/>
    </row>
    <row r="96" spans="1:13" x14ac:dyDescent="0.25">
      <c r="A96" s="194"/>
      <c r="B96" s="144"/>
      <c r="C96" s="65" t="s">
        <v>89</v>
      </c>
      <c r="D96" s="54" t="s">
        <v>22</v>
      </c>
      <c r="E96" s="51">
        <f>2*100</f>
        <v>200</v>
      </c>
      <c r="F96" s="51">
        <f>F91*E96</f>
        <v>2</v>
      </c>
      <c r="G96" s="51"/>
      <c r="H96" s="51"/>
      <c r="I96" s="51"/>
      <c r="J96" s="51"/>
      <c r="K96" s="51"/>
      <c r="L96" s="51"/>
      <c r="M96" s="52"/>
    </row>
    <row r="97" spans="1:13" x14ac:dyDescent="0.25">
      <c r="A97" s="194"/>
      <c r="B97" s="144"/>
      <c r="C97" s="65" t="s">
        <v>88</v>
      </c>
      <c r="D97" s="54" t="s">
        <v>22</v>
      </c>
      <c r="E97" s="51">
        <v>100</v>
      </c>
      <c r="F97" s="51">
        <f>F91*E97</f>
        <v>1</v>
      </c>
      <c r="G97" s="51"/>
      <c r="H97" s="51"/>
      <c r="I97" s="51"/>
      <c r="J97" s="51"/>
      <c r="K97" s="51"/>
      <c r="L97" s="51"/>
      <c r="M97" s="52"/>
    </row>
    <row r="98" spans="1:13" x14ac:dyDescent="0.25">
      <c r="A98" s="194">
        <v>17</v>
      </c>
      <c r="B98" s="56" t="s">
        <v>90</v>
      </c>
      <c r="C98" s="90" t="s">
        <v>180</v>
      </c>
      <c r="D98" s="54" t="s">
        <v>16</v>
      </c>
      <c r="E98" s="51">
        <f>10*3*2</f>
        <v>60</v>
      </c>
      <c r="F98" s="77">
        <f>(F101*2.08+F102*1.95+F104*0.222)/1000</f>
        <v>1.8237888</v>
      </c>
      <c r="G98" s="51"/>
      <c r="H98" s="51"/>
      <c r="I98" s="51"/>
      <c r="J98" s="51"/>
      <c r="K98" s="51"/>
      <c r="L98" s="51"/>
      <c r="M98" s="52"/>
    </row>
    <row r="99" spans="1:13" x14ac:dyDescent="0.25">
      <c r="A99" s="194"/>
      <c r="B99" s="144"/>
      <c r="C99" s="65" t="s">
        <v>43</v>
      </c>
      <c r="D99" s="54" t="s">
        <v>44</v>
      </c>
      <c r="E99" s="51">
        <v>34.9</v>
      </c>
      <c r="F99" s="51">
        <f>F98*E99</f>
        <v>63.650229119999999</v>
      </c>
      <c r="G99" s="51"/>
      <c r="H99" s="51"/>
      <c r="I99" s="51"/>
      <c r="J99" s="51"/>
      <c r="K99" s="51"/>
      <c r="L99" s="51"/>
      <c r="M99" s="52"/>
    </row>
    <row r="100" spans="1:13" x14ac:dyDescent="0.25">
      <c r="A100" s="194"/>
      <c r="B100" s="144"/>
      <c r="C100" s="65" t="s">
        <v>15</v>
      </c>
      <c r="D100" s="54" t="s">
        <v>50</v>
      </c>
      <c r="E100" s="51">
        <v>4.07</v>
      </c>
      <c r="F100" s="51">
        <f>F98*E100</f>
        <v>7.4228204160000004</v>
      </c>
      <c r="G100" s="51"/>
      <c r="H100" s="51"/>
      <c r="I100" s="51"/>
      <c r="J100" s="51"/>
      <c r="K100" s="51"/>
      <c r="L100" s="51"/>
      <c r="M100" s="52"/>
    </row>
    <row r="101" spans="1:13" x14ac:dyDescent="0.25">
      <c r="A101" s="194"/>
      <c r="B101" s="144"/>
      <c r="C101" s="53" t="s">
        <v>91</v>
      </c>
      <c r="D101" s="54" t="s">
        <v>17</v>
      </c>
      <c r="E101" s="51">
        <f>(1.5+3.12)*2</f>
        <v>9.24</v>
      </c>
      <c r="F101" s="51">
        <f>E98*E101</f>
        <v>554.4</v>
      </c>
      <c r="G101" s="51"/>
      <c r="H101" s="51"/>
      <c r="I101" s="51"/>
      <c r="J101" s="51"/>
      <c r="K101" s="51"/>
      <c r="L101" s="51"/>
      <c r="M101" s="52"/>
    </row>
    <row r="102" spans="1:13" ht="19.149999999999999" customHeight="1" x14ac:dyDescent="0.25">
      <c r="A102" s="194"/>
      <c r="B102" s="144"/>
      <c r="C102" s="105" t="s">
        <v>140</v>
      </c>
      <c r="D102" s="54" t="s">
        <v>19</v>
      </c>
      <c r="E102" s="51">
        <f>3.12*1.5</f>
        <v>4.68</v>
      </c>
      <c r="F102" s="51">
        <f>E98*E102</f>
        <v>280.79999999999995</v>
      </c>
      <c r="G102" s="51"/>
      <c r="H102" s="51"/>
      <c r="I102" s="51"/>
      <c r="J102" s="51"/>
      <c r="K102" s="51"/>
      <c r="L102" s="51"/>
      <c r="M102" s="52"/>
    </row>
    <row r="103" spans="1:13" x14ac:dyDescent="0.25">
      <c r="A103" s="194"/>
      <c r="B103" s="144"/>
      <c r="C103" s="53" t="s">
        <v>92</v>
      </c>
      <c r="D103" s="54" t="s">
        <v>21</v>
      </c>
      <c r="E103" s="51">
        <v>15.2</v>
      </c>
      <c r="F103" s="51">
        <f>F98*E103</f>
        <v>27.721589759999997</v>
      </c>
      <c r="G103" s="51"/>
      <c r="H103" s="51"/>
      <c r="I103" s="51"/>
      <c r="J103" s="51"/>
      <c r="K103" s="51"/>
      <c r="L103" s="51"/>
      <c r="M103" s="52"/>
    </row>
    <row r="104" spans="1:13" x14ac:dyDescent="0.25">
      <c r="A104" s="194"/>
      <c r="B104" s="144"/>
      <c r="C104" s="53" t="s">
        <v>170</v>
      </c>
      <c r="D104" s="54" t="s">
        <v>17</v>
      </c>
      <c r="E104" s="51">
        <f>(1.5+3.12)*2</f>
        <v>9.24</v>
      </c>
      <c r="F104" s="51">
        <f>E98*E104</f>
        <v>554.4</v>
      </c>
      <c r="G104" s="51"/>
      <c r="H104" s="51"/>
      <c r="I104" s="51"/>
      <c r="J104" s="51"/>
      <c r="K104" s="51"/>
      <c r="L104" s="51"/>
      <c r="M104" s="52"/>
    </row>
    <row r="105" spans="1:13" x14ac:dyDescent="0.25">
      <c r="A105" s="194"/>
      <c r="B105" s="38"/>
      <c r="C105" s="65" t="s">
        <v>20</v>
      </c>
      <c r="D105" s="54" t="s">
        <v>50</v>
      </c>
      <c r="E105" s="51">
        <v>2.78</v>
      </c>
      <c r="F105" s="51">
        <f>F98*E105</f>
        <v>5.0701328639999996</v>
      </c>
      <c r="G105" s="51"/>
      <c r="H105" s="51"/>
      <c r="I105" s="51"/>
      <c r="J105" s="51"/>
      <c r="K105" s="51"/>
      <c r="L105" s="51"/>
      <c r="M105" s="52"/>
    </row>
    <row r="106" spans="1:13" x14ac:dyDescent="0.25">
      <c r="A106" s="194">
        <v>18</v>
      </c>
      <c r="B106" s="56" t="s">
        <v>90</v>
      </c>
      <c r="C106" s="90" t="s">
        <v>181</v>
      </c>
      <c r="D106" s="54" t="s">
        <v>16</v>
      </c>
      <c r="E106" s="51">
        <f>5*3*2</f>
        <v>30</v>
      </c>
      <c r="F106" s="77">
        <f>(F109*2.08+F110*1.95+F112*0.222)/1000</f>
        <v>0.93899880000000002</v>
      </c>
      <c r="G106" s="51"/>
      <c r="H106" s="51"/>
      <c r="I106" s="51"/>
      <c r="J106" s="51"/>
      <c r="K106" s="51"/>
      <c r="L106" s="51"/>
      <c r="M106" s="52"/>
    </row>
    <row r="107" spans="1:13" x14ac:dyDescent="0.25">
      <c r="A107" s="194"/>
      <c r="B107" s="144"/>
      <c r="C107" s="65" t="s">
        <v>43</v>
      </c>
      <c r="D107" s="54" t="s">
        <v>44</v>
      </c>
      <c r="E107" s="51">
        <v>34.9</v>
      </c>
      <c r="F107" s="51">
        <f>F106*E107</f>
        <v>32.771058119999999</v>
      </c>
      <c r="G107" s="51"/>
      <c r="H107" s="51"/>
      <c r="I107" s="51"/>
      <c r="J107" s="51"/>
      <c r="K107" s="51"/>
      <c r="L107" s="51"/>
      <c r="M107" s="52"/>
    </row>
    <row r="108" spans="1:13" x14ac:dyDescent="0.25">
      <c r="A108" s="194"/>
      <c r="B108" s="144"/>
      <c r="C108" s="65" t="s">
        <v>15</v>
      </c>
      <c r="D108" s="54" t="s">
        <v>50</v>
      </c>
      <c r="E108" s="51">
        <v>4.07</v>
      </c>
      <c r="F108" s="51">
        <f>F106*E108</f>
        <v>3.8217251160000005</v>
      </c>
      <c r="G108" s="51"/>
      <c r="H108" s="51"/>
      <c r="I108" s="51"/>
      <c r="J108" s="51"/>
      <c r="K108" s="51"/>
      <c r="L108" s="51"/>
      <c r="M108" s="52"/>
    </row>
    <row r="109" spans="1:13" x14ac:dyDescent="0.25">
      <c r="A109" s="194"/>
      <c r="B109" s="144"/>
      <c r="C109" s="53" t="s">
        <v>91</v>
      </c>
      <c r="D109" s="54" t="s">
        <v>17</v>
      </c>
      <c r="E109" s="51">
        <f>(3.24+1.5)*2</f>
        <v>9.48</v>
      </c>
      <c r="F109" s="51">
        <f>E106*E109</f>
        <v>284.40000000000003</v>
      </c>
      <c r="G109" s="51"/>
      <c r="H109" s="51"/>
      <c r="I109" s="51"/>
      <c r="J109" s="51"/>
      <c r="K109" s="51"/>
      <c r="L109" s="51"/>
      <c r="M109" s="52"/>
    </row>
    <row r="110" spans="1:13" ht="20.45" customHeight="1" x14ac:dyDescent="0.25">
      <c r="A110" s="194"/>
      <c r="B110" s="144"/>
      <c r="C110" s="105" t="s">
        <v>140</v>
      </c>
      <c r="D110" s="54" t="s">
        <v>19</v>
      </c>
      <c r="E110" s="51">
        <f>3.24*1.5</f>
        <v>4.8600000000000003</v>
      </c>
      <c r="F110" s="51">
        <f>E106*E110</f>
        <v>145.80000000000001</v>
      </c>
      <c r="G110" s="51"/>
      <c r="H110" s="51"/>
      <c r="I110" s="51"/>
      <c r="J110" s="51"/>
      <c r="K110" s="51"/>
      <c r="L110" s="51"/>
      <c r="M110" s="52"/>
    </row>
    <row r="111" spans="1:13" x14ac:dyDescent="0.25">
      <c r="A111" s="194"/>
      <c r="B111" s="144"/>
      <c r="C111" s="53" t="s">
        <v>92</v>
      </c>
      <c r="D111" s="54" t="s">
        <v>21</v>
      </c>
      <c r="E111" s="51">
        <v>15.2</v>
      </c>
      <c r="F111" s="51">
        <f>F106*E111</f>
        <v>14.272781759999999</v>
      </c>
      <c r="G111" s="51"/>
      <c r="H111" s="51"/>
      <c r="I111" s="51"/>
      <c r="J111" s="51"/>
      <c r="K111" s="51"/>
      <c r="L111" s="51"/>
      <c r="M111" s="52"/>
    </row>
    <row r="112" spans="1:13" x14ac:dyDescent="0.25">
      <c r="A112" s="194"/>
      <c r="B112" s="144"/>
      <c r="C112" s="53" t="s">
        <v>170</v>
      </c>
      <c r="D112" s="54" t="s">
        <v>17</v>
      </c>
      <c r="E112" s="51">
        <f>(3.24+1.5)*2</f>
        <v>9.48</v>
      </c>
      <c r="F112" s="51">
        <f>E106*E112</f>
        <v>284.40000000000003</v>
      </c>
      <c r="G112" s="51"/>
      <c r="H112" s="51"/>
      <c r="I112" s="51"/>
      <c r="J112" s="51"/>
      <c r="K112" s="51"/>
      <c r="L112" s="51"/>
      <c r="M112" s="52"/>
    </row>
    <row r="113" spans="1:15" x14ac:dyDescent="0.25">
      <c r="A113" s="194"/>
      <c r="B113" s="38"/>
      <c r="C113" s="65" t="s">
        <v>20</v>
      </c>
      <c r="D113" s="54" t="s">
        <v>50</v>
      </c>
      <c r="E113" s="51">
        <v>2.78</v>
      </c>
      <c r="F113" s="51">
        <f>F106*E113</f>
        <v>2.6104166639999997</v>
      </c>
      <c r="G113" s="51"/>
      <c r="H113" s="51"/>
      <c r="I113" s="51"/>
      <c r="J113" s="51"/>
      <c r="K113" s="51"/>
      <c r="L113" s="51"/>
      <c r="M113" s="52"/>
    </row>
    <row r="114" spans="1:15" x14ac:dyDescent="0.25">
      <c r="A114" s="194">
        <v>19</v>
      </c>
      <c r="B114" s="66" t="s">
        <v>95</v>
      </c>
      <c r="C114" s="49" t="s">
        <v>96</v>
      </c>
      <c r="D114" s="54" t="s">
        <v>22</v>
      </c>
      <c r="E114" s="51"/>
      <c r="F114" s="50">
        <f>E106+E98</f>
        <v>90</v>
      </c>
      <c r="G114" s="51"/>
      <c r="H114" s="51"/>
      <c r="I114" s="51"/>
      <c r="J114" s="51"/>
      <c r="K114" s="51"/>
      <c r="L114" s="51"/>
      <c r="M114" s="52"/>
    </row>
    <row r="115" spans="1:15" x14ac:dyDescent="0.25">
      <c r="A115" s="194"/>
      <c r="B115" s="66" t="s">
        <v>67</v>
      </c>
      <c r="C115" s="53"/>
      <c r="D115" s="54" t="s">
        <v>97</v>
      </c>
      <c r="E115" s="51"/>
      <c r="F115" s="77">
        <f>F114/10</f>
        <v>9</v>
      </c>
      <c r="G115" s="51"/>
      <c r="H115" s="51"/>
      <c r="I115" s="51"/>
      <c r="J115" s="51"/>
      <c r="K115" s="51"/>
      <c r="L115" s="51"/>
      <c r="M115" s="52"/>
    </row>
    <row r="116" spans="1:15" x14ac:dyDescent="0.25">
      <c r="A116" s="194"/>
      <c r="B116" s="48"/>
      <c r="C116" s="67" t="s">
        <v>68</v>
      </c>
      <c r="D116" s="54" t="s">
        <v>44</v>
      </c>
      <c r="E116" s="51">
        <v>7.11</v>
      </c>
      <c r="F116" s="51">
        <f>F115*E116</f>
        <v>63.99</v>
      </c>
      <c r="G116" s="51"/>
      <c r="H116" s="51"/>
      <c r="I116" s="51"/>
      <c r="J116" s="51"/>
      <c r="K116" s="51"/>
      <c r="L116" s="51"/>
      <c r="M116" s="52"/>
    </row>
    <row r="117" spans="1:15" s="72" customFormat="1" x14ac:dyDescent="0.2">
      <c r="A117" s="194"/>
      <c r="B117" s="68"/>
      <c r="C117" s="67" t="s">
        <v>98</v>
      </c>
      <c r="D117" s="69" t="s">
        <v>49</v>
      </c>
      <c r="E117" s="70">
        <v>0.56999999999999995</v>
      </c>
      <c r="F117" s="70">
        <f>E117*F115</f>
        <v>5.13</v>
      </c>
      <c r="G117" s="55"/>
      <c r="H117" s="55"/>
      <c r="I117" s="70"/>
      <c r="J117" s="55"/>
      <c r="K117" s="70"/>
      <c r="L117" s="55"/>
      <c r="M117" s="71"/>
    </row>
    <row r="118" spans="1:15" s="72" customFormat="1" ht="25.5" x14ac:dyDescent="0.2">
      <c r="A118" s="194"/>
      <c r="B118" s="68"/>
      <c r="C118" s="15" t="s">
        <v>152</v>
      </c>
      <c r="D118" s="16" t="s">
        <v>143</v>
      </c>
      <c r="E118" s="16" t="s">
        <v>144</v>
      </c>
      <c r="F118" s="17">
        <f>(32+32+16.2+16.2)*3</f>
        <v>289.20000000000005</v>
      </c>
      <c r="G118" s="18"/>
      <c r="H118" s="19"/>
      <c r="I118" s="19"/>
      <c r="J118" s="19"/>
      <c r="K118" s="18"/>
      <c r="L118" s="19"/>
      <c r="M118" s="20"/>
    </row>
    <row r="119" spans="1:15" s="72" customFormat="1" ht="12.75" x14ac:dyDescent="0.2">
      <c r="A119" s="194"/>
      <c r="B119" s="68"/>
      <c r="C119" s="15" t="s">
        <v>145</v>
      </c>
      <c r="D119" s="16" t="s">
        <v>146</v>
      </c>
      <c r="E119" s="16" t="s">
        <v>144</v>
      </c>
      <c r="F119" s="17">
        <v>3</v>
      </c>
      <c r="G119" s="18"/>
      <c r="H119" s="19"/>
      <c r="I119" s="19"/>
      <c r="J119" s="19"/>
      <c r="K119" s="18"/>
      <c r="L119" s="19"/>
      <c r="M119" s="20"/>
    </row>
    <row r="120" spans="1:15" s="72" customFormat="1" x14ac:dyDescent="0.2">
      <c r="A120" s="194"/>
      <c r="B120" s="68"/>
      <c r="C120" s="67" t="s">
        <v>73</v>
      </c>
      <c r="D120" s="69" t="s">
        <v>49</v>
      </c>
      <c r="E120" s="70">
        <v>0.11</v>
      </c>
      <c r="F120" s="70">
        <f>E120*F115</f>
        <v>0.99</v>
      </c>
      <c r="G120" s="55"/>
      <c r="H120" s="55"/>
      <c r="I120" s="70"/>
      <c r="J120" s="55"/>
      <c r="K120" s="70"/>
      <c r="L120" s="55"/>
      <c r="M120" s="71"/>
    </row>
    <row r="121" spans="1:15" x14ac:dyDescent="0.25">
      <c r="A121" s="194"/>
      <c r="B121" s="144"/>
      <c r="C121" s="53" t="s">
        <v>45</v>
      </c>
      <c r="D121" s="54" t="s">
        <v>17</v>
      </c>
      <c r="E121" s="51" t="s">
        <v>74</v>
      </c>
      <c r="F121" s="51">
        <v>94</v>
      </c>
      <c r="G121" s="51"/>
      <c r="H121" s="51"/>
      <c r="I121" s="51"/>
      <c r="J121" s="51"/>
      <c r="K121" s="51"/>
      <c r="L121" s="51"/>
      <c r="M121" s="52"/>
    </row>
    <row r="122" spans="1:15" ht="24" x14ac:dyDescent="0.25">
      <c r="A122" s="198">
        <v>20</v>
      </c>
      <c r="B122" s="109" t="s">
        <v>100</v>
      </c>
      <c r="C122" s="110" t="s">
        <v>141</v>
      </c>
      <c r="D122" s="75" t="s">
        <v>19</v>
      </c>
      <c r="E122" s="55"/>
      <c r="F122" s="111">
        <f>0.1*4*F36*2</f>
        <v>134.82</v>
      </c>
      <c r="G122" s="51"/>
      <c r="H122" s="51"/>
      <c r="I122" s="55"/>
      <c r="J122" s="51"/>
      <c r="K122" s="51"/>
      <c r="L122" s="51"/>
      <c r="M122" s="52"/>
    </row>
    <row r="123" spans="1:15" x14ac:dyDescent="0.25">
      <c r="A123" s="198"/>
      <c r="B123" s="64"/>
      <c r="C123" s="88"/>
      <c r="D123" s="75" t="s">
        <v>39</v>
      </c>
      <c r="E123" s="55"/>
      <c r="F123" s="112">
        <f>F122/100</f>
        <v>1.3481999999999998</v>
      </c>
      <c r="G123" s="51"/>
      <c r="H123" s="51"/>
      <c r="I123" s="55"/>
      <c r="J123" s="51"/>
      <c r="K123" s="51"/>
      <c r="L123" s="51"/>
      <c r="M123" s="52"/>
      <c r="O123" s="145"/>
    </row>
    <row r="124" spans="1:15" x14ac:dyDescent="0.25">
      <c r="A124" s="198"/>
      <c r="B124" s="64"/>
      <c r="C124" s="65" t="s">
        <v>43</v>
      </c>
      <c r="D124" s="54" t="s">
        <v>44</v>
      </c>
      <c r="E124" s="55">
        <v>68</v>
      </c>
      <c r="F124" s="55">
        <f>F123*E124</f>
        <v>91.677599999999984</v>
      </c>
      <c r="G124" s="51"/>
      <c r="H124" s="51"/>
      <c r="I124" s="55"/>
      <c r="J124" s="51"/>
      <c r="K124" s="51"/>
      <c r="L124" s="51"/>
      <c r="M124" s="52"/>
    </row>
    <row r="125" spans="1:15" x14ac:dyDescent="0.25">
      <c r="A125" s="198"/>
      <c r="B125" s="64"/>
      <c r="C125" s="65" t="s">
        <v>15</v>
      </c>
      <c r="D125" s="54" t="s">
        <v>50</v>
      </c>
      <c r="E125" s="55">
        <v>0.03</v>
      </c>
      <c r="F125" s="55">
        <f>F123*E125</f>
        <v>4.0445999999999996E-2</v>
      </c>
      <c r="G125" s="51"/>
      <c r="H125" s="51"/>
      <c r="I125" s="55"/>
      <c r="J125" s="51"/>
      <c r="K125" s="51"/>
      <c r="L125" s="51"/>
      <c r="M125" s="52"/>
    </row>
    <row r="126" spans="1:15" x14ac:dyDescent="0.25">
      <c r="A126" s="198"/>
      <c r="B126" s="64"/>
      <c r="C126" s="65" t="s">
        <v>101</v>
      </c>
      <c r="D126" s="54" t="s">
        <v>21</v>
      </c>
      <c r="E126" s="55">
        <v>2.7</v>
      </c>
      <c r="F126" s="55">
        <f>E126*F123</f>
        <v>3.6401399999999997</v>
      </c>
      <c r="G126" s="51"/>
      <c r="H126" s="51"/>
      <c r="I126" s="55"/>
      <c r="J126" s="51"/>
      <c r="K126" s="51"/>
      <c r="L126" s="51"/>
      <c r="M126" s="52"/>
    </row>
    <row r="127" spans="1:15" x14ac:dyDescent="0.25">
      <c r="A127" s="198"/>
      <c r="B127" s="64"/>
      <c r="C127" s="88" t="s">
        <v>23</v>
      </c>
      <c r="D127" s="54" t="s">
        <v>21</v>
      </c>
      <c r="E127" s="55">
        <f>25.1+0.2</f>
        <v>25.3</v>
      </c>
      <c r="F127" s="55">
        <f>F123*E127</f>
        <v>34.109459999999999</v>
      </c>
      <c r="G127" s="51"/>
      <c r="H127" s="51"/>
      <c r="I127" s="55"/>
      <c r="J127" s="51"/>
      <c r="K127" s="51"/>
      <c r="L127" s="51"/>
      <c r="M127" s="52"/>
    </row>
    <row r="128" spans="1:15" x14ac:dyDescent="0.25">
      <c r="A128" s="37"/>
      <c r="B128" s="38"/>
      <c r="C128" s="144" t="s">
        <v>26</v>
      </c>
      <c r="D128" s="38"/>
      <c r="E128" s="39"/>
      <c r="F128" s="39"/>
      <c r="G128" s="39"/>
      <c r="H128" s="39"/>
      <c r="I128" s="39"/>
      <c r="J128" s="39"/>
      <c r="K128" s="39"/>
      <c r="L128" s="39"/>
      <c r="M128" s="40"/>
    </row>
    <row r="129" spans="1:13" x14ac:dyDescent="0.25">
      <c r="A129" s="194">
        <v>21</v>
      </c>
      <c r="B129" s="56" t="s">
        <v>0</v>
      </c>
      <c r="C129" s="49" t="s">
        <v>24</v>
      </c>
      <c r="D129" s="54" t="s">
        <v>18</v>
      </c>
      <c r="E129" s="51">
        <v>2</v>
      </c>
      <c r="F129" s="50">
        <f>E129*0.4*0.4*0.5*2</f>
        <v>0.32000000000000006</v>
      </c>
      <c r="G129" s="58"/>
      <c r="H129" s="58"/>
      <c r="I129" s="58"/>
      <c r="J129" s="58"/>
      <c r="K129" s="58"/>
      <c r="L129" s="58"/>
      <c r="M129" s="59"/>
    </row>
    <row r="130" spans="1:13" x14ac:dyDescent="0.25">
      <c r="A130" s="194"/>
      <c r="B130" s="60"/>
      <c r="C130" s="53"/>
      <c r="D130" s="54" t="s">
        <v>37</v>
      </c>
      <c r="E130" s="58"/>
      <c r="F130" s="77">
        <f>F129/100</f>
        <v>3.2000000000000006E-3</v>
      </c>
      <c r="G130" s="58"/>
      <c r="H130" s="58"/>
      <c r="I130" s="58"/>
      <c r="J130" s="58"/>
      <c r="K130" s="58"/>
      <c r="L130" s="58"/>
      <c r="M130" s="59"/>
    </row>
    <row r="131" spans="1:13" x14ac:dyDescent="0.25">
      <c r="A131" s="194"/>
      <c r="B131" s="64"/>
      <c r="C131" s="65" t="s">
        <v>43</v>
      </c>
      <c r="D131" s="54" t="s">
        <v>44</v>
      </c>
      <c r="E131" s="51">
        <v>206</v>
      </c>
      <c r="F131" s="51">
        <f>F130*E131</f>
        <v>0.65920000000000012</v>
      </c>
      <c r="G131" s="51"/>
      <c r="H131" s="51"/>
      <c r="I131" s="51"/>
      <c r="J131" s="51"/>
      <c r="K131" s="51"/>
      <c r="L131" s="51"/>
      <c r="M131" s="52"/>
    </row>
    <row r="132" spans="1:13" ht="24" x14ac:dyDescent="0.25">
      <c r="A132" s="198">
        <v>22</v>
      </c>
      <c r="B132" s="64" t="s">
        <v>102</v>
      </c>
      <c r="C132" s="155" t="s">
        <v>188</v>
      </c>
      <c r="D132" s="75" t="s">
        <v>18</v>
      </c>
      <c r="E132" s="51"/>
      <c r="F132" s="111">
        <f>0.32*3.2</f>
        <v>1.024</v>
      </c>
      <c r="G132" s="55"/>
      <c r="H132" s="51"/>
      <c r="I132" s="51"/>
      <c r="J132" s="51"/>
      <c r="K132" s="51"/>
      <c r="L132" s="51"/>
      <c r="M132" s="52"/>
    </row>
    <row r="133" spans="1:13" x14ac:dyDescent="0.25">
      <c r="A133" s="198"/>
      <c r="B133" s="64"/>
      <c r="C133" s="89"/>
      <c r="D133" s="54" t="s">
        <v>37</v>
      </c>
      <c r="E133" s="58"/>
      <c r="F133" s="77">
        <f>F132/100</f>
        <v>1.0240000000000001E-2</v>
      </c>
      <c r="G133" s="55"/>
      <c r="H133" s="51"/>
      <c r="I133" s="51"/>
      <c r="J133" s="51"/>
      <c r="K133" s="51"/>
      <c r="L133" s="51"/>
      <c r="M133" s="52"/>
    </row>
    <row r="134" spans="1:13" x14ac:dyDescent="0.25">
      <c r="A134" s="198"/>
      <c r="B134" s="116"/>
      <c r="C134" s="65" t="s">
        <v>43</v>
      </c>
      <c r="D134" s="54" t="s">
        <v>44</v>
      </c>
      <c r="E134" s="55">
        <v>137</v>
      </c>
      <c r="F134" s="51">
        <f>F133*E134</f>
        <v>1.4028800000000001</v>
      </c>
      <c r="G134" s="55"/>
      <c r="H134" s="51"/>
      <c r="I134" s="51"/>
      <c r="J134" s="51"/>
      <c r="K134" s="51"/>
      <c r="L134" s="51"/>
      <c r="M134" s="52"/>
    </row>
    <row r="135" spans="1:13" x14ac:dyDescent="0.25">
      <c r="A135" s="198"/>
      <c r="B135" s="64"/>
      <c r="C135" s="65" t="s">
        <v>15</v>
      </c>
      <c r="D135" s="54" t="s">
        <v>50</v>
      </c>
      <c r="E135" s="55">
        <v>28.3</v>
      </c>
      <c r="F135" s="51">
        <f>F133*E135</f>
        <v>0.28979200000000005</v>
      </c>
      <c r="G135" s="55"/>
      <c r="H135" s="51"/>
      <c r="I135" s="51"/>
      <c r="J135" s="51"/>
      <c r="K135" s="51"/>
      <c r="L135" s="51"/>
      <c r="M135" s="52"/>
    </row>
    <row r="136" spans="1:13" x14ac:dyDescent="0.25">
      <c r="A136" s="198"/>
      <c r="B136" s="73"/>
      <c r="C136" s="74" t="s">
        <v>196</v>
      </c>
      <c r="D136" s="75" t="s">
        <v>18</v>
      </c>
      <c r="E136" s="55">
        <v>102</v>
      </c>
      <c r="F136" s="51">
        <f>F133*E136</f>
        <v>1.0444800000000001</v>
      </c>
      <c r="G136" s="117"/>
      <c r="H136" s="51"/>
      <c r="I136" s="51"/>
      <c r="J136" s="51"/>
      <c r="K136" s="51"/>
      <c r="L136" s="51"/>
      <c r="M136" s="52"/>
    </row>
    <row r="137" spans="1:13" x14ac:dyDescent="0.25">
      <c r="A137" s="198"/>
      <c r="B137" s="64"/>
      <c r="C137" s="89" t="s">
        <v>25</v>
      </c>
      <c r="D137" s="54" t="s">
        <v>50</v>
      </c>
      <c r="E137" s="55">
        <v>62</v>
      </c>
      <c r="F137" s="51">
        <f>F133*E137</f>
        <v>0.63488</v>
      </c>
      <c r="G137" s="55"/>
      <c r="H137" s="51"/>
      <c r="I137" s="51"/>
      <c r="J137" s="51"/>
      <c r="K137" s="51"/>
      <c r="L137" s="51"/>
      <c r="M137" s="52"/>
    </row>
    <row r="138" spans="1:13" x14ac:dyDescent="0.25">
      <c r="A138" s="194">
        <v>23</v>
      </c>
      <c r="B138" s="60" t="s">
        <v>90</v>
      </c>
      <c r="C138" s="38" t="s">
        <v>27</v>
      </c>
      <c r="D138" s="54" t="s">
        <v>16</v>
      </c>
      <c r="E138" s="51">
        <v>2</v>
      </c>
      <c r="F138" s="77">
        <f>(F142*2.74+F143*9.77+F144*39.3)/1000</f>
        <v>0.18670900000000001</v>
      </c>
      <c r="G138" s="51"/>
      <c r="H138" s="51"/>
      <c r="I138" s="51"/>
      <c r="J138" s="51"/>
      <c r="K138" s="51"/>
      <c r="L138" s="51"/>
      <c r="M138" s="52"/>
    </row>
    <row r="139" spans="1:13" x14ac:dyDescent="0.25">
      <c r="A139" s="194"/>
      <c r="B139" s="144"/>
      <c r="C139" s="65" t="s">
        <v>43</v>
      </c>
      <c r="D139" s="54" t="s">
        <v>44</v>
      </c>
      <c r="E139" s="51">
        <v>34.9</v>
      </c>
      <c r="F139" s="51">
        <f>F138*E139</f>
        <v>6.5161441</v>
      </c>
      <c r="G139" s="51"/>
      <c r="H139" s="51"/>
      <c r="I139" s="51"/>
      <c r="J139" s="51"/>
      <c r="K139" s="51"/>
      <c r="L139" s="51"/>
      <c r="M139" s="52"/>
    </row>
    <row r="140" spans="1:13" x14ac:dyDescent="0.25">
      <c r="A140" s="194"/>
      <c r="B140" s="144"/>
      <c r="C140" s="65" t="s">
        <v>15</v>
      </c>
      <c r="D140" s="54" t="s">
        <v>50</v>
      </c>
      <c r="E140" s="51">
        <v>4.07</v>
      </c>
      <c r="F140" s="51">
        <f>F138*E140</f>
        <v>0.75990563000000011</v>
      </c>
      <c r="G140" s="51"/>
      <c r="H140" s="51"/>
      <c r="I140" s="51"/>
      <c r="J140" s="51"/>
      <c r="K140" s="51"/>
      <c r="L140" s="51"/>
      <c r="M140" s="52"/>
    </row>
    <row r="141" spans="1:13" x14ac:dyDescent="0.25">
      <c r="A141" s="194"/>
      <c r="B141" s="144"/>
      <c r="C141" s="53" t="s">
        <v>92</v>
      </c>
      <c r="D141" s="54" t="s">
        <v>21</v>
      </c>
      <c r="E141" s="51">
        <v>15.2</v>
      </c>
      <c r="F141" s="51">
        <f>F138*E141</f>
        <v>2.8379768000000003</v>
      </c>
      <c r="G141" s="51"/>
      <c r="H141" s="51"/>
      <c r="I141" s="51"/>
      <c r="J141" s="51"/>
      <c r="K141" s="51"/>
      <c r="L141" s="51"/>
      <c r="M141" s="52"/>
    </row>
    <row r="142" spans="1:13" x14ac:dyDescent="0.25">
      <c r="A142" s="194"/>
      <c r="B142" s="144"/>
      <c r="C142" s="53" t="s">
        <v>103</v>
      </c>
      <c r="D142" s="54" t="s">
        <v>17</v>
      </c>
      <c r="E142" s="51">
        <f>2.45*2</f>
        <v>4.9000000000000004</v>
      </c>
      <c r="F142" s="51">
        <f>E138*E142</f>
        <v>9.8000000000000007</v>
      </c>
      <c r="G142" s="51"/>
      <c r="H142" s="51"/>
      <c r="I142" s="51"/>
      <c r="J142" s="51"/>
      <c r="K142" s="51"/>
      <c r="L142" s="51"/>
      <c r="M142" s="52"/>
    </row>
    <row r="143" spans="1:13" x14ac:dyDescent="0.25">
      <c r="A143" s="194"/>
      <c r="B143" s="144"/>
      <c r="C143" s="53" t="s">
        <v>104</v>
      </c>
      <c r="D143" s="54" t="s">
        <v>17</v>
      </c>
      <c r="E143" s="51">
        <f>3.2+2.4*2</f>
        <v>8</v>
      </c>
      <c r="F143" s="51">
        <f>E138*E143</f>
        <v>16</v>
      </c>
      <c r="G143" s="51"/>
      <c r="H143" s="51"/>
      <c r="I143" s="51"/>
      <c r="J143" s="51"/>
      <c r="K143" s="51"/>
      <c r="L143" s="51"/>
      <c r="M143" s="52"/>
    </row>
    <row r="144" spans="1:13" x14ac:dyDescent="0.25">
      <c r="A144" s="194"/>
      <c r="B144" s="48"/>
      <c r="C144" s="53" t="s">
        <v>135</v>
      </c>
      <c r="D144" s="54" t="s">
        <v>19</v>
      </c>
      <c r="E144" s="51" t="s">
        <v>74</v>
      </c>
      <c r="F144" s="51">
        <v>0.09</v>
      </c>
      <c r="G144" s="51"/>
      <c r="H144" s="51"/>
      <c r="I144" s="51"/>
      <c r="J144" s="51"/>
      <c r="K144" s="51"/>
      <c r="L144" s="51"/>
      <c r="M144" s="52"/>
    </row>
    <row r="145" spans="1:13" x14ac:dyDescent="0.25">
      <c r="A145" s="194"/>
      <c r="B145" s="38"/>
      <c r="C145" s="65" t="s">
        <v>20</v>
      </c>
      <c r="D145" s="54" t="s">
        <v>50</v>
      </c>
      <c r="E145" s="51">
        <v>2.78</v>
      </c>
      <c r="F145" s="51">
        <f>F138*E145</f>
        <v>0.51905102000000003</v>
      </c>
      <c r="G145" s="51"/>
      <c r="H145" s="51"/>
      <c r="I145" s="51"/>
      <c r="J145" s="51"/>
      <c r="K145" s="51"/>
      <c r="L145" s="51"/>
      <c r="M145" s="52"/>
    </row>
    <row r="146" spans="1:13" ht="12.75" x14ac:dyDescent="0.25">
      <c r="A146" s="219">
        <v>24</v>
      </c>
      <c r="B146" s="146" t="s">
        <v>182</v>
      </c>
      <c r="C146" s="147" t="s">
        <v>183</v>
      </c>
      <c r="D146" s="148" t="s">
        <v>184</v>
      </c>
      <c r="E146" s="149"/>
      <c r="F146" s="150">
        <v>2</v>
      </c>
      <c r="G146" s="151"/>
      <c r="H146" s="151"/>
      <c r="I146" s="151"/>
      <c r="J146" s="151"/>
      <c r="K146" s="151"/>
      <c r="L146" s="151"/>
      <c r="M146" s="151"/>
    </row>
    <row r="147" spans="1:13" ht="12.75" x14ac:dyDescent="0.25">
      <c r="A147" s="220"/>
      <c r="B147" s="146"/>
      <c r="C147" s="152" t="s">
        <v>185</v>
      </c>
      <c r="D147" s="153" t="s">
        <v>186</v>
      </c>
      <c r="E147" s="149">
        <v>10</v>
      </c>
      <c r="F147" s="154">
        <f>E147*F146</f>
        <v>20</v>
      </c>
      <c r="G147" s="154"/>
      <c r="H147" s="154"/>
      <c r="I147" s="154"/>
      <c r="J147" s="154"/>
      <c r="K147" s="154"/>
      <c r="L147" s="154"/>
      <c r="M147" s="154"/>
    </row>
    <row r="148" spans="1:13" ht="25.5" x14ac:dyDescent="0.25">
      <c r="A148" s="220"/>
      <c r="B148" s="146"/>
      <c r="C148" s="152" t="s">
        <v>216</v>
      </c>
      <c r="D148" s="153" t="s">
        <v>184</v>
      </c>
      <c r="E148" s="149"/>
      <c r="F148" s="154">
        <f>F146</f>
        <v>2</v>
      </c>
      <c r="G148" s="154"/>
      <c r="H148" s="154"/>
      <c r="I148" s="154"/>
      <c r="J148" s="154"/>
      <c r="K148" s="154"/>
      <c r="L148" s="154"/>
      <c r="M148" s="154"/>
    </row>
    <row r="149" spans="1:13" ht="12.75" x14ac:dyDescent="0.25">
      <c r="A149" s="220"/>
      <c r="B149" s="146"/>
      <c r="C149" s="152" t="s">
        <v>187</v>
      </c>
      <c r="D149" s="153" t="s">
        <v>50</v>
      </c>
      <c r="E149" s="149">
        <v>1</v>
      </c>
      <c r="F149" s="154">
        <f>F146*E149</f>
        <v>2</v>
      </c>
      <c r="G149" s="154"/>
      <c r="H149" s="154"/>
      <c r="I149" s="154"/>
      <c r="J149" s="154"/>
      <c r="K149" s="154"/>
      <c r="L149" s="154"/>
      <c r="M149" s="154"/>
    </row>
    <row r="150" spans="1:13" ht="12.75" x14ac:dyDescent="0.25">
      <c r="A150" s="221"/>
      <c r="B150" s="146"/>
      <c r="C150" s="152" t="s">
        <v>20</v>
      </c>
      <c r="D150" s="153" t="s">
        <v>50</v>
      </c>
      <c r="E150" s="149">
        <v>1</v>
      </c>
      <c r="F150" s="154">
        <f>F146*E150</f>
        <v>2</v>
      </c>
      <c r="G150" s="154"/>
      <c r="H150" s="154"/>
      <c r="I150" s="154"/>
      <c r="J150" s="154"/>
      <c r="K150" s="154"/>
      <c r="L150" s="154"/>
      <c r="M150" s="154"/>
    </row>
    <row r="151" spans="1:13" x14ac:dyDescent="0.25">
      <c r="A151" s="198">
        <v>25</v>
      </c>
      <c r="B151" s="64" t="s">
        <v>105</v>
      </c>
      <c r="C151" s="113" t="s">
        <v>99</v>
      </c>
      <c r="D151" s="75" t="s">
        <v>16</v>
      </c>
      <c r="E151" s="55"/>
      <c r="F151" s="77">
        <f>F138+0.1</f>
        <v>0.28670899999999999</v>
      </c>
      <c r="G151" s="51"/>
      <c r="H151" s="51"/>
      <c r="I151" s="55"/>
      <c r="J151" s="51"/>
      <c r="K151" s="51"/>
      <c r="L151" s="51"/>
      <c r="M151" s="52"/>
    </row>
    <row r="152" spans="1:13" x14ac:dyDescent="0.25">
      <c r="A152" s="198"/>
      <c r="B152" s="64"/>
      <c r="C152" s="65" t="s">
        <v>43</v>
      </c>
      <c r="D152" s="54" t="s">
        <v>44</v>
      </c>
      <c r="E152" s="55">
        <v>2.56</v>
      </c>
      <c r="F152" s="55">
        <f>F151*E152</f>
        <v>0.73397504000000002</v>
      </c>
      <c r="G152" s="51"/>
      <c r="H152" s="51"/>
      <c r="I152" s="55"/>
      <c r="J152" s="51"/>
      <c r="K152" s="51"/>
      <c r="L152" s="51"/>
      <c r="M152" s="52"/>
    </row>
    <row r="153" spans="1:13" x14ac:dyDescent="0.25">
      <c r="A153" s="198"/>
      <c r="B153" s="64"/>
      <c r="C153" s="65" t="s">
        <v>15</v>
      </c>
      <c r="D153" s="54" t="s">
        <v>50</v>
      </c>
      <c r="E153" s="55">
        <v>1.24</v>
      </c>
      <c r="F153" s="55">
        <f>F151*E153</f>
        <v>0.35551916</v>
      </c>
      <c r="G153" s="51"/>
      <c r="H153" s="51"/>
      <c r="I153" s="55"/>
      <c r="J153" s="51"/>
      <c r="K153" s="51"/>
      <c r="L153" s="51"/>
      <c r="M153" s="52"/>
    </row>
    <row r="154" spans="1:13" x14ac:dyDescent="0.25">
      <c r="A154" s="198"/>
      <c r="B154" s="64"/>
      <c r="C154" s="88" t="s">
        <v>23</v>
      </c>
      <c r="D154" s="54" t="s">
        <v>21</v>
      </c>
      <c r="E154" s="55">
        <v>2.23</v>
      </c>
      <c r="F154" s="55">
        <f>F151*E154</f>
        <v>0.63936106999999998</v>
      </c>
      <c r="G154" s="51"/>
      <c r="H154" s="51"/>
      <c r="I154" s="55"/>
      <c r="J154" s="51"/>
      <c r="K154" s="51"/>
      <c r="L154" s="51"/>
      <c r="M154" s="52"/>
    </row>
    <row r="155" spans="1:13" x14ac:dyDescent="0.25">
      <c r="A155" s="198"/>
      <c r="B155" s="38"/>
      <c r="C155" s="65" t="s">
        <v>20</v>
      </c>
      <c r="D155" s="54" t="s">
        <v>50</v>
      </c>
      <c r="E155" s="51">
        <v>0.13</v>
      </c>
      <c r="F155" s="51">
        <f>F151*E155</f>
        <v>3.727217E-2</v>
      </c>
      <c r="G155" s="51"/>
      <c r="H155" s="51"/>
      <c r="I155" s="51"/>
      <c r="J155" s="51"/>
      <c r="K155" s="51"/>
      <c r="L155" s="51"/>
      <c r="M155" s="52"/>
    </row>
    <row r="156" spans="1:13" ht="21.6" customHeight="1" x14ac:dyDescent="0.25">
      <c r="A156" s="169"/>
      <c r="B156" s="38"/>
      <c r="C156" s="113" t="s">
        <v>197</v>
      </c>
      <c r="D156" s="54"/>
      <c r="E156" s="51"/>
      <c r="F156" s="51"/>
      <c r="G156" s="51"/>
      <c r="H156" s="51"/>
      <c r="I156" s="51"/>
      <c r="J156" s="51"/>
      <c r="K156" s="51"/>
      <c r="L156" s="51"/>
      <c r="M156" s="52"/>
    </row>
    <row r="157" spans="1:13" ht="20.45" customHeight="1" x14ac:dyDescent="0.25">
      <c r="A157" s="195">
        <v>26</v>
      </c>
      <c r="B157" s="170" t="s">
        <v>206</v>
      </c>
      <c r="C157" s="171" t="s">
        <v>208</v>
      </c>
      <c r="D157" s="172" t="s">
        <v>209</v>
      </c>
      <c r="E157" s="173"/>
      <c r="F157" s="174">
        <v>1</v>
      </c>
      <c r="G157" s="175"/>
      <c r="H157" s="175"/>
      <c r="I157" s="175"/>
      <c r="J157" s="175"/>
      <c r="K157" s="175"/>
      <c r="L157" s="175"/>
      <c r="M157" s="175"/>
    </row>
    <row r="158" spans="1:13" ht="12.75" x14ac:dyDescent="0.25">
      <c r="A158" s="196"/>
      <c r="B158" s="176"/>
      <c r="C158" s="177" t="s">
        <v>199</v>
      </c>
      <c r="D158" s="178" t="s">
        <v>186</v>
      </c>
      <c r="E158" s="173">
        <v>1</v>
      </c>
      <c r="F158" s="175">
        <f>E158*F157</f>
        <v>1</v>
      </c>
      <c r="G158" s="65"/>
      <c r="H158" s="65"/>
      <c r="I158" s="179"/>
      <c r="J158" s="180"/>
      <c r="K158" s="179"/>
      <c r="L158" s="180"/>
      <c r="M158" s="180"/>
    </row>
    <row r="159" spans="1:13" x14ac:dyDescent="0.25">
      <c r="A159" s="194">
        <v>27</v>
      </c>
      <c r="B159" s="56" t="s">
        <v>0</v>
      </c>
      <c r="C159" s="57" t="s">
        <v>41</v>
      </c>
      <c r="D159" s="54" t="s">
        <v>18</v>
      </c>
      <c r="E159" s="58"/>
      <c r="F159" s="50">
        <f>0.5*0.5*1*8</f>
        <v>2</v>
      </c>
      <c r="G159" s="58"/>
      <c r="H159" s="58"/>
      <c r="I159" s="58"/>
      <c r="J159" s="58"/>
      <c r="K159" s="58"/>
      <c r="L159" s="58"/>
      <c r="M159" s="59"/>
    </row>
    <row r="160" spans="1:13" x14ac:dyDescent="0.25">
      <c r="A160" s="194"/>
      <c r="B160" s="60"/>
      <c r="C160" s="53"/>
      <c r="D160" s="61" t="s">
        <v>37</v>
      </c>
      <c r="E160" s="62"/>
      <c r="F160" s="63">
        <f>F159/100</f>
        <v>0.02</v>
      </c>
      <c r="G160" s="58"/>
      <c r="H160" s="58"/>
      <c r="I160" s="58"/>
      <c r="J160" s="58"/>
      <c r="K160" s="58"/>
      <c r="L160" s="58"/>
      <c r="M160" s="59"/>
    </row>
    <row r="161" spans="1:16" x14ac:dyDescent="0.25">
      <c r="A161" s="194"/>
      <c r="B161" s="64"/>
      <c r="C161" s="65" t="s">
        <v>43</v>
      </c>
      <c r="D161" s="54" t="s">
        <v>44</v>
      </c>
      <c r="E161" s="51">
        <v>206</v>
      </c>
      <c r="F161" s="51">
        <f>F160*E161</f>
        <v>4.12</v>
      </c>
      <c r="G161" s="51"/>
      <c r="H161" s="51"/>
      <c r="I161" s="51"/>
      <c r="J161" s="51"/>
      <c r="K161" s="51"/>
      <c r="L161" s="51"/>
      <c r="M161" s="52"/>
    </row>
    <row r="162" spans="1:16" ht="12.75" x14ac:dyDescent="0.25">
      <c r="A162" s="195">
        <v>28</v>
      </c>
      <c r="B162" s="170" t="s">
        <v>200</v>
      </c>
      <c r="C162" s="171" t="s">
        <v>210</v>
      </c>
      <c r="D162" s="172" t="s">
        <v>198</v>
      </c>
      <c r="E162" s="173"/>
      <c r="F162" s="174">
        <f>F159</f>
        <v>2</v>
      </c>
      <c r="G162" s="175"/>
      <c r="H162" s="175"/>
      <c r="I162" s="175"/>
      <c r="J162" s="175"/>
      <c r="K162" s="175"/>
      <c r="L162" s="175"/>
      <c r="M162" s="175"/>
    </row>
    <row r="163" spans="1:16" ht="12.75" x14ac:dyDescent="0.25">
      <c r="A163" s="197"/>
      <c r="B163" s="176"/>
      <c r="C163" s="177" t="s">
        <v>199</v>
      </c>
      <c r="D163" s="178" t="s">
        <v>44</v>
      </c>
      <c r="E163" s="173">
        <v>6.66</v>
      </c>
      <c r="F163" s="173">
        <f>E163*F162</f>
        <v>13.32</v>
      </c>
      <c r="G163" s="65"/>
      <c r="H163" s="65"/>
      <c r="I163" s="179"/>
      <c r="J163" s="180"/>
      <c r="K163" s="179"/>
      <c r="L163" s="180"/>
      <c r="M163" s="180"/>
    </row>
    <row r="164" spans="1:16" ht="12.75" x14ac:dyDescent="0.25">
      <c r="A164" s="197"/>
      <c r="B164" s="176"/>
      <c r="C164" s="152" t="s">
        <v>15</v>
      </c>
      <c r="D164" s="181" t="s">
        <v>201</v>
      </c>
      <c r="E164" s="173">
        <v>0.59</v>
      </c>
      <c r="F164" s="173">
        <f>E164*F162</f>
        <v>1.18</v>
      </c>
      <c r="G164" s="180"/>
      <c r="H164" s="180"/>
      <c r="I164" s="180"/>
      <c r="J164" s="180"/>
      <c r="K164" s="180"/>
      <c r="L164" s="180"/>
      <c r="M164" s="180"/>
    </row>
    <row r="165" spans="1:16" ht="12.75" x14ac:dyDescent="0.25">
      <c r="A165" s="197"/>
      <c r="B165" s="178"/>
      <c r="C165" s="177" t="s">
        <v>202</v>
      </c>
      <c r="D165" s="182" t="s">
        <v>198</v>
      </c>
      <c r="E165" s="183">
        <v>1.05</v>
      </c>
      <c r="F165" s="184">
        <f>E165*F162</f>
        <v>2.1</v>
      </c>
      <c r="G165" s="185"/>
      <c r="H165" s="186"/>
      <c r="I165" s="65"/>
      <c r="J165" s="65"/>
      <c r="K165" s="187"/>
      <c r="L165" s="186"/>
      <c r="M165" s="185"/>
    </row>
    <row r="166" spans="1:16" ht="12.75" x14ac:dyDescent="0.25">
      <c r="A166" s="197"/>
      <c r="B166" s="176"/>
      <c r="C166" s="188" t="s">
        <v>203</v>
      </c>
      <c r="D166" s="176" t="s">
        <v>204</v>
      </c>
      <c r="E166" s="173">
        <v>1.6</v>
      </c>
      <c r="F166" s="189">
        <f>E166*F162</f>
        <v>3.2</v>
      </c>
      <c r="G166" s="185"/>
      <c r="H166" s="186"/>
      <c r="I166" s="65"/>
      <c r="J166" s="65"/>
      <c r="K166" s="187"/>
      <c r="L166" s="186"/>
      <c r="M166" s="185"/>
    </row>
    <row r="167" spans="1:16" ht="12.75" x14ac:dyDescent="0.25">
      <c r="A167" s="197"/>
      <c r="B167" s="176"/>
      <c r="C167" s="188" t="s">
        <v>213</v>
      </c>
      <c r="D167" s="182" t="s">
        <v>198</v>
      </c>
      <c r="E167" s="173">
        <v>1.83E-2</v>
      </c>
      <c r="F167" s="189">
        <f>E167*F162</f>
        <v>3.6600000000000001E-2</v>
      </c>
      <c r="G167" s="185"/>
      <c r="H167" s="186"/>
      <c r="I167" s="65"/>
      <c r="J167" s="65"/>
      <c r="K167" s="187"/>
      <c r="L167" s="186"/>
      <c r="M167" s="185"/>
    </row>
    <row r="168" spans="1:16" ht="12.75" x14ac:dyDescent="0.25">
      <c r="A168" s="196"/>
      <c r="B168" s="176"/>
      <c r="C168" s="188" t="s">
        <v>205</v>
      </c>
      <c r="D168" s="176" t="s">
        <v>50</v>
      </c>
      <c r="E168" s="173">
        <v>0.4</v>
      </c>
      <c r="F168" s="189">
        <f>E168*F162</f>
        <v>0.8</v>
      </c>
      <c r="G168" s="185"/>
      <c r="H168" s="186"/>
      <c r="I168" s="65"/>
      <c r="J168" s="65"/>
      <c r="K168" s="187"/>
      <c r="L168" s="186"/>
      <c r="M168" s="185"/>
    </row>
    <row r="169" spans="1:16" ht="18" customHeight="1" x14ac:dyDescent="0.25">
      <c r="A169" s="195">
        <v>29</v>
      </c>
      <c r="B169" s="170" t="s">
        <v>206</v>
      </c>
      <c r="C169" s="171" t="s">
        <v>207</v>
      </c>
      <c r="D169" s="172" t="s">
        <v>209</v>
      </c>
      <c r="E169" s="173"/>
      <c r="F169" s="174">
        <v>1</v>
      </c>
      <c r="G169" s="175"/>
      <c r="H169" s="175"/>
      <c r="I169" s="175"/>
      <c r="J169" s="175"/>
      <c r="K169" s="175"/>
      <c r="L169" s="175"/>
      <c r="M169" s="175"/>
    </row>
    <row r="170" spans="1:16" ht="12.75" x14ac:dyDescent="0.25">
      <c r="A170" s="196"/>
      <c r="B170" s="176"/>
      <c r="C170" s="177" t="s">
        <v>199</v>
      </c>
      <c r="D170" s="178" t="s">
        <v>186</v>
      </c>
      <c r="E170" s="173">
        <v>3</v>
      </c>
      <c r="F170" s="175">
        <f>E170*F169</f>
        <v>3</v>
      </c>
      <c r="G170" s="65"/>
      <c r="H170" s="65"/>
      <c r="I170" s="179"/>
      <c r="J170" s="180"/>
      <c r="K170" s="179"/>
      <c r="L170" s="180"/>
      <c r="M170" s="180"/>
    </row>
    <row r="171" spans="1:16" s="24" customFormat="1" x14ac:dyDescent="0.25">
      <c r="A171" s="168"/>
      <c r="B171" s="38"/>
      <c r="C171" s="144" t="s">
        <v>10</v>
      </c>
      <c r="D171" s="144"/>
      <c r="E171" s="50"/>
      <c r="F171" s="50"/>
      <c r="G171" s="50"/>
      <c r="H171" s="50"/>
      <c r="I171" s="50"/>
      <c r="J171" s="50"/>
      <c r="K171" s="50"/>
      <c r="L171" s="50"/>
      <c r="M171" s="118"/>
      <c r="N171" s="119"/>
      <c r="P171" s="119"/>
    </row>
    <row r="172" spans="1:16" x14ac:dyDescent="0.25">
      <c r="A172" s="168"/>
      <c r="B172" s="38"/>
      <c r="C172" s="144" t="s">
        <v>106</v>
      </c>
      <c r="D172" s="120">
        <v>0.1</v>
      </c>
      <c r="E172" s="50"/>
      <c r="F172" s="50"/>
      <c r="G172" s="50"/>
      <c r="H172" s="50"/>
      <c r="I172" s="50"/>
      <c r="J172" s="50"/>
      <c r="K172" s="50"/>
      <c r="L172" s="50"/>
      <c r="M172" s="121"/>
    </row>
    <row r="173" spans="1:16" x14ac:dyDescent="0.25">
      <c r="A173" s="168"/>
      <c r="B173" s="38"/>
      <c r="C173" s="144" t="s">
        <v>10</v>
      </c>
      <c r="D173" s="120"/>
      <c r="E173" s="50"/>
      <c r="F173" s="50"/>
      <c r="G173" s="50"/>
      <c r="H173" s="50"/>
      <c r="I173" s="50"/>
      <c r="J173" s="50"/>
      <c r="K173" s="50"/>
      <c r="L173" s="50"/>
      <c r="M173" s="118"/>
    </row>
    <row r="174" spans="1:16" x14ac:dyDescent="0.25">
      <c r="A174" s="168"/>
      <c r="B174" s="38"/>
      <c r="C174" s="144" t="s">
        <v>107</v>
      </c>
      <c r="D174" s="120">
        <v>0.08</v>
      </c>
      <c r="E174" s="50"/>
      <c r="F174" s="50"/>
      <c r="G174" s="50"/>
      <c r="H174" s="50"/>
      <c r="I174" s="50"/>
      <c r="J174" s="50"/>
      <c r="K174" s="50"/>
      <c r="L174" s="50"/>
      <c r="M174" s="121"/>
    </row>
    <row r="175" spans="1:16" x14ac:dyDescent="0.25">
      <c r="A175" s="168"/>
      <c r="B175" s="38"/>
      <c r="C175" s="144" t="s">
        <v>28</v>
      </c>
      <c r="D175" s="54"/>
      <c r="E175" s="51"/>
      <c r="F175" s="51"/>
      <c r="G175" s="51"/>
      <c r="H175" s="51"/>
      <c r="I175" s="51"/>
      <c r="J175" s="50"/>
      <c r="K175" s="51"/>
      <c r="L175" s="51"/>
      <c r="M175" s="118"/>
    </row>
    <row r="176" spans="1:16" x14ac:dyDescent="0.25">
      <c r="A176" s="37"/>
      <c r="B176" s="38"/>
      <c r="C176" s="144" t="s">
        <v>29</v>
      </c>
      <c r="D176" s="38"/>
      <c r="E176" s="39"/>
      <c r="F176" s="39"/>
      <c r="G176" s="39"/>
      <c r="H176" s="39"/>
      <c r="I176" s="39"/>
      <c r="J176" s="39"/>
      <c r="K176" s="39"/>
      <c r="L176" s="39"/>
      <c r="M176" s="40"/>
    </row>
    <row r="177" spans="1:13" s="141" customFormat="1" x14ac:dyDescent="0.25">
      <c r="A177" s="168"/>
      <c r="B177" s="144"/>
      <c r="C177" s="144" t="s">
        <v>125</v>
      </c>
      <c r="D177" s="144"/>
      <c r="E177" s="50"/>
      <c r="F177" s="50"/>
      <c r="G177" s="50"/>
      <c r="H177" s="50"/>
      <c r="I177" s="50"/>
      <c r="J177" s="50"/>
      <c r="K177" s="50"/>
      <c r="L177" s="50"/>
      <c r="M177" s="118"/>
    </row>
    <row r="178" spans="1:13" x14ac:dyDescent="0.25">
      <c r="A178" s="198">
        <v>1</v>
      </c>
      <c r="B178" s="64" t="s">
        <v>0</v>
      </c>
      <c r="C178" s="113" t="s">
        <v>108</v>
      </c>
      <c r="D178" s="54" t="s">
        <v>18</v>
      </c>
      <c r="E178" s="51">
        <v>4</v>
      </c>
      <c r="F178" s="111">
        <f>0.6*0.6*1.5*E178</f>
        <v>2.16</v>
      </c>
      <c r="G178" s="55"/>
      <c r="H178" s="55"/>
      <c r="I178" s="51"/>
      <c r="J178" s="51"/>
      <c r="K178" s="51"/>
      <c r="L178" s="51"/>
      <c r="M178" s="52"/>
    </row>
    <row r="179" spans="1:13" x14ac:dyDescent="0.25">
      <c r="A179" s="198"/>
      <c r="B179" s="64"/>
      <c r="C179" s="88"/>
      <c r="D179" s="54" t="s">
        <v>37</v>
      </c>
      <c r="E179" s="58"/>
      <c r="F179" s="112">
        <f>F178/100</f>
        <v>2.1600000000000001E-2</v>
      </c>
      <c r="G179" s="55"/>
      <c r="H179" s="55"/>
      <c r="I179" s="51"/>
      <c r="J179" s="51"/>
      <c r="K179" s="51"/>
      <c r="L179" s="51"/>
      <c r="M179" s="52"/>
    </row>
    <row r="180" spans="1:13" x14ac:dyDescent="0.25">
      <c r="A180" s="198"/>
      <c r="B180" s="64"/>
      <c r="C180" s="65" t="s">
        <v>43</v>
      </c>
      <c r="D180" s="54" t="s">
        <v>44</v>
      </c>
      <c r="E180" s="51">
        <v>206</v>
      </c>
      <c r="F180" s="55">
        <f>F179*E180</f>
        <v>4.4496000000000002</v>
      </c>
      <c r="G180" s="55"/>
      <c r="H180" s="55"/>
      <c r="I180" s="51"/>
      <c r="J180" s="51"/>
      <c r="K180" s="51"/>
      <c r="L180" s="51"/>
      <c r="M180" s="52"/>
    </row>
    <row r="181" spans="1:13" x14ac:dyDescent="0.25">
      <c r="A181" s="194">
        <v>2</v>
      </c>
      <c r="B181" s="114" t="s">
        <v>90</v>
      </c>
      <c r="C181" s="38" t="s">
        <v>110</v>
      </c>
      <c r="D181" s="54" t="s">
        <v>22</v>
      </c>
      <c r="E181" s="51"/>
      <c r="F181" s="50">
        <v>4</v>
      </c>
      <c r="G181" s="51"/>
      <c r="H181" s="51"/>
      <c r="I181" s="51"/>
      <c r="J181" s="51"/>
      <c r="K181" s="51"/>
      <c r="L181" s="51"/>
      <c r="M181" s="52"/>
    </row>
    <row r="182" spans="1:13" x14ac:dyDescent="0.25">
      <c r="A182" s="194"/>
      <c r="B182" s="114"/>
      <c r="C182" s="65"/>
      <c r="D182" s="54" t="s">
        <v>16</v>
      </c>
      <c r="E182" s="51"/>
      <c r="F182" s="77">
        <f>(F185*2.08+F186*39.3+F188*15.07+F189*15.07)/1000</f>
        <v>0.61389199999999999</v>
      </c>
      <c r="G182" s="51"/>
      <c r="H182" s="51"/>
      <c r="I182" s="51"/>
      <c r="J182" s="51"/>
      <c r="K182" s="51"/>
      <c r="L182" s="51"/>
      <c r="M182" s="52"/>
    </row>
    <row r="183" spans="1:13" x14ac:dyDescent="0.25">
      <c r="A183" s="194"/>
      <c r="B183" s="60"/>
      <c r="C183" s="65" t="s">
        <v>43</v>
      </c>
      <c r="D183" s="54" t="s">
        <v>44</v>
      </c>
      <c r="E183" s="51">
        <v>34.9</v>
      </c>
      <c r="F183" s="51">
        <f>F182*E183</f>
        <v>21.424830799999999</v>
      </c>
      <c r="G183" s="51"/>
      <c r="H183" s="51"/>
      <c r="I183" s="51"/>
      <c r="J183" s="51"/>
      <c r="K183" s="51"/>
      <c r="L183" s="51"/>
      <c r="M183" s="52"/>
    </row>
    <row r="184" spans="1:13" s="123" customFormat="1" x14ac:dyDescent="0.25">
      <c r="A184" s="194"/>
      <c r="B184" s="73"/>
      <c r="C184" s="88" t="s">
        <v>15</v>
      </c>
      <c r="D184" s="122" t="s">
        <v>50</v>
      </c>
      <c r="E184" s="55">
        <v>4.07</v>
      </c>
      <c r="F184" s="55">
        <f>E184*F182</f>
        <v>2.4985404400000002</v>
      </c>
      <c r="G184" s="55"/>
      <c r="H184" s="55"/>
      <c r="I184" s="55"/>
      <c r="J184" s="55"/>
      <c r="K184" s="55"/>
      <c r="L184" s="55"/>
      <c r="M184" s="71"/>
    </row>
    <row r="185" spans="1:13" x14ac:dyDescent="0.25">
      <c r="A185" s="194"/>
      <c r="B185" s="144"/>
      <c r="C185" s="53" t="s">
        <v>138</v>
      </c>
      <c r="D185" s="54" t="s">
        <v>17</v>
      </c>
      <c r="E185" s="51">
        <f>0.6*7</f>
        <v>4.2</v>
      </c>
      <c r="F185" s="51">
        <f>F181*E185</f>
        <v>16.8</v>
      </c>
      <c r="G185" s="51"/>
      <c r="H185" s="51"/>
      <c r="I185" s="51"/>
      <c r="J185" s="51"/>
      <c r="K185" s="51"/>
      <c r="L185" s="51"/>
      <c r="M185" s="52"/>
    </row>
    <row r="186" spans="1:13" x14ac:dyDescent="0.25">
      <c r="A186" s="194"/>
      <c r="B186" s="144"/>
      <c r="C186" s="65" t="s">
        <v>111</v>
      </c>
      <c r="D186" s="54" t="s">
        <v>19</v>
      </c>
      <c r="E186" s="51">
        <f>0.2*0.2</f>
        <v>4.0000000000000008E-2</v>
      </c>
      <c r="F186" s="51">
        <f>F181*E186</f>
        <v>0.16000000000000003</v>
      </c>
      <c r="G186" s="51"/>
      <c r="H186" s="51"/>
      <c r="I186" s="51"/>
      <c r="J186" s="51"/>
      <c r="K186" s="51"/>
      <c r="L186" s="51"/>
      <c r="M186" s="52"/>
    </row>
    <row r="187" spans="1:13" s="106" customFormat="1" x14ac:dyDescent="0.25">
      <c r="A187" s="194"/>
      <c r="B187" s="78"/>
      <c r="C187" s="65" t="s">
        <v>92</v>
      </c>
      <c r="D187" s="75" t="s">
        <v>21</v>
      </c>
      <c r="E187" s="51">
        <v>15.2</v>
      </c>
      <c r="F187" s="51">
        <f>E187*F182</f>
        <v>9.3311583999999996</v>
      </c>
      <c r="G187" s="51"/>
      <c r="H187" s="55"/>
      <c r="I187" s="51"/>
      <c r="J187" s="51"/>
      <c r="K187" s="51"/>
      <c r="L187" s="51"/>
      <c r="M187" s="52"/>
    </row>
    <row r="188" spans="1:13" x14ac:dyDescent="0.25">
      <c r="A188" s="194"/>
      <c r="B188" s="144"/>
      <c r="C188" s="53" t="s">
        <v>139</v>
      </c>
      <c r="D188" s="54" t="s">
        <v>17</v>
      </c>
      <c r="E188" s="51">
        <v>8.5</v>
      </c>
      <c r="F188" s="51">
        <f>F181*E188</f>
        <v>34</v>
      </c>
      <c r="G188" s="51"/>
      <c r="H188" s="51"/>
      <c r="I188" s="51"/>
      <c r="J188" s="51"/>
      <c r="K188" s="51"/>
      <c r="L188" s="51"/>
      <c r="M188" s="52"/>
    </row>
    <row r="189" spans="1:13" x14ac:dyDescent="0.25">
      <c r="A189" s="194"/>
      <c r="B189" s="144"/>
      <c r="C189" s="53" t="s">
        <v>112</v>
      </c>
      <c r="D189" s="54" t="s">
        <v>17</v>
      </c>
      <c r="E189" s="51">
        <v>1</v>
      </c>
      <c r="F189" s="51">
        <f>F181*E189</f>
        <v>4</v>
      </c>
      <c r="G189" s="51"/>
      <c r="H189" s="51"/>
      <c r="I189" s="51"/>
      <c r="J189" s="51"/>
      <c r="K189" s="51"/>
      <c r="L189" s="51"/>
      <c r="M189" s="52"/>
    </row>
    <row r="190" spans="1:13" x14ac:dyDescent="0.25">
      <c r="A190" s="194"/>
      <c r="B190" s="38"/>
      <c r="C190" s="65" t="s">
        <v>20</v>
      </c>
      <c r="D190" s="54" t="s">
        <v>50</v>
      </c>
      <c r="E190" s="51">
        <v>2.78</v>
      </c>
      <c r="F190" s="51">
        <f>F182*E190</f>
        <v>1.7066197599999999</v>
      </c>
      <c r="G190" s="51"/>
      <c r="H190" s="51"/>
      <c r="I190" s="51"/>
      <c r="J190" s="51"/>
      <c r="K190" s="51"/>
      <c r="L190" s="51"/>
      <c r="M190" s="52"/>
    </row>
    <row r="191" spans="1:13" x14ac:dyDescent="0.25">
      <c r="A191" s="194">
        <v>3</v>
      </c>
      <c r="B191" s="48" t="s">
        <v>75</v>
      </c>
      <c r="C191" s="49" t="s">
        <v>109</v>
      </c>
      <c r="D191" s="54" t="s">
        <v>22</v>
      </c>
      <c r="E191" s="51"/>
      <c r="F191" s="50">
        <v>4</v>
      </c>
      <c r="G191" s="51"/>
      <c r="H191" s="51"/>
      <c r="I191" s="51"/>
      <c r="J191" s="51"/>
      <c r="K191" s="51"/>
      <c r="L191" s="51"/>
      <c r="M191" s="52"/>
    </row>
    <row r="192" spans="1:13" x14ac:dyDescent="0.25">
      <c r="A192" s="194"/>
      <c r="B192" s="48" t="s">
        <v>67</v>
      </c>
      <c r="C192" s="53"/>
      <c r="D192" s="54" t="s">
        <v>38</v>
      </c>
      <c r="E192" s="51"/>
      <c r="F192" s="77">
        <f>F191/100</f>
        <v>0.04</v>
      </c>
      <c r="G192" s="51"/>
      <c r="H192" s="51"/>
      <c r="I192" s="51"/>
      <c r="J192" s="51"/>
      <c r="K192" s="51"/>
      <c r="L192" s="51"/>
      <c r="M192" s="52"/>
    </row>
    <row r="193" spans="1:13" x14ac:dyDescent="0.25">
      <c r="A193" s="194"/>
      <c r="B193" s="48"/>
      <c r="C193" s="67" t="s">
        <v>68</v>
      </c>
      <c r="D193" s="54" t="s">
        <v>44</v>
      </c>
      <c r="E193" s="51">
        <v>38.770000000000003</v>
      </c>
      <c r="F193" s="51">
        <f>F192*E193</f>
        <v>1.5508000000000002</v>
      </c>
      <c r="G193" s="51"/>
      <c r="H193" s="51"/>
      <c r="I193" s="51"/>
      <c r="J193" s="51"/>
      <c r="K193" s="51"/>
      <c r="L193" s="51"/>
      <c r="M193" s="52"/>
    </row>
    <row r="194" spans="1:13" s="72" customFormat="1" x14ac:dyDescent="0.2">
      <c r="A194" s="194"/>
      <c r="B194" s="68"/>
      <c r="C194" s="67" t="s">
        <v>72</v>
      </c>
      <c r="D194" s="69" t="s">
        <v>49</v>
      </c>
      <c r="E194" s="70">
        <v>11.17</v>
      </c>
      <c r="F194" s="70">
        <f>E194*F192</f>
        <v>0.44680000000000003</v>
      </c>
      <c r="G194" s="55"/>
      <c r="H194" s="55"/>
      <c r="I194" s="70"/>
      <c r="J194" s="55"/>
      <c r="K194" s="70"/>
      <c r="L194" s="55"/>
      <c r="M194" s="71"/>
    </row>
    <row r="195" spans="1:13" s="72" customFormat="1" x14ac:dyDescent="0.2">
      <c r="A195" s="194"/>
      <c r="B195" s="68"/>
      <c r="C195" s="67" t="s">
        <v>69</v>
      </c>
      <c r="D195" s="69" t="s">
        <v>49</v>
      </c>
      <c r="E195" s="70">
        <v>12.9</v>
      </c>
      <c r="F195" s="70">
        <f>E195*F192</f>
        <v>0.51600000000000001</v>
      </c>
      <c r="G195" s="55"/>
      <c r="H195" s="55"/>
      <c r="I195" s="70"/>
      <c r="J195" s="55"/>
      <c r="K195" s="70"/>
      <c r="L195" s="55"/>
      <c r="M195" s="71"/>
    </row>
    <row r="196" spans="1:13" s="72" customFormat="1" x14ac:dyDescent="0.2">
      <c r="A196" s="194"/>
      <c r="B196" s="68"/>
      <c r="C196" s="67" t="s">
        <v>73</v>
      </c>
      <c r="D196" s="69" t="s">
        <v>49</v>
      </c>
      <c r="E196" s="70">
        <v>0.96</v>
      </c>
      <c r="F196" s="70">
        <f>E196*F192</f>
        <v>3.8399999999999997E-2</v>
      </c>
      <c r="G196" s="55"/>
      <c r="H196" s="55"/>
      <c r="I196" s="70"/>
      <c r="J196" s="55"/>
      <c r="K196" s="70"/>
      <c r="L196" s="55"/>
      <c r="M196" s="71"/>
    </row>
    <row r="197" spans="1:13" x14ac:dyDescent="0.25">
      <c r="A197" s="194"/>
      <c r="B197" s="73"/>
      <c r="C197" s="74" t="s">
        <v>53</v>
      </c>
      <c r="D197" s="75" t="s">
        <v>18</v>
      </c>
      <c r="E197" s="51" t="s">
        <v>74</v>
      </c>
      <c r="F197" s="51">
        <f>0.6*0.6*1.5*F191</f>
        <v>2.16</v>
      </c>
      <c r="G197" s="55"/>
      <c r="H197" s="51"/>
      <c r="I197" s="51"/>
      <c r="J197" s="51"/>
      <c r="K197" s="51"/>
      <c r="L197" s="51"/>
      <c r="M197" s="52"/>
    </row>
    <row r="198" spans="1:13" x14ac:dyDescent="0.25">
      <c r="A198" s="194"/>
      <c r="B198" s="48"/>
      <c r="C198" s="53" t="s">
        <v>70</v>
      </c>
      <c r="D198" s="54" t="s">
        <v>17</v>
      </c>
      <c r="E198" s="51">
        <v>55.9</v>
      </c>
      <c r="F198" s="51">
        <f>F192*E198</f>
        <v>2.2360000000000002</v>
      </c>
      <c r="G198" s="51"/>
      <c r="H198" s="51"/>
      <c r="I198" s="51"/>
      <c r="J198" s="51"/>
      <c r="K198" s="51"/>
      <c r="L198" s="51"/>
      <c r="M198" s="52"/>
    </row>
    <row r="199" spans="1:13" x14ac:dyDescent="0.25">
      <c r="A199" s="194">
        <v>4</v>
      </c>
      <c r="B199" s="64" t="s">
        <v>105</v>
      </c>
      <c r="C199" s="113" t="s">
        <v>99</v>
      </c>
      <c r="D199" s="75" t="s">
        <v>16</v>
      </c>
      <c r="E199" s="55"/>
      <c r="F199" s="77">
        <f>F182</f>
        <v>0.61389199999999999</v>
      </c>
      <c r="G199" s="51"/>
      <c r="H199" s="51"/>
      <c r="I199" s="55"/>
      <c r="J199" s="51"/>
      <c r="K199" s="51"/>
      <c r="L199" s="51"/>
      <c r="M199" s="52"/>
    </row>
    <row r="200" spans="1:13" x14ac:dyDescent="0.25">
      <c r="A200" s="194"/>
      <c r="B200" s="64"/>
      <c r="C200" s="65" t="s">
        <v>43</v>
      </c>
      <c r="D200" s="54" t="s">
        <v>44</v>
      </c>
      <c r="E200" s="55">
        <v>2.56</v>
      </c>
      <c r="F200" s="55">
        <f>F199*E200</f>
        <v>1.57156352</v>
      </c>
      <c r="G200" s="51"/>
      <c r="H200" s="51"/>
      <c r="I200" s="55"/>
      <c r="J200" s="51"/>
      <c r="K200" s="51"/>
      <c r="L200" s="51"/>
      <c r="M200" s="52"/>
    </row>
    <row r="201" spans="1:13" x14ac:dyDescent="0.25">
      <c r="A201" s="194"/>
      <c r="B201" s="64"/>
      <c r="C201" s="65" t="s">
        <v>15</v>
      </c>
      <c r="D201" s="54" t="s">
        <v>50</v>
      </c>
      <c r="E201" s="55">
        <v>1.24</v>
      </c>
      <c r="F201" s="55">
        <f>F199*E201</f>
        <v>0.76122608000000003</v>
      </c>
      <c r="G201" s="51"/>
      <c r="H201" s="51"/>
      <c r="I201" s="55"/>
      <c r="J201" s="51"/>
      <c r="K201" s="51"/>
      <c r="L201" s="51"/>
      <c r="M201" s="52"/>
    </row>
    <row r="202" spans="1:13" x14ac:dyDescent="0.25">
      <c r="A202" s="194"/>
      <c r="B202" s="64"/>
      <c r="C202" s="88" t="s">
        <v>23</v>
      </c>
      <c r="D202" s="54" t="s">
        <v>21</v>
      </c>
      <c r="E202" s="55">
        <v>2.23</v>
      </c>
      <c r="F202" s="55">
        <f>F199*E202</f>
        <v>1.3689791600000001</v>
      </c>
      <c r="G202" s="51"/>
      <c r="H202" s="51"/>
      <c r="I202" s="55"/>
      <c r="J202" s="51"/>
      <c r="K202" s="51"/>
      <c r="L202" s="51"/>
      <c r="M202" s="52"/>
    </row>
    <row r="203" spans="1:13" x14ac:dyDescent="0.25">
      <c r="A203" s="194"/>
      <c r="B203" s="38"/>
      <c r="C203" s="65" t="s">
        <v>20</v>
      </c>
      <c r="D203" s="54" t="s">
        <v>50</v>
      </c>
      <c r="E203" s="51">
        <v>0.13</v>
      </c>
      <c r="F203" s="51">
        <f>F199*E203</f>
        <v>7.9805959999999995E-2</v>
      </c>
      <c r="G203" s="51"/>
      <c r="H203" s="51"/>
      <c r="I203" s="51"/>
      <c r="J203" s="51"/>
      <c r="K203" s="51"/>
      <c r="L203" s="51"/>
      <c r="M203" s="52"/>
    </row>
    <row r="204" spans="1:13" ht="24" x14ac:dyDescent="0.25">
      <c r="A204" s="198">
        <v>5</v>
      </c>
      <c r="B204" s="64" t="s">
        <v>0</v>
      </c>
      <c r="C204" s="124" t="s">
        <v>42</v>
      </c>
      <c r="D204" s="54" t="s">
        <v>18</v>
      </c>
      <c r="E204" s="58"/>
      <c r="F204" s="111">
        <v>2.5</v>
      </c>
      <c r="G204" s="55"/>
      <c r="H204" s="55"/>
      <c r="I204" s="58"/>
      <c r="J204" s="58"/>
      <c r="K204" s="58"/>
      <c r="L204" s="58"/>
      <c r="M204" s="59"/>
    </row>
    <row r="205" spans="1:13" x14ac:dyDescent="0.25">
      <c r="A205" s="198"/>
      <c r="B205" s="64"/>
      <c r="C205" s="89"/>
      <c r="D205" s="54" t="s">
        <v>37</v>
      </c>
      <c r="E205" s="108"/>
      <c r="F205" s="77">
        <f>F204/100</f>
        <v>2.5000000000000001E-2</v>
      </c>
      <c r="G205" s="55"/>
      <c r="H205" s="55"/>
      <c r="I205" s="58"/>
      <c r="J205" s="58"/>
      <c r="K205" s="58"/>
      <c r="L205" s="58"/>
      <c r="M205" s="59"/>
    </row>
    <row r="206" spans="1:13" x14ac:dyDescent="0.25">
      <c r="A206" s="198"/>
      <c r="B206" s="64"/>
      <c r="C206" s="65" t="s">
        <v>43</v>
      </c>
      <c r="D206" s="54" t="s">
        <v>44</v>
      </c>
      <c r="E206" s="51">
        <v>206</v>
      </c>
      <c r="F206" s="55">
        <f>F205*E206</f>
        <v>5.15</v>
      </c>
      <c r="G206" s="55"/>
      <c r="H206" s="55"/>
      <c r="I206" s="51"/>
      <c r="J206" s="51"/>
      <c r="K206" s="51"/>
      <c r="L206" s="51"/>
      <c r="M206" s="52"/>
    </row>
    <row r="207" spans="1:13" x14ac:dyDescent="0.25">
      <c r="A207" s="198">
        <v>6</v>
      </c>
      <c r="B207" s="144" t="s">
        <v>1</v>
      </c>
      <c r="C207" s="167" t="s">
        <v>30</v>
      </c>
      <c r="D207" s="54" t="s">
        <v>18</v>
      </c>
      <c r="E207" s="51"/>
      <c r="F207" s="50">
        <v>2</v>
      </c>
      <c r="G207" s="51"/>
      <c r="H207" s="51"/>
      <c r="I207" s="51"/>
      <c r="J207" s="51"/>
      <c r="K207" s="51"/>
      <c r="L207" s="51"/>
      <c r="M207" s="52"/>
    </row>
    <row r="208" spans="1:13" x14ac:dyDescent="0.25">
      <c r="A208" s="198"/>
      <c r="B208" s="144"/>
      <c r="C208" s="88"/>
      <c r="D208" s="54" t="s">
        <v>37</v>
      </c>
      <c r="E208" s="51"/>
      <c r="F208" s="77">
        <f>F207/100</f>
        <v>0.02</v>
      </c>
      <c r="G208" s="51"/>
      <c r="H208" s="51"/>
      <c r="I208" s="51"/>
      <c r="J208" s="51"/>
      <c r="K208" s="51"/>
      <c r="L208" s="51"/>
      <c r="M208" s="52"/>
    </row>
    <row r="209" spans="1:13" x14ac:dyDescent="0.25">
      <c r="A209" s="198"/>
      <c r="B209" s="64"/>
      <c r="C209" s="65" t="s">
        <v>43</v>
      </c>
      <c r="D209" s="54" t="s">
        <v>44</v>
      </c>
      <c r="E209" s="51">
        <v>99.3</v>
      </c>
      <c r="F209" s="51">
        <f>F208*E209</f>
        <v>1.986</v>
      </c>
      <c r="G209" s="51"/>
      <c r="H209" s="51"/>
      <c r="I209" s="51"/>
      <c r="J209" s="51"/>
      <c r="K209" s="51"/>
      <c r="L209" s="51"/>
      <c r="M209" s="52"/>
    </row>
    <row r="210" spans="1:13" s="24" customFormat="1" x14ac:dyDescent="0.25">
      <c r="A210" s="168"/>
      <c r="B210" s="38"/>
      <c r="C210" s="144" t="s">
        <v>10</v>
      </c>
      <c r="D210" s="144"/>
      <c r="E210" s="50"/>
      <c r="F210" s="50"/>
      <c r="G210" s="50"/>
      <c r="H210" s="50"/>
      <c r="I210" s="50"/>
      <c r="J210" s="50"/>
      <c r="K210" s="50"/>
      <c r="L210" s="50"/>
      <c r="M210" s="118"/>
    </row>
    <row r="211" spans="1:13" x14ac:dyDescent="0.25">
      <c r="A211" s="168"/>
      <c r="B211" s="38"/>
      <c r="C211" s="144" t="s">
        <v>106</v>
      </c>
      <c r="D211" s="120">
        <v>0.1</v>
      </c>
      <c r="E211" s="50"/>
      <c r="F211" s="50"/>
      <c r="G211" s="50"/>
      <c r="H211" s="50"/>
      <c r="I211" s="50"/>
      <c r="J211" s="50"/>
      <c r="K211" s="50"/>
      <c r="L211" s="50"/>
      <c r="M211" s="118"/>
    </row>
    <row r="212" spans="1:13" x14ac:dyDescent="0.25">
      <c r="A212" s="168"/>
      <c r="B212" s="38"/>
      <c r="C212" s="144" t="s">
        <v>10</v>
      </c>
      <c r="D212" s="120"/>
      <c r="E212" s="50"/>
      <c r="F212" s="50"/>
      <c r="G212" s="50"/>
      <c r="H212" s="50"/>
      <c r="I212" s="50"/>
      <c r="J212" s="50"/>
      <c r="K212" s="50"/>
      <c r="L212" s="50"/>
      <c r="M212" s="118"/>
    </row>
    <row r="213" spans="1:13" x14ac:dyDescent="0.25">
      <c r="A213" s="168"/>
      <c r="B213" s="38"/>
      <c r="C213" s="144" t="s">
        <v>107</v>
      </c>
      <c r="D213" s="120">
        <v>0.08</v>
      </c>
      <c r="E213" s="50"/>
      <c r="F213" s="50"/>
      <c r="G213" s="50"/>
      <c r="H213" s="50"/>
      <c r="I213" s="50"/>
      <c r="J213" s="50"/>
      <c r="K213" s="50"/>
      <c r="L213" s="50"/>
      <c r="M213" s="118"/>
    </row>
    <row r="214" spans="1:13" s="24" customFormat="1" x14ac:dyDescent="0.25">
      <c r="A214" s="168"/>
      <c r="B214" s="38"/>
      <c r="C214" s="144" t="s">
        <v>126</v>
      </c>
      <c r="D214" s="144"/>
      <c r="E214" s="50"/>
      <c r="F214" s="50"/>
      <c r="G214" s="50"/>
      <c r="H214" s="50"/>
      <c r="I214" s="50"/>
      <c r="J214" s="50"/>
      <c r="K214" s="50"/>
      <c r="L214" s="50"/>
      <c r="M214" s="118"/>
    </row>
    <row r="215" spans="1:13" s="141" customFormat="1" x14ac:dyDescent="0.25">
      <c r="A215" s="168"/>
      <c r="B215" s="144"/>
      <c r="C215" s="144" t="s">
        <v>127</v>
      </c>
      <c r="D215" s="144"/>
      <c r="E215" s="50"/>
      <c r="F215" s="50"/>
      <c r="G215" s="50"/>
      <c r="H215" s="50"/>
      <c r="I215" s="50"/>
      <c r="J215" s="50"/>
      <c r="K215" s="50"/>
      <c r="L215" s="50"/>
      <c r="M215" s="118"/>
    </row>
    <row r="216" spans="1:13" s="123" customFormat="1" x14ac:dyDescent="0.25">
      <c r="A216" s="199">
        <v>1</v>
      </c>
      <c r="B216" s="125" t="s">
        <v>113</v>
      </c>
      <c r="C216" s="126" t="s">
        <v>114</v>
      </c>
      <c r="D216" s="122" t="s">
        <v>17</v>
      </c>
      <c r="E216" s="55"/>
      <c r="F216" s="111">
        <v>60</v>
      </c>
      <c r="G216" s="55"/>
      <c r="H216" s="55"/>
      <c r="I216" s="55"/>
      <c r="J216" s="55"/>
      <c r="K216" s="55"/>
      <c r="L216" s="55"/>
      <c r="M216" s="71"/>
    </row>
    <row r="217" spans="1:13" s="123" customFormat="1" x14ac:dyDescent="0.25">
      <c r="A217" s="199"/>
      <c r="B217" s="125"/>
      <c r="C217" s="74"/>
      <c r="D217" s="122" t="s">
        <v>40</v>
      </c>
      <c r="E217" s="127"/>
      <c r="F217" s="128">
        <f>F216/100</f>
        <v>0.6</v>
      </c>
      <c r="G217" s="55"/>
      <c r="H217" s="55"/>
      <c r="I217" s="55"/>
      <c r="J217" s="55"/>
      <c r="K217" s="55"/>
      <c r="L217" s="55"/>
      <c r="M217" s="71"/>
    </row>
    <row r="218" spans="1:13" s="123" customFormat="1" x14ac:dyDescent="0.25">
      <c r="A218" s="199"/>
      <c r="B218" s="73"/>
      <c r="C218" s="74" t="s">
        <v>115</v>
      </c>
      <c r="D218" s="122" t="s">
        <v>44</v>
      </c>
      <c r="E218" s="55">
        <v>5</v>
      </c>
      <c r="F218" s="55">
        <f>F217*E218</f>
        <v>3</v>
      </c>
      <c r="G218" s="55"/>
      <c r="H218" s="55"/>
      <c r="I218" s="55"/>
      <c r="J218" s="55"/>
      <c r="K218" s="55"/>
      <c r="L218" s="55"/>
      <c r="M218" s="71"/>
    </row>
    <row r="219" spans="1:13" s="123" customFormat="1" x14ac:dyDescent="0.25">
      <c r="A219" s="199"/>
      <c r="B219" s="73"/>
      <c r="C219" s="88" t="s">
        <v>15</v>
      </c>
      <c r="D219" s="122" t="s">
        <v>50</v>
      </c>
      <c r="E219" s="55">
        <v>6.96</v>
      </c>
      <c r="F219" s="55">
        <f>E219*F217</f>
        <v>4.1760000000000002</v>
      </c>
      <c r="G219" s="55"/>
      <c r="H219" s="55"/>
      <c r="I219" s="55"/>
      <c r="J219" s="55"/>
      <c r="K219" s="55"/>
      <c r="L219" s="55"/>
      <c r="M219" s="71"/>
    </row>
    <row r="220" spans="1:13" s="123" customFormat="1" x14ac:dyDescent="0.25">
      <c r="A220" s="199"/>
      <c r="B220" s="73"/>
      <c r="C220" s="88" t="s">
        <v>20</v>
      </c>
      <c r="D220" s="122" t="s">
        <v>50</v>
      </c>
      <c r="E220" s="55">
        <v>0.05</v>
      </c>
      <c r="F220" s="55">
        <f>E220*F217</f>
        <v>0.03</v>
      </c>
      <c r="G220" s="55"/>
      <c r="H220" s="55"/>
      <c r="I220" s="55"/>
      <c r="J220" s="55"/>
      <c r="K220" s="55"/>
      <c r="L220" s="55"/>
      <c r="M220" s="71"/>
    </row>
    <row r="221" spans="1:13" s="123" customFormat="1" x14ac:dyDescent="0.25">
      <c r="A221" s="199"/>
      <c r="B221" s="73"/>
      <c r="C221" s="74" t="s">
        <v>55</v>
      </c>
      <c r="D221" s="122" t="s">
        <v>18</v>
      </c>
      <c r="E221" s="55" t="s">
        <v>74</v>
      </c>
      <c r="F221" s="55">
        <v>6</v>
      </c>
      <c r="G221" s="55"/>
      <c r="H221" s="55"/>
      <c r="I221" s="55"/>
      <c r="J221" s="55"/>
      <c r="K221" s="55"/>
      <c r="L221" s="55"/>
      <c r="M221" s="71"/>
    </row>
    <row r="222" spans="1:13" s="123" customFormat="1" x14ac:dyDescent="0.25">
      <c r="A222" s="199">
        <v>2</v>
      </c>
      <c r="B222" s="125" t="s">
        <v>116</v>
      </c>
      <c r="C222" s="126" t="s">
        <v>117</v>
      </c>
      <c r="D222" s="122" t="s">
        <v>17</v>
      </c>
      <c r="E222" s="55"/>
      <c r="F222" s="111">
        <v>60</v>
      </c>
      <c r="G222" s="55"/>
      <c r="H222" s="55"/>
      <c r="I222" s="55"/>
      <c r="J222" s="55"/>
      <c r="K222" s="55"/>
      <c r="L222" s="55"/>
      <c r="M222" s="71"/>
    </row>
    <row r="223" spans="1:13" s="123" customFormat="1" x14ac:dyDescent="0.25">
      <c r="A223" s="199"/>
      <c r="B223" s="125"/>
      <c r="C223" s="74"/>
      <c r="D223" s="122" t="s">
        <v>40</v>
      </c>
      <c r="E223" s="127"/>
      <c r="F223" s="128">
        <f>F222/100</f>
        <v>0.6</v>
      </c>
      <c r="G223" s="55"/>
      <c r="H223" s="55"/>
      <c r="I223" s="55"/>
      <c r="J223" s="55"/>
      <c r="K223" s="55"/>
      <c r="L223" s="55"/>
      <c r="M223" s="71"/>
    </row>
    <row r="224" spans="1:13" s="123" customFormat="1" x14ac:dyDescent="0.25">
      <c r="A224" s="199"/>
      <c r="B224" s="73"/>
      <c r="C224" s="74" t="s">
        <v>115</v>
      </c>
      <c r="D224" s="122" t="s">
        <v>44</v>
      </c>
      <c r="E224" s="55">
        <v>15</v>
      </c>
      <c r="F224" s="55">
        <f>F223*E224</f>
        <v>9</v>
      </c>
      <c r="G224" s="55"/>
      <c r="H224" s="55"/>
      <c r="I224" s="55"/>
      <c r="J224" s="55"/>
      <c r="K224" s="55"/>
      <c r="L224" s="55"/>
      <c r="M224" s="71"/>
    </row>
    <row r="225" spans="1:13" s="123" customFormat="1" x14ac:dyDescent="0.25">
      <c r="A225" s="199"/>
      <c r="B225" s="73"/>
      <c r="C225" s="88" t="s">
        <v>15</v>
      </c>
      <c r="D225" s="122" t="s">
        <v>50</v>
      </c>
      <c r="E225" s="55">
        <v>0.17</v>
      </c>
      <c r="F225" s="55">
        <f>ROUND(E225*F223,2)</f>
        <v>0.1</v>
      </c>
      <c r="G225" s="55"/>
      <c r="H225" s="55"/>
      <c r="I225" s="55"/>
      <c r="J225" s="55"/>
      <c r="K225" s="55"/>
      <c r="L225" s="55"/>
      <c r="M225" s="71"/>
    </row>
    <row r="226" spans="1:13" s="123" customFormat="1" x14ac:dyDescent="0.25">
      <c r="A226" s="199"/>
      <c r="B226" s="64" t="s">
        <v>51</v>
      </c>
      <c r="C226" s="88" t="s">
        <v>46</v>
      </c>
      <c r="D226" s="122" t="s">
        <v>17</v>
      </c>
      <c r="E226" s="55">
        <v>101</v>
      </c>
      <c r="F226" s="55">
        <f>E226*F223</f>
        <v>60.599999999999994</v>
      </c>
      <c r="G226" s="55"/>
      <c r="H226" s="55"/>
      <c r="I226" s="55"/>
      <c r="J226" s="55"/>
      <c r="K226" s="55"/>
      <c r="L226" s="55"/>
      <c r="M226" s="71"/>
    </row>
    <row r="227" spans="1:13" s="123" customFormat="1" x14ac:dyDescent="0.25">
      <c r="A227" s="199"/>
      <c r="B227" s="73"/>
      <c r="C227" s="88" t="s">
        <v>20</v>
      </c>
      <c r="D227" s="122" t="s">
        <v>50</v>
      </c>
      <c r="E227" s="55">
        <v>1.1499999999999999</v>
      </c>
      <c r="F227" s="55">
        <f>E227*F223</f>
        <v>0.69</v>
      </c>
      <c r="G227" s="55"/>
      <c r="H227" s="55"/>
      <c r="I227" s="55"/>
      <c r="J227" s="55"/>
      <c r="K227" s="55"/>
      <c r="L227" s="55"/>
      <c r="M227" s="71"/>
    </row>
    <row r="228" spans="1:13" x14ac:dyDescent="0.25">
      <c r="A228" s="198">
        <v>3</v>
      </c>
      <c r="B228" s="125" t="s">
        <v>131</v>
      </c>
      <c r="C228" s="113" t="s">
        <v>132</v>
      </c>
      <c r="D228" s="122" t="s">
        <v>22</v>
      </c>
      <c r="E228" s="127"/>
      <c r="F228" s="111">
        <v>1</v>
      </c>
      <c r="G228" s="55"/>
      <c r="H228" s="55"/>
      <c r="I228" s="51"/>
      <c r="J228" s="51"/>
      <c r="K228" s="51"/>
      <c r="L228" s="51"/>
      <c r="M228" s="52"/>
    </row>
    <row r="229" spans="1:13" x14ac:dyDescent="0.25">
      <c r="A229" s="198"/>
      <c r="B229" s="64"/>
      <c r="C229" s="65" t="s">
        <v>43</v>
      </c>
      <c r="D229" s="54" t="s">
        <v>44</v>
      </c>
      <c r="E229" s="51">
        <v>2</v>
      </c>
      <c r="F229" s="55">
        <f>F228*E229</f>
        <v>2</v>
      </c>
      <c r="G229" s="55"/>
      <c r="H229" s="55"/>
      <c r="I229" s="51"/>
      <c r="J229" s="51"/>
      <c r="K229" s="51"/>
      <c r="L229" s="51"/>
      <c r="M229" s="52"/>
    </row>
    <row r="230" spans="1:13" s="123" customFormat="1" x14ac:dyDescent="0.25">
      <c r="A230" s="198"/>
      <c r="B230" s="73"/>
      <c r="C230" s="88" t="s">
        <v>15</v>
      </c>
      <c r="D230" s="122" t="s">
        <v>50</v>
      </c>
      <c r="E230" s="55">
        <v>0.09</v>
      </c>
      <c r="F230" s="55">
        <f>ROUND(E230*F228,2)</f>
        <v>0.09</v>
      </c>
      <c r="G230" s="55"/>
      <c r="H230" s="55"/>
      <c r="I230" s="55"/>
      <c r="J230" s="55"/>
      <c r="K230" s="55"/>
      <c r="L230" s="55"/>
      <c r="M230" s="71"/>
    </row>
    <row r="231" spans="1:13" x14ac:dyDescent="0.25">
      <c r="A231" s="198"/>
      <c r="B231" s="64"/>
      <c r="C231" s="88" t="s">
        <v>59</v>
      </c>
      <c r="D231" s="75" t="s">
        <v>22</v>
      </c>
      <c r="E231" s="51">
        <v>1</v>
      </c>
      <c r="F231" s="55">
        <f>F228*E231</f>
        <v>1</v>
      </c>
      <c r="G231" s="55"/>
      <c r="H231" s="55"/>
      <c r="I231" s="58"/>
      <c r="J231" s="58"/>
      <c r="K231" s="58"/>
      <c r="L231" s="58"/>
      <c r="M231" s="52"/>
    </row>
    <row r="232" spans="1:13" x14ac:dyDescent="0.25">
      <c r="A232" s="198"/>
      <c r="B232" s="64"/>
      <c r="C232" s="88" t="s">
        <v>31</v>
      </c>
      <c r="D232" s="75" t="s">
        <v>22</v>
      </c>
      <c r="E232" s="51">
        <v>1</v>
      </c>
      <c r="F232" s="55">
        <f>F228*E232</f>
        <v>1</v>
      </c>
      <c r="G232" s="55"/>
      <c r="H232" s="55"/>
      <c r="I232" s="58"/>
      <c r="J232" s="58"/>
      <c r="K232" s="58"/>
      <c r="L232" s="58"/>
      <c r="M232" s="52"/>
    </row>
    <row r="233" spans="1:13" s="123" customFormat="1" x14ac:dyDescent="0.25">
      <c r="A233" s="198"/>
      <c r="B233" s="73"/>
      <c r="C233" s="88" t="s">
        <v>20</v>
      </c>
      <c r="D233" s="122" t="s">
        <v>50</v>
      </c>
      <c r="E233" s="55">
        <v>1.36</v>
      </c>
      <c r="F233" s="55">
        <f>E233:E233*F228</f>
        <v>1.36</v>
      </c>
      <c r="G233" s="55"/>
      <c r="H233" s="55"/>
      <c r="I233" s="55"/>
      <c r="J233" s="55"/>
      <c r="K233" s="55"/>
      <c r="L233" s="55"/>
      <c r="M233" s="71"/>
    </row>
    <row r="234" spans="1:13" x14ac:dyDescent="0.25">
      <c r="A234" s="198">
        <v>4</v>
      </c>
      <c r="B234" s="64" t="s">
        <v>129</v>
      </c>
      <c r="C234" s="113" t="s">
        <v>130</v>
      </c>
      <c r="D234" s="115" t="s">
        <v>22</v>
      </c>
      <c r="E234" s="51">
        <v>2</v>
      </c>
      <c r="F234" s="111">
        <f>E234*4</f>
        <v>8</v>
      </c>
      <c r="G234" s="55"/>
      <c r="H234" s="55"/>
      <c r="I234" s="51"/>
      <c r="J234" s="51"/>
      <c r="K234" s="51"/>
      <c r="L234" s="51"/>
      <c r="M234" s="52"/>
    </row>
    <row r="235" spans="1:13" x14ac:dyDescent="0.25">
      <c r="A235" s="198"/>
      <c r="B235" s="64"/>
      <c r="C235" s="88"/>
      <c r="D235" s="115" t="s">
        <v>38</v>
      </c>
      <c r="E235" s="51"/>
      <c r="F235" s="128">
        <f>F234/100</f>
        <v>0.08</v>
      </c>
      <c r="G235" s="55"/>
      <c r="H235" s="55"/>
      <c r="I235" s="51"/>
      <c r="J235" s="51"/>
      <c r="K235" s="51"/>
      <c r="L235" s="51"/>
      <c r="M235" s="52"/>
    </row>
    <row r="236" spans="1:13" x14ac:dyDescent="0.25">
      <c r="A236" s="198"/>
      <c r="B236" s="64"/>
      <c r="C236" s="65" t="s">
        <v>43</v>
      </c>
      <c r="D236" s="54" t="s">
        <v>44</v>
      </c>
      <c r="E236" s="51">
        <v>255</v>
      </c>
      <c r="F236" s="55">
        <f>F235*E236</f>
        <v>20.400000000000002</v>
      </c>
      <c r="G236" s="55"/>
      <c r="H236" s="55"/>
      <c r="I236" s="51"/>
      <c r="J236" s="51"/>
      <c r="K236" s="51"/>
      <c r="L236" s="51"/>
      <c r="M236" s="52"/>
    </row>
    <row r="237" spans="1:13" s="123" customFormat="1" x14ac:dyDescent="0.25">
      <c r="A237" s="198"/>
      <c r="B237" s="73"/>
      <c r="C237" s="88" t="s">
        <v>15</v>
      </c>
      <c r="D237" s="122" t="s">
        <v>50</v>
      </c>
      <c r="E237" s="55">
        <v>86</v>
      </c>
      <c r="F237" s="55">
        <f>E237*F235</f>
        <v>6.88</v>
      </c>
      <c r="G237" s="55"/>
      <c r="H237" s="55"/>
      <c r="I237" s="55"/>
      <c r="J237" s="55"/>
      <c r="K237" s="55"/>
      <c r="L237" s="55"/>
      <c r="M237" s="71"/>
    </row>
    <row r="238" spans="1:13" s="123" customFormat="1" x14ac:dyDescent="0.25">
      <c r="A238" s="198"/>
      <c r="B238" s="73"/>
      <c r="C238" s="88" t="s">
        <v>217</v>
      </c>
      <c r="D238" s="122" t="s">
        <v>22</v>
      </c>
      <c r="E238" s="55">
        <v>100</v>
      </c>
      <c r="F238" s="55">
        <f>E238*F235</f>
        <v>8</v>
      </c>
      <c r="G238" s="55"/>
      <c r="H238" s="55"/>
      <c r="I238" s="55"/>
      <c r="J238" s="55"/>
      <c r="K238" s="55"/>
      <c r="L238" s="55"/>
      <c r="M238" s="71"/>
    </row>
    <row r="239" spans="1:13" s="123" customFormat="1" x14ac:dyDescent="0.25">
      <c r="A239" s="198"/>
      <c r="B239" s="73"/>
      <c r="C239" s="88" t="s">
        <v>20</v>
      </c>
      <c r="D239" s="122" t="s">
        <v>50</v>
      </c>
      <c r="E239" s="55">
        <v>210</v>
      </c>
      <c r="F239" s="55">
        <f>E239*F235</f>
        <v>16.8</v>
      </c>
      <c r="G239" s="55"/>
      <c r="H239" s="55"/>
      <c r="I239" s="55"/>
      <c r="J239" s="55"/>
      <c r="K239" s="55"/>
      <c r="L239" s="55"/>
      <c r="M239" s="71"/>
    </row>
    <row r="240" spans="1:13" x14ac:dyDescent="0.25">
      <c r="A240" s="198">
        <v>5</v>
      </c>
      <c r="B240" s="125" t="s">
        <v>120</v>
      </c>
      <c r="C240" s="113" t="s">
        <v>118</v>
      </c>
      <c r="D240" s="75" t="s">
        <v>17</v>
      </c>
      <c r="E240" s="51"/>
      <c r="F240" s="111">
        <v>65</v>
      </c>
      <c r="G240" s="55"/>
      <c r="H240" s="55"/>
      <c r="I240" s="51"/>
      <c r="J240" s="51"/>
      <c r="K240" s="51"/>
      <c r="L240" s="51"/>
      <c r="M240" s="52"/>
    </row>
    <row r="241" spans="1:13" x14ac:dyDescent="0.25">
      <c r="A241" s="198"/>
      <c r="B241" s="125"/>
      <c r="C241" s="88"/>
      <c r="D241" s="122" t="s">
        <v>40</v>
      </c>
      <c r="E241" s="127"/>
      <c r="F241" s="128">
        <f>F240/100</f>
        <v>0.65</v>
      </c>
      <c r="G241" s="55"/>
      <c r="H241" s="55"/>
      <c r="I241" s="51"/>
      <c r="J241" s="51"/>
      <c r="K241" s="51"/>
      <c r="L241" s="51"/>
      <c r="M241" s="52"/>
    </row>
    <row r="242" spans="1:13" x14ac:dyDescent="0.25">
      <c r="A242" s="198"/>
      <c r="B242" s="64"/>
      <c r="C242" s="65" t="s">
        <v>43</v>
      </c>
      <c r="D242" s="54" t="s">
        <v>44</v>
      </c>
      <c r="E242" s="51">
        <v>16</v>
      </c>
      <c r="F242" s="55">
        <f>F241*E242</f>
        <v>10.4</v>
      </c>
      <c r="G242" s="55"/>
      <c r="H242" s="55"/>
      <c r="I242" s="51"/>
      <c r="J242" s="51"/>
      <c r="K242" s="51"/>
      <c r="L242" s="51"/>
      <c r="M242" s="52"/>
    </row>
    <row r="243" spans="1:13" s="123" customFormat="1" x14ac:dyDescent="0.25">
      <c r="A243" s="198"/>
      <c r="B243" s="73"/>
      <c r="C243" s="88" t="s">
        <v>15</v>
      </c>
      <c r="D243" s="122" t="s">
        <v>50</v>
      </c>
      <c r="E243" s="55">
        <v>0.65</v>
      </c>
      <c r="F243" s="55">
        <f>ROUND(E243*F241,2)</f>
        <v>0.42</v>
      </c>
      <c r="G243" s="55"/>
      <c r="H243" s="55"/>
      <c r="I243" s="55"/>
      <c r="J243" s="55"/>
      <c r="K243" s="55"/>
      <c r="L243" s="55"/>
      <c r="M243" s="71"/>
    </row>
    <row r="244" spans="1:13" x14ac:dyDescent="0.25">
      <c r="A244" s="198"/>
      <c r="B244" s="64"/>
      <c r="C244" s="88" t="s">
        <v>119</v>
      </c>
      <c r="D244" s="75" t="s">
        <v>17</v>
      </c>
      <c r="E244" s="51">
        <v>102</v>
      </c>
      <c r="F244" s="55">
        <f>F241*E244</f>
        <v>66.3</v>
      </c>
      <c r="G244" s="55"/>
      <c r="H244" s="55"/>
      <c r="I244" s="58"/>
      <c r="J244" s="58"/>
      <c r="K244" s="58"/>
      <c r="L244" s="58"/>
      <c r="M244" s="52"/>
    </row>
    <row r="245" spans="1:13" s="123" customFormat="1" x14ac:dyDescent="0.25">
      <c r="A245" s="198"/>
      <c r="B245" s="73"/>
      <c r="C245" s="88" t="s">
        <v>20</v>
      </c>
      <c r="D245" s="122" t="s">
        <v>50</v>
      </c>
      <c r="E245" s="55">
        <v>3.53</v>
      </c>
      <c r="F245" s="55">
        <f>E245:E245*F241</f>
        <v>2.2944999999999998</v>
      </c>
      <c r="G245" s="55"/>
      <c r="H245" s="55"/>
      <c r="I245" s="55"/>
      <c r="J245" s="55"/>
      <c r="K245" s="55"/>
      <c r="L245" s="55"/>
      <c r="M245" s="71"/>
    </row>
    <row r="246" spans="1:13" s="123" customFormat="1" ht="44.45" customHeight="1" x14ac:dyDescent="0.25">
      <c r="A246" s="191">
        <v>6</v>
      </c>
      <c r="B246" s="148" t="s">
        <v>195</v>
      </c>
      <c r="C246" s="156" t="s">
        <v>211</v>
      </c>
      <c r="D246" s="157" t="s">
        <v>189</v>
      </c>
      <c r="E246" s="157"/>
      <c r="F246" s="158">
        <v>4</v>
      </c>
      <c r="G246" s="158"/>
      <c r="H246" s="159"/>
      <c r="I246" s="158"/>
      <c r="J246" s="158"/>
      <c r="K246" s="158"/>
      <c r="L246" s="158"/>
      <c r="M246" s="158"/>
    </row>
    <row r="247" spans="1:13" s="123" customFormat="1" ht="12.75" x14ac:dyDescent="0.25">
      <c r="A247" s="192"/>
      <c r="B247" s="160"/>
      <c r="C247" s="161" t="s">
        <v>190</v>
      </c>
      <c r="D247" s="162" t="s">
        <v>149</v>
      </c>
      <c r="E247" s="162">
        <v>34</v>
      </c>
      <c r="F247" s="163">
        <f>E247*F246</f>
        <v>136</v>
      </c>
      <c r="G247" s="163"/>
      <c r="H247" s="163"/>
      <c r="I247" s="163"/>
      <c r="J247" s="163"/>
      <c r="K247" s="163"/>
      <c r="L247" s="163"/>
      <c r="M247" s="163"/>
    </row>
    <row r="248" spans="1:13" s="123" customFormat="1" ht="12.75" x14ac:dyDescent="0.25">
      <c r="A248" s="192"/>
      <c r="B248" s="148"/>
      <c r="C248" s="164" t="s">
        <v>191</v>
      </c>
      <c r="D248" s="165" t="s">
        <v>192</v>
      </c>
      <c r="E248" s="165"/>
      <c r="F248" s="166">
        <f>10*F246</f>
        <v>40</v>
      </c>
      <c r="G248" s="166"/>
      <c r="H248" s="163"/>
      <c r="I248" s="166"/>
      <c r="J248" s="166"/>
      <c r="K248" s="166"/>
      <c r="L248" s="166"/>
      <c r="M248" s="163"/>
    </row>
    <row r="249" spans="1:13" s="123" customFormat="1" ht="12.75" x14ac:dyDescent="0.25">
      <c r="A249" s="192"/>
      <c r="B249" s="148"/>
      <c r="C249" s="164" t="s">
        <v>193</v>
      </c>
      <c r="D249" s="165" t="s">
        <v>146</v>
      </c>
      <c r="E249" s="165"/>
      <c r="F249" s="166">
        <f>16*F246</f>
        <v>64</v>
      </c>
      <c r="G249" s="166"/>
      <c r="H249" s="163"/>
      <c r="I249" s="166"/>
      <c r="J249" s="166"/>
      <c r="K249" s="166"/>
      <c r="L249" s="166"/>
      <c r="M249" s="163"/>
    </row>
    <row r="250" spans="1:13" s="123" customFormat="1" ht="12.75" x14ac:dyDescent="0.25">
      <c r="A250" s="193"/>
      <c r="B250" s="148"/>
      <c r="C250" s="164" t="s">
        <v>194</v>
      </c>
      <c r="D250" s="165" t="s">
        <v>192</v>
      </c>
      <c r="E250" s="165"/>
      <c r="F250" s="166">
        <f>12*F246</f>
        <v>48</v>
      </c>
      <c r="G250" s="166"/>
      <c r="H250" s="163"/>
      <c r="I250" s="166"/>
      <c r="J250" s="166"/>
      <c r="K250" s="166"/>
      <c r="L250" s="166"/>
      <c r="M250" s="163"/>
    </row>
    <row r="251" spans="1:13" x14ac:dyDescent="0.25">
      <c r="A251" s="198">
        <v>7</v>
      </c>
      <c r="B251" s="64" t="s">
        <v>2</v>
      </c>
      <c r="C251" s="113" t="s">
        <v>122</v>
      </c>
      <c r="D251" s="75" t="s">
        <v>17</v>
      </c>
      <c r="E251" s="51"/>
      <c r="F251" s="111">
        <v>30</v>
      </c>
      <c r="G251" s="55"/>
      <c r="H251" s="55"/>
      <c r="I251" s="51"/>
      <c r="J251" s="51"/>
      <c r="K251" s="51"/>
      <c r="L251" s="51"/>
      <c r="M251" s="52"/>
    </row>
    <row r="252" spans="1:13" x14ac:dyDescent="0.25">
      <c r="A252" s="198"/>
      <c r="B252" s="64"/>
      <c r="C252" s="88"/>
      <c r="D252" s="122" t="s">
        <v>40</v>
      </c>
      <c r="E252" s="127"/>
      <c r="F252" s="128">
        <f>F251/100</f>
        <v>0.3</v>
      </c>
      <c r="G252" s="55"/>
      <c r="H252" s="55"/>
      <c r="I252" s="51"/>
      <c r="J252" s="51"/>
      <c r="K252" s="51"/>
      <c r="L252" s="51"/>
      <c r="M252" s="52"/>
    </row>
    <row r="253" spans="1:13" x14ac:dyDescent="0.25">
      <c r="A253" s="198"/>
      <c r="B253" s="64"/>
      <c r="C253" s="65" t="s">
        <v>43</v>
      </c>
      <c r="D253" s="54" t="s">
        <v>44</v>
      </c>
      <c r="E253" s="51">
        <v>4</v>
      </c>
      <c r="F253" s="55">
        <f>F252*E253</f>
        <v>1.2</v>
      </c>
      <c r="G253" s="55"/>
      <c r="H253" s="55"/>
      <c r="I253" s="51"/>
      <c r="J253" s="51"/>
      <c r="K253" s="51"/>
      <c r="L253" s="51"/>
      <c r="M253" s="52"/>
    </row>
    <row r="254" spans="1:13" s="123" customFormat="1" x14ac:dyDescent="0.25">
      <c r="A254" s="198"/>
      <c r="B254" s="73"/>
      <c r="C254" s="88" t="s">
        <v>15</v>
      </c>
      <c r="D254" s="122" t="s">
        <v>50</v>
      </c>
      <c r="E254" s="55">
        <v>2.33</v>
      </c>
      <c r="F254" s="55">
        <f>ROUND(E254*F252,2)</f>
        <v>0.7</v>
      </c>
      <c r="G254" s="55"/>
      <c r="H254" s="55"/>
      <c r="I254" s="55"/>
      <c r="J254" s="55"/>
      <c r="K254" s="55"/>
      <c r="L254" s="55"/>
      <c r="M254" s="71"/>
    </row>
    <row r="255" spans="1:13" s="123" customFormat="1" x14ac:dyDescent="0.25">
      <c r="A255" s="198"/>
      <c r="B255" s="73"/>
      <c r="C255" s="129" t="s">
        <v>174</v>
      </c>
      <c r="D255" s="122" t="s">
        <v>17</v>
      </c>
      <c r="E255" s="55">
        <v>101</v>
      </c>
      <c r="F255" s="55">
        <f>E255*F252</f>
        <v>30.299999999999997</v>
      </c>
      <c r="G255" s="55"/>
      <c r="H255" s="55"/>
      <c r="I255" s="55"/>
      <c r="J255" s="55"/>
      <c r="K255" s="55"/>
      <c r="L255" s="55"/>
      <c r="M255" s="71"/>
    </row>
    <row r="256" spans="1:13" s="123" customFormat="1" x14ac:dyDescent="0.25">
      <c r="A256" s="198"/>
      <c r="B256" s="73"/>
      <c r="C256" s="88" t="s">
        <v>20</v>
      </c>
      <c r="D256" s="122" t="s">
        <v>50</v>
      </c>
      <c r="E256" s="55">
        <v>0.19</v>
      </c>
      <c r="F256" s="55">
        <f>E256:E256*F252</f>
        <v>5.6999999999999995E-2</v>
      </c>
      <c r="G256" s="55"/>
      <c r="H256" s="55"/>
      <c r="I256" s="55"/>
      <c r="J256" s="55"/>
      <c r="K256" s="55"/>
      <c r="L256" s="55"/>
      <c r="M256" s="71"/>
    </row>
    <row r="257" spans="1:13" x14ac:dyDescent="0.25">
      <c r="A257" s="198"/>
      <c r="B257" s="144" t="s">
        <v>35</v>
      </c>
      <c r="C257" s="65" t="s">
        <v>32</v>
      </c>
      <c r="D257" s="75" t="s">
        <v>22</v>
      </c>
      <c r="E257" s="58"/>
      <c r="F257" s="111">
        <v>1</v>
      </c>
      <c r="G257" s="55"/>
      <c r="H257" s="55"/>
      <c r="I257" s="58"/>
      <c r="J257" s="58"/>
      <c r="K257" s="58"/>
      <c r="L257" s="58"/>
      <c r="M257" s="52"/>
    </row>
    <row r="258" spans="1:13" s="24" customFormat="1" x14ac:dyDescent="0.25">
      <c r="A258" s="169"/>
      <c r="B258" s="64"/>
      <c r="C258" s="64" t="s">
        <v>10</v>
      </c>
      <c r="D258" s="130"/>
      <c r="E258" s="50"/>
      <c r="F258" s="111"/>
      <c r="G258" s="111"/>
      <c r="H258" s="50"/>
      <c r="I258" s="50"/>
      <c r="J258" s="50"/>
      <c r="K258" s="50"/>
      <c r="L258" s="50"/>
      <c r="M258" s="118"/>
    </row>
    <row r="259" spans="1:13" x14ac:dyDescent="0.25">
      <c r="A259" s="169"/>
      <c r="B259" s="64"/>
      <c r="C259" s="64" t="s">
        <v>121</v>
      </c>
      <c r="D259" s="131">
        <v>0.75</v>
      </c>
      <c r="E259" s="50"/>
      <c r="F259" s="111"/>
      <c r="G259" s="111"/>
      <c r="H259" s="111"/>
      <c r="I259" s="50"/>
      <c r="J259" s="50"/>
      <c r="K259" s="50"/>
      <c r="L259" s="50"/>
      <c r="M259" s="121"/>
    </row>
    <row r="260" spans="1:13" x14ac:dyDescent="0.25">
      <c r="A260" s="169"/>
      <c r="B260" s="64"/>
      <c r="C260" s="144" t="s">
        <v>10</v>
      </c>
      <c r="D260" s="131"/>
      <c r="E260" s="50"/>
      <c r="F260" s="111"/>
      <c r="G260" s="111"/>
      <c r="H260" s="111"/>
      <c r="I260" s="50"/>
      <c r="J260" s="50"/>
      <c r="K260" s="50"/>
      <c r="L260" s="50"/>
      <c r="M260" s="118"/>
    </row>
    <row r="261" spans="1:13" x14ac:dyDescent="0.25">
      <c r="A261" s="169"/>
      <c r="B261" s="64"/>
      <c r="C261" s="144" t="s">
        <v>107</v>
      </c>
      <c r="D261" s="131">
        <v>0.08</v>
      </c>
      <c r="E261" s="50"/>
      <c r="F261" s="111"/>
      <c r="G261" s="111"/>
      <c r="H261" s="111"/>
      <c r="I261" s="50"/>
      <c r="J261" s="50"/>
      <c r="K261" s="50"/>
      <c r="L261" s="50"/>
      <c r="M261" s="121"/>
    </row>
    <row r="262" spans="1:13" x14ac:dyDescent="0.25">
      <c r="A262" s="169"/>
      <c r="B262" s="64"/>
      <c r="C262" s="144" t="s">
        <v>128</v>
      </c>
      <c r="D262" s="130"/>
      <c r="E262" s="50"/>
      <c r="F262" s="111"/>
      <c r="G262" s="111"/>
      <c r="H262" s="111"/>
      <c r="I262" s="50"/>
      <c r="J262" s="50"/>
      <c r="K262" s="50"/>
      <c r="L262" s="50"/>
      <c r="M262" s="118"/>
    </row>
    <row r="263" spans="1:13" s="141" customFormat="1" x14ac:dyDescent="0.25">
      <c r="A263" s="168"/>
      <c r="B263" s="144"/>
      <c r="C263" s="144" t="s">
        <v>33</v>
      </c>
      <c r="D263" s="144"/>
      <c r="E263" s="50"/>
      <c r="F263" s="50"/>
      <c r="G263" s="50"/>
      <c r="H263" s="50"/>
      <c r="I263" s="50"/>
      <c r="J263" s="50"/>
      <c r="K263" s="50"/>
      <c r="L263" s="50"/>
      <c r="M263" s="118"/>
    </row>
    <row r="264" spans="1:13" s="25" customFormat="1" x14ac:dyDescent="0.25">
      <c r="A264" s="168"/>
      <c r="B264" s="144"/>
      <c r="C264" s="144" t="s">
        <v>34</v>
      </c>
      <c r="D264" s="144"/>
      <c r="E264" s="50"/>
      <c r="F264" s="50"/>
      <c r="G264" s="50"/>
      <c r="H264" s="50"/>
      <c r="I264" s="50"/>
      <c r="J264" s="50"/>
      <c r="K264" s="50"/>
      <c r="L264" s="50"/>
      <c r="M264" s="118"/>
    </row>
    <row r="265" spans="1:13" s="25" customFormat="1" x14ac:dyDescent="0.25">
      <c r="A265" s="168"/>
      <c r="B265" s="144"/>
      <c r="C265" s="144" t="s">
        <v>166</v>
      </c>
      <c r="D265" s="120">
        <v>0.05</v>
      </c>
      <c r="E265" s="50"/>
      <c r="F265" s="50"/>
      <c r="G265" s="50"/>
      <c r="H265" s="50"/>
      <c r="I265" s="50"/>
      <c r="J265" s="50"/>
      <c r="K265" s="50"/>
      <c r="L265" s="50"/>
      <c r="M265" s="121"/>
    </row>
    <row r="266" spans="1:13" s="25" customFormat="1" x14ac:dyDescent="0.25">
      <c r="A266" s="168"/>
      <c r="B266" s="144"/>
      <c r="C266" s="144" t="s">
        <v>10</v>
      </c>
      <c r="D266" s="120"/>
      <c r="E266" s="50"/>
      <c r="F266" s="50"/>
      <c r="G266" s="50"/>
      <c r="H266" s="50"/>
      <c r="I266" s="50"/>
      <c r="J266" s="50"/>
      <c r="K266" s="50"/>
      <c r="L266" s="50"/>
      <c r="M266" s="118"/>
    </row>
    <row r="267" spans="1:13" s="25" customFormat="1" x14ac:dyDescent="0.25">
      <c r="A267" s="168"/>
      <c r="B267" s="144"/>
      <c r="C267" s="144" t="s">
        <v>123</v>
      </c>
      <c r="D267" s="120">
        <v>0.03</v>
      </c>
      <c r="E267" s="50"/>
      <c r="F267" s="50"/>
      <c r="G267" s="50"/>
      <c r="H267" s="50"/>
      <c r="I267" s="50"/>
      <c r="J267" s="50"/>
      <c r="K267" s="50"/>
      <c r="L267" s="50"/>
      <c r="M267" s="121"/>
    </row>
    <row r="268" spans="1:13" s="25" customFormat="1" x14ac:dyDescent="0.25">
      <c r="A268" s="168"/>
      <c r="B268" s="144"/>
      <c r="C268" s="144" t="s">
        <v>10</v>
      </c>
      <c r="D268" s="120"/>
      <c r="E268" s="50"/>
      <c r="F268" s="50"/>
      <c r="G268" s="50"/>
      <c r="H268" s="50"/>
      <c r="I268" s="50"/>
      <c r="J268" s="50"/>
      <c r="K268" s="50"/>
      <c r="L268" s="50"/>
      <c r="M268" s="118"/>
    </row>
    <row r="269" spans="1:13" s="123" customFormat="1" x14ac:dyDescent="0.25">
      <c r="A269" s="169"/>
      <c r="B269" s="64"/>
      <c r="C269" s="64" t="s">
        <v>124</v>
      </c>
      <c r="D269" s="131">
        <v>0.18</v>
      </c>
      <c r="E269" s="111"/>
      <c r="F269" s="111"/>
      <c r="G269" s="111"/>
      <c r="H269" s="111"/>
      <c r="I269" s="111"/>
      <c r="J269" s="111"/>
      <c r="K269" s="111"/>
      <c r="L269" s="111"/>
      <c r="M269" s="132"/>
    </row>
    <row r="270" spans="1:13" s="137" customFormat="1" ht="12.75" thickBot="1" x14ac:dyDescent="0.3">
      <c r="A270" s="133"/>
      <c r="B270" s="134"/>
      <c r="C270" s="134" t="s">
        <v>134</v>
      </c>
      <c r="D270" s="134"/>
      <c r="E270" s="135"/>
      <c r="F270" s="135"/>
      <c r="G270" s="135"/>
      <c r="H270" s="135"/>
      <c r="I270" s="135"/>
      <c r="J270" s="135"/>
      <c r="K270" s="135"/>
      <c r="L270" s="135"/>
      <c r="M270" s="136"/>
    </row>
    <row r="271" spans="1:13" s="25" customFormat="1" x14ac:dyDescent="0.25">
      <c r="A271" s="139"/>
      <c r="B271" s="139"/>
      <c r="C271" s="138"/>
      <c r="D271" s="138"/>
      <c r="E271" s="138"/>
      <c r="F271" s="138"/>
      <c r="G271" s="138"/>
      <c r="H271" s="138"/>
      <c r="I271" s="138"/>
      <c r="J271" s="138"/>
      <c r="K271" s="138"/>
      <c r="L271" s="138"/>
      <c r="M271" s="140"/>
    </row>
    <row r="272" spans="1:13" s="25" customFormat="1" ht="17.25" customHeight="1" x14ac:dyDescent="0.25">
      <c r="A272" s="139"/>
      <c r="B272" s="139"/>
      <c r="D272" s="138"/>
      <c r="E272" s="138"/>
      <c r="F272" s="138"/>
      <c r="G272" s="138"/>
      <c r="H272" s="138"/>
      <c r="I272" s="138"/>
      <c r="J272" s="138"/>
      <c r="K272" s="138"/>
      <c r="L272" s="138"/>
      <c r="M272" s="140"/>
    </row>
    <row r="273" spans="1:13" s="25" customFormat="1" ht="17.25" customHeight="1" x14ac:dyDescent="0.25">
      <c r="A273" s="139"/>
      <c r="B273" s="139"/>
      <c r="C273" s="138"/>
      <c r="D273" s="138"/>
      <c r="E273" s="138"/>
      <c r="F273" s="138"/>
      <c r="G273" s="138"/>
      <c r="H273" s="138"/>
      <c r="I273" s="138"/>
      <c r="J273" s="138"/>
      <c r="K273" s="138"/>
      <c r="L273" s="138"/>
      <c r="M273" s="140"/>
    </row>
    <row r="274" spans="1:13" s="25" customFormat="1" ht="21.6" customHeight="1" x14ac:dyDescent="0.25">
      <c r="A274" s="141"/>
      <c r="B274" s="141"/>
      <c r="C274" s="190" t="s">
        <v>218</v>
      </c>
      <c r="D274" s="190"/>
      <c r="E274" s="190"/>
      <c r="F274" s="190"/>
      <c r="G274" s="190"/>
    </row>
  </sheetData>
  <mergeCells count="53">
    <mergeCell ref="A12:A14"/>
    <mergeCell ref="A18:A19"/>
    <mergeCell ref="A20:A21"/>
    <mergeCell ref="A62:A65"/>
    <mergeCell ref="A146:A150"/>
    <mergeCell ref="A27:A29"/>
    <mergeCell ref="A30:A38"/>
    <mergeCell ref="A39:A42"/>
    <mergeCell ref="A23:A26"/>
    <mergeCell ref="A132:A137"/>
    <mergeCell ref="A114:A121"/>
    <mergeCell ref="A43:A53"/>
    <mergeCell ref="A54:A61"/>
    <mergeCell ref="A66:A71"/>
    <mergeCell ref="A72:A80"/>
    <mergeCell ref="A90:A97"/>
    <mergeCell ref="A4:M4"/>
    <mergeCell ref="A2:M2"/>
    <mergeCell ref="A8:A9"/>
    <mergeCell ref="B8:B9"/>
    <mergeCell ref="C8:C9"/>
    <mergeCell ref="D8:D9"/>
    <mergeCell ref="E8:F8"/>
    <mergeCell ref="G8:H8"/>
    <mergeCell ref="I8:J8"/>
    <mergeCell ref="K8:L8"/>
    <mergeCell ref="M8:M9"/>
    <mergeCell ref="A98:A105"/>
    <mergeCell ref="A106:A113"/>
    <mergeCell ref="A129:A131"/>
    <mergeCell ref="A122:A127"/>
    <mergeCell ref="A15:A17"/>
    <mergeCell ref="A222:A227"/>
    <mergeCell ref="A228:A233"/>
    <mergeCell ref="A234:A239"/>
    <mergeCell ref="A240:A245"/>
    <mergeCell ref="A169:A170"/>
    <mergeCell ref="C274:G274"/>
    <mergeCell ref="A246:A250"/>
    <mergeCell ref="A138:A145"/>
    <mergeCell ref="A81:A89"/>
    <mergeCell ref="A159:A161"/>
    <mergeCell ref="A157:A158"/>
    <mergeCell ref="A162:A168"/>
    <mergeCell ref="A251:A257"/>
    <mergeCell ref="A151:A155"/>
    <mergeCell ref="A178:A180"/>
    <mergeCell ref="A181:A190"/>
    <mergeCell ref="A204:A206"/>
    <mergeCell ref="A207:A209"/>
    <mergeCell ref="A191:A198"/>
    <mergeCell ref="A199:A203"/>
    <mergeCell ref="A216:A221"/>
  </mergeCells>
  <conditionalFormatting sqref="G136">
    <cfRule type="cellIs" dxfId="5" priority="9" stopIfTrue="1" operator="equal">
      <formula>8223.307275</formula>
    </cfRule>
  </conditionalFormatting>
  <conditionalFormatting sqref="C41">
    <cfRule type="cellIs" dxfId="4" priority="7" stopIfTrue="1" operator="equal">
      <formula>8223.307275</formula>
    </cfRule>
  </conditionalFormatting>
  <conditionalFormatting sqref="D94">
    <cfRule type="cellIs" dxfId="3" priority="6" stopIfTrue="1" operator="equal">
      <formula>8223.307275</formula>
    </cfRule>
  </conditionalFormatting>
  <conditionalFormatting sqref="D187">
    <cfRule type="cellIs" dxfId="2" priority="5" stopIfTrue="1" operator="equal">
      <formula>8223.307275</formula>
    </cfRule>
  </conditionalFormatting>
  <conditionalFormatting sqref="F184">
    <cfRule type="cellIs" dxfId="1" priority="4" stopIfTrue="1" operator="equal">
      <formula>8223.307275</formula>
    </cfRule>
  </conditionalFormatting>
  <conditionalFormatting sqref="F146">
    <cfRule type="cellIs" dxfId="0" priority="1" stopIfTrue="1" operator="equal">
      <formula>8223.307275</formula>
    </cfRule>
  </conditionalFormatting>
  <printOptions horizontalCentered="1"/>
  <pageMargins left="0.19685039370078741" right="0.19685039370078741" top="0.59055118110236227" bottom="0.39370078740157483" header="0.19685039370078741" footer="0.19685039370078741"/>
  <pageSetup paperSize="9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2021-08-27T10:53:40Z</dcterms:modified>
</cp:coreProperties>
</file>