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თავფურელი" sheetId="7" r:id="rId1"/>
    <sheet name="საერთო" sheetId="8" r:id="rId2"/>
    <sheet name="დემონტაჟი" sheetId="10" r:id="rId3"/>
    <sheet name="სტადიონი" sheetId="9" r:id="rId4"/>
    <sheet name="სკვერი" sheetId="1" r:id="rId5"/>
    <sheet name="ელექტროობა" sheetId="11" r:id="rId6"/>
  </sheets>
  <definedNames>
    <definedName name="_xlnm.Print_Area" localSheetId="2">დემონტაჟი!$A$1:$M$18</definedName>
    <definedName name="_xlnm.Print_Area" localSheetId="5">ელექტროობა!$A$1:$L$111</definedName>
    <definedName name="_xlnm.Print_Area" localSheetId="0">თავფურელი!$A$1:$L$32</definedName>
    <definedName name="_xlnm.Print_Area" localSheetId="4">სკვერი!$A$1:$L$169</definedName>
    <definedName name="_xlnm.Print_Area" localSheetId="3">სტადიონი!$A$1:$L$169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E156" i="1"/>
  <c r="E159" i="1" s="1"/>
  <c r="E58" i="11"/>
  <c r="E54" i="11"/>
  <c r="E48" i="11"/>
  <c r="E39" i="11"/>
  <c r="E38" i="11"/>
  <c r="E37" i="11"/>
  <c r="E36" i="11"/>
  <c r="E35" i="11"/>
  <c r="E34" i="11"/>
  <c r="E33" i="11"/>
  <c r="E32" i="11"/>
  <c r="E31" i="11"/>
  <c r="A122" i="9" l="1"/>
  <c r="E15" i="11" l="1"/>
  <c r="E8" i="11" s="1"/>
  <c r="E10" i="11" l="1"/>
  <c r="E13" i="11" s="1"/>
  <c r="A39" i="11"/>
  <c r="A40" i="11" s="1"/>
  <c r="E26" i="11"/>
  <c r="E24" i="11"/>
  <c r="E23" i="11"/>
  <c r="A23" i="11"/>
  <c r="A24" i="11" s="1"/>
  <c r="A25" i="11" s="1"/>
  <c r="A26" i="11" s="1"/>
  <c r="E124" i="9" l="1"/>
  <c r="E15" i="9"/>
  <c r="E22" i="9"/>
  <c r="E17" i="9"/>
  <c r="E20" i="9" s="1"/>
  <c r="E10" i="9"/>
  <c r="E13" i="9" s="1"/>
  <c r="E8" i="9"/>
  <c r="A15" i="9"/>
  <c r="A16" i="9" s="1"/>
  <c r="B6" i="8" l="1"/>
  <c r="B5" i="8"/>
  <c r="B4" i="8"/>
  <c r="E79" i="11"/>
  <c r="A76" i="11"/>
  <c r="A77" i="11" s="1"/>
  <c r="A78" i="11" s="1"/>
  <c r="A79" i="11" s="1"/>
  <c r="E77" i="11" l="1"/>
  <c r="E78" i="11"/>
  <c r="E76" i="11"/>
  <c r="E19" i="11"/>
  <c r="E47" i="11"/>
  <c r="E40" i="11"/>
  <c r="E30" i="11"/>
  <c r="E29" i="11"/>
  <c r="E28" i="11"/>
  <c r="E100" i="11"/>
  <c r="E94" i="11"/>
  <c r="E93" i="11"/>
  <c r="E90" i="11"/>
  <c r="E83" i="11"/>
  <c r="E85" i="11" s="1"/>
  <c r="A83" i="11"/>
  <c r="A71" i="11"/>
  <c r="A72" i="11" s="1"/>
  <c r="A73" i="11" s="1"/>
  <c r="A74" i="11" s="1"/>
  <c r="E74" i="11"/>
  <c r="D53" i="11"/>
  <c r="D51" i="11"/>
  <c r="D43" i="11"/>
  <c r="D20" i="11"/>
  <c r="A10" i="11"/>
  <c r="A15" i="11" s="1"/>
  <c r="A9" i="11"/>
  <c r="A1" i="11"/>
  <c r="F8" i="10"/>
  <c r="A1" i="10"/>
  <c r="A1" i="9"/>
  <c r="A1" i="1"/>
  <c r="O155" i="9"/>
  <c r="O154" i="9"/>
  <c r="O153" i="9"/>
  <c r="O147" i="9"/>
  <c r="O146" i="9"/>
  <c r="E143" i="9"/>
  <c r="E142" i="9"/>
  <c r="E141" i="9"/>
  <c r="E140" i="9"/>
  <c r="E139" i="9"/>
  <c r="E138" i="9"/>
  <c r="A137" i="9"/>
  <c r="E136" i="9"/>
  <c r="E135" i="9"/>
  <c r="E134" i="9"/>
  <c r="E133" i="9"/>
  <c r="A133" i="9"/>
  <c r="A134" i="9" s="1"/>
  <c r="A135" i="9" s="1"/>
  <c r="A136" i="9" s="1"/>
  <c r="A127" i="9"/>
  <c r="A128" i="9" s="1"/>
  <c r="A129" i="9" s="1"/>
  <c r="A130" i="9" s="1"/>
  <c r="E125" i="9"/>
  <c r="E122" i="9"/>
  <c r="E129" i="9"/>
  <c r="A123" i="9"/>
  <c r="A124" i="9" s="1"/>
  <c r="A125" i="9" s="1"/>
  <c r="E120" i="9"/>
  <c r="E119" i="9"/>
  <c r="E118" i="9"/>
  <c r="E117" i="9"/>
  <c r="A117" i="9"/>
  <c r="A118" i="9" s="1"/>
  <c r="A119" i="9" s="1"/>
  <c r="A120" i="9" s="1"/>
  <c r="A112" i="9"/>
  <c r="A113" i="9" s="1"/>
  <c r="A114" i="9" s="1"/>
  <c r="A115" i="9" s="1"/>
  <c r="E111" i="9"/>
  <c r="E112" i="9" s="1"/>
  <c r="D110" i="9"/>
  <c r="D108" i="9"/>
  <c r="D107" i="9"/>
  <c r="D106" i="9"/>
  <c r="D105" i="9"/>
  <c r="D104" i="9"/>
  <c r="D103" i="9"/>
  <c r="E101" i="9"/>
  <c r="A101" i="9"/>
  <c r="A102" i="9" s="1"/>
  <c r="A103" i="9" s="1"/>
  <c r="A104" i="9" s="1"/>
  <c r="A105" i="9" s="1"/>
  <c r="A106" i="9" s="1"/>
  <c r="A107" i="9" s="1"/>
  <c r="A108" i="9" s="1"/>
  <c r="A109" i="9" s="1"/>
  <c r="A110" i="9" s="1"/>
  <c r="E100" i="9"/>
  <c r="E99" i="9"/>
  <c r="E98" i="9"/>
  <c r="E97" i="9"/>
  <c r="E95" i="9"/>
  <c r="E94" i="9"/>
  <c r="E96" i="9" s="1"/>
  <c r="A94" i="9"/>
  <c r="A95" i="9" s="1"/>
  <c r="A96" i="9" s="1"/>
  <c r="A97" i="9" s="1"/>
  <c r="A98" i="9" s="1"/>
  <c r="A99" i="9" s="1"/>
  <c r="A100" i="9" s="1"/>
  <c r="A88" i="9"/>
  <c r="A89" i="9" s="1"/>
  <c r="A90" i="9" s="1"/>
  <c r="A91" i="9" s="1"/>
  <c r="E86" i="9"/>
  <c r="E85" i="9"/>
  <c r="E84" i="9"/>
  <c r="E83" i="9"/>
  <c r="E82" i="9"/>
  <c r="E81" i="9"/>
  <c r="A81" i="9"/>
  <c r="A82" i="9" s="1"/>
  <c r="A83" i="9" s="1"/>
  <c r="A84" i="9" s="1"/>
  <c r="A85" i="9" s="1"/>
  <c r="A86" i="9" s="1"/>
  <c r="A75" i="9"/>
  <c r="A76" i="9" s="1"/>
  <c r="A77" i="9" s="1"/>
  <c r="A78" i="9" s="1"/>
  <c r="A79" i="9" s="1"/>
  <c r="E74" i="9"/>
  <c r="E73" i="9"/>
  <c r="E72" i="9"/>
  <c r="E71" i="9"/>
  <c r="E70" i="9"/>
  <c r="A70" i="9"/>
  <c r="A71" i="9" s="1"/>
  <c r="A72" i="9" s="1"/>
  <c r="A73" i="9" s="1"/>
  <c r="O66" i="9"/>
  <c r="O65" i="9"/>
  <c r="A60" i="9"/>
  <c r="A61" i="9" s="1"/>
  <c r="A62" i="9" s="1"/>
  <c r="A63" i="9" s="1"/>
  <c r="A64" i="9" s="1"/>
  <c r="A65" i="9" s="1"/>
  <c r="A66" i="9" s="1"/>
  <c r="A67" i="9" s="1"/>
  <c r="A68" i="9" s="1"/>
  <c r="E59" i="9"/>
  <c r="O55" i="9"/>
  <c r="N55" i="9"/>
  <c r="O54" i="9"/>
  <c r="N54" i="9"/>
  <c r="O53" i="9"/>
  <c r="N53" i="9"/>
  <c r="O52" i="9"/>
  <c r="N52" i="9"/>
  <c r="O51" i="9"/>
  <c r="N51" i="9"/>
  <c r="A49" i="9"/>
  <c r="E47" i="9"/>
  <c r="E44" i="9"/>
  <c r="E43" i="9"/>
  <c r="E42" i="9"/>
  <c r="E41" i="9"/>
  <c r="E40" i="9"/>
  <c r="E39" i="9"/>
  <c r="A39" i="9"/>
  <c r="A40" i="9" s="1"/>
  <c r="A41" i="9" s="1"/>
  <c r="A42" i="9" s="1"/>
  <c r="A43" i="9" s="1"/>
  <c r="A44" i="9" s="1"/>
  <c r="A45" i="9" s="1"/>
  <c r="A46" i="9" s="1"/>
  <c r="A47" i="9" s="1"/>
  <c r="E37" i="9"/>
  <c r="E36" i="9"/>
  <c r="E35" i="9"/>
  <c r="E34" i="9"/>
  <c r="A34" i="9"/>
  <c r="A35" i="9" s="1"/>
  <c r="A36" i="9" s="1"/>
  <c r="A37" i="9" s="1"/>
  <c r="E24" i="9"/>
  <c r="E23" i="9"/>
  <c r="E21" i="9"/>
  <c r="A20" i="9"/>
  <c r="A21" i="9" s="1"/>
  <c r="E19" i="9"/>
  <c r="E18" i="9"/>
  <c r="A18" i="9"/>
  <c r="A19" i="9" s="1"/>
  <c r="A14" i="9"/>
  <c r="A11" i="9"/>
  <c r="A12" i="9" s="1"/>
  <c r="A9" i="9"/>
  <c r="A16" i="11" l="1"/>
  <c r="E60" i="9"/>
  <c r="E67" i="9"/>
  <c r="E25" i="9"/>
  <c r="E26" i="9"/>
  <c r="E108" i="9"/>
  <c r="E14" i="9"/>
  <c r="N57" i="9"/>
  <c r="E48" i="9" s="1"/>
  <c r="E57" i="9" s="1"/>
  <c r="O83" i="9"/>
  <c r="E115" i="9"/>
  <c r="E12" i="9"/>
  <c r="O82" i="9"/>
  <c r="E11" i="9"/>
  <c r="E9" i="9"/>
  <c r="O156" i="9"/>
  <c r="E157" i="9" s="1"/>
  <c r="E161" i="9" s="1"/>
  <c r="E18" i="11"/>
  <c r="E56" i="11"/>
  <c r="A17" i="11"/>
  <c r="A18" i="11" s="1"/>
  <c r="A19" i="11" s="1"/>
  <c r="A20" i="11" s="1"/>
  <c r="A21" i="11" s="1"/>
  <c r="A28" i="11"/>
  <c r="A29" i="11" s="1"/>
  <c r="A30" i="11" s="1"/>
  <c r="A31" i="11" s="1"/>
  <c r="A32" i="11" s="1"/>
  <c r="E84" i="11"/>
  <c r="A11" i="11"/>
  <c r="A12" i="11" s="1"/>
  <c r="A13" i="11" s="1"/>
  <c r="A14" i="11" s="1"/>
  <c r="E91" i="11"/>
  <c r="E42" i="11"/>
  <c r="E16" i="11"/>
  <c r="E46" i="11"/>
  <c r="E20" i="11"/>
  <c r="E43" i="11"/>
  <c r="E21" i="11"/>
  <c r="A48" i="11"/>
  <c r="A42" i="11"/>
  <c r="A43" i="11" s="1"/>
  <c r="A44" i="11" s="1"/>
  <c r="A45" i="11" s="1"/>
  <c r="A46" i="11" s="1"/>
  <c r="A47" i="11" s="1"/>
  <c r="A84" i="11"/>
  <c r="A85" i="11" s="1"/>
  <c r="A92" i="11"/>
  <c r="A93" i="11" s="1"/>
  <c r="A94" i="11" s="1"/>
  <c r="A95" i="11" s="1"/>
  <c r="A96" i="11" s="1"/>
  <c r="A97" i="11" s="1"/>
  <c r="A98" i="11" s="1"/>
  <c r="A99" i="11" s="1"/>
  <c r="A100" i="11" s="1"/>
  <c r="E71" i="11"/>
  <c r="E73" i="11"/>
  <c r="A81" i="11"/>
  <c r="A82" i="11" s="1"/>
  <c r="E17" i="11"/>
  <c r="E59" i="11"/>
  <c r="E72" i="11"/>
  <c r="E127" i="9"/>
  <c r="A22" i="9"/>
  <c r="A50" i="9"/>
  <c r="A51" i="9" s="1"/>
  <c r="E103" i="9"/>
  <c r="A144" i="9"/>
  <c r="A138" i="9"/>
  <c r="A139" i="9" s="1"/>
  <c r="A140" i="9" s="1"/>
  <c r="A141" i="9" s="1"/>
  <c r="A142" i="9" s="1"/>
  <c r="A143" i="9" s="1"/>
  <c r="E130" i="9"/>
  <c r="E128" i="9"/>
  <c r="E106" i="9"/>
  <c r="E109" i="9"/>
  <c r="E102" i="9"/>
  <c r="E78" i="9"/>
  <c r="E76" i="9"/>
  <c r="E79" i="9"/>
  <c r="E77" i="9"/>
  <c r="E75" i="9"/>
  <c r="E110" i="9"/>
  <c r="E105" i="9"/>
  <c r="E61" i="9"/>
  <c r="E68" i="9"/>
  <c r="E113" i="9"/>
  <c r="E60" i="11" l="1"/>
  <c r="E61" i="11" s="1"/>
  <c r="E9" i="11"/>
  <c r="O87" i="9"/>
  <c r="E87" i="9" s="1"/>
  <c r="E91" i="9" s="1"/>
  <c r="E58" i="9"/>
  <c r="E50" i="9"/>
  <c r="E49" i="9"/>
  <c r="E16" i="9"/>
  <c r="E158" i="9"/>
  <c r="E160" i="9"/>
  <c r="E159" i="9"/>
  <c r="E57" i="11"/>
  <c r="E55" i="11"/>
  <c r="A34" i="11"/>
  <c r="A35" i="11" s="1"/>
  <c r="A33" i="11"/>
  <c r="A54" i="11"/>
  <c r="A49" i="11"/>
  <c r="A50" i="11" s="1"/>
  <c r="A51" i="11" s="1"/>
  <c r="A52" i="11" s="1"/>
  <c r="A53" i="11" s="1"/>
  <c r="E81" i="11"/>
  <c r="E82" i="11"/>
  <c r="E11" i="11"/>
  <c r="E14" i="11"/>
  <c r="E12" i="11"/>
  <c r="A86" i="11"/>
  <c r="A87" i="11"/>
  <c r="A88" i="11" s="1"/>
  <c r="A89" i="11" s="1"/>
  <c r="A90" i="11" s="1"/>
  <c r="A91" i="11" s="1"/>
  <c r="A52" i="9"/>
  <c r="A53" i="9" s="1"/>
  <c r="A54" i="9" s="1"/>
  <c r="A55" i="9" s="1"/>
  <c r="A56" i="9" s="1"/>
  <c r="A57" i="9" s="1"/>
  <c r="E104" i="9"/>
  <c r="A23" i="9"/>
  <c r="E29" i="9"/>
  <c r="E28" i="9"/>
  <c r="E30" i="9"/>
  <c r="E31" i="9" s="1"/>
  <c r="E27" i="9"/>
  <c r="E107" i="9"/>
  <c r="A145" i="9"/>
  <c r="A146" i="9" s="1"/>
  <c r="A147" i="9" s="1"/>
  <c r="A148" i="9" s="1"/>
  <c r="A149" i="9" s="1"/>
  <c r="E88" i="9" l="1"/>
  <c r="E90" i="9"/>
  <c r="E89" i="9"/>
  <c r="E62" i="11"/>
  <c r="E63" i="11" s="1"/>
  <c r="A36" i="11"/>
  <c r="A37" i="11" s="1"/>
  <c r="A58" i="11"/>
  <c r="A55" i="11"/>
  <c r="A56" i="11" s="1"/>
  <c r="A57" i="11" s="1"/>
  <c r="C3" i="8"/>
  <c r="A8" i="10"/>
  <c r="A157" i="9"/>
  <c r="A158" i="9" s="1"/>
  <c r="A159" i="9" s="1"/>
  <c r="A160" i="9" s="1"/>
  <c r="A161" i="9" s="1"/>
  <c r="A152" i="9"/>
  <c r="A153" i="9" s="1"/>
  <c r="A154" i="9" s="1"/>
  <c r="A155" i="9" s="1"/>
  <c r="A156" i="9" s="1"/>
  <c r="E49" i="11" l="1"/>
  <c r="E51" i="11"/>
  <c r="E52" i="11"/>
  <c r="E50" i="11"/>
  <c r="E53" i="11"/>
  <c r="A59" i="11"/>
  <c r="A60" i="11"/>
  <c r="A61" i="11" l="1"/>
  <c r="A62" i="11"/>
  <c r="A63" i="11" s="1"/>
  <c r="A25" i="9"/>
  <c r="C6" i="8" l="1"/>
  <c r="A30" i="9"/>
  <c r="A31" i="9" s="1"/>
  <c r="A27" i="9"/>
  <c r="A28" i="9" s="1"/>
  <c r="A29" i="9" s="1"/>
  <c r="A101" i="1" l="1"/>
  <c r="A103" i="1" s="1"/>
  <c r="A38" i="1"/>
  <c r="A40" i="1" s="1"/>
  <c r="A13" i="1"/>
  <c r="A15" i="1" s="1"/>
  <c r="A17" i="1" s="1"/>
  <c r="E146" i="1"/>
  <c r="E145" i="1"/>
  <c r="E144" i="1"/>
  <c r="E143" i="1"/>
  <c r="E142" i="1"/>
  <c r="E141" i="1"/>
  <c r="E139" i="1"/>
  <c r="E123" i="1"/>
  <c r="E121" i="1"/>
  <c r="E117" i="1"/>
  <c r="D115" i="1"/>
  <c r="A100" i="1"/>
  <c r="E97" i="1"/>
  <c r="E96" i="1"/>
  <c r="E95" i="1"/>
  <c r="E94" i="1"/>
  <c r="E88" i="1"/>
  <c r="E90" i="1" s="1"/>
  <c r="E87" i="1"/>
  <c r="E86" i="1"/>
  <c r="E85" i="1"/>
  <c r="E79" i="1"/>
  <c r="E83" i="1" s="1"/>
  <c r="E74" i="1"/>
  <c r="E78" i="1" s="1"/>
  <c r="E66" i="1"/>
  <c r="E73" i="1" s="1"/>
  <c r="D65" i="1"/>
  <c r="D63" i="1"/>
  <c r="D62" i="1"/>
  <c r="D61" i="1"/>
  <c r="D60" i="1"/>
  <c r="D58" i="1"/>
  <c r="D56" i="1"/>
  <c r="D55" i="1"/>
  <c r="D54" i="1"/>
  <c r="D53" i="1"/>
  <c r="D47" i="1"/>
  <c r="D46" i="1"/>
  <c r="D45" i="1"/>
  <c r="D44" i="1"/>
  <c r="E40" i="1"/>
  <c r="E38" i="1" s="1"/>
  <c r="E30" i="1"/>
  <c r="E34" i="1" s="1"/>
  <c r="E29" i="1"/>
  <c r="E28" i="1"/>
  <c r="E23" i="1"/>
  <c r="E24" i="1" s="1"/>
  <c r="E17" i="1"/>
  <c r="E22" i="1" s="1"/>
  <c r="A14" i="1"/>
  <c r="A9" i="1"/>
  <c r="A10" i="1" s="1"/>
  <c r="A11" i="1" s="1"/>
  <c r="A12" i="1" s="1"/>
  <c r="A39" i="1" l="1"/>
  <c r="E18" i="1"/>
  <c r="E13" i="1"/>
  <c r="E15" i="1" s="1"/>
  <c r="E16" i="1" s="1"/>
  <c r="E42" i="1"/>
  <c r="A102" i="1"/>
  <c r="E91" i="1"/>
  <c r="A104" i="1"/>
  <c r="A105" i="1"/>
  <c r="A41" i="1"/>
  <c r="A42" i="1" s="1"/>
  <c r="A43" i="1"/>
  <c r="E67" i="1"/>
  <c r="E92" i="1"/>
  <c r="E31" i="1"/>
  <c r="E33" i="1"/>
  <c r="E158" i="1"/>
  <c r="E110" i="1"/>
  <c r="E116" i="1" s="1"/>
  <c r="E8" i="1"/>
  <c r="E12" i="1" s="1"/>
  <c r="E19" i="1"/>
  <c r="E20" i="1"/>
  <c r="E26" i="1"/>
  <c r="E72" i="1"/>
  <c r="E89" i="1"/>
  <c r="E155" i="1"/>
  <c r="E136" i="1"/>
  <c r="E138" i="1"/>
  <c r="E129" i="1"/>
  <c r="E137" i="1"/>
  <c r="E39" i="1"/>
  <c r="E48" i="1"/>
  <c r="E52" i="1"/>
  <c r="E54" i="1" s="1"/>
  <c r="E75" i="1"/>
  <c r="E77" i="1"/>
  <c r="E43" i="1"/>
  <c r="E80" i="1"/>
  <c r="E82" i="1"/>
  <c r="E68" i="1"/>
  <c r="E41" i="1"/>
  <c r="E76" i="1"/>
  <c r="E81" i="1"/>
  <c r="A18" i="1"/>
  <c r="A19" i="1" s="1"/>
  <c r="A20" i="1" s="1"/>
  <c r="A23" i="1"/>
  <c r="A16" i="1"/>
  <c r="E32" i="1"/>
  <c r="E160" i="1" l="1"/>
  <c r="E148" i="1"/>
  <c r="E111" i="1"/>
  <c r="E114" i="1"/>
  <c r="E115" i="1"/>
  <c r="E14" i="1"/>
  <c r="A21" i="1"/>
  <c r="A22" i="1" s="1"/>
  <c r="E10" i="1"/>
  <c r="E11" i="1"/>
  <c r="E112" i="1"/>
  <c r="E161" i="1"/>
  <c r="E105" i="1"/>
  <c r="E99" i="1" s="1"/>
  <c r="E101" i="1" s="1"/>
  <c r="E154" i="1"/>
  <c r="E113" i="1"/>
  <c r="E157" i="1"/>
  <c r="E9" i="1"/>
  <c r="A44" i="1"/>
  <c r="A45" i="1" s="1"/>
  <c r="A46" i="1" s="1"/>
  <c r="A47" i="1" s="1"/>
  <c r="A48" i="1"/>
  <c r="A110" i="1"/>
  <c r="A106" i="1"/>
  <c r="A107" i="1" s="1"/>
  <c r="A108" i="1" s="1"/>
  <c r="A109" i="1" s="1"/>
  <c r="E149" i="1"/>
  <c r="E131" i="1"/>
  <c r="E130" i="1"/>
  <c r="E44" i="1"/>
  <c r="E47" i="1"/>
  <c r="E46" i="1"/>
  <c r="E55" i="1"/>
  <c r="E57" i="1"/>
  <c r="E56" i="1"/>
  <c r="E59" i="1"/>
  <c r="E36" i="1" s="1"/>
  <c r="E37" i="1" s="1"/>
  <c r="E45" i="1"/>
  <c r="E53" i="1"/>
  <c r="E58" i="1"/>
  <c r="E50" i="1"/>
  <c r="E51" i="1" s="1"/>
  <c r="E49" i="1"/>
  <c r="A27" i="1"/>
  <c r="A24" i="1"/>
  <c r="A25" i="1" s="1"/>
  <c r="A26" i="1" s="1"/>
  <c r="E109" i="1" l="1"/>
  <c r="E107" i="1"/>
  <c r="E108" i="1"/>
  <c r="E106" i="1"/>
  <c r="E100" i="1"/>
  <c r="A49" i="1"/>
  <c r="A50" i="1"/>
  <c r="A117" i="1"/>
  <c r="A111" i="1"/>
  <c r="A112" i="1" s="1"/>
  <c r="A113" i="1" s="1"/>
  <c r="A114" i="1" s="1"/>
  <c r="A115" i="1" s="1"/>
  <c r="A116" i="1" s="1"/>
  <c r="E103" i="1"/>
  <c r="E104" i="1" s="1"/>
  <c r="E102" i="1"/>
  <c r="E132" i="1"/>
  <c r="E133" i="1"/>
  <c r="E134" i="1" s="1"/>
  <c r="E64" i="1"/>
  <c r="E63" i="1"/>
  <c r="E61" i="1"/>
  <c r="E62" i="1"/>
  <c r="E65" i="1"/>
  <c r="E60" i="1"/>
  <c r="A30" i="1"/>
  <c r="A31" i="1" s="1"/>
  <c r="A32" i="1" s="1"/>
  <c r="A33" i="1" s="1"/>
  <c r="A34" i="1" s="1"/>
  <c r="A28" i="1"/>
  <c r="A29" i="1" s="1"/>
  <c r="A118" i="1" l="1"/>
  <c r="A119" i="1" s="1"/>
  <c r="A120" i="1" s="1"/>
  <c r="A121" i="1"/>
  <c r="A51" i="1"/>
  <c r="A52" i="1"/>
  <c r="A122" i="1" l="1"/>
  <c r="A123" i="1"/>
  <c r="A59" i="1"/>
  <c r="A53" i="1"/>
  <c r="A54" i="1" s="1"/>
  <c r="A55" i="1" s="1"/>
  <c r="A56" i="1" s="1"/>
  <c r="A57" i="1" s="1"/>
  <c r="A58" i="1" s="1"/>
  <c r="A60" i="1" l="1"/>
  <c r="A61" i="1" s="1"/>
  <c r="A62" i="1" s="1"/>
  <c r="A63" i="1" s="1"/>
  <c r="A64" i="1" s="1"/>
  <c r="A65" i="1" s="1"/>
  <c r="A66" i="1"/>
  <c r="C5" i="8"/>
  <c r="A124" i="1"/>
  <c r="A125" i="1" s="1"/>
  <c r="A126" i="1" s="1"/>
  <c r="A127" i="1" s="1"/>
  <c r="A129" i="1"/>
  <c r="A67" i="1" l="1"/>
  <c r="A68" i="1" s="1"/>
  <c r="A69" i="1" s="1"/>
  <c r="A70" i="1" s="1"/>
  <c r="A71" i="1" s="1"/>
  <c r="A72" i="1" s="1"/>
  <c r="A73" i="1" s="1"/>
  <c r="A74" i="1"/>
  <c r="A130" i="1"/>
  <c r="A131" i="1"/>
  <c r="A1" i="8"/>
  <c r="A133" i="1" l="1"/>
  <c r="A132" i="1"/>
  <c r="A75" i="1"/>
  <c r="A76" i="1" s="1"/>
  <c r="A77" i="1" s="1"/>
  <c r="A78" i="1" s="1"/>
  <c r="A79" i="1"/>
  <c r="A80" i="1" l="1"/>
  <c r="A81" i="1" s="1"/>
  <c r="A82" i="1" s="1"/>
  <c r="A83" i="1" s="1"/>
  <c r="A84" i="1"/>
  <c r="A135" i="1"/>
  <c r="A134" i="1"/>
  <c r="A136" i="1" l="1"/>
  <c r="A137" i="1" s="1"/>
  <c r="A138" i="1" s="1"/>
  <c r="A139" i="1" s="1"/>
  <c r="A140" i="1"/>
  <c r="A85" i="1"/>
  <c r="A86" i="1" s="1"/>
  <c r="A87" i="1" s="1"/>
  <c r="A88" i="1"/>
  <c r="A89" i="1" l="1"/>
  <c r="A90" i="1" s="1"/>
  <c r="A91" i="1" s="1"/>
  <c r="A92" i="1" s="1"/>
  <c r="A93" i="1"/>
  <c r="A94" i="1" s="1"/>
  <c r="A95" i="1" s="1"/>
  <c r="A96" i="1" s="1"/>
  <c r="A97" i="1" s="1"/>
  <c r="A147" i="1"/>
  <c r="A141" i="1"/>
  <c r="A142" i="1" s="1"/>
  <c r="A143" i="1" s="1"/>
  <c r="A144" i="1" s="1"/>
  <c r="A145" i="1" s="1"/>
  <c r="A146" i="1" s="1"/>
  <c r="A156" i="1" l="1"/>
  <c r="A148" i="1"/>
  <c r="A149" i="1"/>
  <c r="A150" i="1" l="1"/>
  <c r="A157" i="1"/>
  <c r="A158" i="1" s="1"/>
  <c r="A159" i="1" s="1"/>
  <c r="A160" i="1" s="1"/>
  <c r="A161" i="1" s="1"/>
  <c r="A151" i="1" l="1"/>
  <c r="A152" i="1"/>
  <c r="A153" i="1" s="1"/>
  <c r="A154" i="1" s="1"/>
  <c r="A155" i="1" s="1"/>
  <c r="C4" i="8"/>
  <c r="C7" i="8" s="1"/>
  <c r="C8" i="8" s="1"/>
  <c r="C9" i="8" s="1"/>
  <c r="C10" i="8" s="1"/>
  <c r="C11" i="8" s="1"/>
  <c r="G21" i="7" s="1"/>
</calcChain>
</file>

<file path=xl/sharedStrings.xml><?xml version="1.0" encoding="utf-8"?>
<sst xmlns="http://schemas.openxmlformats.org/spreadsheetml/2006/main" count="1034" uniqueCount="327">
  <si>
    <t>#</t>
  </si>
  <si>
    <t>safuZveli</t>
  </si>
  <si>
    <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</si>
  <si>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</si>
  <si>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raodenoba</t>
  </si>
  <si>
    <r>
      <rPr>
        <sz val="9"/>
        <color indexed="8"/>
        <rFont val="AcadNusx"/>
      </rPr>
      <t>m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l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</si>
  <si>
    <r>
      <rPr>
        <sz val="9"/>
        <color indexed="8"/>
        <rFont val="AcadNusx"/>
      </rPr>
      <t>xelfasi</t>
    </r>
  </si>
  <si>
    <r>
      <t>transporti da</t>
    </r>
    <r>
      <rPr>
        <sz val="9"/>
        <color indexed="8"/>
        <rFont val="AcadNusx"/>
      </rPr>
      <t xml:space="preserve"> meqanizmebi</t>
    </r>
  </si>
  <si>
    <t>Gjami</t>
  </si>
  <si>
    <r>
      <rPr>
        <sz val="9"/>
        <color indexed="8"/>
        <rFont val="AcadNusx"/>
      </rP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</si>
  <si>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rPr>
        <sz val="9"/>
        <color indexed="8"/>
        <rFont val="AcadNusx"/>
      </rP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</si>
  <si>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ganz. erTeulze</t>
  </si>
  <si>
    <t>saproeqto monacemze</t>
  </si>
  <si>
    <r>
      <rPr>
        <sz val="9"/>
        <color indexed="8"/>
        <rFont val="AcadNusx"/>
      </rPr>
      <t>erT.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fasi</t>
    </r>
  </si>
  <si>
    <r>
      <rPr>
        <sz val="9"/>
        <color indexed="8"/>
        <rFont val="AcadNusx"/>
      </rPr>
      <t>Gjami</t>
    </r>
  </si>
  <si>
    <t xml:space="preserve"> SromiTi danaxarji </t>
  </si>
  <si>
    <t>kac/sT</t>
  </si>
  <si>
    <t>lari</t>
  </si>
  <si>
    <t>sabazro</t>
  </si>
  <si>
    <t>tona</t>
  </si>
  <si>
    <t>m</t>
  </si>
  <si>
    <t>kv.m.</t>
  </si>
  <si>
    <t>cali</t>
  </si>
  <si>
    <t>srf</t>
  </si>
  <si>
    <t>samSeneblo nagvis transportireba</t>
  </si>
  <si>
    <t xml:space="preserve">jami </t>
  </si>
  <si>
    <t>jami</t>
  </si>
  <si>
    <t>c</t>
  </si>
  <si>
    <t xml:space="preserve">III kategoriis gruntis damuSaveba xeliT </t>
  </si>
  <si>
    <t>III kategoriis gruntis damuSaveba meqnizmebiT gverdze dayriT</t>
  </si>
  <si>
    <t xml:space="preserve">SromiTi danaxarji </t>
  </si>
  <si>
    <t>eqskavatori 0.65</t>
  </si>
  <si>
    <t>gruntis datvirTva eqskavatoriT</t>
  </si>
  <si>
    <t xml:space="preserve">eqskavatori 0,5 kub.m </t>
  </si>
  <si>
    <t>m/sT</t>
  </si>
  <si>
    <t xml:space="preserve">sxva manqanebi </t>
  </si>
  <si>
    <t>gruntis datvirTva xeliT avtoTviTmclelze</t>
  </si>
  <si>
    <t>SromiTi danaxarji</t>
  </si>
  <si>
    <t>safeni da safari Sris mowyoba wvrilmarcvlovani qviSiT</t>
  </si>
  <si>
    <t>kubm</t>
  </si>
  <si>
    <t>sxva manqanebi</t>
  </si>
  <si>
    <t>sxva masala</t>
  </si>
  <si>
    <t>sxvadasxva manqanebi</t>
  </si>
  <si>
    <t>kbm</t>
  </si>
  <si>
    <t>armatura</t>
  </si>
  <si>
    <t>sxva masalebi</t>
  </si>
  <si>
    <t xml:space="preserve"> SromiTi danaxarji</t>
  </si>
  <si>
    <t xml:space="preserve">manqanebi </t>
  </si>
  <si>
    <t>ლარი</t>
  </si>
  <si>
    <t>SromiTi danaxarjebi</t>
  </si>
  <si>
    <t>l</t>
  </si>
  <si>
    <t>sxvadasxva masalebi</t>
  </si>
  <si>
    <t>kg</t>
  </si>
  <si>
    <t>avtogreideri saSualo tipis 79 kvt (108cZ.)</t>
  </si>
  <si>
    <t>satkepni 18t.</t>
  </si>
  <si>
    <t>t</t>
  </si>
  <si>
    <t xml:space="preserve"> betonis bordiuris 
mowyoba betonis safuZvelze qviSa-xreSovani baliSis mowyobiT </t>
  </si>
  <si>
    <t xml:space="preserve"> SromiTi danaxarjebi</t>
  </si>
  <si>
    <t>k/sT</t>
  </si>
  <si>
    <t>proeqt.</t>
  </si>
  <si>
    <t xml:space="preserve">betonis bordiuri 15X30sm </t>
  </si>
  <si>
    <t>betoni В-15</t>
  </si>
  <si>
    <t>betonis filis armirebis mowyoba</t>
  </si>
  <si>
    <t>proeqtiT</t>
  </si>
  <si>
    <t>კვ.მ</t>
  </si>
  <si>
    <t xml:space="preserve"> sxva masala</t>
  </si>
  <si>
    <t>dekoratiuli filebis dageba</t>
  </si>
  <si>
    <t xml:space="preserve"> sxvadasxva manqanebi</t>
  </si>
  <si>
    <t>kvm</t>
  </si>
  <si>
    <t>qviSa yviTeli</t>
  </si>
  <si>
    <t>wertilovani saZirkvlebis mowyoba</t>
  </si>
  <si>
    <t>kub.m</t>
  </si>
  <si>
    <t xml:space="preserve">Sromis danaxarjebi </t>
  </si>
  <si>
    <t>sxva manqana</t>
  </si>
  <si>
    <t>zeTovani saRebavi</t>
  </si>
  <si>
    <t>olifa</t>
  </si>
  <si>
    <t>manqanebi</t>
  </si>
  <si>
    <r>
      <t>m</t>
    </r>
    <r>
      <rPr>
        <b/>
        <vertAlign val="superscript"/>
        <sz val="10"/>
        <rFont val="AcadNusx"/>
      </rPr>
      <t>2</t>
    </r>
  </si>
  <si>
    <t>kompl.</t>
  </si>
  <si>
    <t>saparke skami ix. eskizi (masalisa da samuSaos gaTvaliswinebiT)</t>
  </si>
  <si>
    <t>sanagve urnebis montaJi</t>
  </si>
  <si>
    <t>xis sanagve urna xis eskizi (masalisa da samuSaos gaTvaliswinebiT)</t>
  </si>
  <si>
    <t>liTonis mili 76X3</t>
  </si>
  <si>
    <t xml:space="preserve">liTonis konstruqciebis SeRebva zeTovani saRebaviT orjer </t>
  </si>
  <si>
    <t>sanaTebis montaJi</t>
  </si>
  <si>
    <t>proeqtiT.</t>
  </si>
  <si>
    <t xml:space="preserve"> el. sadenebis gayvana</t>
  </si>
  <si>
    <t xml:space="preserve">grZ.m </t>
  </si>
  <si>
    <t>el. sadeni miwaSi Casadebi 5X6 mm (spilenZi)</t>
  </si>
  <si>
    <t>el. sadeni foladis milSi gasatareblad 3X2.5 mm (spilenZi)</t>
  </si>
  <si>
    <t>sasignalo lenti</t>
  </si>
  <si>
    <t>karadis mowyoba marTvis  kvanZiT</t>
  </si>
  <si>
    <t>kompleqti</t>
  </si>
  <si>
    <t>rk. marTvis karada gare dayenebis</t>
  </si>
  <si>
    <t>fotorele</t>
  </si>
  <si>
    <r>
      <t xml:space="preserve">gamanawilebeli fari </t>
    </r>
    <r>
      <rPr>
        <sz val="10"/>
        <rFont val="Sylfaen"/>
        <family val="1"/>
      </rPr>
      <t>OP-6</t>
    </r>
  </si>
  <si>
    <t>saxarjTaRricxvo Rirebuleba:</t>
  </si>
  <si>
    <t>demontaJis samuSaoebi</t>
  </si>
  <si>
    <t>d.R.g 18%</t>
  </si>
  <si>
    <t>samuSaos dasaxeleba</t>
  </si>
  <si>
    <t>Rirebuleba (lari)</t>
  </si>
  <si>
    <t xml:space="preserve">gruntis gatana 10 km manZilze </t>
  </si>
  <si>
    <t>teritoriis dakvalva Sesabamisi xelsawyoebis gamoyenebiT</t>
  </si>
  <si>
    <t>gamwvaneba</t>
  </si>
  <si>
    <t xml:space="preserve">gruntis damuSaveba xeliT gverdze dayriT </t>
  </si>
  <si>
    <t>qanCi sayeluriT</t>
  </si>
  <si>
    <t xml:space="preserve">gruntis ukuCayra xeliT </t>
  </si>
  <si>
    <t>avt. amomrTvelis montaJi boZSi</t>
  </si>
  <si>
    <t>mcire arqiteqturuli formebi</t>
  </si>
  <si>
    <t xml:space="preserve"> sademontaJo samuSaoebi</t>
  </si>
  <si>
    <t>teritoriis keTilmowyoba</t>
  </si>
  <si>
    <t>RorRi fr. 0-31mm</t>
  </si>
  <si>
    <t>saTamaSoebis montaJi/reabilitacia</t>
  </si>
  <si>
    <t xml:space="preserve">safuZvlis qveda fenis mowyoba qviSa xreSovani narevisagan saS. sisqiT 20sm </t>
  </si>
  <si>
    <t xml:space="preserve">safuZvlis zeda fenis mowyoba qviSa RorRovani narevisagan sisqiT 10sm </t>
  </si>
  <si>
    <t>gauTvaliswinebli samuSao 3%</t>
  </si>
  <si>
    <t>armatura 18mm</t>
  </si>
  <si>
    <t>avtomaturi amomrTveli  16a</t>
  </si>
  <si>
    <r>
      <t>kontaqtori</t>
    </r>
    <r>
      <rPr>
        <sz val="10"/>
        <rFont val="Calibri"/>
        <family val="2"/>
        <charset val="204"/>
      </rPr>
      <t xml:space="preserve"> 16A</t>
    </r>
  </si>
  <si>
    <t>avt. amomrTveli 10 a</t>
  </si>
  <si>
    <t>მ3</t>
  </si>
  <si>
    <t>kum</t>
  </si>
  <si>
    <t>მ/სთ</t>
  </si>
  <si>
    <t>კum</t>
  </si>
  <si>
    <t>კვმ</t>
  </si>
  <si>
    <t>qviSa-cementis safuZvelis, sisqiT 5 sm, mowyoba dekoratiuli filebis qveS</t>
  </si>
  <si>
    <t>yalibi faris</t>
  </si>
  <si>
    <t>xis masala</t>
  </si>
  <si>
    <t xml:space="preserve">zednadebi xarjebi </t>
  </si>
  <si>
    <t>j a m i</t>
  </si>
  <si>
    <t>gegmiuri dagroveba</t>
  </si>
  <si>
    <t>saqanela-skami is. eskizi (masalisa da samuSaos gaTvaliswinebiT)</t>
  </si>
  <si>
    <t>cementi</t>
  </si>
  <si>
    <t>yviTeli qviSa 80%</t>
  </si>
  <si>
    <t>mosarwyavi manqana 6000 l</t>
  </si>
  <si>
    <t>saparke avejis montaJi</t>
  </si>
  <si>
    <t>grZ.m</t>
  </si>
  <si>
    <t>kvadratuli mili 40X40X3</t>
  </si>
  <si>
    <t>eleqtrodi</t>
  </si>
  <si>
    <t>moajiris mowyoba</t>
  </si>
  <si>
    <t>yalibis fari</t>
  </si>
  <si>
    <t>liTonis konstruqciebis SeRebva daZvelebis efeqtiT</t>
  </si>
  <si>
    <t>wyali</t>
  </si>
  <si>
    <t xml:space="preserve">samSeneblo nagvis gatana 15 km manZilze </t>
  </si>
  <si>
    <t>sabavSvo moednisTvis gankuTvnili cveTamedegi kauCukis safaris mowyoba sisqiT 20mm</t>
  </si>
  <si>
    <t xml:space="preserve">SromiTi danaxarji 
</t>
  </si>
  <si>
    <t>dasaxmeli kauCukis safari sisqiT 20mm</t>
  </si>
  <si>
    <t>or komponentiani betonis webo</t>
  </si>
  <si>
    <t>litri</t>
  </si>
  <si>
    <t>betoni klasiT В22.5</t>
  </si>
  <si>
    <t xml:space="preserve"> yalibis fari </t>
  </si>
  <si>
    <t>liTonis moajiris mowyoba</t>
  </si>
  <si>
    <t>RorRi</t>
  </si>
  <si>
    <t>qviSa-xreSi fr. 0-56mm</t>
  </si>
  <si>
    <t xml:space="preserve">saZirkvlebis qveS fuZis (baliSis) mowyoba qviSa-xreSiT da etapobrivi datkepna fena-fena </t>
  </si>
  <si>
    <t>1</t>
  </si>
  <si>
    <t xml:space="preserve"> manqanebi </t>
  </si>
  <si>
    <t>kvadratuli Mmili 40X40X3</t>
  </si>
  <si>
    <t xml:space="preserve">betonis bordiuri 7X20sm </t>
  </si>
  <si>
    <t>ormo</t>
  </si>
  <si>
    <t>ormosmTxreli manqana</t>
  </si>
  <si>
    <t>traqtori pnevmosvlaze 59 kvt</t>
  </si>
  <si>
    <t>gruntis transportireba</t>
  </si>
  <si>
    <t>aiwona-daiwona qarxnuli warmoebis Sesabamisi sertifikatiT ix. eskizi (masalisa da samuSaos gaTvaliswinebiT)</t>
  </si>
  <si>
    <t>skami tipi I is. eskizi SeRebviT (masalisa da samuSaos gaTvaliswinebiT)</t>
  </si>
  <si>
    <t>sasrialo qarxnuli warmoebis Sesabamisi sertifikatiT ix. eskizi (masalisa da samuSaos gaTvaliswinebiT)</t>
  </si>
  <si>
    <t>irmis rqa (Reros garSemowiruloba 14sm; simaRle 3-5.5m; asaki 5-10w)</t>
  </si>
  <si>
    <t>tuia burTisebri 60sm</t>
  </si>
  <si>
    <t>kub.m.</t>
  </si>
  <si>
    <t>niadagis momzadeba mcenarebiis dasargavad gruntis damatebiT</t>
  </si>
  <si>
    <t>ganoyierebuli gruntis narevi  (0.039+0.118)</t>
  </si>
  <si>
    <t>sarwyavi manqana 6000l</t>
  </si>
  <si>
    <t>amwe saavtomobilo svlaze 5 toniani</t>
  </si>
  <si>
    <t>buCqebis dargva (ormo 50X50X50sm)</t>
  </si>
  <si>
    <t>xe-mcenareebis dargva (ormo 80X80X100sm)</t>
  </si>
  <si>
    <t xml:space="preserve">gruntis gatana 15 km manZilze </t>
  </si>
  <si>
    <t>teritoriis momzadeba gruntis SetaniT</t>
  </si>
  <si>
    <t>gazonisaTvis ganoyierebuli gruntis narevi (neSompala. torfi, sasuqi, tyis miwa da sxva)</t>
  </si>
  <si>
    <r>
      <t>m</t>
    </r>
    <r>
      <rPr>
        <vertAlign val="superscript"/>
        <sz val="9"/>
        <color indexed="8"/>
        <rFont val="AcadNusx"/>
      </rPr>
      <t>3</t>
    </r>
  </si>
  <si>
    <t>rulonuri gazonis dageba xeliT</t>
  </si>
  <si>
    <t>rulonuri gazoni</t>
  </si>
  <si>
    <t>g/m</t>
  </si>
  <si>
    <t>kauCukis bordiuri 14X17</t>
  </si>
  <si>
    <r>
      <t xml:space="preserve">gofrirebuli mili orkedliani </t>
    </r>
    <r>
      <rPr>
        <sz val="10"/>
        <rFont val="Calibri"/>
        <family val="2"/>
      </rPr>
      <t>Ø</t>
    </r>
    <r>
      <rPr>
        <sz val="10"/>
        <rFont val="AcadNusx"/>
      </rPr>
      <t>50mm</t>
    </r>
  </si>
  <si>
    <t>kvadratuli sxmuli 10X10</t>
  </si>
  <si>
    <t>saqanela qarxnuli warmoebis Sesabamisi sertifikatiT ix. eskizi (masalisa da samuSaos gaTvaliswinebiT)</t>
  </si>
  <si>
    <r>
      <t xml:space="preserve">betonis mozadebis mowyoba xelovnuri safaris qveS  klasiT </t>
    </r>
    <r>
      <rPr>
        <b/>
        <sz val="9"/>
        <rFont val="Arial Cyr"/>
        <charset val="204"/>
      </rPr>
      <t>B20</t>
    </r>
  </si>
  <si>
    <t>betoni klasiT В20</t>
  </si>
  <si>
    <t xml:space="preserve">zolovana  30X4 </t>
  </si>
  <si>
    <t>I.  lampionebis boZebis saZirkvlebis mowyoba</t>
  </si>
  <si>
    <t>sanaTebisa da gayvanilobis montaJi</t>
  </si>
  <si>
    <t xml:space="preserve">mTliani jami </t>
  </si>
  <si>
    <t>samuSaos CamonaTvali</t>
  </si>
  <si>
    <t>ganz. erT</t>
  </si>
  <si>
    <t>masala</t>
  </si>
  <si>
    <t>xelfasi</t>
  </si>
  <si>
    <t>transporti da meqanizmebi</t>
  </si>
  <si>
    <t>erT. fasi</t>
  </si>
  <si>
    <t>2</t>
  </si>
  <si>
    <t>3</t>
  </si>
  <si>
    <t xml:space="preserve">sxva masala </t>
  </si>
  <si>
    <t>7</t>
  </si>
  <si>
    <t>saproeqto teritoriis moWra da gadaadgileba</t>
  </si>
  <si>
    <r>
      <t xml:space="preserve"> m</t>
    </r>
    <r>
      <rPr>
        <vertAlign val="superscript"/>
        <sz val="10"/>
        <color theme="1"/>
        <rFont val="AcadNusx"/>
      </rPr>
      <t>3</t>
    </r>
  </si>
  <si>
    <t xml:space="preserve">buldezeri 59 kvt </t>
  </si>
  <si>
    <t>III kategoriis gruntis damuSaveba filis saZirkvlisTvis meqnizmebiT gverdze dayriT</t>
  </si>
  <si>
    <t xml:space="preserve">III kategoriis gruntis damuSaveba filis saZirkvlisTvis xeliT </t>
  </si>
  <si>
    <t xml:space="preserve"> III kaktegoris gruntis damuSaveba eqskavatoriT Robis saZirkvlis tranSeis mosawyobad</t>
  </si>
  <si>
    <r>
      <t>eqskavatori 0.25m</t>
    </r>
    <r>
      <rPr>
        <vertAlign val="superscript"/>
        <sz val="9"/>
        <color theme="1"/>
        <rFont val="AcadNusx"/>
      </rPr>
      <t>3</t>
    </r>
  </si>
  <si>
    <t>III kategoriis gruntis damuSaveba xeliT Robis saZirkvlis tranSeis mosawyobad</t>
  </si>
  <si>
    <t>III kategoriis gruntis damuSaveba xeliT Robis wertilovani saZirkvlis mosawyobad</t>
  </si>
  <si>
    <t xml:space="preserve">III kategoriis gruntis damuSaveba xeliT sport. inventaris wertilovani saZirkvlebisTvis </t>
  </si>
  <si>
    <t xml:space="preserve">eqskavatori 0,25 kub.m </t>
  </si>
  <si>
    <t>gruntis nagvis transportireba</t>
  </si>
  <si>
    <t xml:space="preserve">saZirkvlebis qveS fuZis (baliSis) mowyoba qviSa-xreSovani nareviT da etapobrivi datkepna fena-fena </t>
  </si>
  <si>
    <t>qviSa-xreSovani narevi</t>
  </si>
  <si>
    <r>
      <t xml:space="preserve">Robis saZirkvlis mowyoba monoliTuri rk.betoniT </t>
    </r>
    <r>
      <rPr>
        <b/>
        <sz val="9"/>
        <color theme="1"/>
        <rFont val="Calibri"/>
        <family val="2"/>
        <charset val="204"/>
      </rPr>
      <t>B</t>
    </r>
    <r>
      <rPr>
        <b/>
        <sz val="9"/>
        <color theme="1"/>
        <rFont val="AcadNusx"/>
      </rPr>
      <t>-22.5 (qargilebisa da samontaJo masalebis gaTvaliswinebiT)</t>
    </r>
  </si>
  <si>
    <t xml:space="preserve"> daxerxili xe-tye</t>
  </si>
  <si>
    <r>
      <t>armatura A</t>
    </r>
    <r>
      <rPr>
        <sz val="9"/>
        <color theme="1"/>
        <rFont val="Arial"/>
        <family val="2"/>
        <charset val="204"/>
      </rPr>
      <t>A­I</t>
    </r>
  </si>
  <si>
    <t>kg.</t>
  </si>
  <si>
    <r>
      <t>armatura A</t>
    </r>
    <r>
      <rPr>
        <sz val="9"/>
        <color theme="1"/>
        <rFont val="Arial"/>
        <family val="2"/>
        <charset val="204"/>
      </rPr>
      <t>A­III</t>
    </r>
  </si>
  <si>
    <t xml:space="preserve">SemoRobvis liTonis konstruqciis mowyoba  vertikaluri da horizontaluri  kavSirebiT, damzadeba da montaJi </t>
  </si>
  <si>
    <t>kvadratuli mili 80X80X4</t>
  </si>
  <si>
    <t>kvadratuli mili 40X80X4</t>
  </si>
  <si>
    <t>kuTxovana 40X40X3</t>
  </si>
  <si>
    <t>kuTxovana 20X20X3</t>
  </si>
  <si>
    <t>plastmasis xufi</t>
  </si>
  <si>
    <t>moednis SemoRobva plastamasis garsiT izolirebuli 4mm-iani liTonis mavTulbadiT.</t>
  </si>
  <si>
    <r>
      <t>m</t>
    </r>
    <r>
      <rPr>
        <b/>
        <vertAlign val="superscript"/>
        <sz val="10"/>
        <color theme="1"/>
        <rFont val="AcadNusx"/>
      </rPr>
      <t>2</t>
    </r>
  </si>
  <si>
    <t>Sromis danaxarjebi (2.49/2.2)</t>
  </si>
  <si>
    <t>manqanebi ((0.205+0.06)/2.2)</t>
  </si>
  <si>
    <t>mavTulbadis damWeri bagiri 6 mm (izolaciiT)</t>
  </si>
  <si>
    <t>bagiris damWimi</t>
  </si>
  <si>
    <t>zolovana 30X3</t>
  </si>
  <si>
    <t>kuTxovana 40X40X3 (kuTxeebSi)</t>
  </si>
  <si>
    <t>xamuTebi, samagrebi (qanCiT da sayeluriT)</t>
  </si>
  <si>
    <t xml:space="preserve">gare kedlebis maRalxarisxovani SebaTqaSeba </t>
  </si>
  <si>
    <t xml:space="preserve"> duRabis tumbo 3 kubm/sT </t>
  </si>
  <si>
    <t xml:space="preserve"> sxva manqanebi</t>
  </si>
  <si>
    <t>qviSa-cementis xsnari 1:3</t>
  </si>
  <si>
    <t>gare kedlebis maRalxarisxovani SeRebva wyalmedegi saRebaviT</t>
  </si>
  <si>
    <t xml:space="preserve"> SromiTi danaxarji (65,8+11,5)</t>
  </si>
  <si>
    <t xml:space="preserve"> manqanebi (1,00+0,02)</t>
  </si>
  <si>
    <t xml:space="preserve"> saRebavi fasadis</t>
  </si>
  <si>
    <t xml:space="preserve"> fiTxi fasadis</t>
  </si>
  <si>
    <t xml:space="preserve"> sxva masala (1,6+0,42)</t>
  </si>
  <si>
    <t>liTonis karis mowyoba (zomiT 100X192sm)</t>
  </si>
  <si>
    <t>kvadratuli mili 30X30X2</t>
  </si>
  <si>
    <t>anjama</t>
  </si>
  <si>
    <t>saketi (saxeluriT)</t>
  </si>
  <si>
    <t>saketi (fiqsatoriT)</t>
  </si>
  <si>
    <t>liTonis konstruqciebis SeRebva</t>
  </si>
  <si>
    <t>antikoroziuli saRebavi (0.251+0.002+0.027)</t>
  </si>
  <si>
    <t>safuZvlismowyoba qviSa xreSovani narevisagan saS. sisqiT 20sm etapobrivi fenebaT datkepnviT</t>
  </si>
  <si>
    <t>sarwyavi maqana 6000l</t>
  </si>
  <si>
    <t>buldozeri 79 kvt (108cZ.)</t>
  </si>
  <si>
    <t>satkepni 10t.</t>
  </si>
  <si>
    <t>satkepni 5t.</t>
  </si>
  <si>
    <t>qviSa-RorRovani narevi fr. 0-31mm</t>
  </si>
  <si>
    <r>
      <t xml:space="preserve">armatura </t>
    </r>
    <r>
      <rPr>
        <sz val="9"/>
        <color theme="1"/>
        <rFont val="Arial"/>
        <family val="2"/>
        <charset val="204"/>
      </rPr>
      <t>A</t>
    </r>
    <r>
      <rPr>
        <sz val="9"/>
        <color theme="1"/>
        <rFont val="AcadNusx"/>
      </rPr>
      <t xml:space="preserve"> </t>
    </r>
    <r>
      <rPr>
        <sz val="9"/>
        <color theme="1"/>
        <rFont val="Academiuri Nuskhuri"/>
      </rPr>
      <t>III</t>
    </r>
  </si>
  <si>
    <r>
      <t xml:space="preserve">betonis mozadebis mowyoba xelovnuri safaris qveS klasiT </t>
    </r>
    <r>
      <rPr>
        <b/>
        <sz val="9"/>
        <color theme="1"/>
        <rFont val="Arial Cyr"/>
        <charset val="204"/>
      </rPr>
      <t>B20</t>
    </r>
  </si>
  <si>
    <t>xelovnuri safaris mowyoba (webos, meqanizmebisa da xelfasis gaTvaliswimebiT)</t>
  </si>
  <si>
    <t>kuTxovana 50X50X3</t>
  </si>
  <si>
    <t>WanWiki</t>
  </si>
  <si>
    <t>zeda Semavsebeli fenis mowyoba qviSisagan da davarcxna</t>
  </si>
  <si>
    <t>meqanizmebi</t>
  </si>
  <si>
    <r>
      <t>kvarcis qviSa orjer garecxili fraqciiT 
(0,25-1,2)mm, saSualod 20 kg//m</t>
    </r>
    <r>
      <rPr>
        <vertAlign val="superscript"/>
        <sz val="10"/>
        <rFont val="AcadNusx"/>
      </rPr>
      <t>2</t>
    </r>
  </si>
  <si>
    <r>
      <t xml:space="preserve">wertilovani saZirkvlis mowyoba klasiT </t>
    </r>
    <r>
      <rPr>
        <b/>
        <sz val="9"/>
        <color theme="1"/>
        <rFont val="Arial Cyr"/>
        <charset val="204"/>
      </rPr>
      <t>B</t>
    </r>
    <r>
      <rPr>
        <b/>
        <sz val="9"/>
        <color theme="1"/>
        <rFont val="AcadNusx"/>
      </rPr>
      <t xml:space="preserve">25 </t>
    </r>
  </si>
  <si>
    <t>betoni klasiT В25</t>
  </si>
  <si>
    <t>mini fexburTis karebis kompleqti badiT (2 cali)</t>
  </si>
  <si>
    <t>liTonis mili 89X4</t>
  </si>
  <si>
    <t>glinula 6.5 mm</t>
  </si>
  <si>
    <t>bade</t>
  </si>
  <si>
    <t>kvadratuli mili 150X150X5</t>
  </si>
  <si>
    <t>liTonis furceli 10mm</t>
  </si>
  <si>
    <t>liTonis furceli 5 mm</t>
  </si>
  <si>
    <t>kalaTburTis fari kalaTiT</t>
  </si>
  <si>
    <t>ganaTebis liTonis boZis mowyoba</t>
  </si>
  <si>
    <t>amwe-saburRi mowyobiloba avtomanqanaze</t>
  </si>
  <si>
    <t>amwe saavtomobilo svlaze 16 t</t>
  </si>
  <si>
    <t>liTonis mili 152X5mm</t>
  </si>
  <si>
    <t>liTonis mili 114X4 (Sesabamis flianeciT)</t>
  </si>
  <si>
    <t>kvadratuli mili 40X60X3</t>
  </si>
  <si>
    <t>furclovani foladi 5mm</t>
  </si>
  <si>
    <t>samagri kroSteini</t>
  </si>
  <si>
    <t>makavSirebeli detali</t>
  </si>
  <si>
    <t>liTonis mili 40X3mm</t>
  </si>
  <si>
    <t>lampionis sanaTi naTuriT (45vt.), Sesabamisi kroSteinebiTa da momWerebiT (ix. Eeskizi)</t>
  </si>
  <si>
    <t>projeqtoris montaJi moednis ganaTebisTvis</t>
  </si>
  <si>
    <t>proJeqtori  Sesabamisi kroSteinebiTa da momWerebiT (ix. Eeskizi)</t>
  </si>
  <si>
    <t>sabavSvo modenis mowyoba</t>
  </si>
  <si>
    <t>sportuli moednis mowyoba</t>
  </si>
  <si>
    <t>eleqtro samontaJo samuSaoebi</t>
  </si>
  <si>
    <t>atraqcioni "brziala" Sesabamisi sertifikatiT ix. eskizi (masalisa da samuSaos gaTvaliswinebiT)</t>
  </si>
  <si>
    <t>kvadratuli Mmili 40X60X3</t>
  </si>
  <si>
    <r>
      <t xml:space="preserve"> m</t>
    </r>
    <r>
      <rPr>
        <b/>
        <vertAlign val="superscript"/>
        <sz val="10"/>
        <rFont val="AcadNusx"/>
      </rPr>
      <t>2</t>
    </r>
  </si>
  <si>
    <t>vibrosatkepni</t>
  </si>
  <si>
    <t>qvabulis datkepna vibro satkepniT</t>
  </si>
  <si>
    <t xml:space="preserve">lampioniebis damiwebis konturis mowyoba  </t>
  </si>
  <si>
    <t>S</t>
  </si>
  <si>
    <t>p</t>
  </si>
  <si>
    <t>H</t>
  </si>
  <si>
    <t>boZi</t>
  </si>
  <si>
    <t>kv1</t>
  </si>
  <si>
    <t>kv2</t>
  </si>
  <si>
    <r>
      <rPr>
        <sz val="10"/>
        <color theme="1"/>
        <rFont val="Sylfaen"/>
        <family val="1"/>
        <charset val="204"/>
      </rPr>
      <t>PVC</t>
    </r>
    <r>
      <rPr>
        <sz val="10"/>
        <color theme="1"/>
        <rFont val="AcadNusx"/>
      </rPr>
      <t>PPgarsiT izolirebuli 4mm-iani (d=2.7mm) liTonis mavTulbade 45X45</t>
    </r>
  </si>
  <si>
    <t xml:space="preserve">TviTmzidi kabeli kveTiT 4X16 mm </t>
  </si>
  <si>
    <t>I. gruntis samuSaoebi</t>
  </si>
  <si>
    <t>II. moednis SemoRobva</t>
  </si>
  <si>
    <t>III. moednis safaris mowyoba</t>
  </si>
  <si>
    <t>IV. sportuli inventari</t>
  </si>
  <si>
    <t>xelovnuri safaris mowyoba   TeTri xazebiTa da Sesabamisi webos gaTvaliswinebiT (meqanizmebisa da xelfasis gaTvaliswimebiT)</t>
  </si>
  <si>
    <t>kvadratuli Mmili 60X60X3</t>
  </si>
  <si>
    <t>dekoratiuli filebi aranakleb 50/60mm (sxvadasxva feri, damkveTTan SeTanxmebiT)</t>
  </si>
  <si>
    <t>betoni b-22.5</t>
  </si>
  <si>
    <t xml:space="preserve"> liTonis damatebiTi boZis mowyoba</t>
  </si>
  <si>
    <t>amwe 16 tn</t>
  </si>
  <si>
    <t>liTonis mili 108X3</t>
  </si>
  <si>
    <t>dmanisis raioni, sofeli amamlo, skveris da sportuli moednis mowyoba</t>
  </si>
  <si>
    <t xml:space="preserve"> frenburTis badis mowyoba (masalisa da SromiTi danaxarjis gaTvaliswinebiT)</t>
  </si>
  <si>
    <t>1ც.kompleqti</t>
  </si>
  <si>
    <t>kalaTburTis faris mowyoba, eskozis mixedviT   (2 cali)</t>
  </si>
  <si>
    <t>zedanadebi xarjebi %</t>
  </si>
  <si>
    <t>gegmiuri dagroveba %</t>
  </si>
  <si>
    <t>%</t>
  </si>
  <si>
    <t>zedanadebi xarjebi 0%</t>
  </si>
  <si>
    <t>zedanadebi xarjebi % xelfasidan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</si>
</sst>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"/>
    <numFmt numFmtId="167" formatCode="0.0"/>
    <numFmt numFmtId="168" formatCode="#,##0.00_);\-#,##0.00"/>
    <numFmt numFmtId="169" formatCode="#,##0.0_);\-#,##0.0"/>
    <numFmt numFmtId="170" formatCode="0.00000"/>
    <numFmt numFmtId="171" formatCode="_-* #,##0.00_р_._-;\-* #,##0.00_р_._-;_-* &quot;-&quot;??_р_._-;_-@_-"/>
    <numFmt numFmtId="172" formatCode="#,##0_);\-#,##0"/>
    <numFmt numFmtId="173" formatCode="#,##0.000_);\-#,##0.000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10"/>
      <name val="Arial"/>
      <family val="2"/>
      <charset val="204"/>
    </font>
    <font>
      <sz val="9"/>
      <name val="AcadNusx"/>
    </font>
    <font>
      <sz val="9"/>
      <color rgb="FF000000"/>
      <name val="AcadNusx"/>
    </font>
    <font>
      <sz val="9"/>
      <color indexed="8"/>
      <name val="AcadNusx"/>
    </font>
    <font>
      <b/>
      <sz val="9"/>
      <name val="AcadNusx"/>
    </font>
    <font>
      <sz val="10"/>
      <name val="AcadNusx"/>
    </font>
    <font>
      <sz val="10"/>
      <color rgb="FFFF0000"/>
      <name val="AcadNusx"/>
    </font>
    <font>
      <sz val="10"/>
      <color rgb="FF0070C0"/>
      <name val="AcadNusx"/>
    </font>
    <font>
      <b/>
      <sz val="9"/>
      <color rgb="FF000000"/>
      <name val="AcadNusx"/>
    </font>
    <font>
      <sz val="9"/>
      <color rgb="FF0070C0"/>
      <name val="AcadNusx"/>
    </font>
    <font>
      <b/>
      <sz val="9"/>
      <color rgb="FFFF0000"/>
      <name val="AcadNusx"/>
    </font>
    <font>
      <b/>
      <sz val="9"/>
      <color rgb="FF0070C0"/>
      <name val="AcadNusx"/>
    </font>
    <font>
      <b/>
      <sz val="10"/>
      <name val="Arial"/>
      <family val="2"/>
      <charset val="204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  <charset val="204"/>
    </font>
    <font>
      <sz val="9"/>
      <color rgb="FFFF0000"/>
      <name val="AcadNusx"/>
    </font>
    <font>
      <sz val="9"/>
      <color indexed="10"/>
      <name val="AcadNusx"/>
    </font>
    <font>
      <sz val="10"/>
      <name val="Arial Cyr"/>
      <charset val="204"/>
    </font>
    <font>
      <b/>
      <vertAlign val="superscript"/>
      <sz val="10"/>
      <name val="AcadNusx"/>
    </font>
    <font>
      <b/>
      <sz val="10"/>
      <color indexed="8"/>
      <name val="AcadNusx"/>
    </font>
    <font>
      <b/>
      <sz val="9"/>
      <color theme="1"/>
      <name val="AcadNusx"/>
    </font>
    <font>
      <sz val="10"/>
      <color rgb="FFFF000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cadNusx"/>
    </font>
    <font>
      <sz val="11"/>
      <color theme="1"/>
      <name val="Calibri"/>
      <family val="2"/>
      <scheme val="minor"/>
    </font>
    <font>
      <vertAlign val="superscript"/>
      <sz val="10"/>
      <name val="AcadNusx"/>
    </font>
    <font>
      <b/>
      <sz val="9"/>
      <name val="Arial"/>
      <family val="2"/>
      <charset val="204"/>
    </font>
    <font>
      <sz val="10"/>
      <color indexed="10"/>
      <name val="AcadNusx"/>
    </font>
    <font>
      <sz val="9"/>
      <color rgb="FFFF0000"/>
      <name val="Arial"/>
      <family val="2"/>
      <charset val="204"/>
    </font>
    <font>
      <b/>
      <sz val="9"/>
      <name val="Arial Cyr"/>
      <charset val="204"/>
    </font>
    <font>
      <b/>
      <sz val="10"/>
      <color indexed="10"/>
      <name val="AcadNusx"/>
    </font>
    <font>
      <sz val="10"/>
      <name val="Arial"/>
      <family val="2"/>
    </font>
    <font>
      <sz val="10"/>
      <color indexed="48"/>
      <name val="AcadNusx"/>
    </font>
    <font>
      <sz val="10"/>
      <name val="AcadNusx"/>
      <family val="2"/>
    </font>
    <font>
      <sz val="11"/>
      <name val="Times New Roman"/>
      <family val="1"/>
      <charset val="204"/>
    </font>
    <font>
      <b/>
      <sz val="10"/>
      <color rgb="FFFF0000"/>
      <name val="AcadNusx"/>
    </font>
    <font>
      <b/>
      <sz val="10"/>
      <color rgb="FF0070C0"/>
      <name val="AcadNusx"/>
    </font>
    <font>
      <sz val="10"/>
      <name val="Sylfaen"/>
      <family val="1"/>
    </font>
    <font>
      <sz val="10"/>
      <name val="AcadMtavr"/>
    </font>
    <font>
      <b/>
      <sz val="12"/>
      <name val="AcadMtavr"/>
    </font>
    <font>
      <b/>
      <sz val="16"/>
      <name val="AcadMtavr"/>
    </font>
    <font>
      <sz val="20"/>
      <color indexed="12"/>
      <name val="AcadMtavr"/>
    </font>
    <font>
      <sz val="14"/>
      <name val="AcadNusx"/>
    </font>
    <font>
      <sz val="14"/>
      <name val="AcadMtavr"/>
    </font>
    <font>
      <sz val="11"/>
      <color theme="1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rgb="FF92D050"/>
      <name val="AcadNusx"/>
    </font>
    <font>
      <sz val="10"/>
      <name val="Arial Cyr"/>
      <family val="2"/>
      <charset val="204"/>
    </font>
    <font>
      <sz val="9"/>
      <color theme="1"/>
      <name val="AcadNusx"/>
    </font>
    <font>
      <sz val="9"/>
      <color theme="1"/>
      <name val="Arial"/>
      <family val="2"/>
      <charset val="204"/>
    </font>
    <font>
      <b/>
      <sz val="9"/>
      <color indexed="8"/>
      <name val="AcadNusx"/>
    </font>
    <font>
      <sz val="10"/>
      <name val="Helv"/>
    </font>
    <font>
      <vertAlign val="superscript"/>
      <sz val="9"/>
      <color indexed="8"/>
      <name val="AcadNusx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vertAlign val="superscript"/>
      <sz val="10"/>
      <color theme="1"/>
      <name val="AcadNusx"/>
    </font>
    <font>
      <sz val="14"/>
      <color theme="1"/>
      <name val="AcadNusx"/>
    </font>
    <font>
      <sz val="12"/>
      <color theme="1"/>
      <name val="AcadNusx"/>
    </font>
    <font>
      <sz val="16"/>
      <color rgb="FFFF0000"/>
      <name val="Calibri"/>
      <family val="2"/>
      <scheme val="minor"/>
    </font>
    <font>
      <vertAlign val="superscript"/>
      <sz val="9"/>
      <color theme="1"/>
      <name val="AcadNusx"/>
    </font>
    <font>
      <b/>
      <sz val="9"/>
      <color theme="1"/>
      <name val="Calibri"/>
      <family val="2"/>
      <charset val="204"/>
    </font>
    <font>
      <b/>
      <sz val="10"/>
      <name val="Calibri"/>
      <family val="2"/>
    </font>
    <font>
      <b/>
      <vertAlign val="superscript"/>
      <sz val="10"/>
      <color theme="1"/>
      <name val="AcadNusx"/>
    </font>
    <font>
      <sz val="10"/>
      <color theme="1"/>
      <name val="AcadNusx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color rgb="FF00B050"/>
      <name val="AcadNusx"/>
    </font>
    <font>
      <sz val="9"/>
      <color theme="1"/>
      <name val="Arial"/>
      <family val="2"/>
    </font>
    <font>
      <sz val="9"/>
      <color theme="1"/>
      <name val="Academiuri Nuskhuri"/>
    </font>
    <font>
      <b/>
      <sz val="9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FFFF00"/>
      <name val="AcadNusx"/>
    </font>
    <font>
      <b/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18">
    <xf numFmtId="0" fontId="0" fillId="0" borderId="0"/>
    <xf numFmtId="0" fontId="22" fillId="0" borderId="0"/>
    <xf numFmtId="0" fontId="4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51" fillId="0" borderId="0"/>
    <xf numFmtId="164" fontId="30" fillId="0" borderId="0" applyFont="0" applyFill="0" applyBorder="0" applyAlignment="0" applyProtection="0"/>
    <xf numFmtId="0" fontId="37" fillId="0" borderId="0"/>
    <xf numFmtId="0" fontId="22" fillId="0" borderId="0"/>
    <xf numFmtId="0" fontId="2" fillId="0" borderId="0"/>
    <xf numFmtId="164" fontId="37" fillId="0" borderId="0" applyFont="0" applyFill="0" applyBorder="0" applyAlignment="0" applyProtection="0"/>
    <xf numFmtId="0" fontId="37" fillId="0" borderId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2" borderId="0" applyNumberFormat="0" applyBorder="0" applyAlignment="0" applyProtection="0"/>
    <xf numFmtId="0" fontId="70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0" fontId="72" fillId="7" borderId="0" applyNumberFormat="0" applyBorder="0" applyAlignment="0" applyProtection="0"/>
    <xf numFmtId="0" fontId="73" fillId="24" borderId="14" applyNumberFormat="0" applyAlignment="0" applyProtection="0"/>
    <xf numFmtId="0" fontId="74" fillId="25" borderId="31" applyNumberFormat="0" applyAlignment="0" applyProtection="0"/>
    <xf numFmtId="171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77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80" fillId="11" borderId="14" applyNumberFormat="0" applyAlignment="0" applyProtection="0"/>
    <xf numFmtId="0" fontId="81" fillId="0" borderId="35" applyNumberFormat="0" applyFill="0" applyAlignment="0" applyProtection="0"/>
    <xf numFmtId="0" fontId="82" fillId="26" borderId="0" applyNumberFormat="0" applyBorder="0" applyAlignment="0" applyProtection="0"/>
    <xf numFmtId="0" fontId="4" fillId="0" borderId="0"/>
    <xf numFmtId="0" fontId="22" fillId="0" borderId="0"/>
    <xf numFmtId="0" fontId="37" fillId="0" borderId="0"/>
    <xf numFmtId="0" fontId="4" fillId="27" borderId="36" applyNumberFormat="0" applyFont="0" applyAlignment="0" applyProtection="0"/>
    <xf numFmtId="0" fontId="83" fillId="24" borderId="37" applyNumberFormat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11" borderId="14" applyNumberFormat="0" applyAlignment="0" applyProtection="0"/>
    <xf numFmtId="0" fontId="55" fillId="11" borderId="14" applyNumberFormat="0" applyAlignment="0" applyProtection="0"/>
    <xf numFmtId="0" fontId="55" fillId="11" borderId="14" applyNumberFormat="0" applyAlignment="0" applyProtection="0"/>
    <xf numFmtId="0" fontId="56" fillId="24" borderId="37" applyNumberFormat="0" applyAlignment="0" applyProtection="0"/>
    <xf numFmtId="0" fontId="56" fillId="24" borderId="37" applyNumberFormat="0" applyAlignment="0" applyProtection="0"/>
    <xf numFmtId="0" fontId="56" fillId="24" borderId="37" applyNumberFormat="0" applyAlignment="0" applyProtection="0"/>
    <xf numFmtId="0" fontId="57" fillId="24" borderId="14" applyNumberFormat="0" applyAlignment="0" applyProtection="0"/>
    <xf numFmtId="0" fontId="57" fillId="24" borderId="14" applyNumberFormat="0" applyAlignment="0" applyProtection="0"/>
    <xf numFmtId="0" fontId="57" fillId="24" borderId="14" applyNumberFormat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2" fillId="25" borderId="31" applyNumberFormat="0" applyAlignment="0" applyProtection="0"/>
    <xf numFmtId="0" fontId="62" fillId="25" borderId="31" applyNumberFormat="0" applyAlignment="0" applyProtection="0"/>
    <xf numFmtId="0" fontId="62" fillId="25" borderId="3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4" fillId="0" borderId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27" borderId="36" applyNumberFormat="0" applyFont="0" applyAlignment="0" applyProtection="0"/>
    <xf numFmtId="0" fontId="22" fillId="27" borderId="36" applyNumberFormat="0" applyFont="0" applyAlignment="0" applyProtection="0"/>
    <xf numFmtId="0" fontId="22" fillId="27" borderId="36" applyNumberFormat="0" applyFont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4" fillId="0" borderId="0"/>
    <xf numFmtId="0" fontId="37" fillId="0" borderId="0"/>
    <xf numFmtId="0" fontId="87" fillId="0" borderId="0"/>
    <xf numFmtId="0" fontId="89" fillId="0" borderId="0"/>
    <xf numFmtId="0" fontId="1" fillId="0" borderId="0"/>
    <xf numFmtId="171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27" borderId="36" applyNumberFormat="0" applyFont="0" applyAlignment="0" applyProtection="0"/>
    <xf numFmtId="0" fontId="89" fillId="27" borderId="36" applyNumberFormat="0" applyFont="0" applyAlignment="0" applyProtection="0"/>
    <xf numFmtId="0" fontId="89" fillId="27" borderId="36" applyNumberFormat="0" applyFont="0" applyAlignment="0" applyProtection="0"/>
    <xf numFmtId="171" fontId="8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3" fillId="0" borderId="0"/>
    <xf numFmtId="164" fontId="30" fillId="0" borderId="0" applyFont="0" applyFill="0" applyBorder="0" applyAlignment="0" applyProtection="0"/>
    <xf numFmtId="0" fontId="1" fillId="0" borderId="0"/>
    <xf numFmtId="164" fontId="3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37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65" fontId="20" fillId="0" borderId="7" xfId="0" applyNumberFormat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2" fontId="29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36" fillId="0" borderId="7" xfId="0" applyNumberFormat="1" applyFont="1" applyBorder="1" applyAlignment="1">
      <alignment horizontal="center" vertical="center" wrapText="1"/>
    </xf>
    <xf numFmtId="2" fontId="38" fillId="0" borderId="7" xfId="0" applyNumberFormat="1" applyFont="1" applyBorder="1" applyAlignment="1">
      <alignment horizontal="center" vertical="center" wrapText="1"/>
    </xf>
    <xf numFmtId="169" fontId="9" fillId="2" borderId="7" xfId="0" applyNumberFormat="1" applyFont="1" applyFill="1" applyBorder="1" applyAlignment="1">
      <alignment horizontal="center" vertical="center" wrapText="1"/>
    </xf>
    <xf numFmtId="2" fontId="9" fillId="2" borderId="7" xfId="3" applyNumberFormat="1" applyFont="1" applyFill="1" applyBorder="1" applyAlignment="1">
      <alignment horizontal="center" vertical="center" wrapText="1"/>
    </xf>
    <xf numFmtId="165" fontId="9" fillId="2" borderId="7" xfId="3" applyNumberFormat="1" applyFont="1" applyFill="1" applyBorder="1" applyAlignment="1">
      <alignment horizontal="center" vertical="center" wrapText="1"/>
    </xf>
    <xf numFmtId="169" fontId="39" fillId="2" borderId="7" xfId="0" applyNumberFormat="1" applyFont="1" applyFill="1" applyBorder="1" applyAlignment="1">
      <alignment horizontal="center" vertical="center" wrapText="1"/>
    </xf>
    <xf numFmtId="2" fontId="37" fillId="2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6" fontId="9" fillId="2" borderId="13" xfId="0" applyNumberFormat="1" applyFont="1" applyFill="1" applyBorder="1" applyAlignment="1">
      <alignment horizontal="center" vertical="center" wrapText="1"/>
    </xf>
    <xf numFmtId="0" fontId="44" fillId="0" borderId="16" xfId="0" applyFont="1" applyBorder="1"/>
    <xf numFmtId="0" fontId="44" fillId="0" borderId="17" xfId="0" applyFont="1" applyBorder="1"/>
    <xf numFmtId="0" fontId="44" fillId="0" borderId="18" xfId="0" applyFont="1" applyBorder="1"/>
    <xf numFmtId="0" fontId="44" fillId="0" borderId="19" xfId="0" applyFont="1" applyBorder="1"/>
    <xf numFmtId="0" fontId="44" fillId="0" borderId="20" xfId="0" applyFont="1" applyBorder="1"/>
    <xf numFmtId="0" fontId="44" fillId="0" borderId="21" xfId="0" applyFont="1" applyBorder="1"/>
    <xf numFmtId="0" fontId="44" fillId="0" borderId="22" xfId="0" applyFont="1" applyBorder="1"/>
    <xf numFmtId="0" fontId="44" fillId="0" borderId="23" xfId="0" applyFont="1" applyBorder="1"/>
    <xf numFmtId="0" fontId="44" fillId="0" borderId="24" xfId="0" applyFont="1" applyBorder="1"/>
    <xf numFmtId="0" fontId="44" fillId="0" borderId="25" xfId="0" applyFont="1" applyBorder="1"/>
    <xf numFmtId="0" fontId="44" fillId="0" borderId="0" xfId="0" applyFont="1"/>
    <xf numFmtId="0" fontId="44" fillId="0" borderId="0" xfId="0" applyFont="1" applyAlignment="1">
      <alignment horizontal="center"/>
    </xf>
    <xf numFmtId="0" fontId="47" fillId="0" borderId="19" xfId="0" applyFont="1" applyBorder="1"/>
    <xf numFmtId="0" fontId="47" fillId="0" borderId="0" xfId="0" applyFont="1"/>
    <xf numFmtId="0" fontId="47" fillId="0" borderId="23" xfId="0" applyFont="1" applyBorder="1"/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9" xfId="0" applyFont="1" applyBorder="1"/>
    <xf numFmtId="0" fontId="48" fillId="0" borderId="0" xfId="0" applyFont="1" applyAlignment="1">
      <alignment horizontal="right" vertical="center"/>
    </xf>
    <xf numFmtId="0" fontId="48" fillId="0" borderId="23" xfId="0" applyFont="1" applyBorder="1" applyAlignment="1">
      <alignment horizontal="center"/>
    </xf>
    <xf numFmtId="0" fontId="48" fillId="0" borderId="0" xfId="0" applyFont="1"/>
    <xf numFmtId="0" fontId="49" fillId="0" borderId="23" xfId="0" applyFont="1" applyBorder="1"/>
    <xf numFmtId="0" fontId="44" fillId="0" borderId="26" xfId="0" applyFont="1" applyBorder="1"/>
    <xf numFmtId="0" fontId="44" fillId="0" borderId="27" xfId="0" applyFont="1" applyBorder="1"/>
    <xf numFmtId="0" fontId="44" fillId="0" borderId="28" xfId="0" applyFont="1" applyBorder="1"/>
    <xf numFmtId="0" fontId="44" fillId="0" borderId="29" xfId="0" applyFont="1" applyBorder="1"/>
    <xf numFmtId="0" fontId="44" fillId="0" borderId="15" xfId="0" applyFont="1" applyBorder="1"/>
    <xf numFmtId="0" fontId="44" fillId="0" borderId="30" xfId="0" applyFont="1" applyBorder="1"/>
    <xf numFmtId="0" fontId="5" fillId="0" borderId="7" xfId="2" applyFont="1" applyBorder="1" applyAlignment="1">
      <alignment horizontal="center" vertical="center" wrapText="1"/>
    </xf>
    <xf numFmtId="2" fontId="5" fillId="0" borderId="7" xfId="2" applyNumberFormat="1" applyFont="1" applyBorder="1" applyAlignment="1">
      <alignment horizontal="center" vertical="center" wrapText="1"/>
    </xf>
    <xf numFmtId="0" fontId="50" fillId="0" borderId="0" xfId="0" applyFont="1"/>
    <xf numFmtId="0" fontId="50" fillId="0" borderId="7" xfId="0" applyFont="1" applyBorder="1" applyAlignment="1">
      <alignment horizontal="center" vertical="center"/>
    </xf>
    <xf numFmtId="2" fontId="50" fillId="0" borderId="7" xfId="0" applyNumberFormat="1" applyFont="1" applyBorder="1" applyAlignment="1">
      <alignment horizontal="center" vertical="center"/>
    </xf>
    <xf numFmtId="0" fontId="50" fillId="0" borderId="7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2" fontId="50" fillId="0" borderId="0" xfId="0" applyNumberFormat="1" applyFont="1"/>
    <xf numFmtId="166" fontId="20" fillId="2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9" fillId="2" borderId="7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right" vertical="center"/>
    </xf>
    <xf numFmtId="165" fontId="20" fillId="2" borderId="7" xfId="0" applyNumberFormat="1" applyFont="1" applyFill="1" applyBorder="1" applyAlignment="1">
      <alignment horizontal="center" vertical="center" wrapText="1"/>
    </xf>
    <xf numFmtId="165" fontId="13" fillId="2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6" fontId="11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2" fontId="32" fillId="2" borderId="7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43" fontId="20" fillId="2" borderId="7" xfId="3" applyFont="1" applyFill="1" applyBorder="1" applyAlignment="1">
      <alignment horizontal="center" vertical="center" wrapText="1"/>
    </xf>
    <xf numFmtId="2" fontId="33" fillId="2" borderId="7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 applyProtection="1">
      <alignment horizontal="center" vertical="center"/>
      <protection locked="0"/>
    </xf>
    <xf numFmtId="2" fontId="38" fillId="2" borderId="7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2" fontId="36" fillId="2" borderId="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88" fillId="0" borderId="0" xfId="0" applyFont="1"/>
    <xf numFmtId="4" fontId="9" fillId="5" borderId="7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50" fillId="0" borderId="7" xfId="0" applyFont="1" applyBorder="1"/>
    <xf numFmtId="0" fontId="50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0" fontId="90" fillId="0" borderId="7" xfId="0" applyFont="1" applyBorder="1" applyAlignment="1">
      <alignment horizontal="center" vertical="center" wrapText="1"/>
    </xf>
    <xf numFmtId="2" fontId="90" fillId="0" borderId="7" xfId="0" applyNumberFormat="1" applyFont="1" applyBorder="1" applyAlignment="1">
      <alignment horizontal="center" vertical="center" wrapText="1"/>
    </xf>
    <xf numFmtId="2" fontId="91" fillId="0" borderId="7" xfId="0" applyNumberFormat="1" applyFont="1" applyBorder="1" applyAlignment="1">
      <alignment horizontal="center" vertical="center"/>
    </xf>
    <xf numFmtId="172" fontId="92" fillId="29" borderId="4" xfId="0" applyNumberFormat="1" applyFont="1" applyFill="1" applyBorder="1" applyAlignment="1">
      <alignment horizontal="center" vertical="center" wrapText="1"/>
    </xf>
    <xf numFmtId="172" fontId="92" fillId="29" borderId="8" xfId="0" applyNumberFormat="1" applyFont="1" applyFill="1" applyBorder="1" applyAlignment="1">
      <alignment horizontal="center" vertical="center" wrapText="1"/>
    </xf>
    <xf numFmtId="2" fontId="8" fillId="29" borderId="40" xfId="0" applyNumberFormat="1" applyFont="1" applyFill="1" applyBorder="1" applyAlignment="1">
      <alignment horizontal="center" vertical="center" wrapText="1"/>
    </xf>
    <xf numFmtId="173" fontId="20" fillId="29" borderId="7" xfId="0" applyNumberFormat="1" applyFont="1" applyFill="1" applyBorder="1" applyAlignment="1">
      <alignment horizontal="center" vertical="center"/>
    </xf>
    <xf numFmtId="173" fontId="20" fillId="29" borderId="8" xfId="0" applyNumberFormat="1" applyFont="1" applyFill="1" applyBorder="1" applyAlignment="1">
      <alignment horizontal="center" vertical="center" wrapText="1"/>
    </xf>
    <xf numFmtId="2" fontId="20" fillId="29" borderId="40" xfId="0" applyNumberFormat="1" applyFont="1" applyFill="1" applyBorder="1" applyAlignment="1">
      <alignment horizontal="center" vertical="center" wrapText="1"/>
    </xf>
    <xf numFmtId="168" fontId="7" fillId="29" borderId="7" xfId="0" applyNumberFormat="1" applyFont="1" applyFill="1" applyBorder="1" applyAlignment="1">
      <alignment horizontal="center" vertical="center" wrapText="1"/>
    </xf>
    <xf numFmtId="168" fontId="7" fillId="29" borderId="8" xfId="0" applyNumberFormat="1" applyFont="1" applyFill="1" applyBorder="1" applyAlignment="1">
      <alignment horizontal="center" vertical="center" wrapText="1"/>
    </xf>
    <xf numFmtId="2" fontId="5" fillId="29" borderId="40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70" fontId="5" fillId="2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/>
    </xf>
    <xf numFmtId="2" fontId="27" fillId="2" borderId="7" xfId="0" applyNumberFormat="1" applyFont="1" applyFill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28" fillId="2" borderId="7" xfId="0" applyNumberFormat="1" applyFont="1" applyFill="1" applyBorder="1" applyAlignment="1">
      <alignment horizontal="center" vertical="center"/>
    </xf>
    <xf numFmtId="2" fontId="33" fillId="0" borderId="7" xfId="0" applyNumberFormat="1" applyFont="1" applyBorder="1" applyAlignment="1">
      <alignment horizontal="center" vertical="center" wrapText="1"/>
    </xf>
    <xf numFmtId="43" fontId="20" fillId="0" borderId="7" xfId="3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2" borderId="0" xfId="0" applyFill="1"/>
    <xf numFmtId="2" fontId="34" fillId="2" borderId="7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2" fontId="3" fillId="0" borderId="7" xfId="4" applyNumberFormat="1" applyFont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2" fontId="10" fillId="2" borderId="7" xfId="4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1" fillId="2" borderId="7" xfId="4" applyFont="1" applyFill="1" applyBorder="1" applyAlignment="1">
      <alignment horizontal="center" vertical="center" wrapText="1"/>
    </xf>
    <xf numFmtId="2" fontId="11" fillId="2" borderId="7" xfId="4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2" fontId="11" fillId="0" borderId="7" xfId="4" applyNumberFormat="1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2" fontId="9" fillId="2" borderId="7" xfId="4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2" fontId="11" fillId="0" borderId="7" xfId="4" applyNumberFormat="1" applyFont="1" applyFill="1" applyBorder="1" applyAlignment="1">
      <alignment horizontal="center" vertical="center" wrapText="1"/>
    </xf>
    <xf numFmtId="2" fontId="9" fillId="0" borderId="7" xfId="4" applyNumberFormat="1" applyFont="1" applyFill="1" applyBorder="1" applyAlignment="1">
      <alignment horizontal="center" vertical="center" wrapText="1"/>
    </xf>
    <xf numFmtId="2" fontId="42" fillId="0" borderId="7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0" xfId="0"/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7" xfId="2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0" fillId="30" borderId="0" xfId="0" applyFill="1"/>
    <xf numFmtId="2" fontId="15" fillId="2" borderId="7" xfId="0" applyNumberFormat="1" applyFont="1" applyFill="1" applyBorder="1" applyAlignment="1">
      <alignment horizontal="center" vertical="center" wrapText="1"/>
    </xf>
    <xf numFmtId="2" fontId="10" fillId="0" borderId="7" xfId="4" applyNumberFormat="1" applyFont="1" applyBorder="1" applyAlignment="1">
      <alignment horizontal="center" vertical="center" wrapText="1"/>
    </xf>
    <xf numFmtId="2" fontId="24" fillId="0" borderId="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7" fontId="3" fillId="4" borderId="7" xfId="0" applyNumberFormat="1" applyFont="1" applyFill="1" applyBorder="1" applyAlignment="1">
      <alignment horizontal="center" vertical="center" wrapText="1"/>
    </xf>
    <xf numFmtId="167" fontId="20" fillId="2" borderId="7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18" fillId="0" borderId="7" xfId="0" applyNumberFormat="1" applyFont="1" applyBorder="1" applyAlignment="1">
      <alignment horizontal="center" vertical="center"/>
    </xf>
    <xf numFmtId="167" fontId="29" fillId="0" borderId="7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 wrapText="1"/>
    </xf>
    <xf numFmtId="167" fontId="13" fillId="0" borderId="7" xfId="0" applyNumberFormat="1" applyFont="1" applyBorder="1" applyAlignment="1">
      <alignment horizontal="center" vertical="center"/>
    </xf>
    <xf numFmtId="167" fontId="5" fillId="0" borderId="7" xfId="2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 wrapText="1"/>
    </xf>
    <xf numFmtId="167" fontId="10" fillId="2" borderId="7" xfId="4" applyNumberFormat="1" applyFont="1" applyFill="1" applyBorder="1" applyAlignment="1">
      <alignment horizontal="center" vertical="center" wrapText="1"/>
    </xf>
    <xf numFmtId="167" fontId="11" fillId="2" borderId="7" xfId="4" applyNumberFormat="1" applyFont="1" applyFill="1" applyBorder="1" applyAlignment="1">
      <alignment horizontal="center" vertical="center" wrapText="1"/>
    </xf>
    <xf numFmtId="167" fontId="90" fillId="0" borderId="7" xfId="0" applyNumberFormat="1" applyFont="1" applyBorder="1" applyAlignment="1">
      <alignment horizontal="center" vertical="center" wrapText="1"/>
    </xf>
    <xf numFmtId="167" fontId="18" fillId="2" borderId="7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95" fillId="5" borderId="0" xfId="0" applyFont="1" applyFill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  <xf numFmtId="0" fontId="90" fillId="2" borderId="9" xfId="0" applyFont="1" applyFill="1" applyBorder="1" applyAlignment="1">
      <alignment horizontal="center" vertical="center" wrapText="1"/>
    </xf>
    <xf numFmtId="0" fontId="90" fillId="2" borderId="2" xfId="0" applyFont="1" applyFill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5" fillId="2" borderId="0" xfId="0" applyFont="1" applyFill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50" fillId="2" borderId="7" xfId="0" applyNumberFormat="1" applyFont="1" applyFill="1" applyBorder="1" applyAlignment="1">
      <alignment horizontal="center" vertical="center" wrapText="1"/>
    </xf>
    <xf numFmtId="2" fontId="50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101" fillId="0" borderId="0" xfId="0" applyFont="1"/>
    <xf numFmtId="167" fontId="90" fillId="0" borderId="1" xfId="0" applyNumberFormat="1" applyFont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 wrapText="1"/>
    </xf>
    <xf numFmtId="2" fontId="17" fillId="31" borderId="1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2" fontId="90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2" fillId="0" borderId="0" xfId="0" applyFont="1"/>
    <xf numFmtId="0" fontId="97" fillId="0" borderId="43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2" fontId="41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5" fontId="41" fillId="2" borderId="10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0" fontId="18" fillId="31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31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90" fillId="2" borderId="7" xfId="0" applyFont="1" applyFill="1" applyBorder="1" applyAlignment="1">
      <alignment horizontal="center" vertical="center" wrapText="1"/>
    </xf>
    <xf numFmtId="2" fontId="90" fillId="2" borderId="7" xfId="0" applyNumberFormat="1" applyFont="1" applyFill="1" applyBorder="1" applyAlignment="1">
      <alignment horizontal="center" vertical="center" wrapText="1"/>
    </xf>
    <xf numFmtId="165" fontId="18" fillId="2" borderId="7" xfId="0" applyNumberFormat="1" applyFont="1" applyFill="1" applyBorder="1" applyAlignment="1">
      <alignment horizontal="center" vertical="center" wrapText="1"/>
    </xf>
    <xf numFmtId="0" fontId="25" fillId="28" borderId="7" xfId="0" applyFont="1" applyFill="1" applyBorder="1" applyAlignment="1">
      <alignment horizontal="center" vertical="center" wrapText="1"/>
    </xf>
    <xf numFmtId="0" fontId="18" fillId="28" borderId="7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2" fontId="90" fillId="28" borderId="7" xfId="0" applyNumberFormat="1" applyFont="1" applyFill="1" applyBorder="1" applyAlignment="1">
      <alignment horizontal="center" vertical="center" wrapText="1"/>
    </xf>
    <xf numFmtId="4" fontId="25" fillId="28" borderId="7" xfId="0" applyNumberFormat="1" applyFont="1" applyFill="1" applyBorder="1" applyAlignment="1">
      <alignment horizontal="center" vertical="center" wrapText="1"/>
    </xf>
    <xf numFmtId="2" fontId="17" fillId="0" borderId="0" xfId="0" applyNumberFormat="1" applyFont="1"/>
    <xf numFmtId="0" fontId="90" fillId="28" borderId="7" xfId="0" applyFont="1" applyFill="1" applyBorder="1" applyAlignment="1">
      <alignment horizontal="center" vertical="center" wrapText="1"/>
    </xf>
    <xf numFmtId="0" fontId="90" fillId="28" borderId="10" xfId="0" applyFont="1" applyFill="1" applyBorder="1" applyAlignment="1">
      <alignment horizontal="center" vertical="center" wrapText="1"/>
    </xf>
    <xf numFmtId="9" fontId="90" fillId="28" borderId="7" xfId="0" applyNumberFormat="1" applyFont="1" applyFill="1" applyBorder="1" applyAlignment="1">
      <alignment horizontal="center" vertical="center" wrapText="1"/>
    </xf>
    <xf numFmtId="4" fontId="90" fillId="28" borderId="7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7" xfId="0" applyNumberFormat="1" applyFont="1" applyFill="1" applyBorder="1" applyAlignment="1" applyProtection="1">
      <alignment horizontal="center" vertical="center"/>
      <protection locked="0"/>
    </xf>
    <xf numFmtId="49" fontId="90" fillId="2" borderId="7" xfId="0" applyNumberFormat="1" applyFont="1" applyFill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/>
    </xf>
    <xf numFmtId="0" fontId="91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4" xfId="0" applyFont="1" applyBorder="1"/>
    <xf numFmtId="0" fontId="9" fillId="0" borderId="41" xfId="0" applyFont="1" applyBorder="1"/>
    <xf numFmtId="2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6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5" fillId="5" borderId="0" xfId="0" applyFont="1" applyFill="1" applyAlignment="1">
      <alignment vertical="center"/>
    </xf>
    <xf numFmtId="1" fontId="25" fillId="2" borderId="7" xfId="0" applyNumberFormat="1" applyFont="1" applyFill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2" fontId="18" fillId="0" borderId="7" xfId="4" applyNumberFormat="1" applyFont="1" applyBorder="1" applyAlignment="1">
      <alignment horizontal="center" vertical="center" wrapText="1"/>
    </xf>
    <xf numFmtId="2" fontId="18" fillId="2" borderId="7" xfId="4" applyNumberFormat="1" applyFont="1" applyFill="1" applyBorder="1" applyAlignment="1">
      <alignment horizontal="center" vertical="center" wrapText="1"/>
    </xf>
    <xf numFmtId="0" fontId="17" fillId="2" borderId="7" xfId="4" applyFont="1" applyFill="1" applyBorder="1" applyAlignment="1">
      <alignment horizontal="center" vertical="center" wrapText="1"/>
    </xf>
    <xf numFmtId="2" fontId="17" fillId="2" borderId="7" xfId="4" applyNumberFormat="1" applyFont="1" applyFill="1" applyBorder="1" applyAlignment="1">
      <alignment horizontal="center" vertical="center" wrapText="1"/>
    </xf>
    <xf numFmtId="2" fontId="17" fillId="0" borderId="7" xfId="4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91" fillId="2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 wrapText="1"/>
    </xf>
    <xf numFmtId="0" fontId="107" fillId="0" borderId="7" xfId="0" applyFont="1" applyBorder="1" applyAlignment="1">
      <alignment horizontal="center" vertical="center" wrapText="1"/>
    </xf>
    <xf numFmtId="165" fontId="90" fillId="0" borderId="7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0" fontId="109" fillId="0" borderId="7" xfId="0" applyFont="1" applyBorder="1" applyAlignment="1">
      <alignment horizontal="center" vertical="center"/>
    </xf>
    <xf numFmtId="2" fontId="109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41" fillId="2" borderId="7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1" fontId="90" fillId="28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166" fontId="17" fillId="31" borderId="1" xfId="0" applyNumberFormat="1" applyFont="1" applyFill="1" applyBorder="1" applyAlignment="1">
      <alignment horizontal="center" vertical="center" wrapText="1"/>
    </xf>
    <xf numFmtId="165" fontId="17" fillId="31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0" fillId="31" borderId="1" xfId="0" applyFont="1" applyFill="1" applyBorder="1" applyAlignment="1">
      <alignment horizontal="center" vertical="center" wrapText="1"/>
    </xf>
    <xf numFmtId="2" fontId="90" fillId="31" borderId="1" xfId="0" applyNumberFormat="1" applyFont="1" applyFill="1" applyBorder="1" applyAlignment="1">
      <alignment horizontal="center" vertical="center" wrapText="1"/>
    </xf>
    <xf numFmtId="2" fontId="111" fillId="31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0" fillId="0" borderId="7" xfId="0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5" fontId="25" fillId="2" borderId="7" xfId="0" applyNumberFormat="1" applyFont="1" applyFill="1" applyBorder="1" applyAlignment="1">
      <alignment horizontal="center" vertical="center" wrapText="1"/>
    </xf>
    <xf numFmtId="2" fontId="114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>
      <alignment horizontal="center" vertical="center"/>
    </xf>
    <xf numFmtId="165" fontId="25" fillId="0" borderId="7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/>
    </xf>
    <xf numFmtId="165" fontId="17" fillId="2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2" fontId="9" fillId="30" borderId="0" xfId="0" applyNumberFormat="1" applyFont="1" applyFill="1"/>
    <xf numFmtId="166" fontId="18" fillId="2" borderId="7" xfId="0" applyNumberFormat="1" applyFont="1" applyFill="1" applyBorder="1" applyAlignment="1">
      <alignment horizontal="center" vertical="center" wrapText="1"/>
    </xf>
    <xf numFmtId="43" fontId="18" fillId="2" borderId="7" xfId="3" applyFont="1" applyFill="1" applyBorder="1" applyAlignment="1">
      <alignment horizontal="center" vertical="center" wrapText="1"/>
    </xf>
    <xf numFmtId="43" fontId="17" fillId="2" borderId="7" xfId="3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2" fontId="17" fillId="2" borderId="0" xfId="0" applyNumberFormat="1" applyFont="1" applyFill="1"/>
    <xf numFmtId="0" fontId="9" fillId="0" borderId="0" xfId="0" applyFont="1" applyAlignment="1">
      <alignment horizontal="center" vertical="center"/>
    </xf>
    <xf numFmtId="0" fontId="90" fillId="2" borderId="7" xfId="0" applyFont="1" applyFill="1" applyBorder="1" applyAlignment="1">
      <alignment horizontal="center" vertical="center"/>
    </xf>
    <xf numFmtId="2" fontId="90" fillId="2" borderId="7" xfId="0" applyNumberFormat="1" applyFont="1" applyFill="1" applyBorder="1" applyAlignment="1">
      <alignment horizontal="center" vertical="center"/>
    </xf>
    <xf numFmtId="0" fontId="17" fillId="2" borderId="7" xfId="191" applyFont="1" applyFill="1" applyBorder="1" applyAlignment="1">
      <alignment horizontal="center"/>
    </xf>
    <xf numFmtId="2" fontId="17" fillId="2" borderId="7" xfId="191" applyNumberFormat="1" applyFont="1" applyFill="1" applyBorder="1" applyAlignment="1">
      <alignment horizontal="center"/>
    </xf>
    <xf numFmtId="165" fontId="17" fillId="2" borderId="7" xfId="191" applyNumberFormat="1" applyFont="1" applyFill="1" applyBorder="1" applyAlignment="1">
      <alignment horizontal="center"/>
    </xf>
    <xf numFmtId="43" fontId="17" fillId="2" borderId="7" xfId="3" applyFont="1" applyFill="1" applyBorder="1" applyAlignment="1">
      <alignment horizontal="center"/>
    </xf>
    <xf numFmtId="2" fontId="17" fillId="2" borderId="7" xfId="190" applyNumberFormat="1" applyFont="1" applyFill="1" applyBorder="1" applyAlignment="1">
      <alignment horizontal="center" vertical="center"/>
    </xf>
    <xf numFmtId="0" fontId="115" fillId="0" borderId="0" xfId="0" applyFont="1"/>
    <xf numFmtId="0" fontId="116" fillId="30" borderId="0" xfId="0" applyFont="1" applyFill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2" fontId="9" fillId="0" borderId="0" xfId="0" applyNumberFormat="1" applyFont="1" applyAlignment="1">
      <alignment wrapText="1"/>
    </xf>
    <xf numFmtId="0" fontId="0" fillId="32" borderId="7" xfId="0" applyFill="1" applyBorder="1" applyAlignment="1">
      <alignment horizontal="center" vertical="center" wrapText="1"/>
    </xf>
    <xf numFmtId="0" fontId="18" fillId="32" borderId="7" xfId="0" applyFont="1" applyFill="1" applyBorder="1" applyAlignment="1">
      <alignment horizontal="center" vertical="center" wrapText="1"/>
    </xf>
    <xf numFmtId="0" fontId="17" fillId="32" borderId="7" xfId="0" applyFont="1" applyFill="1" applyBorder="1" applyAlignment="1">
      <alignment horizontal="center" vertical="center" wrapText="1"/>
    </xf>
    <xf numFmtId="2" fontId="17" fillId="32" borderId="7" xfId="0" applyNumberFormat="1" applyFont="1" applyFill="1" applyBorder="1" applyAlignment="1">
      <alignment horizontal="center" vertical="center" wrapText="1"/>
    </xf>
    <xf numFmtId="2" fontId="50" fillId="32" borderId="7" xfId="0" applyNumberFormat="1" applyFont="1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2" fontId="18" fillId="32" borderId="7" xfId="0" applyNumberFormat="1" applyFont="1" applyFill="1" applyBorder="1" applyAlignment="1">
      <alignment horizontal="center" vertical="center" wrapText="1"/>
    </xf>
    <xf numFmtId="0" fontId="3" fillId="32" borderId="7" xfId="0" applyFont="1" applyFill="1" applyBorder="1" applyAlignment="1">
      <alignment horizontal="center" vertical="center" wrapText="1"/>
    </xf>
    <xf numFmtId="0" fontId="11" fillId="32" borderId="7" xfId="0" applyFont="1" applyFill="1" applyBorder="1" applyAlignment="1">
      <alignment horizontal="center" vertical="center" wrapText="1"/>
    </xf>
    <xf numFmtId="2" fontId="11" fillId="32" borderId="7" xfId="0" applyNumberFormat="1" applyFont="1" applyFill="1" applyBorder="1" applyAlignment="1">
      <alignment horizontal="center" vertical="center" wrapText="1"/>
    </xf>
    <xf numFmtId="2" fontId="42" fillId="32" borderId="7" xfId="0" applyNumberFormat="1" applyFont="1" applyFill="1" applyBorder="1" applyAlignment="1">
      <alignment horizontal="center" vertical="center" wrapText="1"/>
    </xf>
    <xf numFmtId="4" fontId="17" fillId="0" borderId="0" xfId="0" applyNumberFormat="1" applyFont="1"/>
    <xf numFmtId="2" fontId="42" fillId="0" borderId="7" xfId="4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2" fontId="33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2" fontId="41" fillId="2" borderId="10" xfId="0" applyNumberFormat="1" applyFont="1" applyFill="1" applyBorder="1" applyAlignment="1">
      <alignment horizontal="center" vertical="center" wrapText="1"/>
    </xf>
    <xf numFmtId="2" fontId="17" fillId="30" borderId="7" xfId="4" applyNumberFormat="1" applyFont="1" applyFill="1" applyBorder="1" applyAlignment="1">
      <alignment horizontal="center" vertical="center" wrapText="1"/>
    </xf>
    <xf numFmtId="2" fontId="17" fillId="30" borderId="7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18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20% - Акцент1 2" xfId="19"/>
    <cellStyle name="20% - Акцент1 3" xfId="20"/>
    <cellStyle name="20% - Акцент1 4" xfId="21"/>
    <cellStyle name="20% - Акцент2 2" xfId="22"/>
    <cellStyle name="20% - Акцент2 3" xfId="23"/>
    <cellStyle name="20% - Акцент2 4" xfId="24"/>
    <cellStyle name="20% - Акцент3 2" xfId="25"/>
    <cellStyle name="20% - Акцент3 3" xfId="26"/>
    <cellStyle name="20% - Акцент3 4" xfId="27"/>
    <cellStyle name="20% - Акцент4 2" xfId="28"/>
    <cellStyle name="20% - Акцент4 3" xfId="29"/>
    <cellStyle name="20% - Акцент4 4" xfId="30"/>
    <cellStyle name="20% - Акцент5 2" xfId="31"/>
    <cellStyle name="20% - Акцент5 3" xfId="32"/>
    <cellStyle name="20% - Акцент5 4" xfId="33"/>
    <cellStyle name="20% - Акцент6 2" xfId="34"/>
    <cellStyle name="20% - Акцент6 3" xfId="35"/>
    <cellStyle name="20% - Акцент6 4" xfId="36"/>
    <cellStyle name="40% - Accent1 2" xfId="37"/>
    <cellStyle name="40% - Accent2 2" xfId="38"/>
    <cellStyle name="40% - Accent3 2" xfId="39"/>
    <cellStyle name="40% - Accent4 2" xfId="40"/>
    <cellStyle name="40% - Accent5 2" xfId="41"/>
    <cellStyle name="40% - Accent6 2" xfId="42"/>
    <cellStyle name="40% - Акцент1 2" xfId="43"/>
    <cellStyle name="40% - Акцент1 3" xfId="44"/>
    <cellStyle name="40% - Акцент1 4" xfId="45"/>
    <cellStyle name="40% - Акцент2 2" xfId="46"/>
    <cellStyle name="40% - Акцент2 3" xfId="47"/>
    <cellStyle name="40% - Акцент2 4" xfId="48"/>
    <cellStyle name="40% - Акцент3 2" xfId="49"/>
    <cellStyle name="40% - Акцент3 3" xfId="50"/>
    <cellStyle name="40% - Акцент3 4" xfId="51"/>
    <cellStyle name="40% - Акцент4 2" xfId="52"/>
    <cellStyle name="40% - Акцент4 3" xfId="53"/>
    <cellStyle name="40% - Акцент4 4" xfId="54"/>
    <cellStyle name="40% - Акцент5 2" xfId="55"/>
    <cellStyle name="40% - Акцент5 3" xfId="56"/>
    <cellStyle name="40% - Акцент5 4" xfId="57"/>
    <cellStyle name="40% - Акцент6 2" xfId="58"/>
    <cellStyle name="40% - Акцент6 3" xfId="59"/>
    <cellStyle name="40% - Акцент6 4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60% - Акцент1 2" xfId="67"/>
    <cellStyle name="60% - Акцент1 3" xfId="68"/>
    <cellStyle name="60% - Акцент1 4" xfId="69"/>
    <cellStyle name="60% - Акцент2 2" xfId="70"/>
    <cellStyle name="60% - Акцент2 3" xfId="71"/>
    <cellStyle name="60% - Акцент2 4" xfId="72"/>
    <cellStyle name="60% - Акцент3 2" xfId="73"/>
    <cellStyle name="60% - Акцент3 3" xfId="74"/>
    <cellStyle name="60% - Акцент3 4" xfId="75"/>
    <cellStyle name="60% - Акцент4 2" xfId="76"/>
    <cellStyle name="60% - Акцент4 3" xfId="77"/>
    <cellStyle name="60% - Акцент4 4" xfId="78"/>
    <cellStyle name="60% - Акцент5 2" xfId="79"/>
    <cellStyle name="60% - Акцент5 3" xfId="80"/>
    <cellStyle name="60% - Акцент5 4" xfId="81"/>
    <cellStyle name="60% - Акцент6 2" xfId="82"/>
    <cellStyle name="60% - Акцент6 3" xfId="83"/>
    <cellStyle name="60% - Акцент6 4" xfId="84"/>
    <cellStyle name="Accent1 2" xfId="85"/>
    <cellStyle name="Accent2 2" xfId="86"/>
    <cellStyle name="Accent3 2" xfId="87"/>
    <cellStyle name="Accent4 2" xfId="88"/>
    <cellStyle name="Accent5 2" xfId="89"/>
    <cellStyle name="Accent6 2" xfId="90"/>
    <cellStyle name="Bad 2" xfId="91"/>
    <cellStyle name="Calculation 2" xfId="92"/>
    <cellStyle name="Check Cell 2" xfId="93"/>
    <cellStyle name="Comma" xfId="3" builtinId="3"/>
    <cellStyle name="Comma 2" xfId="11"/>
    <cellStyle name="Comma 2 2" xfId="94"/>
    <cellStyle name="Comma 2 2 2" xfId="194"/>
    <cellStyle name="Comma 2 3" xfId="202"/>
    <cellStyle name="Comma 2 3 2" xfId="214"/>
    <cellStyle name="Comma 2 4" xfId="209"/>
    <cellStyle name="Comma 3" xfId="95"/>
    <cellStyle name="Comma 3 2" xfId="203"/>
    <cellStyle name="Comma 3 2 2" xfId="215"/>
    <cellStyle name="Comma 3 3" xfId="210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" xfId="0" builtinId="0"/>
    <cellStyle name="Normal 11 2 2" xfId="189"/>
    <cellStyle name="Normal 14 3" xfId="105"/>
    <cellStyle name="Normal 2" xfId="6"/>
    <cellStyle name="Normal 2 10" xfId="190"/>
    <cellStyle name="Normal 2 2" xfId="106"/>
    <cellStyle name="Normal 2 2 2" xfId="195"/>
    <cellStyle name="Normal 3" xfId="9"/>
    <cellStyle name="Normal 3 2" xfId="192"/>
    <cellStyle name="Normal 36 2 2" xfId="191"/>
    <cellStyle name="Normal 4" xfId="8"/>
    <cellStyle name="Normal 5" xfId="12"/>
    <cellStyle name="Normal 6" xfId="107"/>
    <cellStyle name="Normal 8" xfId="5"/>
    <cellStyle name="Note 2" xfId="108"/>
    <cellStyle name="Output 2" xfId="109"/>
    <cellStyle name="Style 1" xfId="206"/>
    <cellStyle name="Title 2" xfId="110"/>
    <cellStyle name="Total 2" xfId="111"/>
    <cellStyle name="Warning Text 2" xfId="112"/>
    <cellStyle name="Акцент1 2" xfId="113"/>
    <cellStyle name="Акцент1 3" xfId="114"/>
    <cellStyle name="Акцент1 4" xfId="115"/>
    <cellStyle name="Акцент2 2" xfId="116"/>
    <cellStyle name="Акцент2 3" xfId="117"/>
    <cellStyle name="Акцент2 4" xfId="118"/>
    <cellStyle name="Акцент3 2" xfId="119"/>
    <cellStyle name="Акцент3 3" xfId="120"/>
    <cellStyle name="Акцент3 4" xfId="121"/>
    <cellStyle name="Акцент4 2" xfId="122"/>
    <cellStyle name="Акцент4 3" xfId="123"/>
    <cellStyle name="Акцент4 4" xfId="124"/>
    <cellStyle name="Акцент5 2" xfId="125"/>
    <cellStyle name="Акцент5 3" xfId="126"/>
    <cellStyle name="Акцент5 4" xfId="127"/>
    <cellStyle name="Акцент6 2" xfId="128"/>
    <cellStyle name="Акцент6 3" xfId="129"/>
    <cellStyle name="Акцент6 4" xfId="130"/>
    <cellStyle name="Ввод  2" xfId="131"/>
    <cellStyle name="Ввод  3" xfId="132"/>
    <cellStyle name="Ввод  4" xfId="133"/>
    <cellStyle name="Вывод 2" xfId="134"/>
    <cellStyle name="Вывод 3" xfId="135"/>
    <cellStyle name="Вывод 4" xfId="136"/>
    <cellStyle name="Вычисление 2" xfId="137"/>
    <cellStyle name="Вычисление 3" xfId="138"/>
    <cellStyle name="Вычисление 4" xfId="139"/>
    <cellStyle name="Заголовок 1 2" xfId="140"/>
    <cellStyle name="Заголовок 1 3" xfId="141"/>
    <cellStyle name="Заголовок 1 4" xfId="142"/>
    <cellStyle name="Заголовок 2 2" xfId="143"/>
    <cellStyle name="Заголовок 2 3" xfId="144"/>
    <cellStyle name="Заголовок 2 4" xfId="145"/>
    <cellStyle name="Заголовок 3 2" xfId="146"/>
    <cellStyle name="Заголовок 3 3" xfId="147"/>
    <cellStyle name="Заголовок 3 4" xfId="148"/>
    <cellStyle name="Заголовок 4 2" xfId="149"/>
    <cellStyle name="Заголовок 4 3" xfId="150"/>
    <cellStyle name="Заголовок 4 4" xfId="151"/>
    <cellStyle name="Итог 2" xfId="152"/>
    <cellStyle name="Итог 3" xfId="153"/>
    <cellStyle name="Итог 4" xfId="154"/>
    <cellStyle name="Контрольная ячейка 2" xfId="155"/>
    <cellStyle name="Контрольная ячейка 3" xfId="156"/>
    <cellStyle name="Контрольная ячейка 4" xfId="157"/>
    <cellStyle name="Название 2" xfId="158"/>
    <cellStyle name="Название 3" xfId="159"/>
    <cellStyle name="Название 4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2 2 2" xfId="196"/>
    <cellStyle name="Обычный 3" xfId="166"/>
    <cellStyle name="Обычный 3 2" xfId="197"/>
    <cellStyle name="Обычный 4" xfId="10"/>
    <cellStyle name="Обычный 4 2" xfId="193"/>
    <cellStyle name="Обычный 4 2 2" xfId="213"/>
    <cellStyle name="Обычный 4 3" xfId="208"/>
    <cellStyle name="Обычный 5" xfId="167"/>
    <cellStyle name="Обычный_S.S.S" xfId="2"/>
    <cellStyle name="Обычный_Лист1" xfId="4"/>
    <cellStyle name="Обычный_დემონტაჟი" xfId="1"/>
    <cellStyle name="Плохой 2" xfId="168"/>
    <cellStyle name="Плохой 3" xfId="169"/>
    <cellStyle name="Плохой 4" xfId="170"/>
    <cellStyle name="Пояснение 2" xfId="171"/>
    <cellStyle name="Пояснение 3" xfId="172"/>
    <cellStyle name="Пояснение 4" xfId="173"/>
    <cellStyle name="Примечание 2" xfId="174"/>
    <cellStyle name="Примечание 2 2" xfId="198"/>
    <cellStyle name="Примечание 3" xfId="175"/>
    <cellStyle name="Примечание 3 2" xfId="199"/>
    <cellStyle name="Примечание 4" xfId="176"/>
    <cellStyle name="Примечание 4 2" xfId="200"/>
    <cellStyle name="Связанная ячейка 2" xfId="177"/>
    <cellStyle name="Связанная ячейка 3" xfId="178"/>
    <cellStyle name="Связанная ячейка 4" xfId="179"/>
    <cellStyle name="Текст предупреждения 2" xfId="180"/>
    <cellStyle name="Текст предупреждения 3" xfId="181"/>
    <cellStyle name="Текст предупреждения 4" xfId="182"/>
    <cellStyle name="Финансовый 2" xfId="183"/>
    <cellStyle name="Финансовый 2 2" xfId="184"/>
    <cellStyle name="Финансовый 2 2 2" xfId="201"/>
    <cellStyle name="Финансовый 2 3" xfId="204"/>
    <cellStyle name="Финансовый 2 3 2" xfId="216"/>
    <cellStyle name="Финансовый 2 4" xfId="211"/>
    <cellStyle name="Финансовый 3" xfId="185"/>
    <cellStyle name="Финансовый 3 2" xfId="205"/>
    <cellStyle name="Финансовый 3 2 2" xfId="217"/>
    <cellStyle name="Финансовый 3 3" xfId="212"/>
    <cellStyle name="Финансовый 4" xfId="7"/>
    <cellStyle name="Финансовый 4 2" xfId="207"/>
    <cellStyle name="Хороший 2" xfId="186"/>
    <cellStyle name="Хороший 3" xfId="187"/>
    <cellStyle name="Хороший 4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58B9C1-A96B-4A52-A8B1-54669E60DAA8}"/>
            </a:ext>
          </a:extLst>
        </xdr:cNvPr>
        <xdr:cNvSpPr>
          <a:spLocks noChangeShapeType="1"/>
        </xdr:cNvSpPr>
      </xdr:nvSpPr>
      <xdr:spPr bwMode="auto">
        <a:xfrm>
          <a:off x="4914900" y="1104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28D5379-1371-4EB3-A964-C13B7F2F6F63}"/>
            </a:ext>
          </a:extLst>
        </xdr:cNvPr>
        <xdr:cNvSpPr>
          <a:spLocks noChangeShapeType="1"/>
        </xdr:cNvSpPr>
      </xdr:nvSpPr>
      <xdr:spPr bwMode="auto">
        <a:xfrm flipH="1">
          <a:off x="6210300" y="1104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600075</xdr:rowOff>
    </xdr:from>
    <xdr:to>
      <xdr:col>4</xdr:col>
      <xdr:colOff>0</xdr:colOff>
      <xdr:row>4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1D20BF-8912-44F6-AA88-30B119BA2CD3}"/>
            </a:ext>
          </a:extLst>
        </xdr:cNvPr>
        <xdr:cNvSpPr>
          <a:spLocks noChangeShapeType="1"/>
        </xdr:cNvSpPr>
      </xdr:nvSpPr>
      <xdr:spPr bwMode="auto">
        <a:xfrm>
          <a:off x="4914900" y="1104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590550</xdr:rowOff>
    </xdr:from>
    <xdr:to>
      <xdr:col>6</xdr:col>
      <xdr:colOff>9525</xdr:colOff>
      <xdr:row>3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8AA3F46-6396-4BA7-AFEF-C29DC709201B}"/>
            </a:ext>
          </a:extLst>
        </xdr:cNvPr>
        <xdr:cNvSpPr>
          <a:spLocks noChangeShapeType="1"/>
        </xdr:cNvSpPr>
      </xdr:nvSpPr>
      <xdr:spPr bwMode="auto">
        <a:xfrm flipH="1">
          <a:off x="6210300" y="1104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600075</xdr:rowOff>
    </xdr:from>
    <xdr:to>
      <xdr:col>4</xdr:col>
      <xdr:colOff>0</xdr:colOff>
      <xdr:row>4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067425" y="990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590550</xdr:rowOff>
    </xdr:from>
    <xdr:to>
      <xdr:col>6</xdr:col>
      <xdr:colOff>9525</xdr:colOff>
      <xdr:row>3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334250" y="990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600075</xdr:rowOff>
    </xdr:from>
    <xdr:to>
      <xdr:col>4</xdr:col>
      <xdr:colOff>0</xdr:colOff>
      <xdr:row>4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AC85755-6FFF-4CA1-8154-7067AB5D190D}"/>
            </a:ext>
          </a:extLst>
        </xdr:cNvPr>
        <xdr:cNvSpPr>
          <a:spLocks noChangeShapeType="1"/>
        </xdr:cNvSpPr>
      </xdr:nvSpPr>
      <xdr:spPr bwMode="auto">
        <a:xfrm>
          <a:off x="4914900" y="1104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590550</xdr:rowOff>
    </xdr:from>
    <xdr:to>
      <xdr:col>6</xdr:col>
      <xdr:colOff>9525</xdr:colOff>
      <xdr:row>3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1D7958A-8641-4F38-B6DE-BD86E634DB43}"/>
            </a:ext>
          </a:extLst>
        </xdr:cNvPr>
        <xdr:cNvSpPr>
          <a:spLocks noChangeShapeType="1"/>
        </xdr:cNvSpPr>
      </xdr:nvSpPr>
      <xdr:spPr bwMode="auto">
        <a:xfrm flipH="1">
          <a:off x="6210300" y="1104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70" workbookViewId="0">
      <selection activeCell="D25" sqref="C25:J29"/>
    </sheetView>
  </sheetViews>
  <sheetFormatPr defaultRowHeight="15"/>
  <cols>
    <col min="1" max="1" width="2.5703125" customWidth="1"/>
    <col min="2" max="2" width="1.5703125" customWidth="1"/>
    <col min="3" max="3" width="36" customWidth="1"/>
    <col min="4" max="4" width="9.140625" customWidth="1"/>
    <col min="5" max="5" width="7.42578125" customWidth="1"/>
    <col min="6" max="6" width="19.28515625" customWidth="1"/>
    <col min="7" max="7" width="17.28515625" customWidth="1"/>
    <col min="8" max="8" width="11.7109375" customWidth="1"/>
    <col min="9" max="9" width="5" customWidth="1"/>
    <col min="10" max="10" width="8.5703125" customWidth="1"/>
    <col min="11" max="11" width="2.42578125" customWidth="1"/>
    <col min="12" max="12" width="2.28515625" customWidth="1"/>
  </cols>
  <sheetData>
    <row r="1" spans="1:12" ht="7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6.75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50"/>
    </row>
    <row r="3" spans="1:12">
      <c r="A3" s="46"/>
      <c r="B3" s="51"/>
      <c r="C3" s="43"/>
      <c r="D3" s="44"/>
      <c r="E3" s="44"/>
      <c r="F3" s="44"/>
      <c r="G3" s="44"/>
      <c r="H3" s="44"/>
      <c r="I3" s="44"/>
      <c r="J3" s="45"/>
      <c r="K3" s="52"/>
      <c r="L3" s="50"/>
    </row>
    <row r="4" spans="1:12">
      <c r="A4" s="46"/>
      <c r="B4" s="51"/>
      <c r="C4" s="433"/>
      <c r="D4" s="434"/>
      <c r="E4" s="434"/>
      <c r="F4" s="434"/>
      <c r="G4" s="434"/>
      <c r="H4" s="434"/>
      <c r="I4" s="434"/>
      <c r="J4" s="435"/>
      <c r="K4" s="52"/>
      <c r="L4" s="50"/>
    </row>
    <row r="5" spans="1:12">
      <c r="A5" s="46"/>
      <c r="B5" s="51"/>
      <c r="C5" s="436"/>
      <c r="D5" s="437"/>
      <c r="E5" s="437"/>
      <c r="F5" s="437"/>
      <c r="G5" s="437"/>
      <c r="H5" s="437"/>
      <c r="I5" s="437"/>
      <c r="J5" s="438"/>
      <c r="K5" s="52"/>
      <c r="L5" s="50"/>
    </row>
    <row r="6" spans="1:12">
      <c r="A6" s="46"/>
      <c r="B6" s="51"/>
      <c r="C6" s="46"/>
      <c r="D6" s="53"/>
      <c r="E6" s="53"/>
      <c r="F6" s="53"/>
      <c r="G6" s="53"/>
      <c r="H6" s="53"/>
      <c r="I6" s="53"/>
      <c r="J6" s="50"/>
      <c r="K6" s="52"/>
      <c r="L6" s="50"/>
    </row>
    <row r="7" spans="1:12">
      <c r="A7" s="46"/>
      <c r="B7" s="51"/>
      <c r="C7" s="46"/>
      <c r="D7" s="53"/>
      <c r="E7" s="53"/>
      <c r="F7" s="53"/>
      <c r="G7" s="53"/>
      <c r="H7" s="53"/>
      <c r="I7" s="53"/>
      <c r="J7" s="50"/>
      <c r="K7" s="52"/>
      <c r="L7" s="50"/>
    </row>
    <row r="8" spans="1:12">
      <c r="A8" s="46"/>
      <c r="B8" s="51"/>
      <c r="C8" s="433"/>
      <c r="D8" s="439"/>
      <c r="E8" s="439"/>
      <c r="F8" s="439"/>
      <c r="G8" s="439"/>
      <c r="H8" s="439"/>
      <c r="I8" s="439"/>
      <c r="J8" s="435"/>
      <c r="K8" s="52"/>
      <c r="L8" s="50"/>
    </row>
    <row r="9" spans="1:12">
      <c r="A9" s="46"/>
      <c r="B9" s="51"/>
      <c r="C9" s="436"/>
      <c r="D9" s="437"/>
      <c r="E9" s="437"/>
      <c r="F9" s="437"/>
      <c r="G9" s="437"/>
      <c r="H9" s="437"/>
      <c r="I9" s="437"/>
      <c r="J9" s="438"/>
      <c r="K9" s="52"/>
      <c r="L9" s="50"/>
    </row>
    <row r="10" spans="1:12">
      <c r="A10" s="46"/>
      <c r="B10" s="51"/>
      <c r="C10" s="46"/>
      <c r="D10" s="53"/>
      <c r="E10" s="53"/>
      <c r="F10" s="53"/>
      <c r="G10" s="53"/>
      <c r="H10" s="53"/>
      <c r="I10" s="53"/>
      <c r="J10" s="50"/>
      <c r="K10" s="52"/>
      <c r="L10" s="50"/>
    </row>
    <row r="11" spans="1:12" ht="23.25" customHeight="1">
      <c r="A11" s="46"/>
      <c r="B11" s="51"/>
      <c r="C11" s="440" t="s">
        <v>318</v>
      </c>
      <c r="D11" s="441"/>
      <c r="E11" s="441"/>
      <c r="F11" s="441"/>
      <c r="G11" s="441"/>
      <c r="H11" s="441"/>
      <c r="I11" s="441"/>
      <c r="J11" s="442"/>
      <c r="K11" s="52"/>
      <c r="L11" s="50"/>
    </row>
    <row r="12" spans="1:12" ht="23.25" customHeight="1">
      <c r="A12" s="46"/>
      <c r="B12" s="51"/>
      <c r="C12" s="440"/>
      <c r="D12" s="441"/>
      <c r="E12" s="441"/>
      <c r="F12" s="441"/>
      <c r="G12" s="441"/>
      <c r="H12" s="441"/>
      <c r="I12" s="441"/>
      <c r="J12" s="442"/>
      <c r="K12" s="52"/>
      <c r="L12" s="50"/>
    </row>
    <row r="13" spans="1:12" ht="23.25" customHeight="1">
      <c r="A13" s="46"/>
      <c r="B13" s="51"/>
      <c r="C13" s="440"/>
      <c r="D13" s="441"/>
      <c r="E13" s="441"/>
      <c r="F13" s="441"/>
      <c r="G13" s="441"/>
      <c r="H13" s="441"/>
      <c r="I13" s="441"/>
      <c r="J13" s="442"/>
      <c r="K13" s="52"/>
      <c r="L13" s="50"/>
    </row>
    <row r="14" spans="1:12" ht="12" customHeight="1">
      <c r="A14" s="46"/>
      <c r="B14" s="51"/>
      <c r="C14" s="430"/>
      <c r="D14" s="431"/>
      <c r="E14" s="431"/>
      <c r="F14" s="431"/>
      <c r="G14" s="431"/>
      <c r="H14" s="431"/>
      <c r="I14" s="431"/>
      <c r="J14" s="432"/>
      <c r="K14" s="52"/>
      <c r="L14" s="50"/>
    </row>
    <row r="15" spans="1:12">
      <c r="A15" s="46"/>
      <c r="B15" s="51"/>
      <c r="C15" s="46"/>
      <c r="D15" s="54"/>
      <c r="E15" s="54"/>
      <c r="F15" s="53"/>
      <c r="G15" s="53"/>
      <c r="H15" s="53"/>
      <c r="I15" s="53"/>
      <c r="J15" s="50"/>
      <c r="K15" s="52"/>
      <c r="L15" s="50"/>
    </row>
    <row r="16" spans="1:12" ht="8.25" customHeight="1">
      <c r="A16" s="46"/>
      <c r="B16" s="51"/>
      <c r="C16" s="55"/>
      <c r="D16" s="56"/>
      <c r="E16" s="56"/>
      <c r="F16" s="56"/>
      <c r="G16" s="56"/>
      <c r="H16" s="56"/>
      <c r="I16" s="56"/>
      <c r="J16" s="57"/>
      <c r="K16" s="52"/>
      <c r="L16" s="50"/>
    </row>
    <row r="17" spans="1:12" ht="21">
      <c r="A17" s="46"/>
      <c r="B17" s="51"/>
      <c r="C17" s="430"/>
      <c r="D17" s="431"/>
      <c r="E17" s="431"/>
      <c r="F17" s="431"/>
      <c r="G17" s="431"/>
      <c r="H17" s="431"/>
      <c r="I17" s="431"/>
      <c r="J17" s="432"/>
      <c r="K17" s="52"/>
      <c r="L17" s="50"/>
    </row>
    <row r="18" spans="1:12">
      <c r="A18" s="46"/>
      <c r="B18" s="51"/>
      <c r="C18" s="46"/>
      <c r="D18" s="53"/>
      <c r="E18" s="53"/>
      <c r="F18" s="53"/>
      <c r="G18" s="53"/>
      <c r="H18" s="53"/>
      <c r="I18" s="53"/>
      <c r="J18" s="50"/>
      <c r="K18" s="52"/>
      <c r="L18" s="50"/>
    </row>
    <row r="19" spans="1:12">
      <c r="A19" s="46"/>
      <c r="B19" s="51"/>
      <c r="C19" s="46"/>
      <c r="D19" s="53"/>
      <c r="E19" s="53"/>
      <c r="F19" s="53"/>
      <c r="G19" s="53"/>
      <c r="H19" s="53"/>
      <c r="I19" s="53"/>
      <c r="J19" s="50"/>
      <c r="K19" s="52"/>
      <c r="L19" s="50"/>
    </row>
    <row r="20" spans="1:12">
      <c r="A20" s="46"/>
      <c r="B20" s="51"/>
      <c r="C20" s="46"/>
      <c r="D20" s="53"/>
      <c r="E20" s="53"/>
      <c r="F20" s="53"/>
      <c r="G20" s="53"/>
      <c r="H20" s="53"/>
      <c r="I20" s="53"/>
      <c r="J20" s="50"/>
      <c r="K20" s="52"/>
      <c r="L20" s="50"/>
    </row>
    <row r="21" spans="1:12" ht="21">
      <c r="A21" s="46"/>
      <c r="B21" s="51"/>
      <c r="C21" s="443" t="s">
        <v>96</v>
      </c>
      <c r="D21" s="444"/>
      <c r="E21" s="444"/>
      <c r="F21" s="444"/>
      <c r="G21" s="58">
        <f>საერთო!C11</f>
        <v>0</v>
      </c>
      <c r="H21" s="59" t="s">
        <v>17</v>
      </c>
      <c r="I21" s="445"/>
      <c r="J21" s="446"/>
      <c r="K21" s="52"/>
      <c r="L21" s="50"/>
    </row>
    <row r="22" spans="1:12">
      <c r="A22" s="46"/>
      <c r="B22" s="51"/>
      <c r="C22" s="46"/>
      <c r="D22" s="53"/>
      <c r="E22" s="53"/>
      <c r="F22" s="53"/>
      <c r="G22" s="53"/>
      <c r="H22" s="53"/>
      <c r="I22" s="53"/>
      <c r="J22" s="50"/>
      <c r="K22" s="52"/>
      <c r="L22" s="50"/>
    </row>
    <row r="23" spans="1:12">
      <c r="A23" s="46"/>
      <c r="B23" s="51"/>
      <c r="C23" s="46"/>
      <c r="D23" s="53"/>
      <c r="E23" s="53"/>
      <c r="F23" s="53"/>
      <c r="G23" s="53"/>
      <c r="H23" s="53"/>
      <c r="I23" s="53"/>
      <c r="J23" s="50"/>
      <c r="K23" s="52"/>
      <c r="L23" s="50"/>
    </row>
    <row r="24" spans="1:12">
      <c r="A24" s="46"/>
      <c r="B24" s="51"/>
      <c r="C24" s="46"/>
      <c r="D24" s="53"/>
      <c r="E24" s="53"/>
      <c r="F24" s="53"/>
      <c r="G24" s="53"/>
      <c r="H24" s="53"/>
      <c r="I24" s="53"/>
      <c r="J24" s="50"/>
      <c r="K24" s="52"/>
      <c r="L24" s="50"/>
    </row>
    <row r="25" spans="1:12" ht="21">
      <c r="A25" s="46"/>
      <c r="B25" s="51"/>
      <c r="C25" s="60"/>
      <c r="D25" s="444"/>
      <c r="E25" s="444"/>
      <c r="F25" s="82"/>
      <c r="G25" s="61"/>
      <c r="H25" s="59"/>
      <c r="I25" s="59"/>
      <c r="J25" s="62"/>
      <c r="K25" s="52"/>
      <c r="L25" s="50"/>
    </row>
    <row r="26" spans="1:12" ht="21">
      <c r="A26" s="46"/>
      <c r="B26" s="51"/>
      <c r="C26" s="60"/>
      <c r="D26" s="61"/>
      <c r="E26" s="61"/>
      <c r="F26" s="63"/>
      <c r="G26" s="63"/>
      <c r="H26" s="61"/>
      <c r="I26" s="61"/>
      <c r="J26" s="64"/>
      <c r="K26" s="52"/>
      <c r="L26" s="50"/>
    </row>
    <row r="27" spans="1:12">
      <c r="A27" s="46"/>
      <c r="B27" s="51"/>
      <c r="C27" s="46"/>
      <c r="D27" s="53"/>
      <c r="E27" s="53"/>
      <c r="F27" s="53"/>
      <c r="G27" s="53"/>
      <c r="H27" s="53"/>
      <c r="I27" s="53"/>
      <c r="J27" s="50"/>
      <c r="K27" s="52"/>
      <c r="L27" s="50"/>
    </row>
    <row r="28" spans="1:12">
      <c r="A28" s="46"/>
      <c r="B28" s="51"/>
      <c r="C28" s="46"/>
      <c r="D28" s="53"/>
      <c r="E28" s="53"/>
      <c r="F28" s="53"/>
      <c r="G28" s="53"/>
      <c r="H28" s="53"/>
      <c r="I28" s="53"/>
      <c r="J28" s="50"/>
      <c r="K28" s="52"/>
      <c r="L28" s="50"/>
    </row>
    <row r="29" spans="1:12" ht="19.5">
      <c r="A29" s="46"/>
      <c r="B29" s="51"/>
      <c r="C29" s="447"/>
      <c r="D29" s="448"/>
      <c r="E29" s="448"/>
      <c r="F29" s="448"/>
      <c r="G29" s="448"/>
      <c r="H29" s="448"/>
      <c r="I29" s="448"/>
      <c r="J29" s="449"/>
      <c r="K29" s="52"/>
      <c r="L29" s="50"/>
    </row>
    <row r="30" spans="1:12" ht="15.75" thickBot="1">
      <c r="A30" s="46"/>
      <c r="B30" s="51"/>
      <c r="C30" s="65"/>
      <c r="D30" s="66"/>
      <c r="E30" s="66"/>
      <c r="F30" s="66"/>
      <c r="G30" s="66"/>
      <c r="H30" s="66"/>
      <c r="I30" s="66"/>
      <c r="J30" s="67"/>
      <c r="K30" s="52"/>
      <c r="L30" s="50"/>
    </row>
    <row r="31" spans="1:12" ht="8.25" customHeight="1">
      <c r="A31" s="46"/>
      <c r="B31" s="68"/>
      <c r="C31" s="69"/>
      <c r="D31" s="69"/>
      <c r="E31" s="69"/>
      <c r="F31" s="69"/>
      <c r="G31" s="69"/>
      <c r="H31" s="69"/>
      <c r="I31" s="69"/>
      <c r="J31" s="69"/>
      <c r="K31" s="70"/>
      <c r="L31" s="50"/>
    </row>
    <row r="32" spans="1:12" ht="11.25" customHeight="1" thickBo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</sheetData>
  <mergeCells count="11">
    <mergeCell ref="C17:J17"/>
    <mergeCell ref="C21:F21"/>
    <mergeCell ref="I21:J21"/>
    <mergeCell ref="D25:E25"/>
    <mergeCell ref="C29:J29"/>
    <mergeCell ref="C14:J14"/>
    <mergeCell ref="C4:J4"/>
    <mergeCell ref="C5:J5"/>
    <mergeCell ref="C8:J8"/>
    <mergeCell ref="C9:J9"/>
    <mergeCell ref="C11:J13"/>
  </mergeCells>
  <printOptions horizontalCentered="1" verticalCentered="1"/>
  <pageMargins left="0" right="0" top="0" bottom="0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Normal="100" zoomScaleSheetLayoutView="100" workbookViewId="0">
      <selection activeCell="B13" sqref="B13:B14"/>
    </sheetView>
  </sheetViews>
  <sheetFormatPr defaultRowHeight="15"/>
  <cols>
    <col min="1" max="1" width="5.5703125" customWidth="1"/>
    <col min="2" max="2" width="37.140625" customWidth="1"/>
    <col min="3" max="3" width="36" customWidth="1"/>
    <col min="4" max="4" width="9.140625" customWidth="1"/>
    <col min="5" max="5" width="7.42578125" customWidth="1"/>
    <col min="9" max="9" width="5" customWidth="1"/>
    <col min="10" max="10" width="8.5703125" customWidth="1"/>
    <col min="11" max="11" width="6.85546875" customWidth="1"/>
    <col min="12" max="12" width="6.5703125" customWidth="1"/>
  </cols>
  <sheetData>
    <row r="1" spans="1:5" ht="68.25" customHeight="1">
      <c r="A1" s="450" t="str">
        <f>თავფურელი!C11</f>
        <v>dmanisis raioni, sofeli amamlo, skveris da sportuli moednis mowyoba</v>
      </c>
      <c r="B1" s="451"/>
      <c r="C1" s="451"/>
      <c r="D1" s="73"/>
      <c r="E1" s="73"/>
    </row>
    <row r="2" spans="1:5" ht="31.5" customHeight="1">
      <c r="A2" s="129"/>
      <c r="B2" s="130" t="s">
        <v>99</v>
      </c>
      <c r="C2" s="131" t="s">
        <v>100</v>
      </c>
      <c r="D2" s="73"/>
      <c r="E2" s="73"/>
    </row>
    <row r="3" spans="1:5" ht="23.25" customHeight="1">
      <c r="A3" s="74">
        <v>1</v>
      </c>
      <c r="B3" s="74" t="s">
        <v>97</v>
      </c>
      <c r="C3" s="75">
        <f>დემონტაჟი!M13</f>
        <v>0</v>
      </c>
      <c r="D3" s="73"/>
      <c r="E3" s="73"/>
    </row>
    <row r="4" spans="1:5" ht="24.75" customHeight="1">
      <c r="A4" s="74">
        <v>2</v>
      </c>
      <c r="B4" s="74" t="str">
        <f>სტადიონი!A2</f>
        <v>sportuli moednis mowyoba</v>
      </c>
      <c r="C4" s="75">
        <f>სტადიონი!L166</f>
        <v>0</v>
      </c>
      <c r="D4" s="73"/>
      <c r="E4" s="73"/>
    </row>
    <row r="5" spans="1:5" ht="24" customHeight="1">
      <c r="A5" s="74">
        <v>3</v>
      </c>
      <c r="B5" s="74" t="str">
        <f>სკვერი!A2</f>
        <v>sabavSvo modenis mowyoba</v>
      </c>
      <c r="C5" s="75">
        <f>სკვერი!L166</f>
        <v>0</v>
      </c>
      <c r="D5" s="73"/>
      <c r="E5" s="73"/>
    </row>
    <row r="6" spans="1:5" ht="23.25" customHeight="1">
      <c r="A6" s="74">
        <v>4</v>
      </c>
      <c r="B6" s="74" t="str">
        <f>ელექტროობა!A2</f>
        <v>eleqtro samontaJo samuSaoebi</v>
      </c>
      <c r="C6" s="75">
        <f>ელექტროობა!L106</f>
        <v>0</v>
      </c>
      <c r="D6" s="73"/>
      <c r="E6" s="73"/>
    </row>
    <row r="7" spans="1:5" ht="22.5" customHeight="1">
      <c r="A7" s="74"/>
      <c r="B7" s="74" t="s">
        <v>26</v>
      </c>
      <c r="C7" s="75">
        <f>SUM(C3:C6)</f>
        <v>0</v>
      </c>
      <c r="D7" s="78"/>
      <c r="E7" s="73"/>
    </row>
    <row r="8" spans="1:5" ht="24" customHeight="1">
      <c r="A8" s="74"/>
      <c r="B8" s="74" t="s">
        <v>115</v>
      </c>
      <c r="C8" s="75">
        <f>C7*0.03</f>
        <v>0</v>
      </c>
      <c r="D8" s="73"/>
      <c r="E8" s="73"/>
    </row>
    <row r="9" spans="1:5" ht="25.5" customHeight="1">
      <c r="A9" s="74"/>
      <c r="B9" s="74" t="s">
        <v>26</v>
      </c>
      <c r="C9" s="75">
        <f>SUM(C7:C8)</f>
        <v>0</v>
      </c>
      <c r="D9" s="73"/>
      <c r="E9" s="73"/>
    </row>
    <row r="10" spans="1:5" ht="23.25" customHeight="1">
      <c r="A10" s="74"/>
      <c r="B10" s="76" t="s">
        <v>98</v>
      </c>
      <c r="C10" s="75">
        <f>C9*0.18</f>
        <v>0</v>
      </c>
      <c r="D10" s="73"/>
      <c r="E10" s="73"/>
    </row>
    <row r="11" spans="1:5" ht="26.25" customHeight="1">
      <c r="A11" s="74"/>
      <c r="B11" s="74" t="s">
        <v>26</v>
      </c>
      <c r="C11" s="75">
        <f>SUM(C9:C10)</f>
        <v>0</v>
      </c>
      <c r="D11" s="73"/>
      <c r="E11" s="73"/>
    </row>
    <row r="12" spans="1:5" ht="21.75" customHeight="1">
      <c r="A12" s="73"/>
      <c r="B12" s="73"/>
      <c r="C12" s="73"/>
      <c r="D12" s="73"/>
      <c r="E12" s="73"/>
    </row>
    <row r="13" spans="1:5" ht="24" customHeight="1">
      <c r="A13" s="73"/>
      <c r="B13" s="73"/>
      <c r="C13" s="73"/>
      <c r="D13" s="73"/>
      <c r="E13" s="73"/>
    </row>
    <row r="14" spans="1:5" ht="22.5" customHeight="1">
      <c r="A14" s="73"/>
      <c r="B14" s="114"/>
      <c r="C14" s="73"/>
      <c r="D14" s="73"/>
      <c r="E14" s="73"/>
    </row>
    <row r="15" spans="1:5" ht="15.75">
      <c r="A15" s="73"/>
      <c r="B15" s="73"/>
      <c r="C15" s="73"/>
      <c r="D15" s="73"/>
      <c r="E15" s="73"/>
    </row>
    <row r="16" spans="1:5" ht="15.75">
      <c r="A16" s="73"/>
      <c r="B16" s="73"/>
      <c r="C16" s="73"/>
      <c r="D16" s="73"/>
      <c r="E16" s="73"/>
    </row>
    <row r="17" spans="1:5" ht="15.75">
      <c r="A17" s="73"/>
      <c r="B17" s="73"/>
      <c r="C17" s="73"/>
      <c r="D17" s="73"/>
      <c r="E17" s="73"/>
    </row>
    <row r="18" spans="1:5" ht="15.75">
      <c r="A18" s="73"/>
      <c r="B18" s="73"/>
      <c r="C18" s="73"/>
      <c r="D18" s="73"/>
      <c r="E18" s="73"/>
    </row>
    <row r="19" spans="1:5" ht="15.75">
      <c r="A19" s="73"/>
      <c r="B19" s="73"/>
      <c r="C19" s="73"/>
      <c r="D19" s="73"/>
      <c r="E19" s="73"/>
    </row>
    <row r="20" spans="1:5" ht="15.75">
      <c r="A20" s="73"/>
      <c r="B20" s="73"/>
      <c r="C20" s="73"/>
      <c r="D20" s="73"/>
      <c r="E20" s="73"/>
    </row>
    <row r="21" spans="1:5" ht="15.75">
      <c r="A21" s="73"/>
      <c r="B21" s="73"/>
      <c r="C21" s="73"/>
      <c r="D21" s="73"/>
      <c r="E21" s="73"/>
    </row>
    <row r="22" spans="1:5" ht="15.75">
      <c r="A22" s="73"/>
      <c r="B22" s="73"/>
      <c r="C22" s="73"/>
      <c r="D22" s="73"/>
      <c r="E22" s="73"/>
    </row>
    <row r="23" spans="1:5" ht="15.75">
      <c r="A23" s="73"/>
      <c r="B23" s="73"/>
      <c r="C23" s="73"/>
      <c r="D23" s="73"/>
      <c r="E23" s="73"/>
    </row>
    <row r="24" spans="1:5" ht="15.75">
      <c r="A24" s="73"/>
      <c r="B24" s="73"/>
      <c r="C24" s="73"/>
      <c r="D24" s="73"/>
      <c r="E24" s="73"/>
    </row>
    <row r="25" spans="1:5" ht="15.75">
      <c r="A25" s="73"/>
      <c r="B25" s="73"/>
      <c r="C25" s="73"/>
      <c r="D25" s="73"/>
      <c r="E25" s="73"/>
    </row>
    <row r="26" spans="1:5" ht="15.75">
      <c r="A26" s="73"/>
      <c r="B26" s="73"/>
      <c r="C26" s="73"/>
      <c r="D26" s="73"/>
      <c r="E26" s="73"/>
    </row>
    <row r="27" spans="1:5" ht="15.75">
      <c r="A27" s="73"/>
      <c r="B27" s="73"/>
      <c r="C27" s="73"/>
      <c r="D27" s="73"/>
      <c r="E27" s="73"/>
    </row>
    <row r="28" spans="1:5" ht="59.25" customHeight="1">
      <c r="A28" s="73"/>
      <c r="B28" s="73"/>
      <c r="C28" s="73"/>
      <c r="D28" s="73"/>
      <c r="E28" s="73"/>
    </row>
    <row r="29" spans="1:5" ht="56.25" customHeight="1">
      <c r="A29" s="73"/>
      <c r="B29" s="73"/>
      <c r="C29" s="73"/>
      <c r="D29" s="73"/>
      <c r="E29" s="73"/>
    </row>
    <row r="30" spans="1:5" ht="15.75">
      <c r="A30" s="73"/>
      <c r="B30" s="73"/>
      <c r="C30" s="73"/>
      <c r="D30" s="73"/>
      <c r="E30" s="73"/>
    </row>
    <row r="31" spans="1:5" ht="15.75">
      <c r="A31" s="73"/>
      <c r="B31" s="73"/>
      <c r="C31" s="73"/>
      <c r="D31" s="73"/>
      <c r="E31" s="73"/>
    </row>
    <row r="32" spans="1:5" ht="15.75">
      <c r="A32" s="73"/>
      <c r="B32" s="73"/>
      <c r="C32" s="73"/>
      <c r="D32" s="73"/>
      <c r="E32" s="73"/>
    </row>
    <row r="33" spans="1:5" ht="15.75">
      <c r="A33" s="73"/>
      <c r="B33" s="73"/>
      <c r="C33" s="73"/>
      <c r="D33" s="73"/>
      <c r="E33" s="73"/>
    </row>
    <row r="34" spans="1:5" ht="15.75">
      <c r="A34" s="73"/>
      <c r="B34" s="73"/>
      <c r="C34" s="73"/>
      <c r="D34" s="73"/>
      <c r="E34" s="73"/>
    </row>
    <row r="35" spans="1:5" ht="15.75">
      <c r="A35" s="73"/>
      <c r="B35" s="73"/>
      <c r="C35" s="73"/>
      <c r="D35" s="73"/>
      <c r="E35" s="73"/>
    </row>
    <row r="36" spans="1:5" ht="15.75">
      <c r="A36" s="73"/>
      <c r="B36" s="73"/>
      <c r="C36" s="73"/>
      <c r="D36" s="73"/>
      <c r="E36" s="73"/>
    </row>
    <row r="37" spans="1:5" ht="15.75">
      <c r="A37" s="73"/>
      <c r="B37" s="73"/>
      <c r="C37" s="73"/>
      <c r="D37" s="73"/>
      <c r="E37" s="73"/>
    </row>
    <row r="38" spans="1:5" ht="15.75">
      <c r="A38" s="73"/>
      <c r="B38" s="73"/>
      <c r="C38" s="73"/>
      <c r="D38" s="73"/>
      <c r="E38" s="73"/>
    </row>
    <row r="39" spans="1:5" ht="15.75">
      <c r="A39" s="73"/>
      <c r="B39" s="73"/>
      <c r="C39" s="73"/>
      <c r="D39" s="73"/>
      <c r="E39" s="73"/>
    </row>
    <row r="40" spans="1:5" ht="15.75">
      <c r="A40" s="73"/>
      <c r="B40" s="73"/>
      <c r="C40" s="73"/>
      <c r="D40" s="73"/>
      <c r="E40" s="73"/>
    </row>
    <row r="41" spans="1:5" ht="15.75">
      <c r="A41" s="73"/>
      <c r="B41" s="73"/>
      <c r="C41" s="73"/>
      <c r="D41" s="73"/>
      <c r="E41" s="73"/>
    </row>
    <row r="42" spans="1:5" ht="15.75">
      <c r="A42" s="73"/>
      <c r="B42" s="73"/>
      <c r="C42" s="73"/>
      <c r="D42" s="73"/>
      <c r="E42" s="73"/>
    </row>
    <row r="43" spans="1:5" ht="15.75">
      <c r="A43" s="73"/>
      <c r="B43" s="73"/>
      <c r="C43" s="73"/>
      <c r="D43" s="73"/>
      <c r="E43" s="73"/>
    </row>
    <row r="44" spans="1:5" ht="15.75">
      <c r="A44" s="73"/>
      <c r="B44" s="73"/>
      <c r="C44" s="73"/>
      <c r="D44" s="73"/>
      <c r="E44" s="73"/>
    </row>
    <row r="45" spans="1:5" ht="15.75">
      <c r="A45" s="73"/>
      <c r="B45" s="73"/>
      <c r="C45" s="73"/>
      <c r="D45" s="73"/>
      <c r="E45" s="73"/>
    </row>
    <row r="46" spans="1:5" ht="15.75">
      <c r="A46" s="73"/>
      <c r="B46" s="73"/>
      <c r="C46" s="73"/>
      <c r="D46" s="73"/>
      <c r="E46" s="73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view="pageBreakPreview" zoomScaleNormal="100" zoomScaleSheetLayoutView="100" workbookViewId="0">
      <selection activeCell="A2" sqref="A2:D2"/>
    </sheetView>
  </sheetViews>
  <sheetFormatPr defaultColWidth="9.140625" defaultRowHeight="15"/>
  <cols>
    <col min="1" max="1" width="7.140625" style="271" customWidth="1"/>
    <col min="2" max="2" width="12.42578125" style="200" customWidth="1"/>
    <col min="3" max="3" width="37.28515625" style="200" customWidth="1"/>
    <col min="4" max="4" width="9.42578125" style="200" customWidth="1"/>
    <col min="5" max="5" width="7.42578125" style="200" customWidth="1"/>
    <col min="6" max="6" width="10.28515625" style="200" customWidth="1"/>
    <col min="7" max="8" width="9.140625" style="200"/>
    <col min="9" max="9" width="6.85546875" style="200" bestFit="1" customWidth="1"/>
    <col min="10" max="10" width="8.5703125" style="200" customWidth="1"/>
    <col min="11" max="11" width="6.85546875" style="200" customWidth="1"/>
    <col min="12" max="12" width="8.85546875" style="200" customWidth="1"/>
    <col min="13" max="13" width="11.5703125" style="200" customWidth="1"/>
    <col min="14" max="17" width="9.140625" style="200" customWidth="1"/>
    <col min="18" max="18" width="2.140625" style="200" customWidth="1"/>
    <col min="19" max="19" width="9.140625" style="200" customWidth="1"/>
    <col min="20" max="16384" width="9.140625" style="200"/>
  </cols>
  <sheetData>
    <row r="1" spans="1:21" ht="45" customHeight="1">
      <c r="A1" s="456" t="str">
        <f>თავფურელი!C11</f>
        <v>dmanisis raioni, sofeli amamlo, skveris da sportuli moednis mowyoba</v>
      </c>
      <c r="B1" s="456"/>
      <c r="C1" s="456"/>
      <c r="D1" s="456"/>
      <c r="E1" s="456"/>
      <c r="F1" s="456"/>
      <c r="G1" s="456"/>
      <c r="H1" s="456"/>
      <c r="I1" s="457"/>
      <c r="J1" s="457"/>
      <c r="K1" s="457"/>
      <c r="L1" s="457"/>
      <c r="M1" s="457"/>
    </row>
    <row r="2" spans="1:21">
      <c r="A2" s="458"/>
      <c r="B2" s="458"/>
      <c r="C2" s="458"/>
      <c r="D2" s="458"/>
      <c r="E2" s="1"/>
      <c r="F2" s="1"/>
      <c r="G2" s="1"/>
      <c r="H2" s="1"/>
      <c r="I2" s="1"/>
      <c r="J2" s="1"/>
      <c r="K2" s="1"/>
      <c r="L2" s="1"/>
      <c r="M2" s="1"/>
    </row>
    <row r="3" spans="1:21" ht="27" customHeight="1">
      <c r="A3" s="459" t="s">
        <v>0</v>
      </c>
      <c r="B3" s="460" t="s">
        <v>1</v>
      </c>
      <c r="C3" s="452" t="s">
        <v>2</v>
      </c>
      <c r="D3" s="452" t="s">
        <v>3</v>
      </c>
      <c r="E3" s="463" t="s">
        <v>4</v>
      </c>
      <c r="F3" s="464"/>
      <c r="G3" s="452" t="s">
        <v>5</v>
      </c>
      <c r="H3" s="452"/>
      <c r="I3" s="452" t="s">
        <v>6</v>
      </c>
      <c r="J3" s="452"/>
      <c r="K3" s="452" t="s">
        <v>7</v>
      </c>
      <c r="L3" s="452"/>
      <c r="M3" s="452" t="s">
        <v>8</v>
      </c>
    </row>
    <row r="4" spans="1:21" ht="38.25">
      <c r="A4" s="459" t="s">
        <v>0</v>
      </c>
      <c r="B4" s="461"/>
      <c r="C4" s="452" t="s">
        <v>9</v>
      </c>
      <c r="D4" s="462" t="s">
        <v>10</v>
      </c>
      <c r="E4" s="2" t="s">
        <v>11</v>
      </c>
      <c r="F4" s="2" t="s">
        <v>12</v>
      </c>
      <c r="G4" s="3" t="s">
        <v>13</v>
      </c>
      <c r="H4" s="244" t="s">
        <v>14</v>
      </c>
      <c r="I4" s="244" t="s">
        <v>13</v>
      </c>
      <c r="J4" s="244" t="s">
        <v>14</v>
      </c>
      <c r="K4" s="244" t="s">
        <v>13</v>
      </c>
      <c r="L4" s="244" t="s">
        <v>14</v>
      </c>
      <c r="M4" s="452" t="s">
        <v>14</v>
      </c>
    </row>
    <row r="5" spans="1:21">
      <c r="A5" s="246">
        <v>1</v>
      </c>
      <c r="B5" s="245">
        <v>2</v>
      </c>
      <c r="C5" s="245">
        <v>3</v>
      </c>
      <c r="D5" s="245">
        <v>4</v>
      </c>
      <c r="E5" s="5">
        <v>5</v>
      </c>
      <c r="F5" s="5">
        <v>6</v>
      </c>
      <c r="G5" s="245">
        <v>7</v>
      </c>
      <c r="H5" s="245">
        <v>8</v>
      </c>
      <c r="I5" s="245">
        <v>9</v>
      </c>
      <c r="J5" s="245">
        <v>10</v>
      </c>
      <c r="K5" s="245">
        <v>11</v>
      </c>
      <c r="L5" s="245">
        <v>12</v>
      </c>
      <c r="M5" s="245">
        <v>13</v>
      </c>
    </row>
    <row r="6" spans="1:21">
      <c r="A6" s="453" t="s">
        <v>109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5"/>
    </row>
    <row r="7" spans="1:21" ht="27">
      <c r="A7" s="15">
        <v>1</v>
      </c>
      <c r="B7" s="8" t="s">
        <v>18</v>
      </c>
      <c r="C7" s="202" t="s">
        <v>143</v>
      </c>
      <c r="D7" s="202" t="s">
        <v>19</v>
      </c>
      <c r="E7" s="203"/>
      <c r="F7" s="215">
        <v>10</v>
      </c>
      <c r="G7" s="215"/>
      <c r="H7" s="157"/>
      <c r="I7" s="157"/>
      <c r="J7" s="157"/>
      <c r="K7" s="157"/>
      <c r="L7" s="157"/>
      <c r="M7" s="217"/>
    </row>
    <row r="8" spans="1:21">
      <c r="A8" s="252">
        <f>A7+0.1</f>
        <v>1.1000000000000001</v>
      </c>
      <c r="B8" s="204" t="s">
        <v>23</v>
      </c>
      <c r="C8" s="208" t="s">
        <v>24</v>
      </c>
      <c r="D8" s="208" t="s">
        <v>19</v>
      </c>
      <c r="E8" s="208">
        <v>1</v>
      </c>
      <c r="F8" s="209">
        <f>F7*E8</f>
        <v>10</v>
      </c>
      <c r="G8" s="206"/>
      <c r="H8" s="206"/>
      <c r="I8" s="209"/>
      <c r="J8" s="209"/>
      <c r="K8" s="209"/>
      <c r="L8" s="209"/>
      <c r="M8" s="209"/>
    </row>
    <row r="9" spans="1:21">
      <c r="A9" s="253"/>
      <c r="B9" s="8"/>
      <c r="C9" s="202" t="s">
        <v>25</v>
      </c>
      <c r="D9" s="8"/>
      <c r="E9" s="8"/>
      <c r="F9" s="150"/>
      <c r="G9" s="8"/>
      <c r="H9" s="199"/>
      <c r="I9" s="8"/>
      <c r="J9" s="151"/>
      <c r="K9" s="8"/>
      <c r="L9" s="152"/>
      <c r="M9" s="10"/>
      <c r="N9" s="210"/>
      <c r="S9" s="210"/>
      <c r="U9" s="210"/>
    </row>
    <row r="10" spans="1:21">
      <c r="A10" s="243"/>
      <c r="B10" s="157"/>
      <c r="C10" s="157" t="s">
        <v>322</v>
      </c>
      <c r="D10" s="157" t="s">
        <v>17</v>
      </c>
      <c r="E10" s="158"/>
      <c r="F10" s="125"/>
      <c r="G10" s="125"/>
      <c r="H10" s="159"/>
      <c r="I10" s="159"/>
      <c r="J10" s="159"/>
      <c r="K10" s="159"/>
      <c r="L10" s="159"/>
      <c r="M10" s="158"/>
    </row>
    <row r="11" spans="1:21">
      <c r="A11" s="254"/>
      <c r="B11" s="216"/>
      <c r="C11" s="216" t="s">
        <v>26</v>
      </c>
      <c r="D11" s="216" t="s">
        <v>17</v>
      </c>
      <c r="E11" s="215"/>
      <c r="F11" s="203"/>
      <c r="G11" s="203"/>
      <c r="H11" s="11"/>
      <c r="I11" s="11"/>
      <c r="J11" s="11"/>
      <c r="K11" s="11"/>
      <c r="L11" s="11"/>
      <c r="M11" s="215"/>
    </row>
    <row r="12" spans="1:21">
      <c r="A12" s="243"/>
      <c r="B12" s="157"/>
      <c r="C12" s="157" t="s">
        <v>323</v>
      </c>
      <c r="D12" s="157" t="s">
        <v>17</v>
      </c>
      <c r="E12" s="158"/>
      <c r="F12" s="125"/>
      <c r="G12" s="125"/>
      <c r="H12" s="159"/>
      <c r="I12" s="159"/>
      <c r="J12" s="159"/>
      <c r="K12" s="159"/>
      <c r="L12" s="159"/>
      <c r="M12" s="158"/>
    </row>
    <row r="13" spans="1:21">
      <c r="A13" s="255"/>
      <c r="B13" s="12"/>
      <c r="C13" s="12" t="s">
        <v>25</v>
      </c>
      <c r="D13" s="12" t="s">
        <v>17</v>
      </c>
      <c r="E13" s="13"/>
      <c r="F13" s="13"/>
      <c r="G13" s="13"/>
      <c r="H13" s="14"/>
      <c r="I13" s="14"/>
      <c r="J13" s="14"/>
      <c r="K13" s="14"/>
      <c r="L13" s="14"/>
      <c r="M13" s="13"/>
    </row>
    <row r="16" spans="1:21">
      <c r="C16" s="287"/>
    </row>
  </sheetData>
  <mergeCells count="12">
    <mergeCell ref="M3:M4"/>
    <mergeCell ref="A6:M6"/>
    <mergeCell ref="A1:M1"/>
    <mergeCell ref="A2:D2"/>
    <mergeCell ref="A3:A4"/>
    <mergeCell ref="B3:B4"/>
    <mergeCell ref="C3:C4"/>
    <mergeCell ref="D3:D4"/>
    <mergeCell ref="E3:F3"/>
    <mergeCell ref="G3:H3"/>
    <mergeCell ref="I3:J3"/>
    <mergeCell ref="K3:L3"/>
  </mergeCells>
  <printOptions horizontalCentered="1"/>
  <pageMargins left="0" right="0" top="0.75" bottom="0.75" header="0.3" footer="0.3"/>
  <pageSetup paperSize="9" scale="85" orientation="landscape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view="pageBreakPreview" zoomScale="85" zoomScaleNormal="100" zoomScaleSheetLayoutView="85" workbookViewId="0">
      <selection activeCell="A3" sqref="A3:G3"/>
    </sheetView>
  </sheetViews>
  <sheetFormatPr defaultColWidth="9.140625" defaultRowHeight="15"/>
  <cols>
    <col min="1" max="1" width="6.7109375" style="287" customWidth="1"/>
    <col min="2" max="2" width="50.7109375" style="287" customWidth="1"/>
    <col min="3" max="3" width="11.7109375" style="287" customWidth="1"/>
    <col min="4" max="4" width="10.5703125" style="287" customWidth="1"/>
    <col min="5" max="5" width="10" style="287" customWidth="1"/>
    <col min="6" max="6" width="8.42578125" style="311" customWidth="1"/>
    <col min="7" max="7" width="9.28515625" style="287" customWidth="1"/>
    <col min="8" max="8" width="7.28515625" style="287" customWidth="1"/>
    <col min="9" max="9" width="8.5703125" style="287" customWidth="1"/>
    <col min="10" max="10" width="7" style="311" customWidth="1"/>
    <col min="11" max="11" width="6.5703125" style="287" customWidth="1"/>
    <col min="12" max="12" width="12.5703125" style="287" customWidth="1"/>
    <col min="13" max="13" width="15.28515625" style="116" hidden="1" customWidth="1"/>
    <col min="14" max="14" width="14.5703125" style="116" hidden="1" customWidth="1"/>
    <col min="15" max="15" width="11.5703125" style="116" hidden="1" customWidth="1"/>
    <col min="16" max="16" width="9.140625" style="116" hidden="1" customWidth="1"/>
    <col min="17" max="17" width="9.42578125" style="116" hidden="1" customWidth="1"/>
    <col min="18" max="18" width="9.140625" style="116" customWidth="1"/>
    <col min="19" max="16384" width="9.140625" style="200"/>
  </cols>
  <sheetData>
    <row r="1" spans="1:20" ht="15.75">
      <c r="A1" s="467" t="str">
        <f>თავფურელი!C11</f>
        <v>dmanisis raioni, sofeli amamlo, skveris da sportuli moednis mowyoba</v>
      </c>
      <c r="B1" s="467"/>
      <c r="C1" s="467"/>
      <c r="D1" s="467"/>
      <c r="E1" s="467"/>
      <c r="F1" s="467"/>
      <c r="G1" s="467"/>
      <c r="H1" s="468"/>
      <c r="I1" s="468"/>
      <c r="J1" s="468"/>
      <c r="K1" s="468"/>
      <c r="L1" s="468"/>
    </row>
    <row r="2" spans="1:20">
      <c r="A2" s="456" t="s">
        <v>291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20">
      <c r="A3" s="476"/>
      <c r="B3" s="476"/>
      <c r="C3" s="476"/>
      <c r="D3" s="476"/>
      <c r="E3" s="476"/>
      <c r="F3" s="476"/>
      <c r="G3" s="476"/>
      <c r="H3" s="272"/>
      <c r="I3" s="272"/>
      <c r="J3" s="273"/>
      <c r="K3" s="272"/>
      <c r="L3" s="272"/>
      <c r="M3" s="274"/>
      <c r="N3" s="274"/>
      <c r="O3" s="274"/>
      <c r="P3" s="274"/>
      <c r="Q3" s="274"/>
      <c r="R3" s="274"/>
    </row>
    <row r="4" spans="1:20">
      <c r="A4" s="469" t="s">
        <v>0</v>
      </c>
      <c r="B4" s="469" t="s">
        <v>192</v>
      </c>
      <c r="C4" s="471" t="s">
        <v>193</v>
      </c>
      <c r="D4" s="473" t="s">
        <v>4</v>
      </c>
      <c r="E4" s="474"/>
      <c r="F4" s="475" t="s">
        <v>194</v>
      </c>
      <c r="G4" s="474"/>
      <c r="H4" s="475" t="s">
        <v>195</v>
      </c>
      <c r="I4" s="474"/>
      <c r="J4" s="475" t="s">
        <v>196</v>
      </c>
      <c r="K4" s="474"/>
      <c r="L4" s="465" t="s">
        <v>8</v>
      </c>
      <c r="M4" s="274"/>
      <c r="N4" s="274"/>
      <c r="O4" s="274"/>
      <c r="P4" s="274"/>
      <c r="Q4" s="274"/>
      <c r="R4" s="274"/>
    </row>
    <row r="5" spans="1:20" ht="51">
      <c r="A5" s="470" t="s">
        <v>0</v>
      </c>
      <c r="B5" s="470" t="s">
        <v>192</v>
      </c>
      <c r="C5" s="472" t="s">
        <v>193</v>
      </c>
      <c r="D5" s="419" t="s">
        <v>11</v>
      </c>
      <c r="E5" s="275" t="s">
        <v>12</v>
      </c>
      <c r="F5" s="276" t="s">
        <v>197</v>
      </c>
      <c r="G5" s="419" t="s">
        <v>8</v>
      </c>
      <c r="H5" s="419" t="s">
        <v>197</v>
      </c>
      <c r="I5" s="419" t="s">
        <v>8</v>
      </c>
      <c r="J5" s="276" t="s">
        <v>197</v>
      </c>
      <c r="K5" s="419" t="s">
        <v>8</v>
      </c>
      <c r="L5" s="466" t="s">
        <v>8</v>
      </c>
      <c r="M5" s="274"/>
      <c r="N5" s="274"/>
      <c r="O5" s="274"/>
      <c r="P5" s="274"/>
      <c r="Q5" s="274"/>
      <c r="R5" s="274"/>
    </row>
    <row r="6" spans="1:20">
      <c r="A6" s="277">
        <v>1</v>
      </c>
      <c r="B6" s="277">
        <v>3</v>
      </c>
      <c r="C6" s="277">
        <v>4</v>
      </c>
      <c r="D6" s="278">
        <v>5</v>
      </c>
      <c r="E6" s="279">
        <v>6</v>
      </c>
      <c r="F6" s="280">
        <v>7</v>
      </c>
      <c r="G6" s="281">
        <v>8</v>
      </c>
      <c r="H6" s="281">
        <v>9</v>
      </c>
      <c r="I6" s="281">
        <v>10</v>
      </c>
      <c r="J6" s="280">
        <v>11</v>
      </c>
      <c r="K6" s="281">
        <v>12</v>
      </c>
      <c r="L6" s="281">
        <v>13</v>
      </c>
      <c r="M6" s="282"/>
      <c r="N6" s="282"/>
      <c r="O6" s="282"/>
      <c r="P6" s="282"/>
      <c r="Q6" s="282"/>
      <c r="R6" s="282"/>
    </row>
    <row r="7" spans="1:20" ht="15.75">
      <c r="A7" s="406"/>
      <c r="B7" s="407" t="s">
        <v>307</v>
      </c>
      <c r="C7" s="408"/>
      <c r="D7" s="409"/>
      <c r="E7" s="409"/>
      <c r="F7" s="410"/>
      <c r="G7" s="410"/>
      <c r="H7" s="410"/>
      <c r="I7" s="410"/>
      <c r="J7" s="409"/>
      <c r="K7" s="409"/>
      <c r="L7" s="410"/>
      <c r="M7" s="400" t="s">
        <v>301</v>
      </c>
      <c r="N7" s="400" t="s">
        <v>299</v>
      </c>
      <c r="O7" s="400" t="s">
        <v>300</v>
      </c>
      <c r="P7" s="287" t="s">
        <v>302</v>
      </c>
      <c r="Q7" s="287"/>
      <c r="R7" s="287"/>
    </row>
    <row r="8" spans="1:20" ht="27">
      <c r="A8" s="220">
        <v>1</v>
      </c>
      <c r="B8" s="219" t="s">
        <v>202</v>
      </c>
      <c r="C8" s="216" t="s">
        <v>203</v>
      </c>
      <c r="D8" s="215"/>
      <c r="E8" s="203">
        <f>N8*M8</f>
        <v>140.45999999999998</v>
      </c>
      <c r="F8" s="215"/>
      <c r="G8" s="7"/>
      <c r="H8" s="7"/>
      <c r="I8" s="7"/>
      <c r="J8" s="128"/>
      <c r="K8" s="7"/>
      <c r="L8" s="215"/>
      <c r="M8" s="401">
        <v>0.3</v>
      </c>
      <c r="N8" s="401">
        <v>468.2</v>
      </c>
      <c r="O8" s="402">
        <v>91.6</v>
      </c>
      <c r="P8" s="287">
        <v>30</v>
      </c>
      <c r="Q8" s="287"/>
      <c r="R8" s="287"/>
    </row>
    <row r="9" spans="1:20" ht="21">
      <c r="A9" s="289">
        <f>A8+0.1</f>
        <v>1.1000000000000001</v>
      </c>
      <c r="B9" s="290" t="s">
        <v>204</v>
      </c>
      <c r="C9" s="290" t="s">
        <v>34</v>
      </c>
      <c r="D9" s="291">
        <v>1.9099999999999999E-2</v>
      </c>
      <c r="E9" s="292">
        <f>D9*E8</f>
        <v>2.6827859999999997</v>
      </c>
      <c r="F9" s="290"/>
      <c r="G9" s="293"/>
      <c r="H9" s="294"/>
      <c r="I9" s="295"/>
      <c r="J9" s="290"/>
      <c r="K9" s="296"/>
      <c r="L9" s="295"/>
      <c r="M9" s="297"/>
      <c r="N9" s="297"/>
      <c r="O9" s="297"/>
      <c r="P9" s="287"/>
      <c r="Q9" s="287"/>
      <c r="R9" s="287"/>
    </row>
    <row r="10" spans="1:20" ht="40.5">
      <c r="A10" s="220" t="s">
        <v>198</v>
      </c>
      <c r="B10" s="219" t="s">
        <v>205</v>
      </c>
      <c r="C10" s="216" t="s">
        <v>203</v>
      </c>
      <c r="D10" s="215"/>
      <c r="E10" s="203">
        <f>M10*N8</f>
        <v>117.05</v>
      </c>
      <c r="F10" s="215"/>
      <c r="G10" s="7"/>
      <c r="H10" s="7"/>
      <c r="I10" s="7"/>
      <c r="J10" s="128"/>
      <c r="K10" s="7"/>
      <c r="L10" s="215"/>
      <c r="M10" s="403">
        <v>0.25</v>
      </c>
      <c r="N10" s="403"/>
      <c r="O10" s="403"/>
      <c r="P10" s="200"/>
      <c r="Q10" s="200"/>
      <c r="R10" s="200"/>
    </row>
    <row r="11" spans="1:20" ht="16.5">
      <c r="A11" s="289">
        <f>A10+0.1</f>
        <v>2.1</v>
      </c>
      <c r="B11" s="290" t="s">
        <v>30</v>
      </c>
      <c r="C11" s="290" t="s">
        <v>16</v>
      </c>
      <c r="D11" s="291">
        <v>9.9599999999999994E-2</v>
      </c>
      <c r="E11" s="292">
        <f>D11*E10</f>
        <v>11.65818</v>
      </c>
      <c r="F11" s="290"/>
      <c r="G11" s="293"/>
      <c r="H11" s="294"/>
      <c r="I11" s="295"/>
      <c r="J11" s="290"/>
      <c r="K11" s="296"/>
      <c r="L11" s="295"/>
      <c r="M11" s="288"/>
      <c r="N11" s="288"/>
      <c r="O11" s="288"/>
      <c r="P11" s="200"/>
      <c r="Q11" s="200"/>
      <c r="R11" s="200"/>
      <c r="T11" s="210"/>
    </row>
    <row r="12" spans="1:20" ht="21">
      <c r="A12" s="289">
        <f>A11+0.1</f>
        <v>2.2000000000000002</v>
      </c>
      <c r="B12" s="290" t="s">
        <v>31</v>
      </c>
      <c r="C12" s="290" t="s">
        <v>17</v>
      </c>
      <c r="D12" s="291">
        <v>0.223</v>
      </c>
      <c r="E12" s="292">
        <f>D12*E10</f>
        <v>26.102149999999998</v>
      </c>
      <c r="F12" s="290"/>
      <c r="G12" s="293"/>
      <c r="H12" s="294"/>
      <c r="I12" s="295"/>
      <c r="J12" s="290"/>
      <c r="K12" s="296"/>
      <c r="L12" s="295"/>
      <c r="M12" s="297"/>
      <c r="N12" s="297"/>
      <c r="O12" s="297"/>
      <c r="P12" s="200"/>
      <c r="Q12" s="200"/>
      <c r="R12" s="200"/>
    </row>
    <row r="13" spans="1:20" ht="27">
      <c r="A13" s="220" t="s">
        <v>199</v>
      </c>
      <c r="B13" s="219" t="s">
        <v>206</v>
      </c>
      <c r="C13" s="216" t="s">
        <v>203</v>
      </c>
      <c r="D13" s="215"/>
      <c r="E13" s="203">
        <f>E10*0.05</f>
        <v>5.8525</v>
      </c>
      <c r="F13" s="215"/>
      <c r="G13" s="7"/>
      <c r="H13" s="7"/>
      <c r="I13" s="7"/>
      <c r="J13" s="128"/>
      <c r="K13" s="7"/>
      <c r="L13" s="215"/>
      <c r="M13" s="200"/>
      <c r="N13" s="200"/>
      <c r="O13" s="200"/>
      <c r="P13" s="200"/>
      <c r="Q13" s="200"/>
      <c r="R13" s="200"/>
    </row>
    <row r="14" spans="1:20">
      <c r="A14" s="289">
        <f>A13+0.1</f>
        <v>3.1</v>
      </c>
      <c r="B14" s="290" t="s">
        <v>15</v>
      </c>
      <c r="C14" s="290" t="s">
        <v>16</v>
      </c>
      <c r="D14" s="291">
        <v>2.06</v>
      </c>
      <c r="E14" s="292">
        <f>E13*D14</f>
        <v>12.056150000000001</v>
      </c>
      <c r="F14" s="290"/>
      <c r="G14" s="293"/>
      <c r="H14" s="294"/>
      <c r="I14" s="295"/>
      <c r="J14" s="290"/>
      <c r="K14" s="296"/>
      <c r="L14" s="295"/>
      <c r="M14" s="200"/>
      <c r="N14" s="200"/>
      <c r="O14" s="200"/>
      <c r="P14" s="200"/>
      <c r="Q14" s="200"/>
      <c r="R14" s="200"/>
    </row>
    <row r="15" spans="1:20" ht="15.75">
      <c r="A15" s="220">
        <f>A13+1</f>
        <v>4</v>
      </c>
      <c r="B15" s="219" t="s">
        <v>297</v>
      </c>
      <c r="C15" s="216" t="s">
        <v>295</v>
      </c>
      <c r="D15" s="215"/>
      <c r="E15" s="203">
        <f>N8</f>
        <v>468.2</v>
      </c>
      <c r="F15" s="215"/>
      <c r="G15" s="7"/>
      <c r="H15" s="7"/>
      <c r="I15" s="7"/>
      <c r="J15" s="128"/>
      <c r="K15" s="7"/>
      <c r="L15" s="215"/>
      <c r="M15" s="287"/>
      <c r="N15" s="287"/>
      <c r="O15" s="287"/>
      <c r="P15" s="287"/>
      <c r="Q15" s="287"/>
      <c r="R15" s="287"/>
    </row>
    <row r="16" spans="1:20">
      <c r="A16" s="289">
        <f>A15+0.1</f>
        <v>4.0999999999999996</v>
      </c>
      <c r="B16" s="290" t="s">
        <v>296</v>
      </c>
      <c r="C16" s="290" t="s">
        <v>34</v>
      </c>
      <c r="D16" s="366">
        <v>7.4999999999999997E-3</v>
      </c>
      <c r="E16" s="292">
        <f>D16*E15</f>
        <v>3.5114999999999998</v>
      </c>
      <c r="F16" s="290"/>
      <c r="G16" s="293"/>
      <c r="H16" s="294"/>
      <c r="I16" s="295"/>
      <c r="J16" s="290"/>
      <c r="K16" s="296"/>
      <c r="L16" s="295"/>
      <c r="M16" s="404" t="s">
        <v>303</v>
      </c>
      <c r="N16" s="404" t="s">
        <v>304</v>
      </c>
      <c r="O16" s="287"/>
      <c r="P16" s="287"/>
      <c r="Q16" s="287"/>
      <c r="R16" s="287"/>
    </row>
    <row r="17" spans="1:18" ht="38.25">
      <c r="A17" s="298">
        <v>5</v>
      </c>
      <c r="B17" s="419" t="s">
        <v>207</v>
      </c>
      <c r="C17" s="283" t="s">
        <v>203</v>
      </c>
      <c r="D17" s="299"/>
      <c r="E17" s="300">
        <f>M17*N17*O8</f>
        <v>8.2439999999999998</v>
      </c>
      <c r="F17" s="285"/>
      <c r="G17" s="286"/>
      <c r="H17" s="286"/>
      <c r="I17" s="286"/>
      <c r="J17" s="86"/>
      <c r="K17" s="23"/>
      <c r="L17" s="299"/>
      <c r="M17" s="287">
        <v>0.3</v>
      </c>
      <c r="N17" s="287">
        <v>0.3</v>
      </c>
      <c r="O17" s="287"/>
      <c r="P17" s="287"/>
      <c r="Q17" s="287"/>
      <c r="R17" s="287"/>
    </row>
    <row r="18" spans="1:18">
      <c r="A18" s="289">
        <f>A17+0.1</f>
        <v>5.0999999999999996</v>
      </c>
      <c r="B18" s="290" t="s">
        <v>15</v>
      </c>
      <c r="C18" s="290" t="s">
        <v>16</v>
      </c>
      <c r="D18" s="291">
        <v>1.54E-2</v>
      </c>
      <c r="E18" s="292">
        <f>E17*D18</f>
        <v>0.1269576</v>
      </c>
      <c r="F18" s="290"/>
      <c r="G18" s="293"/>
      <c r="H18" s="294"/>
      <c r="I18" s="295"/>
      <c r="J18" s="290"/>
      <c r="K18" s="296"/>
      <c r="L18" s="295"/>
      <c r="M18" s="287"/>
      <c r="N18" s="287"/>
      <c r="O18" s="287"/>
      <c r="P18" s="287"/>
      <c r="Q18" s="287"/>
      <c r="R18" s="287"/>
    </row>
    <row r="19" spans="1:18">
      <c r="A19" s="289">
        <f>A18+0.1</f>
        <v>5.1999999999999993</v>
      </c>
      <c r="B19" s="290" t="s">
        <v>208</v>
      </c>
      <c r="C19" s="290" t="s">
        <v>17</v>
      </c>
      <c r="D19" s="291">
        <v>7.2599999999999998E-2</v>
      </c>
      <c r="E19" s="292">
        <f>E17*D19</f>
        <v>0.5985144</v>
      </c>
      <c r="F19" s="290"/>
      <c r="G19" s="293"/>
      <c r="H19" s="294"/>
      <c r="I19" s="295"/>
      <c r="J19" s="290"/>
      <c r="K19" s="296"/>
      <c r="L19" s="295"/>
      <c r="M19" s="287"/>
      <c r="N19" s="287"/>
      <c r="O19" s="287"/>
      <c r="P19" s="287"/>
      <c r="Q19" s="287"/>
      <c r="R19" s="287"/>
    </row>
    <row r="20" spans="1:18" ht="27">
      <c r="A20" s="220">
        <f>A17+1</f>
        <v>6</v>
      </c>
      <c r="B20" s="219" t="s">
        <v>209</v>
      </c>
      <c r="C20" s="216" t="s">
        <v>203</v>
      </c>
      <c r="D20" s="215"/>
      <c r="E20" s="203">
        <f>E17*0.05</f>
        <v>0.41220000000000001</v>
      </c>
      <c r="F20" s="215"/>
      <c r="G20" s="7"/>
      <c r="H20" s="7"/>
      <c r="I20" s="7"/>
      <c r="J20" s="128"/>
      <c r="K20" s="7"/>
      <c r="L20" s="215"/>
      <c r="M20" s="287"/>
      <c r="N20" s="287"/>
      <c r="O20" s="287"/>
      <c r="P20" s="287"/>
      <c r="Q20" s="287"/>
      <c r="R20" s="287"/>
    </row>
    <row r="21" spans="1:18">
      <c r="A21" s="269">
        <f>A20+0.1</f>
        <v>6.1</v>
      </c>
      <c r="B21" s="301" t="s">
        <v>15</v>
      </c>
      <c r="C21" s="301" t="s">
        <v>16</v>
      </c>
      <c r="D21" s="86">
        <v>2.06</v>
      </c>
      <c r="E21" s="302">
        <f>E20*D21</f>
        <v>0.849132</v>
      </c>
      <c r="F21" s="301"/>
      <c r="G21" s="303"/>
      <c r="H21" s="135"/>
      <c r="I21" s="23"/>
      <c r="J21" s="301"/>
      <c r="K21" s="284"/>
      <c r="L21" s="23"/>
      <c r="M21" s="287"/>
      <c r="N21" s="287"/>
      <c r="O21" s="287"/>
      <c r="P21" s="287"/>
      <c r="Q21" s="287"/>
      <c r="R21" s="287"/>
    </row>
    <row r="22" spans="1:18" ht="27">
      <c r="A22" s="304">
        <f>A20+1</f>
        <v>7</v>
      </c>
      <c r="B22" s="305" t="s">
        <v>210</v>
      </c>
      <c r="C22" s="283" t="s">
        <v>203</v>
      </c>
      <c r="D22" s="299"/>
      <c r="E22" s="306">
        <f>M22*P8</f>
        <v>1.7999999999999998</v>
      </c>
      <c r="F22" s="307"/>
      <c r="G22" s="283"/>
      <c r="H22" s="283"/>
      <c r="I22" s="283"/>
      <c r="J22" s="305"/>
      <c r="K22" s="283"/>
      <c r="L22" s="299"/>
      <c r="M22" s="287">
        <v>0.06</v>
      </c>
      <c r="N22" s="287"/>
      <c r="O22" s="287"/>
      <c r="P22" s="287"/>
      <c r="Q22" s="287"/>
      <c r="R22" s="287"/>
    </row>
    <row r="23" spans="1:18">
      <c r="A23" s="269">
        <f>A22+0.1</f>
        <v>7.1</v>
      </c>
      <c r="B23" s="301" t="s">
        <v>15</v>
      </c>
      <c r="C23" s="301" t="s">
        <v>16</v>
      </c>
      <c r="D23" s="86">
        <v>3.88</v>
      </c>
      <c r="E23" s="302">
        <f>E22*D23</f>
        <v>6.9839999999999991</v>
      </c>
      <c r="F23" s="301"/>
      <c r="G23" s="303"/>
      <c r="H23" s="135"/>
      <c r="I23" s="23"/>
      <c r="J23" s="301"/>
      <c r="K23" s="284"/>
      <c r="L23" s="23"/>
      <c r="M23" s="287"/>
      <c r="N23" s="287"/>
      <c r="O23" s="287"/>
      <c r="P23" s="287"/>
      <c r="Q23" s="287"/>
      <c r="R23" s="287"/>
    </row>
    <row r="24" spans="1:18" ht="40.5">
      <c r="A24" s="220" t="s">
        <v>201</v>
      </c>
      <c r="B24" s="219" t="s">
        <v>211</v>
      </c>
      <c r="C24" s="216" t="s">
        <v>203</v>
      </c>
      <c r="D24" s="215"/>
      <c r="E24" s="203">
        <f>E33+E132+E137</f>
        <v>5.8</v>
      </c>
      <c r="F24" s="215"/>
      <c r="G24" s="7"/>
      <c r="H24" s="7"/>
      <c r="I24" s="7"/>
      <c r="J24" s="128"/>
      <c r="K24" s="7"/>
      <c r="L24" s="215"/>
      <c r="M24" s="311"/>
      <c r="N24" s="287"/>
      <c r="O24" s="287"/>
      <c r="P24" s="287"/>
      <c r="Q24" s="287"/>
      <c r="R24" s="287"/>
    </row>
    <row r="25" spans="1:18">
      <c r="A25" s="269">
        <f>A24+0.1</f>
        <v>7.1</v>
      </c>
      <c r="B25" s="301" t="s">
        <v>15</v>
      </c>
      <c r="C25" s="301" t="s">
        <v>16</v>
      </c>
      <c r="D25" s="86">
        <v>3.88</v>
      </c>
      <c r="E25" s="302">
        <f>E24*D25</f>
        <v>22.503999999999998</v>
      </c>
      <c r="F25" s="301"/>
      <c r="G25" s="303"/>
      <c r="H25" s="135"/>
      <c r="I25" s="23"/>
      <c r="J25" s="301"/>
      <c r="K25" s="284"/>
      <c r="L25" s="23"/>
      <c r="M25" s="311"/>
      <c r="N25" s="287"/>
      <c r="O25" s="287"/>
      <c r="P25" s="287"/>
      <c r="Q25" s="287"/>
      <c r="R25" s="287"/>
    </row>
    <row r="26" spans="1:18" ht="15.75">
      <c r="A26" s="304">
        <v>8</v>
      </c>
      <c r="B26" s="305" t="s">
        <v>32</v>
      </c>
      <c r="C26" s="283" t="s">
        <v>203</v>
      </c>
      <c r="D26" s="314"/>
      <c r="E26" s="307">
        <f>E24+E22+E20+E17+E13+E10</f>
        <v>139.15870000000001</v>
      </c>
      <c r="F26" s="307"/>
      <c r="G26" s="284"/>
      <c r="H26" s="284"/>
      <c r="I26" s="284"/>
      <c r="J26" s="301"/>
      <c r="K26" s="284"/>
      <c r="L26" s="132"/>
      <c r="M26" s="287"/>
      <c r="N26" s="287"/>
      <c r="O26" s="287"/>
      <c r="P26" s="287"/>
      <c r="Q26" s="287"/>
      <c r="R26" s="287"/>
    </row>
    <row r="27" spans="1:18">
      <c r="A27" s="289">
        <f>A26+0.1</f>
        <v>8.1</v>
      </c>
      <c r="B27" s="290" t="s">
        <v>30</v>
      </c>
      <c r="C27" s="290" t="s">
        <v>16</v>
      </c>
      <c r="D27" s="291">
        <v>0.34</v>
      </c>
      <c r="E27" s="292">
        <f>D27*E26</f>
        <v>47.313958000000007</v>
      </c>
      <c r="F27" s="290"/>
      <c r="G27" s="293"/>
      <c r="H27" s="294"/>
      <c r="I27" s="295"/>
      <c r="J27" s="290"/>
      <c r="K27" s="296"/>
      <c r="L27" s="295"/>
      <c r="M27" s="287"/>
      <c r="N27" s="287"/>
      <c r="O27" s="287"/>
      <c r="P27" s="287"/>
      <c r="Q27" s="287"/>
      <c r="R27" s="287"/>
    </row>
    <row r="28" spans="1:18">
      <c r="A28" s="289">
        <f>A27+0.1</f>
        <v>8.1999999999999993</v>
      </c>
      <c r="B28" s="290" t="s">
        <v>212</v>
      </c>
      <c r="C28" s="290" t="s">
        <v>34</v>
      </c>
      <c r="D28" s="291">
        <v>0.80300000000000005</v>
      </c>
      <c r="E28" s="292">
        <f>D28*E26</f>
        <v>111.74443610000002</v>
      </c>
      <c r="F28" s="290"/>
      <c r="G28" s="293"/>
      <c r="H28" s="294"/>
      <c r="I28" s="295"/>
      <c r="J28" s="290"/>
      <c r="K28" s="295"/>
      <c r="L28" s="295"/>
      <c r="M28" s="287"/>
      <c r="N28" s="287"/>
      <c r="O28" s="287"/>
      <c r="P28" s="287"/>
      <c r="Q28" s="287"/>
      <c r="R28" s="287"/>
    </row>
    <row r="29" spans="1:18">
      <c r="A29" s="289">
        <f>A28+0.1</f>
        <v>8.2999999999999989</v>
      </c>
      <c r="B29" s="290" t="s">
        <v>35</v>
      </c>
      <c r="C29" s="290" t="s">
        <v>17</v>
      </c>
      <c r="D29" s="291">
        <v>5.6000000000000001E-2</v>
      </c>
      <c r="E29" s="292">
        <f>D29*E26</f>
        <v>7.7928872000000009</v>
      </c>
      <c r="F29" s="290"/>
      <c r="G29" s="293"/>
      <c r="H29" s="294"/>
      <c r="I29" s="295"/>
      <c r="J29" s="291"/>
      <c r="K29" s="295"/>
      <c r="L29" s="295"/>
      <c r="M29" s="287"/>
      <c r="N29" s="287"/>
      <c r="O29" s="287"/>
      <c r="P29" s="287"/>
      <c r="Q29" s="287"/>
      <c r="R29" s="287"/>
    </row>
    <row r="30" spans="1:18">
      <c r="A30" s="304">
        <f>A26+1</f>
        <v>9</v>
      </c>
      <c r="B30" s="305" t="s">
        <v>101</v>
      </c>
      <c r="C30" s="305" t="s">
        <v>19</v>
      </c>
      <c r="D30" s="307"/>
      <c r="E30" s="299">
        <f>E26*1.85</f>
        <v>257.44359500000002</v>
      </c>
      <c r="F30" s="307"/>
      <c r="G30" s="284"/>
      <c r="H30" s="284"/>
      <c r="I30" s="284"/>
      <c r="J30" s="301"/>
      <c r="K30" s="284"/>
      <c r="L30" s="132"/>
      <c r="M30" s="287"/>
      <c r="N30" s="287"/>
      <c r="O30" s="287"/>
      <c r="P30" s="287"/>
      <c r="Q30" s="287"/>
      <c r="R30" s="287"/>
    </row>
    <row r="31" spans="1:18">
      <c r="A31" s="289">
        <f>A30+0.1</f>
        <v>9.1</v>
      </c>
      <c r="B31" s="290" t="s">
        <v>213</v>
      </c>
      <c r="C31" s="290" t="s">
        <v>19</v>
      </c>
      <c r="D31" s="291">
        <v>1</v>
      </c>
      <c r="E31" s="292">
        <f>E30*D31</f>
        <v>257.44359500000002</v>
      </c>
      <c r="F31" s="290"/>
      <c r="G31" s="293"/>
      <c r="H31" s="294"/>
      <c r="I31" s="295"/>
      <c r="J31" s="290"/>
      <c r="K31" s="296"/>
      <c r="L31" s="295"/>
      <c r="M31" s="287"/>
      <c r="N31" s="287"/>
      <c r="O31" s="287"/>
      <c r="P31" s="287"/>
      <c r="Q31" s="287"/>
      <c r="R31" s="287"/>
    </row>
    <row r="32" spans="1:18">
      <c r="A32" s="411"/>
      <c r="B32" s="407" t="s">
        <v>308</v>
      </c>
      <c r="C32" s="408"/>
      <c r="D32" s="409"/>
      <c r="E32" s="409"/>
      <c r="F32" s="409"/>
      <c r="G32" s="409"/>
      <c r="H32" s="409"/>
      <c r="I32" s="409"/>
      <c r="J32" s="409"/>
      <c r="K32" s="409"/>
      <c r="L32" s="412"/>
      <c r="M32" s="287"/>
      <c r="N32" s="287"/>
      <c r="O32" s="287"/>
      <c r="P32" s="287"/>
      <c r="Q32" s="287"/>
      <c r="R32" s="287"/>
    </row>
    <row r="33" spans="1:18" ht="38.25">
      <c r="A33" s="106" t="s">
        <v>155</v>
      </c>
      <c r="B33" s="276" t="s">
        <v>214</v>
      </c>
      <c r="C33" s="283" t="s">
        <v>203</v>
      </c>
      <c r="D33" s="325"/>
      <c r="E33" s="326">
        <v>3</v>
      </c>
      <c r="F33" s="327"/>
      <c r="G33" s="328"/>
      <c r="H33" s="328"/>
      <c r="I33" s="328"/>
      <c r="J33" s="328"/>
      <c r="K33" s="133"/>
      <c r="L33" s="132"/>
      <c r="M33" s="287"/>
      <c r="N33" s="287"/>
      <c r="O33" s="287"/>
      <c r="P33" s="287"/>
      <c r="Q33" s="287"/>
      <c r="R33" s="287"/>
    </row>
    <row r="34" spans="1:18">
      <c r="A34" s="289">
        <f>A33+0.1</f>
        <v>1.1000000000000001</v>
      </c>
      <c r="B34" s="290" t="s">
        <v>46</v>
      </c>
      <c r="C34" s="290" t="s">
        <v>16</v>
      </c>
      <c r="D34" s="291">
        <v>0.89</v>
      </c>
      <c r="E34" s="292">
        <f>D34*E33</f>
        <v>2.67</v>
      </c>
      <c r="F34" s="290"/>
      <c r="G34" s="293"/>
      <c r="H34" s="294"/>
      <c r="I34" s="295"/>
      <c r="J34" s="290"/>
      <c r="K34" s="296"/>
      <c r="L34" s="295"/>
      <c r="M34" s="287"/>
      <c r="N34" s="287"/>
      <c r="O34" s="287"/>
      <c r="P34" s="287"/>
      <c r="Q34" s="287"/>
      <c r="R34" s="287"/>
    </row>
    <row r="35" spans="1:18">
      <c r="A35" s="289">
        <f>A34+0.1</f>
        <v>1.2000000000000002</v>
      </c>
      <c r="B35" s="290" t="s">
        <v>47</v>
      </c>
      <c r="C35" s="290" t="s">
        <v>17</v>
      </c>
      <c r="D35" s="291">
        <v>0.37</v>
      </c>
      <c r="E35" s="292">
        <f>D35*E33</f>
        <v>1.1099999999999999</v>
      </c>
      <c r="F35" s="290"/>
      <c r="G35" s="293"/>
      <c r="H35" s="294"/>
      <c r="I35" s="295"/>
      <c r="J35" s="291"/>
      <c r="K35" s="295"/>
      <c r="L35" s="295"/>
      <c r="M35" s="287"/>
      <c r="N35" s="287"/>
      <c r="O35" s="287"/>
      <c r="P35" s="287"/>
      <c r="Q35" s="287"/>
      <c r="R35" s="287"/>
    </row>
    <row r="36" spans="1:18">
      <c r="A36" s="289">
        <f>A35+0.1</f>
        <v>1.3000000000000003</v>
      </c>
      <c r="B36" s="290" t="s">
        <v>215</v>
      </c>
      <c r="C36" s="290" t="s">
        <v>39</v>
      </c>
      <c r="D36" s="291">
        <v>1.1499999999999999</v>
      </c>
      <c r="E36" s="292">
        <f>D36*E33</f>
        <v>3.4499999999999997</v>
      </c>
      <c r="F36" s="291"/>
      <c r="G36" s="295"/>
      <c r="H36" s="294"/>
      <c r="I36" s="295"/>
      <c r="J36" s="290"/>
      <c r="K36" s="296"/>
      <c r="L36" s="295"/>
      <c r="M36" s="311"/>
      <c r="N36" s="311"/>
      <c r="O36" s="311"/>
      <c r="P36" s="311"/>
      <c r="Q36" s="311"/>
      <c r="R36" s="311"/>
    </row>
    <row r="37" spans="1:18">
      <c r="A37" s="289">
        <f t="shared" ref="A37" si="0">A36+0.1</f>
        <v>1.4000000000000004</v>
      </c>
      <c r="B37" s="290" t="s">
        <v>200</v>
      </c>
      <c r="C37" s="290" t="s">
        <v>17</v>
      </c>
      <c r="D37" s="291">
        <v>0.02</v>
      </c>
      <c r="E37" s="292">
        <f>D37*E33</f>
        <v>0.06</v>
      </c>
      <c r="F37" s="291"/>
      <c r="G37" s="295"/>
      <c r="H37" s="294"/>
      <c r="I37" s="295"/>
      <c r="J37" s="290"/>
      <c r="K37" s="296"/>
      <c r="L37" s="295"/>
      <c r="M37" s="287"/>
      <c r="N37" s="287"/>
      <c r="O37" s="287"/>
      <c r="P37" s="287"/>
      <c r="Q37" s="287"/>
      <c r="R37" s="287"/>
    </row>
    <row r="38" spans="1:18" ht="38.25">
      <c r="A38" s="106" t="s">
        <v>198</v>
      </c>
      <c r="B38" s="419" t="s">
        <v>216</v>
      </c>
      <c r="C38" s="283" t="s">
        <v>203</v>
      </c>
      <c r="D38" s="132"/>
      <c r="E38" s="326">
        <v>10.3</v>
      </c>
      <c r="F38" s="325"/>
      <c r="G38" s="330"/>
      <c r="H38" s="330"/>
      <c r="I38" s="331"/>
      <c r="J38" s="331"/>
      <c r="K38" s="330"/>
      <c r="L38" s="132"/>
      <c r="M38" s="332"/>
      <c r="N38" s="332"/>
      <c r="O38" s="332"/>
      <c r="P38" s="332"/>
      <c r="Q38" s="332"/>
      <c r="R38" s="332"/>
    </row>
    <row r="39" spans="1:18">
      <c r="A39" s="289">
        <f>A38+0.1</f>
        <v>2.1</v>
      </c>
      <c r="B39" s="290" t="s">
        <v>30</v>
      </c>
      <c r="C39" s="290" t="s">
        <v>16</v>
      </c>
      <c r="D39" s="291">
        <v>11.1</v>
      </c>
      <c r="E39" s="292">
        <f>D39*E38</f>
        <v>114.33</v>
      </c>
      <c r="F39" s="290"/>
      <c r="G39" s="293"/>
      <c r="H39" s="294"/>
      <c r="I39" s="295"/>
      <c r="J39" s="290"/>
      <c r="K39" s="296"/>
      <c r="L39" s="295"/>
      <c r="M39" s="333"/>
      <c r="N39" s="333"/>
      <c r="O39" s="333"/>
      <c r="P39" s="334"/>
    </row>
    <row r="40" spans="1:18">
      <c r="A40" s="289">
        <f>A39+0.1</f>
        <v>2.2000000000000002</v>
      </c>
      <c r="B40" s="290" t="s">
        <v>156</v>
      </c>
      <c r="C40" s="290" t="s">
        <v>17</v>
      </c>
      <c r="D40" s="291">
        <v>0.96</v>
      </c>
      <c r="E40" s="292">
        <f>D40*E38</f>
        <v>9.8879999999999999</v>
      </c>
      <c r="F40" s="290"/>
      <c r="G40" s="293"/>
      <c r="H40" s="294"/>
      <c r="I40" s="295"/>
      <c r="J40" s="291"/>
      <c r="K40" s="295"/>
      <c r="L40" s="295"/>
    </row>
    <row r="41" spans="1:18">
      <c r="A41" s="289">
        <f t="shared" ref="A41:A47" si="1">A40+0.1</f>
        <v>2.3000000000000003</v>
      </c>
      <c r="B41" s="290" t="s">
        <v>149</v>
      </c>
      <c r="C41" s="290" t="s">
        <v>39</v>
      </c>
      <c r="D41" s="291">
        <v>1.0149999999999999</v>
      </c>
      <c r="E41" s="292">
        <f>E38*D41</f>
        <v>10.454499999999999</v>
      </c>
      <c r="F41" s="335"/>
      <c r="G41" s="295"/>
      <c r="H41" s="294"/>
      <c r="I41" s="295"/>
      <c r="J41" s="290"/>
      <c r="K41" s="296"/>
      <c r="L41" s="295"/>
    </row>
    <row r="42" spans="1:18">
      <c r="A42" s="289">
        <f t="shared" si="1"/>
        <v>2.4000000000000004</v>
      </c>
      <c r="B42" s="290" t="s">
        <v>150</v>
      </c>
      <c r="C42" s="290" t="s">
        <v>68</v>
      </c>
      <c r="D42" s="291">
        <v>2.0499999999999998</v>
      </c>
      <c r="E42" s="292">
        <f>D42*E38</f>
        <v>21.114999999999998</v>
      </c>
      <c r="F42" s="313"/>
      <c r="G42" s="295"/>
      <c r="H42" s="294"/>
      <c r="I42" s="295"/>
      <c r="J42" s="290"/>
      <c r="K42" s="296"/>
      <c r="L42" s="295"/>
    </row>
    <row r="43" spans="1:18">
      <c r="A43" s="289">
        <f t="shared" si="1"/>
        <v>2.5000000000000004</v>
      </c>
      <c r="B43" s="290" t="s">
        <v>217</v>
      </c>
      <c r="C43" s="290" t="s">
        <v>39</v>
      </c>
      <c r="D43" s="291">
        <v>3.0800000000000001E-2</v>
      </c>
      <c r="E43" s="292">
        <f>D43*E38</f>
        <v>0.31724000000000002</v>
      </c>
      <c r="F43" s="313"/>
      <c r="G43" s="295"/>
      <c r="H43" s="294"/>
      <c r="I43" s="295"/>
      <c r="J43" s="290"/>
      <c r="K43" s="296"/>
      <c r="L43" s="295"/>
      <c r="M43" s="274"/>
      <c r="N43" s="274"/>
      <c r="O43" s="274"/>
      <c r="P43" s="274"/>
      <c r="Q43" s="274"/>
      <c r="R43" s="274"/>
    </row>
    <row r="44" spans="1:18">
      <c r="A44" s="289">
        <f t="shared" si="1"/>
        <v>2.6000000000000005</v>
      </c>
      <c r="B44" s="290" t="s">
        <v>138</v>
      </c>
      <c r="C44" s="290" t="s">
        <v>52</v>
      </c>
      <c r="D44" s="291">
        <v>1.7</v>
      </c>
      <c r="E44" s="292">
        <f>D44*E38</f>
        <v>17.510000000000002</v>
      </c>
      <c r="F44" s="313"/>
      <c r="G44" s="295"/>
      <c r="H44" s="294"/>
      <c r="I44" s="295"/>
      <c r="J44" s="290"/>
      <c r="K44" s="296"/>
      <c r="L44" s="295"/>
    </row>
    <row r="45" spans="1:18">
      <c r="A45" s="289">
        <f t="shared" si="1"/>
        <v>2.7000000000000006</v>
      </c>
      <c r="B45" s="290" t="s">
        <v>218</v>
      </c>
      <c r="C45" s="290" t="s">
        <v>219</v>
      </c>
      <c r="D45" s="291" t="s">
        <v>63</v>
      </c>
      <c r="E45" s="336">
        <v>296.17</v>
      </c>
      <c r="F45" s="337"/>
      <c r="G45" s="295"/>
      <c r="H45" s="294"/>
      <c r="I45" s="295"/>
      <c r="J45" s="290"/>
      <c r="K45" s="296"/>
      <c r="L45" s="295"/>
      <c r="M45" s="338"/>
      <c r="N45" s="338"/>
      <c r="O45" s="338"/>
      <c r="P45" s="338"/>
      <c r="Q45" s="338"/>
      <c r="R45" s="338"/>
    </row>
    <row r="46" spans="1:18">
      <c r="A46" s="289">
        <f t="shared" si="1"/>
        <v>2.8000000000000007</v>
      </c>
      <c r="B46" s="290" t="s">
        <v>220</v>
      </c>
      <c r="C46" s="290" t="s">
        <v>219</v>
      </c>
      <c r="D46" s="291" t="s">
        <v>63</v>
      </c>
      <c r="E46" s="336">
        <v>530.22</v>
      </c>
      <c r="F46" s="337"/>
      <c r="G46" s="295"/>
      <c r="H46" s="294"/>
      <c r="I46" s="295"/>
      <c r="J46" s="290"/>
      <c r="K46" s="296"/>
      <c r="L46" s="295"/>
      <c r="M46" s="333"/>
      <c r="N46" s="333"/>
      <c r="O46" s="333"/>
      <c r="P46" s="333"/>
    </row>
    <row r="47" spans="1:18">
      <c r="A47" s="289">
        <f t="shared" si="1"/>
        <v>2.9000000000000008</v>
      </c>
      <c r="B47" s="290" t="s">
        <v>200</v>
      </c>
      <c r="C47" s="290" t="s">
        <v>17</v>
      </c>
      <c r="D47" s="291">
        <v>0.7</v>
      </c>
      <c r="E47" s="292">
        <f>D47*E38</f>
        <v>7.21</v>
      </c>
      <c r="F47" s="291"/>
      <c r="G47" s="295"/>
      <c r="H47" s="294"/>
      <c r="I47" s="295"/>
      <c r="J47" s="290"/>
      <c r="K47" s="296"/>
      <c r="L47" s="295"/>
    </row>
    <row r="48" spans="1:18" ht="40.5">
      <c r="A48" s="339">
        <v>3</v>
      </c>
      <c r="B48" s="340" t="s">
        <v>221</v>
      </c>
      <c r="C48" s="340" t="s">
        <v>55</v>
      </c>
      <c r="D48" s="341"/>
      <c r="E48" s="342">
        <f>N57/1000</f>
        <v>4.1027019999999998</v>
      </c>
      <c r="F48" s="342"/>
      <c r="G48" s="330"/>
      <c r="H48" s="330"/>
      <c r="I48" s="330"/>
      <c r="J48" s="331"/>
      <c r="K48" s="330"/>
      <c r="L48" s="341"/>
      <c r="M48" s="332"/>
      <c r="N48" s="332"/>
      <c r="O48" s="332"/>
    </row>
    <row r="49" spans="1:18">
      <c r="A49" s="343">
        <f t="shared" ref="A49:A50" si="2">A48+0.1</f>
        <v>3.1</v>
      </c>
      <c r="B49" s="343" t="s">
        <v>49</v>
      </c>
      <c r="C49" s="343" t="s">
        <v>16</v>
      </c>
      <c r="D49" s="344">
        <v>19.399999999999999</v>
      </c>
      <c r="E49" s="344">
        <f>D49*E48</f>
        <v>79.59241879999999</v>
      </c>
      <c r="F49" s="331"/>
      <c r="G49" s="331"/>
      <c r="H49" s="86"/>
      <c r="I49" s="86"/>
      <c r="J49" s="331"/>
      <c r="K49" s="330"/>
      <c r="L49" s="135"/>
      <c r="M49" s="332"/>
      <c r="N49" s="332"/>
      <c r="O49" s="332"/>
    </row>
    <row r="50" spans="1:18">
      <c r="A50" s="343">
        <f t="shared" si="2"/>
        <v>3.2</v>
      </c>
      <c r="B50" s="343" t="s">
        <v>40</v>
      </c>
      <c r="C50" s="312" t="s">
        <v>17</v>
      </c>
      <c r="D50" s="344">
        <v>2.09</v>
      </c>
      <c r="E50" s="344">
        <f>D50*E48</f>
        <v>8.5746471799999995</v>
      </c>
      <c r="F50" s="331"/>
      <c r="G50" s="331"/>
      <c r="H50" s="331"/>
      <c r="I50" s="331"/>
      <c r="J50" s="344"/>
      <c r="K50" s="345"/>
      <c r="L50" s="136"/>
      <c r="M50" s="332"/>
      <c r="N50" s="332"/>
      <c r="O50" s="346" t="s">
        <v>21</v>
      </c>
    </row>
    <row r="51" spans="1:18">
      <c r="A51" s="312">
        <f>A50+0.1</f>
        <v>3.3000000000000003</v>
      </c>
      <c r="B51" s="343" t="s">
        <v>222</v>
      </c>
      <c r="C51" s="343" t="s">
        <v>136</v>
      </c>
      <c r="D51" s="344" t="s">
        <v>63</v>
      </c>
      <c r="E51" s="185">
        <v>180</v>
      </c>
      <c r="F51" s="428"/>
      <c r="G51" s="344"/>
      <c r="H51" s="331"/>
      <c r="I51" s="331"/>
      <c r="J51" s="331"/>
      <c r="K51" s="330"/>
      <c r="L51" s="136"/>
      <c r="M51" s="332">
        <v>10.050000000000001</v>
      </c>
      <c r="N51" s="332">
        <f t="shared" ref="N51:N55" si="3">M51*E51</f>
        <v>1809.0000000000002</v>
      </c>
      <c r="O51" s="332">
        <f>0.32*2*E51</f>
        <v>115.2</v>
      </c>
    </row>
    <row r="52" spans="1:18">
      <c r="A52" s="312">
        <f>A51+0.1</f>
        <v>3.4000000000000004</v>
      </c>
      <c r="B52" s="343" t="s">
        <v>223</v>
      </c>
      <c r="C52" s="343" t="s">
        <v>136</v>
      </c>
      <c r="D52" s="344" t="s">
        <v>63</v>
      </c>
      <c r="E52" s="185">
        <v>5.5</v>
      </c>
      <c r="F52" s="428"/>
      <c r="G52" s="344"/>
      <c r="H52" s="331"/>
      <c r="I52" s="331"/>
      <c r="J52" s="331"/>
      <c r="K52" s="330"/>
      <c r="L52" s="136"/>
      <c r="M52" s="332">
        <v>7.54</v>
      </c>
      <c r="N52" s="332">
        <f t="shared" si="3"/>
        <v>41.47</v>
      </c>
      <c r="O52" s="332">
        <f>0.24*E52</f>
        <v>1.3199999999999998</v>
      </c>
    </row>
    <row r="53" spans="1:18">
      <c r="A53" s="312">
        <f t="shared" ref="A53:A57" si="4">A52+0.1</f>
        <v>3.5000000000000004</v>
      </c>
      <c r="B53" s="343" t="s">
        <v>137</v>
      </c>
      <c r="C53" s="343" t="s">
        <v>136</v>
      </c>
      <c r="D53" s="344" t="s">
        <v>63</v>
      </c>
      <c r="E53" s="185">
        <v>572</v>
      </c>
      <c r="F53" s="428"/>
      <c r="G53" s="344"/>
      <c r="H53" s="331"/>
      <c r="I53" s="331"/>
      <c r="J53" s="331"/>
      <c r="K53" s="330"/>
      <c r="L53" s="136"/>
      <c r="M53" s="332">
        <v>3.77</v>
      </c>
      <c r="N53" s="332">
        <f t="shared" si="3"/>
        <v>2156.44</v>
      </c>
      <c r="O53" s="332">
        <f>0.16*E53</f>
        <v>91.52</v>
      </c>
      <c r="P53" s="332"/>
    </row>
    <row r="54" spans="1:18">
      <c r="A54" s="312">
        <f t="shared" si="4"/>
        <v>3.6000000000000005</v>
      </c>
      <c r="B54" s="343" t="s">
        <v>224</v>
      </c>
      <c r="C54" s="343" t="s">
        <v>136</v>
      </c>
      <c r="D54" s="344" t="s">
        <v>63</v>
      </c>
      <c r="E54" s="185">
        <v>31.68</v>
      </c>
      <c r="F54" s="428"/>
      <c r="G54" s="344"/>
      <c r="H54" s="331"/>
      <c r="I54" s="331"/>
      <c r="J54" s="331"/>
      <c r="K54" s="330"/>
      <c r="L54" s="136"/>
      <c r="M54" s="332">
        <v>1.9</v>
      </c>
      <c r="N54" s="332">
        <f t="shared" si="3"/>
        <v>60.192</v>
      </c>
      <c r="O54" s="332">
        <f>0.16*E54</f>
        <v>5.0688000000000004</v>
      </c>
    </row>
    <row r="55" spans="1:18">
      <c r="A55" s="312">
        <f t="shared" si="4"/>
        <v>3.7000000000000006</v>
      </c>
      <c r="B55" s="343" t="s">
        <v>225</v>
      </c>
      <c r="C55" s="343" t="s">
        <v>136</v>
      </c>
      <c r="D55" s="313" t="s">
        <v>59</v>
      </c>
      <c r="E55" s="185">
        <v>40</v>
      </c>
      <c r="F55" s="428"/>
      <c r="G55" s="344"/>
      <c r="H55" s="331"/>
      <c r="I55" s="331"/>
      <c r="J55" s="331"/>
      <c r="K55" s="330"/>
      <c r="L55" s="136"/>
      <c r="M55" s="332">
        <v>0.89</v>
      </c>
      <c r="N55" s="332">
        <f t="shared" si="3"/>
        <v>35.6</v>
      </c>
      <c r="O55" s="332">
        <f>0.08*E55</f>
        <v>3.2</v>
      </c>
    </row>
    <row r="56" spans="1:18">
      <c r="A56" s="312">
        <f t="shared" si="4"/>
        <v>3.8000000000000007</v>
      </c>
      <c r="B56" s="193" t="s">
        <v>226</v>
      </c>
      <c r="C56" s="193" t="s">
        <v>22</v>
      </c>
      <c r="D56" s="194" t="s">
        <v>63</v>
      </c>
      <c r="E56" s="185">
        <v>30</v>
      </c>
      <c r="F56" s="344"/>
      <c r="G56" s="344"/>
      <c r="H56" s="331"/>
      <c r="I56" s="331"/>
      <c r="J56" s="331"/>
      <c r="K56" s="331"/>
      <c r="L56" s="347"/>
      <c r="M56" s="332"/>
      <c r="N56" s="332"/>
      <c r="O56" s="348"/>
    </row>
    <row r="57" spans="1:18">
      <c r="A57" s="312">
        <f t="shared" si="4"/>
        <v>3.9000000000000008</v>
      </c>
      <c r="B57" s="343" t="s">
        <v>138</v>
      </c>
      <c r="C57" s="343" t="s">
        <v>52</v>
      </c>
      <c r="D57" s="344">
        <v>6.3</v>
      </c>
      <c r="E57" s="344">
        <f>D57*E48</f>
        <v>25.847022599999999</v>
      </c>
      <c r="F57" s="344"/>
      <c r="G57" s="344"/>
      <c r="H57" s="331"/>
      <c r="I57" s="331"/>
      <c r="J57" s="331"/>
      <c r="K57" s="330"/>
      <c r="L57" s="136"/>
      <c r="M57" s="332"/>
      <c r="N57" s="332">
        <f>SUM(N51:N56)</f>
        <v>4102.7020000000002</v>
      </c>
      <c r="O57" s="332"/>
    </row>
    <row r="58" spans="1:18">
      <c r="A58" s="313">
        <v>3.1</v>
      </c>
      <c r="B58" s="343" t="s">
        <v>51</v>
      </c>
      <c r="C58" s="312" t="s">
        <v>17</v>
      </c>
      <c r="D58" s="344">
        <v>2.78</v>
      </c>
      <c r="E58" s="344">
        <f>D58*E48</f>
        <v>11.405511559999999</v>
      </c>
      <c r="F58" s="344"/>
      <c r="G58" s="344"/>
      <c r="H58" s="347"/>
      <c r="I58" s="331"/>
      <c r="J58" s="331"/>
      <c r="K58" s="330"/>
      <c r="L58" s="136"/>
      <c r="M58" s="332"/>
      <c r="N58" s="332"/>
      <c r="O58" s="332"/>
    </row>
    <row r="59" spans="1:18" ht="40.5">
      <c r="A59" s="339">
        <v>4</v>
      </c>
      <c r="B59" s="283" t="s">
        <v>227</v>
      </c>
      <c r="C59" s="283" t="s">
        <v>228</v>
      </c>
      <c r="D59" s="299"/>
      <c r="E59" s="307">
        <f>E62</f>
        <v>421</v>
      </c>
      <c r="F59" s="307"/>
      <c r="G59" s="299"/>
      <c r="H59" s="299"/>
      <c r="I59" s="299"/>
      <c r="J59" s="307"/>
      <c r="K59" s="299"/>
      <c r="L59" s="132"/>
      <c r="M59" s="332"/>
      <c r="N59" s="332"/>
      <c r="O59" s="332"/>
    </row>
    <row r="60" spans="1:18">
      <c r="A60" s="284">
        <f t="shared" ref="A60:A68" si="5">A59+0.1</f>
        <v>4.0999999999999996</v>
      </c>
      <c r="B60" s="284" t="s">
        <v>229</v>
      </c>
      <c r="C60" s="284" t="s">
        <v>16</v>
      </c>
      <c r="D60" s="349">
        <v>1.1319999999999999</v>
      </c>
      <c r="E60" s="86">
        <f>E59*D60</f>
        <v>476.57199999999995</v>
      </c>
      <c r="F60" s="86"/>
      <c r="G60" s="23"/>
      <c r="H60" s="23"/>
      <c r="I60" s="23"/>
      <c r="J60" s="86"/>
      <c r="K60" s="23"/>
      <c r="L60" s="23"/>
      <c r="M60" s="332"/>
      <c r="N60" s="332"/>
      <c r="O60" s="332"/>
      <c r="R60" s="120"/>
    </row>
    <row r="61" spans="1:18">
      <c r="A61" s="343">
        <f t="shared" si="5"/>
        <v>4.1999999999999993</v>
      </c>
      <c r="B61" s="343" t="s">
        <v>230</v>
      </c>
      <c r="C61" s="312" t="s">
        <v>17</v>
      </c>
      <c r="D61" s="344">
        <v>0.12</v>
      </c>
      <c r="E61" s="344">
        <f>E59*D61</f>
        <v>50.519999999999996</v>
      </c>
      <c r="F61" s="331"/>
      <c r="G61" s="331"/>
      <c r="H61" s="331"/>
      <c r="I61" s="331"/>
      <c r="J61" s="344"/>
      <c r="K61" s="345"/>
      <c r="L61" s="136"/>
      <c r="M61" s="332"/>
      <c r="N61" s="332"/>
      <c r="O61" s="346"/>
    </row>
    <row r="62" spans="1:18" ht="28.5">
      <c r="A62" s="312">
        <f t="shared" si="5"/>
        <v>4.2999999999999989</v>
      </c>
      <c r="B62" s="350" t="s">
        <v>305</v>
      </c>
      <c r="C62" s="343" t="s">
        <v>21</v>
      </c>
      <c r="D62" s="344" t="s">
        <v>63</v>
      </c>
      <c r="E62" s="185">
        <v>421</v>
      </c>
      <c r="F62" s="344"/>
      <c r="G62" s="344"/>
      <c r="H62" s="331"/>
      <c r="I62" s="331"/>
      <c r="J62" s="331"/>
      <c r="K62" s="330"/>
      <c r="L62" s="136"/>
      <c r="M62" s="332"/>
      <c r="N62" s="332"/>
      <c r="O62" s="332"/>
    </row>
    <row r="63" spans="1:18">
      <c r="A63" s="312">
        <f t="shared" si="5"/>
        <v>4.3999999999999986</v>
      </c>
      <c r="B63" s="284" t="s">
        <v>231</v>
      </c>
      <c r="C63" s="284" t="s">
        <v>20</v>
      </c>
      <c r="D63" s="344" t="s">
        <v>63</v>
      </c>
      <c r="E63" s="207">
        <v>122</v>
      </c>
      <c r="F63" s="86"/>
      <c r="G63" s="23"/>
      <c r="H63" s="86"/>
      <c r="I63" s="23"/>
      <c r="J63" s="86"/>
      <c r="K63" s="23"/>
      <c r="L63" s="23"/>
      <c r="M63" s="332"/>
      <c r="N63" s="332"/>
      <c r="O63" s="332"/>
    </row>
    <row r="64" spans="1:18">
      <c r="A64" s="312">
        <f t="shared" si="5"/>
        <v>4.4999999999999982</v>
      </c>
      <c r="B64" s="284" t="s">
        <v>232</v>
      </c>
      <c r="C64" s="284" t="s">
        <v>78</v>
      </c>
      <c r="D64" s="344" t="s">
        <v>63</v>
      </c>
      <c r="E64" s="207">
        <v>12</v>
      </c>
      <c r="F64" s="86"/>
      <c r="G64" s="23"/>
      <c r="H64" s="86"/>
      <c r="I64" s="23"/>
      <c r="J64" s="86"/>
      <c r="K64" s="23"/>
      <c r="L64" s="23"/>
      <c r="M64" s="332"/>
      <c r="N64" s="332"/>
      <c r="O64" s="332"/>
    </row>
    <row r="65" spans="1:15">
      <c r="A65" s="312">
        <f t="shared" si="5"/>
        <v>4.5999999999999979</v>
      </c>
      <c r="B65" s="284" t="s">
        <v>233</v>
      </c>
      <c r="C65" s="284" t="s">
        <v>20</v>
      </c>
      <c r="D65" s="344" t="s">
        <v>63</v>
      </c>
      <c r="E65" s="207">
        <v>572</v>
      </c>
      <c r="F65" s="429"/>
      <c r="G65" s="23"/>
      <c r="H65" s="86"/>
      <c r="I65" s="23"/>
      <c r="J65" s="86"/>
      <c r="K65" s="23"/>
      <c r="L65" s="23"/>
      <c r="M65" s="332"/>
      <c r="N65" s="332"/>
      <c r="O65" s="332">
        <f>E65*0.03</f>
        <v>17.16</v>
      </c>
    </row>
    <row r="66" spans="1:15">
      <c r="A66" s="312">
        <f t="shared" si="5"/>
        <v>4.6999999999999975</v>
      </c>
      <c r="B66" s="343" t="s">
        <v>234</v>
      </c>
      <c r="C66" s="343" t="s">
        <v>136</v>
      </c>
      <c r="D66" s="313" t="s">
        <v>59</v>
      </c>
      <c r="E66" s="185">
        <v>16</v>
      </c>
      <c r="F66" s="428"/>
      <c r="G66" s="344"/>
      <c r="H66" s="331"/>
      <c r="I66" s="331"/>
      <c r="J66" s="331"/>
      <c r="K66" s="330"/>
      <c r="L66" s="136"/>
      <c r="M66" s="332"/>
      <c r="N66" s="332"/>
      <c r="O66" s="332">
        <f>E66*0.16</f>
        <v>2.56</v>
      </c>
    </row>
    <row r="67" spans="1:15">
      <c r="A67" s="312">
        <f t="shared" si="5"/>
        <v>4.7999999999999972</v>
      </c>
      <c r="B67" s="284" t="s">
        <v>235</v>
      </c>
      <c r="C67" s="284" t="s">
        <v>219</v>
      </c>
      <c r="D67" s="313" t="s">
        <v>59</v>
      </c>
      <c r="E67" s="207">
        <f>E59*0.05</f>
        <v>21.05</v>
      </c>
      <c r="F67" s="86"/>
      <c r="G67" s="23"/>
      <c r="H67" s="86"/>
      <c r="I67" s="23"/>
      <c r="J67" s="86"/>
      <c r="K67" s="23"/>
      <c r="L67" s="23"/>
      <c r="M67" s="332"/>
      <c r="N67" s="332"/>
      <c r="O67" s="332"/>
    </row>
    <row r="68" spans="1:15">
      <c r="A68" s="312">
        <f t="shared" si="5"/>
        <v>4.8999999999999968</v>
      </c>
      <c r="B68" s="284" t="s">
        <v>41</v>
      </c>
      <c r="C68" s="284" t="s">
        <v>17</v>
      </c>
      <c r="D68" s="23">
        <v>0.04</v>
      </c>
      <c r="E68" s="86">
        <f>D68*E59</f>
        <v>16.84</v>
      </c>
      <c r="F68" s="86"/>
      <c r="G68" s="23"/>
      <c r="H68" s="23"/>
      <c r="I68" s="23"/>
      <c r="J68" s="86"/>
      <c r="K68" s="23"/>
      <c r="L68" s="23"/>
      <c r="M68" s="332"/>
      <c r="N68" s="332"/>
      <c r="O68" s="332"/>
    </row>
    <row r="69" spans="1:15" ht="15.75">
      <c r="A69" s="339">
        <v>7</v>
      </c>
      <c r="B69" s="419" t="s">
        <v>236</v>
      </c>
      <c r="C69" s="283" t="s">
        <v>228</v>
      </c>
      <c r="D69" s="132"/>
      <c r="E69" s="326">
        <v>18</v>
      </c>
      <c r="F69" s="325"/>
      <c r="G69" s="330"/>
      <c r="H69" s="330"/>
      <c r="I69" s="330"/>
      <c r="J69" s="331"/>
      <c r="K69" s="330"/>
      <c r="L69" s="132"/>
    </row>
    <row r="70" spans="1:15">
      <c r="A70" s="134">
        <f>A69+0.1</f>
        <v>7.1</v>
      </c>
      <c r="B70" s="134" t="s">
        <v>46</v>
      </c>
      <c r="C70" s="134" t="s">
        <v>16</v>
      </c>
      <c r="D70" s="135">
        <v>0.93</v>
      </c>
      <c r="E70" s="313">
        <f>D70*E69</f>
        <v>16.740000000000002</v>
      </c>
      <c r="F70" s="331"/>
      <c r="G70" s="330"/>
      <c r="H70" s="135"/>
      <c r="I70" s="135"/>
      <c r="J70" s="331"/>
      <c r="K70" s="330"/>
      <c r="L70" s="135"/>
    </row>
    <row r="71" spans="1:15">
      <c r="A71" s="134">
        <f>A70+0.1</f>
        <v>7.1999999999999993</v>
      </c>
      <c r="B71" s="134" t="s">
        <v>237</v>
      </c>
      <c r="C71" s="134" t="s">
        <v>34</v>
      </c>
      <c r="D71" s="351">
        <v>2.4E-2</v>
      </c>
      <c r="E71" s="313">
        <f>D71*E69</f>
        <v>0.432</v>
      </c>
      <c r="F71" s="331"/>
      <c r="G71" s="330"/>
      <c r="H71" s="330"/>
      <c r="I71" s="330"/>
      <c r="J71" s="313"/>
      <c r="K71" s="135"/>
      <c r="L71" s="136"/>
    </row>
    <row r="72" spans="1:15">
      <c r="A72" s="312">
        <f>A71+0.1</f>
        <v>7.2999999999999989</v>
      </c>
      <c r="B72" s="134" t="s">
        <v>238</v>
      </c>
      <c r="C72" s="134" t="s">
        <v>17</v>
      </c>
      <c r="D72" s="351">
        <v>2.5999999999999999E-2</v>
      </c>
      <c r="E72" s="313">
        <f>D72*E69</f>
        <v>0.46799999999999997</v>
      </c>
      <c r="F72" s="331"/>
      <c r="G72" s="330"/>
      <c r="H72" s="330"/>
      <c r="I72" s="330"/>
      <c r="J72" s="313"/>
      <c r="K72" s="135"/>
      <c r="L72" s="136"/>
    </row>
    <row r="73" spans="1:15">
      <c r="A73" s="312">
        <f>A72+0.1</f>
        <v>7.3999999999999986</v>
      </c>
      <c r="B73" s="284" t="s">
        <v>239</v>
      </c>
      <c r="C73" s="284" t="s">
        <v>39</v>
      </c>
      <c r="D73" s="352">
        <v>2.5600000000000001E-2</v>
      </c>
      <c r="E73" s="86">
        <f>D73*E69</f>
        <v>0.46080000000000004</v>
      </c>
      <c r="F73" s="23"/>
      <c r="G73" s="23"/>
      <c r="H73" s="353"/>
      <c r="I73" s="353"/>
      <c r="J73" s="353"/>
      <c r="K73" s="353"/>
      <c r="L73" s="354"/>
    </row>
    <row r="74" spans="1:15" ht="25.5">
      <c r="A74" s="339">
        <v>8</v>
      </c>
      <c r="B74" s="419" t="s">
        <v>240</v>
      </c>
      <c r="C74" s="283" t="s">
        <v>228</v>
      </c>
      <c r="D74" s="132"/>
      <c r="E74" s="325">
        <f>E69</f>
        <v>18</v>
      </c>
      <c r="F74" s="325"/>
      <c r="G74" s="330"/>
      <c r="H74" s="330"/>
      <c r="I74" s="330"/>
      <c r="J74" s="331"/>
      <c r="K74" s="330"/>
      <c r="L74" s="132"/>
    </row>
    <row r="75" spans="1:15">
      <c r="A75" s="134">
        <f>A74+0.1</f>
        <v>8.1</v>
      </c>
      <c r="B75" s="134" t="s">
        <v>241</v>
      </c>
      <c r="C75" s="134" t="s">
        <v>16</v>
      </c>
      <c r="D75" s="351">
        <v>0.65800000000000003</v>
      </c>
      <c r="E75" s="313">
        <f>D75*E74</f>
        <v>11.844000000000001</v>
      </c>
      <c r="F75" s="331"/>
      <c r="G75" s="330"/>
      <c r="H75" s="135"/>
      <c r="I75" s="135"/>
      <c r="J75" s="331"/>
      <c r="K75" s="330"/>
      <c r="L75" s="135"/>
    </row>
    <row r="76" spans="1:15">
      <c r="A76" s="134">
        <f>A75+0.1</f>
        <v>8.1999999999999993</v>
      </c>
      <c r="B76" s="134" t="s">
        <v>242</v>
      </c>
      <c r="C76" s="134" t="s">
        <v>17</v>
      </c>
      <c r="D76" s="135">
        <v>0.01</v>
      </c>
      <c r="E76" s="313">
        <f>D76*E74</f>
        <v>0.18</v>
      </c>
      <c r="F76" s="331"/>
      <c r="G76" s="330"/>
      <c r="H76" s="330"/>
      <c r="I76" s="330"/>
      <c r="J76" s="313"/>
      <c r="K76" s="135"/>
      <c r="L76" s="136"/>
    </row>
    <row r="77" spans="1:15">
      <c r="A77" s="312">
        <f>A76+0.1</f>
        <v>8.2999999999999989</v>
      </c>
      <c r="B77" s="134" t="s">
        <v>243</v>
      </c>
      <c r="C77" s="134" t="s">
        <v>52</v>
      </c>
      <c r="D77" s="351">
        <v>0.63</v>
      </c>
      <c r="E77" s="313">
        <f>D77*E74</f>
        <v>11.34</v>
      </c>
      <c r="F77" s="313"/>
      <c r="G77" s="135"/>
      <c r="H77" s="330"/>
      <c r="I77" s="330"/>
      <c r="J77" s="331"/>
      <c r="K77" s="330"/>
      <c r="L77" s="136"/>
    </row>
    <row r="78" spans="1:15">
      <c r="A78" s="312">
        <f>A77+0.1</f>
        <v>8.3999999999999986</v>
      </c>
      <c r="B78" s="134" t="s">
        <v>244</v>
      </c>
      <c r="C78" s="134" t="s">
        <v>52</v>
      </c>
      <c r="D78" s="135">
        <v>0.79</v>
      </c>
      <c r="E78" s="313">
        <f>D78*E74</f>
        <v>14.22</v>
      </c>
      <c r="F78" s="313"/>
      <c r="G78" s="135"/>
      <c r="H78" s="330"/>
      <c r="I78" s="330"/>
      <c r="J78" s="331"/>
      <c r="K78" s="330"/>
      <c r="L78" s="136"/>
    </row>
    <row r="79" spans="1:15">
      <c r="A79" s="312">
        <f>A78+0.1</f>
        <v>8.4999999999999982</v>
      </c>
      <c r="B79" s="134" t="s">
        <v>245</v>
      </c>
      <c r="C79" s="284" t="s">
        <v>17</v>
      </c>
      <c r="D79" s="351">
        <v>1.6E-2</v>
      </c>
      <c r="E79" s="313">
        <f>D79*E74</f>
        <v>0.28800000000000003</v>
      </c>
      <c r="F79" s="313"/>
      <c r="G79" s="135"/>
      <c r="H79" s="330"/>
      <c r="I79" s="330"/>
      <c r="J79" s="331"/>
      <c r="K79" s="330"/>
      <c r="L79" s="136"/>
    </row>
    <row r="80" spans="1:15">
      <c r="A80" s="339">
        <v>9</v>
      </c>
      <c r="B80" s="283" t="s">
        <v>246</v>
      </c>
      <c r="C80" s="355" t="s">
        <v>22</v>
      </c>
      <c r="D80" s="356"/>
      <c r="E80" s="357">
        <v>2</v>
      </c>
      <c r="F80" s="358"/>
      <c r="G80" s="356"/>
      <c r="H80" s="356"/>
      <c r="I80" s="356"/>
      <c r="J80" s="358"/>
      <c r="K80" s="356"/>
      <c r="L80" s="299"/>
      <c r="M80" s="332"/>
      <c r="N80" s="332"/>
      <c r="O80" s="332"/>
    </row>
    <row r="81" spans="1:18">
      <c r="A81" s="284">
        <f>A80+0.1</f>
        <v>9.1</v>
      </c>
      <c r="B81" s="284" t="s">
        <v>72</v>
      </c>
      <c r="C81" s="284" t="s">
        <v>27</v>
      </c>
      <c r="D81" s="23" t="s">
        <v>63</v>
      </c>
      <c r="E81" s="86">
        <f>E80</f>
        <v>2</v>
      </c>
      <c r="F81" s="86"/>
      <c r="G81" s="23"/>
      <c r="H81" s="23"/>
      <c r="I81" s="23"/>
      <c r="J81" s="86"/>
      <c r="K81" s="23"/>
      <c r="L81" s="23"/>
      <c r="M81" s="86"/>
      <c r="N81" s="332"/>
      <c r="O81" s="332"/>
    </row>
    <row r="82" spans="1:18">
      <c r="A82" s="312">
        <f>A81+0.1</f>
        <v>9.1999999999999993</v>
      </c>
      <c r="B82" s="343" t="s">
        <v>137</v>
      </c>
      <c r="C82" s="284" t="s">
        <v>20</v>
      </c>
      <c r="D82" s="23" t="s">
        <v>63</v>
      </c>
      <c r="E82" s="86">
        <f>E80*M82</f>
        <v>18.72</v>
      </c>
      <c r="F82" s="428"/>
      <c r="G82" s="23"/>
      <c r="H82" s="23"/>
      <c r="I82" s="23"/>
      <c r="J82" s="86"/>
      <c r="K82" s="23"/>
      <c r="L82" s="23"/>
      <c r="M82" s="86">
        <v>9.36</v>
      </c>
      <c r="N82" s="332"/>
      <c r="O82" s="332">
        <f>E82*0.16</f>
        <v>2.9952000000000001</v>
      </c>
    </row>
    <row r="83" spans="1:18">
      <c r="A83" s="312">
        <f>A82+0.1</f>
        <v>9.2999999999999989</v>
      </c>
      <c r="B83" s="284" t="s">
        <v>247</v>
      </c>
      <c r="C83" s="284" t="s">
        <v>20</v>
      </c>
      <c r="D83" s="23" t="s">
        <v>63</v>
      </c>
      <c r="E83" s="86">
        <f>M83*E80</f>
        <v>16.399999999999999</v>
      </c>
      <c r="F83" s="429"/>
      <c r="G83" s="23"/>
      <c r="H83" s="23"/>
      <c r="I83" s="23"/>
      <c r="J83" s="86"/>
      <c r="K83" s="23"/>
      <c r="L83" s="23"/>
      <c r="M83" s="86">
        <v>8.1999999999999993</v>
      </c>
      <c r="N83" s="332"/>
      <c r="O83" s="332">
        <f>0.12*E83</f>
        <v>1.9679999999999997</v>
      </c>
    </row>
    <row r="84" spans="1:18">
      <c r="A84" s="312">
        <f t="shared" ref="A84:A86" si="6">A83+0.1</f>
        <v>9.3999999999999986</v>
      </c>
      <c r="B84" s="284" t="s">
        <v>248</v>
      </c>
      <c r="C84" s="284" t="s">
        <v>27</v>
      </c>
      <c r="D84" s="23" t="s">
        <v>63</v>
      </c>
      <c r="E84" s="86">
        <f>M84*E80</f>
        <v>12</v>
      </c>
      <c r="F84" s="86"/>
      <c r="G84" s="23"/>
      <c r="H84" s="23"/>
      <c r="I84" s="23"/>
      <c r="J84" s="86"/>
      <c r="K84" s="23"/>
      <c r="L84" s="23"/>
      <c r="M84" s="86">
        <v>6</v>
      </c>
      <c r="N84" s="332"/>
      <c r="O84" s="332"/>
    </row>
    <row r="85" spans="1:18">
      <c r="A85" s="312">
        <f t="shared" si="6"/>
        <v>9.4999999999999982</v>
      </c>
      <c r="B85" s="284" t="s">
        <v>249</v>
      </c>
      <c r="C85" s="284" t="s">
        <v>27</v>
      </c>
      <c r="D85" s="23" t="s">
        <v>63</v>
      </c>
      <c r="E85" s="86">
        <f>M85*E80</f>
        <v>2</v>
      </c>
      <c r="F85" s="86"/>
      <c r="G85" s="23"/>
      <c r="H85" s="23"/>
      <c r="I85" s="23"/>
      <c r="J85" s="86"/>
      <c r="K85" s="23"/>
      <c r="L85" s="23"/>
      <c r="M85" s="332">
        <v>1</v>
      </c>
      <c r="N85" s="332"/>
      <c r="O85" s="332"/>
    </row>
    <row r="86" spans="1:18">
      <c r="A86" s="312">
        <f t="shared" si="6"/>
        <v>9.5999999999999979</v>
      </c>
      <c r="B86" s="284" t="s">
        <v>250</v>
      </c>
      <c r="C86" s="284" t="s">
        <v>27</v>
      </c>
      <c r="D86" s="23" t="s">
        <v>63</v>
      </c>
      <c r="E86" s="86">
        <f>M86*E80</f>
        <v>4</v>
      </c>
      <c r="F86" s="86"/>
      <c r="G86" s="23"/>
      <c r="H86" s="23"/>
      <c r="I86" s="23"/>
      <c r="J86" s="86"/>
      <c r="K86" s="23"/>
      <c r="L86" s="23"/>
      <c r="M86" s="332">
        <v>2</v>
      </c>
      <c r="N86" s="332"/>
      <c r="O86" s="332"/>
    </row>
    <row r="87" spans="1:18" ht="15.75">
      <c r="A87" s="339">
        <v>10</v>
      </c>
      <c r="B87" s="283" t="s">
        <v>251</v>
      </c>
      <c r="C87" s="283" t="s">
        <v>228</v>
      </c>
      <c r="D87" s="299"/>
      <c r="E87" s="307">
        <f>O87*1.1</f>
        <v>265.09120000000001</v>
      </c>
      <c r="F87" s="307"/>
      <c r="G87" s="299"/>
      <c r="H87" s="299"/>
      <c r="I87" s="299"/>
      <c r="J87" s="307"/>
      <c r="K87" s="299"/>
      <c r="L87" s="299"/>
      <c r="M87" s="332"/>
      <c r="N87" s="332"/>
      <c r="O87" s="359">
        <f>SUM(O51:O86)</f>
        <v>240.99199999999999</v>
      </c>
    </row>
    <row r="88" spans="1:18">
      <c r="A88" s="284">
        <f t="shared" ref="A88:A91" si="7">A87+0.1</f>
        <v>10.1</v>
      </c>
      <c r="B88" s="284" t="s">
        <v>72</v>
      </c>
      <c r="C88" s="284" t="s">
        <v>16</v>
      </c>
      <c r="D88" s="349">
        <v>0.68</v>
      </c>
      <c r="E88" s="86">
        <f>E87*D88</f>
        <v>180.26201600000002</v>
      </c>
      <c r="F88" s="86"/>
      <c r="G88" s="23"/>
      <c r="H88" s="23"/>
      <c r="I88" s="23"/>
      <c r="J88" s="86"/>
      <c r="K88" s="23"/>
      <c r="L88" s="23"/>
      <c r="M88" s="332"/>
      <c r="N88" s="332"/>
      <c r="O88" s="332"/>
      <c r="R88" s="120"/>
    </row>
    <row r="89" spans="1:18" s="116" customFormat="1" ht="13.5">
      <c r="A89" s="343">
        <f t="shared" si="7"/>
        <v>10.199999999999999</v>
      </c>
      <c r="B89" s="343" t="s">
        <v>73</v>
      </c>
      <c r="C89" s="312" t="s">
        <v>17</v>
      </c>
      <c r="D89" s="352">
        <v>2.9999999999999997E-4</v>
      </c>
      <c r="E89" s="344">
        <f>D89*E87</f>
        <v>7.9527359999999991E-2</v>
      </c>
      <c r="F89" s="331"/>
      <c r="G89" s="331"/>
      <c r="H89" s="331"/>
      <c r="I89" s="331"/>
      <c r="J89" s="344"/>
      <c r="K89" s="345"/>
      <c r="L89" s="136"/>
      <c r="M89" s="332"/>
      <c r="N89" s="332"/>
      <c r="O89" s="346"/>
    </row>
    <row r="90" spans="1:18" s="116" customFormat="1" ht="13.5">
      <c r="A90" s="312">
        <f t="shared" si="7"/>
        <v>10.299999999999999</v>
      </c>
      <c r="B90" s="284" t="s">
        <v>252</v>
      </c>
      <c r="C90" s="284" t="s">
        <v>52</v>
      </c>
      <c r="D90" s="349">
        <v>0.28000000000000003</v>
      </c>
      <c r="E90" s="23">
        <f>D90*E87</f>
        <v>74.225536000000005</v>
      </c>
      <c r="F90" s="86"/>
      <c r="G90" s="23"/>
      <c r="H90" s="23"/>
      <c r="I90" s="23"/>
      <c r="J90" s="86"/>
      <c r="K90" s="23"/>
      <c r="L90" s="23"/>
      <c r="M90" s="332"/>
      <c r="N90" s="332"/>
      <c r="O90" s="332"/>
    </row>
    <row r="91" spans="1:18" s="116" customFormat="1" ht="13.5">
      <c r="A91" s="312">
        <f t="shared" si="7"/>
        <v>10.399999999999999</v>
      </c>
      <c r="B91" s="284" t="s">
        <v>41</v>
      </c>
      <c r="C91" s="284" t="s">
        <v>17</v>
      </c>
      <c r="D91" s="349">
        <v>1.9E-3</v>
      </c>
      <c r="E91" s="23">
        <f>D91*E87</f>
        <v>0.50367328</v>
      </c>
      <c r="F91" s="86"/>
      <c r="G91" s="23"/>
      <c r="H91" s="23"/>
      <c r="I91" s="23"/>
      <c r="J91" s="86"/>
      <c r="K91" s="23"/>
      <c r="L91" s="23"/>
      <c r="M91" s="332"/>
      <c r="N91" s="332"/>
      <c r="O91" s="332"/>
      <c r="Q91" s="320"/>
      <c r="R91" s="287"/>
    </row>
    <row r="92" spans="1:18">
      <c r="A92" s="411"/>
      <c r="B92" s="413" t="s">
        <v>309</v>
      </c>
      <c r="C92" s="414"/>
      <c r="D92" s="415"/>
      <c r="E92" s="415"/>
      <c r="F92" s="415"/>
      <c r="G92" s="415"/>
      <c r="H92" s="415"/>
      <c r="I92" s="415"/>
      <c r="J92" s="415"/>
      <c r="K92" s="415"/>
      <c r="L92" s="416"/>
      <c r="M92" s="332"/>
      <c r="N92" s="332"/>
      <c r="O92" s="332"/>
    </row>
    <row r="93" spans="1:18" ht="40.5">
      <c r="A93" s="361">
        <v>1</v>
      </c>
      <c r="B93" s="420" t="s">
        <v>253</v>
      </c>
      <c r="C93" s="283" t="s">
        <v>203</v>
      </c>
      <c r="D93" s="309"/>
      <c r="E93" s="362">
        <v>88.2</v>
      </c>
      <c r="F93" s="295"/>
      <c r="G93" s="295"/>
      <c r="H93" s="309"/>
      <c r="I93" s="309"/>
      <c r="J93" s="309"/>
      <c r="K93" s="309"/>
      <c r="L93" s="363"/>
      <c r="M93" s="332"/>
      <c r="N93" s="332"/>
      <c r="O93" s="332"/>
    </row>
    <row r="94" spans="1:18">
      <c r="A94" s="364">
        <f t="shared" ref="A94:A100" si="8">A93+0.1</f>
        <v>1.1000000000000001</v>
      </c>
      <c r="B94" s="296" t="s">
        <v>49</v>
      </c>
      <c r="C94" s="296" t="s">
        <v>16</v>
      </c>
      <c r="D94" s="295">
        <v>0.89</v>
      </c>
      <c r="E94" s="295">
        <f>D94*E93</f>
        <v>78.498000000000005</v>
      </c>
      <c r="F94" s="295"/>
      <c r="G94" s="295"/>
      <c r="H94" s="295"/>
      <c r="I94" s="295"/>
      <c r="J94" s="295"/>
      <c r="K94" s="295"/>
      <c r="L94" s="295"/>
      <c r="M94" s="332"/>
      <c r="N94" s="332"/>
      <c r="O94" s="332"/>
    </row>
    <row r="95" spans="1:18">
      <c r="A95" s="365">
        <f t="shared" si="8"/>
        <v>1.2000000000000002</v>
      </c>
      <c r="B95" s="296" t="s">
        <v>76</v>
      </c>
      <c r="C95" s="296" t="s">
        <v>34</v>
      </c>
      <c r="D95" s="295">
        <v>0.37</v>
      </c>
      <c r="E95" s="295">
        <f t="shared" ref="E95:E96" si="9">D95*E93</f>
        <v>32.634</v>
      </c>
      <c r="F95" s="295"/>
      <c r="G95" s="295"/>
      <c r="H95" s="295"/>
      <c r="I95" s="295"/>
      <c r="J95" s="295"/>
      <c r="K95" s="295"/>
      <c r="L95" s="295"/>
      <c r="M95" s="332"/>
      <c r="N95" s="332"/>
      <c r="O95" s="332"/>
    </row>
    <row r="96" spans="1:18">
      <c r="A96" s="296">
        <f t="shared" si="8"/>
        <v>1.3000000000000003</v>
      </c>
      <c r="B96" s="290" t="s">
        <v>53</v>
      </c>
      <c r="C96" s="290" t="s">
        <v>34</v>
      </c>
      <c r="D96" s="366">
        <v>2.1999999999999999E-2</v>
      </c>
      <c r="E96" s="295">
        <f t="shared" si="9"/>
        <v>1.7269559999999999</v>
      </c>
      <c r="F96" s="291"/>
      <c r="G96" s="291"/>
      <c r="H96" s="291"/>
      <c r="I96" s="291"/>
      <c r="J96" s="291"/>
      <c r="K96" s="291"/>
      <c r="L96" s="291"/>
      <c r="M96" s="332"/>
      <c r="N96" s="332"/>
      <c r="O96" s="332"/>
    </row>
    <row r="97" spans="1:18">
      <c r="A97" s="296">
        <f t="shared" si="8"/>
        <v>1.4000000000000004</v>
      </c>
      <c r="B97" s="290" t="s">
        <v>54</v>
      </c>
      <c r="C97" s="290" t="s">
        <v>34</v>
      </c>
      <c r="D97" s="366">
        <v>2.7E-2</v>
      </c>
      <c r="E97" s="295">
        <f>D97*E93</f>
        <v>2.3814000000000002</v>
      </c>
      <c r="F97" s="291"/>
      <c r="G97" s="291"/>
      <c r="H97" s="291"/>
      <c r="I97" s="291"/>
      <c r="J97" s="291"/>
      <c r="K97" s="291"/>
      <c r="L97" s="291"/>
      <c r="M97" s="332"/>
      <c r="N97" s="332"/>
      <c r="O97" s="332"/>
    </row>
    <row r="98" spans="1:18">
      <c r="A98" s="365">
        <f t="shared" si="8"/>
        <v>1.5000000000000004</v>
      </c>
      <c r="B98" s="296" t="s">
        <v>254</v>
      </c>
      <c r="C98" s="296" t="s">
        <v>34</v>
      </c>
      <c r="D98" s="295">
        <v>9.7000000000000003E-3</v>
      </c>
      <c r="E98" s="295">
        <f>D98*E93</f>
        <v>0.85554000000000008</v>
      </c>
      <c r="F98" s="295"/>
      <c r="G98" s="295"/>
      <c r="H98" s="295"/>
      <c r="I98" s="295"/>
      <c r="J98" s="23"/>
      <c r="K98" s="295"/>
      <c r="L98" s="295"/>
      <c r="M98" s="332"/>
      <c r="N98" s="332"/>
      <c r="O98" s="332"/>
    </row>
    <row r="99" spans="1:18">
      <c r="A99" s="296">
        <f t="shared" si="8"/>
        <v>1.6000000000000005</v>
      </c>
      <c r="B99" s="277" t="s">
        <v>153</v>
      </c>
      <c r="C99" s="296" t="s">
        <v>39</v>
      </c>
      <c r="D99" s="295">
        <v>0.53</v>
      </c>
      <c r="E99" s="295">
        <f>D99*E93</f>
        <v>46.746000000000002</v>
      </c>
      <c r="F99" s="295"/>
      <c r="G99" s="295"/>
      <c r="H99" s="295"/>
      <c r="I99" s="295"/>
      <c r="J99" s="295"/>
      <c r="K99" s="295"/>
      <c r="L99" s="295"/>
      <c r="M99" s="332"/>
      <c r="N99" s="332"/>
      <c r="O99" s="332"/>
    </row>
    <row r="100" spans="1:18">
      <c r="A100" s="296">
        <f t="shared" si="8"/>
        <v>1.7000000000000006</v>
      </c>
      <c r="B100" s="296" t="s">
        <v>51</v>
      </c>
      <c r="C100" s="296" t="s">
        <v>17</v>
      </c>
      <c r="D100" s="295">
        <v>0.02</v>
      </c>
      <c r="E100" s="295">
        <f>D100*E93</f>
        <v>1.764</v>
      </c>
      <c r="F100" s="295"/>
      <c r="G100" s="295"/>
      <c r="H100" s="295"/>
      <c r="I100" s="295"/>
      <c r="J100" s="295"/>
      <c r="K100" s="295"/>
      <c r="L100" s="295"/>
      <c r="M100" s="332"/>
      <c r="N100" s="332"/>
      <c r="O100" s="332"/>
    </row>
    <row r="101" spans="1:18" ht="27">
      <c r="A101" s="361">
        <f>A93+1</f>
        <v>2</v>
      </c>
      <c r="B101" s="308" t="s">
        <v>114</v>
      </c>
      <c r="C101" s="283" t="s">
        <v>203</v>
      </c>
      <c r="D101" s="310"/>
      <c r="E101" s="309">
        <f>E93/2</f>
        <v>44.1</v>
      </c>
      <c r="F101" s="291"/>
      <c r="G101" s="291"/>
      <c r="H101" s="310"/>
      <c r="I101" s="310"/>
      <c r="J101" s="310"/>
      <c r="K101" s="310"/>
      <c r="L101" s="310"/>
      <c r="M101" s="332"/>
      <c r="N101" s="332"/>
      <c r="O101" s="332"/>
    </row>
    <row r="102" spans="1:18">
      <c r="A102" s="364">
        <f t="shared" ref="A102:A110" si="10">A101+0.1</f>
        <v>2.1</v>
      </c>
      <c r="B102" s="290" t="s">
        <v>49</v>
      </c>
      <c r="C102" s="290" t="s">
        <v>16</v>
      </c>
      <c r="D102" s="367">
        <v>0.216</v>
      </c>
      <c r="E102" s="295">
        <f>D102*E101</f>
        <v>9.5256000000000007</v>
      </c>
      <c r="F102" s="291"/>
      <c r="G102" s="291"/>
      <c r="H102" s="291"/>
      <c r="I102" s="291"/>
      <c r="J102" s="291"/>
      <c r="K102" s="291"/>
      <c r="L102" s="291"/>
      <c r="M102" s="332"/>
      <c r="N102" s="332"/>
      <c r="O102" s="332"/>
    </row>
    <row r="103" spans="1:18">
      <c r="A103" s="296">
        <f t="shared" si="10"/>
        <v>2.2000000000000002</v>
      </c>
      <c r="B103" s="290" t="s">
        <v>53</v>
      </c>
      <c r="C103" s="290" t="s">
        <v>34</v>
      </c>
      <c r="D103" s="366">
        <f>1.24/100</f>
        <v>1.24E-2</v>
      </c>
      <c r="E103" s="295">
        <f t="shared" ref="E103:E104" si="11">D103*E101</f>
        <v>0.54683999999999999</v>
      </c>
      <c r="F103" s="291"/>
      <c r="G103" s="291"/>
      <c r="H103" s="291"/>
      <c r="I103" s="291"/>
      <c r="J103" s="291"/>
      <c r="K103" s="291"/>
      <c r="L103" s="291"/>
      <c r="M103" s="332"/>
      <c r="N103" s="332"/>
      <c r="O103" s="332"/>
    </row>
    <row r="104" spans="1:18" s="175" customFormat="1">
      <c r="A104" s="296">
        <f t="shared" si="10"/>
        <v>2.3000000000000003</v>
      </c>
      <c r="B104" s="290" t="s">
        <v>255</v>
      </c>
      <c r="C104" s="290" t="s">
        <v>34</v>
      </c>
      <c r="D104" s="366">
        <f>2.58/100</f>
        <v>2.58E-2</v>
      </c>
      <c r="E104" s="295">
        <f t="shared" si="11"/>
        <v>0.24576048000000003</v>
      </c>
      <c r="F104" s="291"/>
      <c r="G104" s="291"/>
      <c r="H104" s="291"/>
      <c r="I104" s="291"/>
      <c r="J104" s="291"/>
      <c r="K104" s="291"/>
      <c r="L104" s="291"/>
      <c r="M104" s="368"/>
      <c r="N104" s="368"/>
      <c r="O104" s="368"/>
      <c r="P104" s="287"/>
      <c r="Q104" s="287"/>
      <c r="R104" s="287"/>
    </row>
    <row r="105" spans="1:18" s="175" customFormat="1">
      <c r="A105" s="296">
        <f t="shared" si="10"/>
        <v>2.4000000000000004</v>
      </c>
      <c r="B105" s="290" t="s">
        <v>54</v>
      </c>
      <c r="C105" s="290" t="s">
        <v>34</v>
      </c>
      <c r="D105" s="366">
        <f>0.41/100</f>
        <v>4.0999999999999995E-3</v>
      </c>
      <c r="E105" s="295">
        <f>D105*E101</f>
        <v>0.18080999999999997</v>
      </c>
      <c r="F105" s="291"/>
      <c r="G105" s="291"/>
      <c r="H105" s="291"/>
      <c r="I105" s="291"/>
      <c r="J105" s="291"/>
      <c r="K105" s="291"/>
      <c r="L105" s="291"/>
      <c r="M105" s="368"/>
      <c r="N105" s="368"/>
      <c r="O105" s="368"/>
      <c r="P105" s="287"/>
      <c r="Q105" s="287"/>
      <c r="R105" s="287"/>
    </row>
    <row r="106" spans="1:18" s="175" customFormat="1">
      <c r="A106" s="296">
        <f t="shared" si="10"/>
        <v>2.5000000000000004</v>
      </c>
      <c r="B106" s="290" t="s">
        <v>256</v>
      </c>
      <c r="C106" s="290" t="s">
        <v>34</v>
      </c>
      <c r="D106" s="366">
        <f>15.1/100</f>
        <v>0.151</v>
      </c>
      <c r="E106" s="295">
        <f t="shared" ref="E106:E107" si="12">D106*E101</f>
        <v>6.6590999999999996</v>
      </c>
      <c r="F106" s="291"/>
      <c r="G106" s="291"/>
      <c r="H106" s="291"/>
      <c r="I106" s="291"/>
      <c r="J106" s="291"/>
      <c r="K106" s="291"/>
      <c r="L106" s="291"/>
      <c r="M106" s="368"/>
      <c r="N106" s="368"/>
      <c r="O106" s="368"/>
      <c r="P106" s="287"/>
      <c r="Q106" s="287"/>
      <c r="R106" s="287"/>
    </row>
    <row r="107" spans="1:18" s="175" customFormat="1">
      <c r="A107" s="296">
        <f t="shared" si="10"/>
        <v>2.6000000000000005</v>
      </c>
      <c r="B107" s="290" t="s">
        <v>257</v>
      </c>
      <c r="C107" s="290" t="s">
        <v>34</v>
      </c>
      <c r="D107" s="366">
        <f>7.6/100</f>
        <v>7.5999999999999998E-2</v>
      </c>
      <c r="E107" s="295">
        <f t="shared" si="12"/>
        <v>0.72394560000000008</v>
      </c>
      <c r="F107" s="291"/>
      <c r="G107" s="291"/>
      <c r="H107" s="291"/>
      <c r="I107" s="291"/>
      <c r="J107" s="291"/>
      <c r="K107" s="291"/>
      <c r="L107" s="291"/>
      <c r="M107" s="368"/>
      <c r="N107" s="368"/>
      <c r="O107" s="368"/>
      <c r="P107" s="287"/>
      <c r="Q107" s="287"/>
      <c r="R107" s="287"/>
    </row>
    <row r="108" spans="1:18">
      <c r="A108" s="296">
        <f t="shared" si="10"/>
        <v>2.7000000000000006</v>
      </c>
      <c r="B108" s="290" t="s">
        <v>134</v>
      </c>
      <c r="C108" s="290" t="s">
        <v>122</v>
      </c>
      <c r="D108" s="366">
        <f>0.97/100</f>
        <v>9.7000000000000003E-3</v>
      </c>
      <c r="E108" s="295">
        <f>E101*D108</f>
        <v>0.42777000000000004</v>
      </c>
      <c r="F108" s="291"/>
      <c r="G108" s="291"/>
      <c r="H108" s="291"/>
      <c r="I108" s="291"/>
      <c r="J108" s="23"/>
      <c r="K108" s="291"/>
      <c r="L108" s="291"/>
      <c r="M108" s="368"/>
      <c r="N108" s="368"/>
      <c r="O108" s="368"/>
      <c r="P108" s="287"/>
      <c r="Q108" s="287"/>
      <c r="R108" s="287"/>
    </row>
    <row r="109" spans="1:18">
      <c r="A109" s="296">
        <f t="shared" si="10"/>
        <v>2.8000000000000007</v>
      </c>
      <c r="B109" s="277" t="s">
        <v>258</v>
      </c>
      <c r="C109" s="369" t="s">
        <v>39</v>
      </c>
      <c r="D109" s="370">
        <v>1.26</v>
      </c>
      <c r="E109" s="294">
        <f>D109*E101</f>
        <v>55.566000000000003</v>
      </c>
      <c r="F109" s="370"/>
      <c r="G109" s="370"/>
      <c r="H109" s="371"/>
      <c r="I109" s="371"/>
      <c r="J109" s="371"/>
      <c r="K109" s="371"/>
      <c r="L109" s="371"/>
      <c r="M109" s="284"/>
      <c r="N109" s="368"/>
      <c r="O109" s="368"/>
      <c r="P109" s="287"/>
      <c r="Q109" s="287"/>
      <c r="R109" s="287"/>
    </row>
    <row r="110" spans="1:18">
      <c r="A110" s="296">
        <f t="shared" si="10"/>
        <v>2.9000000000000008</v>
      </c>
      <c r="B110" s="290" t="s">
        <v>142</v>
      </c>
      <c r="C110" s="290" t="s">
        <v>39</v>
      </c>
      <c r="D110" s="367">
        <f>7/100</f>
        <v>7.0000000000000007E-2</v>
      </c>
      <c r="E110" s="295">
        <f>D110*E101</f>
        <v>3.0870000000000002</v>
      </c>
      <c r="F110" s="291"/>
      <c r="G110" s="291"/>
      <c r="H110" s="291"/>
      <c r="I110" s="291"/>
      <c r="J110" s="291"/>
      <c r="K110" s="291"/>
      <c r="L110" s="291"/>
      <c r="M110" s="368"/>
      <c r="N110" s="368"/>
      <c r="O110" s="368"/>
      <c r="P110" s="287"/>
      <c r="Q110" s="287"/>
      <c r="R110" s="287"/>
    </row>
    <row r="111" spans="1:18">
      <c r="A111" s="355">
        <v>3</v>
      </c>
      <c r="B111" s="419" t="s">
        <v>62</v>
      </c>
      <c r="C111" s="419" t="s">
        <v>55</v>
      </c>
      <c r="D111" s="132"/>
      <c r="E111" s="132">
        <f>E114/1000</f>
        <v>1.91632</v>
      </c>
      <c r="F111" s="132"/>
      <c r="G111" s="136"/>
      <c r="H111" s="136"/>
      <c r="I111" s="136"/>
      <c r="J111" s="136"/>
      <c r="K111" s="136"/>
      <c r="L111" s="132"/>
      <c r="M111" s="287"/>
      <c r="N111" s="287"/>
      <c r="O111" s="287"/>
      <c r="P111" s="287"/>
      <c r="Q111" s="287"/>
      <c r="R111" s="287"/>
    </row>
    <row r="112" spans="1:18">
      <c r="A112" s="372">
        <f>A111+0.1</f>
        <v>3.1</v>
      </c>
      <c r="B112" s="134" t="s">
        <v>30</v>
      </c>
      <c r="C112" s="134" t="s">
        <v>16</v>
      </c>
      <c r="D112" s="135">
        <v>12.3</v>
      </c>
      <c r="E112" s="135">
        <f>D112*E111</f>
        <v>23.570736</v>
      </c>
      <c r="F112" s="136"/>
      <c r="G112" s="136"/>
      <c r="H112" s="23"/>
      <c r="I112" s="135"/>
      <c r="J112" s="136"/>
      <c r="K112" s="136"/>
      <c r="L112" s="135"/>
      <c r="M112" s="287"/>
      <c r="N112" s="287"/>
      <c r="O112" s="287"/>
      <c r="P112" s="287"/>
      <c r="Q112" s="287"/>
      <c r="R112" s="287"/>
    </row>
    <row r="113" spans="1:18">
      <c r="A113" s="373">
        <f>A112+0.1</f>
        <v>3.2</v>
      </c>
      <c r="B113" s="134" t="s">
        <v>47</v>
      </c>
      <c r="C113" s="134" t="s">
        <v>17</v>
      </c>
      <c r="D113" s="135">
        <v>1.4</v>
      </c>
      <c r="E113" s="135">
        <f>D113*E111</f>
        <v>2.6828479999999999</v>
      </c>
      <c r="F113" s="136"/>
      <c r="G113" s="136"/>
      <c r="H113" s="136"/>
      <c r="I113" s="136"/>
      <c r="J113" s="135"/>
      <c r="K113" s="135"/>
      <c r="L113" s="136"/>
      <c r="M113" s="287"/>
      <c r="N113" s="287"/>
      <c r="O113" s="287"/>
      <c r="P113" s="287"/>
      <c r="Q113" s="287"/>
      <c r="R113" s="287"/>
    </row>
    <row r="114" spans="1:18">
      <c r="A114" s="372">
        <f>A113+0.1</f>
        <v>3.3000000000000003</v>
      </c>
      <c r="B114" s="134" t="s">
        <v>259</v>
      </c>
      <c r="C114" s="134" t="s">
        <v>52</v>
      </c>
      <c r="D114" s="135" t="s">
        <v>63</v>
      </c>
      <c r="E114" s="160">
        <v>1916.32</v>
      </c>
      <c r="F114" s="337"/>
      <c r="G114" s="135"/>
      <c r="H114" s="136"/>
      <c r="I114" s="136"/>
      <c r="J114" s="136"/>
      <c r="K114" s="136"/>
      <c r="L114" s="136"/>
      <c r="M114" s="287"/>
      <c r="N114" s="287"/>
      <c r="O114" s="287"/>
      <c r="P114" s="287"/>
      <c r="Q114" s="287"/>
      <c r="R114" s="287"/>
    </row>
    <row r="115" spans="1:18">
      <c r="A115" s="372">
        <f t="shared" ref="A115" si="13">A114+0.1</f>
        <v>3.4000000000000004</v>
      </c>
      <c r="B115" s="134" t="s">
        <v>41</v>
      </c>
      <c r="C115" s="284" t="s">
        <v>17</v>
      </c>
      <c r="D115" s="135">
        <v>7.15</v>
      </c>
      <c r="E115" s="135">
        <f>D115*E111</f>
        <v>13.701688000000001</v>
      </c>
      <c r="F115" s="135"/>
      <c r="G115" s="135"/>
      <c r="H115" s="136"/>
      <c r="I115" s="136"/>
      <c r="J115" s="136"/>
      <c r="K115" s="136"/>
      <c r="L115" s="136"/>
      <c r="M115" s="287"/>
      <c r="N115" s="287"/>
      <c r="O115" s="287"/>
      <c r="P115" s="287"/>
      <c r="Q115" s="287"/>
      <c r="R115" s="287"/>
    </row>
    <row r="116" spans="1:18" ht="25.5">
      <c r="A116" s="355">
        <v>4</v>
      </c>
      <c r="B116" s="419" t="s">
        <v>260</v>
      </c>
      <c r="C116" s="283" t="s">
        <v>203</v>
      </c>
      <c r="D116" s="132"/>
      <c r="E116" s="326">
        <v>22.1</v>
      </c>
      <c r="F116" s="132"/>
      <c r="G116" s="136"/>
      <c r="H116" s="136"/>
      <c r="I116" s="136"/>
      <c r="J116" s="136"/>
      <c r="K116" s="136"/>
      <c r="L116" s="132"/>
      <c r="M116" s="287"/>
      <c r="N116" s="287"/>
      <c r="O116" s="287"/>
      <c r="P116" s="287"/>
      <c r="Q116" s="287"/>
      <c r="R116" s="287"/>
    </row>
    <row r="117" spans="1:18">
      <c r="A117" s="372">
        <f>A116+0.1</f>
        <v>4.0999999999999996</v>
      </c>
      <c r="B117" s="134" t="s">
        <v>30</v>
      </c>
      <c r="C117" s="134" t="s">
        <v>16</v>
      </c>
      <c r="D117" s="135">
        <v>1.37</v>
      </c>
      <c r="E117" s="313">
        <f>D117*E116</f>
        <v>30.277000000000005</v>
      </c>
      <c r="F117" s="136"/>
      <c r="G117" s="136"/>
      <c r="H117" s="23"/>
      <c r="I117" s="135"/>
      <c r="J117" s="136"/>
      <c r="K117" s="136"/>
      <c r="L117" s="135"/>
      <c r="M117" s="287"/>
      <c r="N117" s="287"/>
      <c r="O117" s="287"/>
      <c r="P117" s="287"/>
      <c r="Q117" s="287"/>
      <c r="R117" s="287"/>
    </row>
    <row r="118" spans="1:18">
      <c r="A118" s="373">
        <f>A117+0.1</f>
        <v>4.1999999999999993</v>
      </c>
      <c r="B118" s="134" t="s">
        <v>47</v>
      </c>
      <c r="C118" s="134" t="s">
        <v>17</v>
      </c>
      <c r="D118" s="351">
        <v>0.28299999999999997</v>
      </c>
      <c r="E118" s="313">
        <f>D118*E116</f>
        <v>6.2542999999999997</v>
      </c>
      <c r="F118" s="136"/>
      <c r="G118" s="136"/>
      <c r="H118" s="136"/>
      <c r="I118" s="136"/>
      <c r="J118" s="135"/>
      <c r="K118" s="135"/>
      <c r="L118" s="136"/>
      <c r="M118" s="287"/>
      <c r="N118" s="287"/>
      <c r="O118" s="287"/>
      <c r="P118" s="287"/>
      <c r="Q118" s="287"/>
      <c r="R118" s="287"/>
    </row>
    <row r="119" spans="1:18">
      <c r="A119" s="372">
        <f>A118+0.1</f>
        <v>4.2999999999999989</v>
      </c>
      <c r="B119" s="134" t="s">
        <v>187</v>
      </c>
      <c r="C119" s="134" t="s">
        <v>39</v>
      </c>
      <c r="D119" s="135">
        <v>1.02</v>
      </c>
      <c r="E119" s="313">
        <f>D119*E116</f>
        <v>22.542000000000002</v>
      </c>
      <c r="F119" s="135"/>
      <c r="G119" s="135"/>
      <c r="H119" s="136"/>
      <c r="I119" s="136"/>
      <c r="J119" s="136"/>
      <c r="K119" s="136"/>
      <c r="L119" s="136"/>
      <c r="M119" s="287"/>
      <c r="N119" s="287"/>
      <c r="O119" s="287"/>
      <c r="P119" s="287"/>
      <c r="Q119" s="287"/>
      <c r="R119" s="287"/>
    </row>
    <row r="120" spans="1:18">
      <c r="A120" s="372">
        <f>A119+0.1</f>
        <v>4.3999999999999986</v>
      </c>
      <c r="B120" s="134" t="s">
        <v>41</v>
      </c>
      <c r="C120" s="134" t="s">
        <v>17</v>
      </c>
      <c r="D120" s="135">
        <v>0.62</v>
      </c>
      <c r="E120" s="313">
        <f>D120*E116</f>
        <v>13.702</v>
      </c>
      <c r="F120" s="135"/>
      <c r="G120" s="135"/>
      <c r="H120" s="136"/>
      <c r="I120" s="136"/>
      <c r="J120" s="136"/>
      <c r="K120" s="136"/>
      <c r="L120" s="136"/>
      <c r="M120" s="287"/>
      <c r="N120" s="287"/>
      <c r="O120" s="287"/>
      <c r="P120" s="287"/>
      <c r="Q120" s="287"/>
      <c r="R120" s="287"/>
    </row>
    <row r="121" spans="1:18" ht="40.5">
      <c r="A121" s="355">
        <v>5</v>
      </c>
      <c r="B121" s="283" t="s">
        <v>261</v>
      </c>
      <c r="C121" s="283" t="s">
        <v>228</v>
      </c>
      <c r="D121" s="299"/>
      <c r="E121" s="300">
        <v>477</v>
      </c>
      <c r="F121" s="299"/>
      <c r="G121" s="23"/>
      <c r="H121" s="23"/>
      <c r="I121" s="23"/>
      <c r="J121" s="23"/>
      <c r="K121" s="23"/>
      <c r="L121" s="299"/>
      <c r="M121" s="287"/>
      <c r="N121" s="287"/>
      <c r="O121" s="287"/>
      <c r="P121" s="287"/>
      <c r="Q121" s="287"/>
      <c r="R121" s="287"/>
    </row>
    <row r="122" spans="1:18" ht="40.5">
      <c r="A122" s="372">
        <f>A121+0.1</f>
        <v>5.0999999999999996</v>
      </c>
      <c r="B122" s="284" t="s">
        <v>311</v>
      </c>
      <c r="C122" s="284" t="s">
        <v>68</v>
      </c>
      <c r="D122" s="23" t="s">
        <v>63</v>
      </c>
      <c r="E122" s="23">
        <f>E121</f>
        <v>477</v>
      </c>
      <c r="F122" s="23"/>
      <c r="G122" s="23"/>
      <c r="H122" s="23"/>
      <c r="I122" s="23"/>
      <c r="J122" s="23"/>
      <c r="K122" s="23"/>
      <c r="L122" s="23"/>
      <c r="M122" s="287"/>
      <c r="N122" s="287"/>
      <c r="O122" s="287"/>
      <c r="P122" s="287"/>
      <c r="Q122" s="287"/>
      <c r="R122" s="287"/>
    </row>
    <row r="123" spans="1:18">
      <c r="A123" s="372">
        <f t="shared" ref="A123:A125" si="14">A122+0.1</f>
        <v>5.1999999999999993</v>
      </c>
      <c r="B123" s="374" t="s">
        <v>262</v>
      </c>
      <c r="C123" s="374" t="s">
        <v>136</v>
      </c>
      <c r="D123" s="23" t="s">
        <v>63</v>
      </c>
      <c r="E123" s="232">
        <v>92</v>
      </c>
      <c r="F123" s="345"/>
      <c r="G123" s="345"/>
      <c r="H123" s="330"/>
      <c r="I123" s="330"/>
      <c r="J123" s="330"/>
      <c r="K123" s="330"/>
      <c r="L123" s="136"/>
      <c r="M123" s="287"/>
      <c r="N123" s="287"/>
      <c r="O123" s="287"/>
      <c r="P123" s="287"/>
      <c r="Q123" s="287"/>
      <c r="R123" s="287"/>
    </row>
    <row r="124" spans="1:18">
      <c r="A124" s="372">
        <f t="shared" si="14"/>
        <v>5.2999999999999989</v>
      </c>
      <c r="B124" s="284" t="s">
        <v>263</v>
      </c>
      <c r="C124" s="284" t="s">
        <v>219</v>
      </c>
      <c r="D124" s="135" t="s">
        <v>59</v>
      </c>
      <c r="E124" s="206">
        <f>E123*2*0.03</f>
        <v>5.52</v>
      </c>
      <c r="F124" s="23"/>
      <c r="G124" s="23"/>
      <c r="H124" s="23"/>
      <c r="I124" s="23"/>
      <c r="J124" s="23"/>
      <c r="K124" s="23"/>
      <c r="L124" s="23"/>
      <c r="M124" s="287"/>
      <c r="N124" s="287"/>
      <c r="O124" s="287"/>
      <c r="P124" s="287"/>
      <c r="Q124" s="287"/>
      <c r="R124" s="287"/>
    </row>
    <row r="125" spans="1:18">
      <c r="A125" s="372">
        <f t="shared" si="14"/>
        <v>5.3999999999999986</v>
      </c>
      <c r="B125" s="284" t="s">
        <v>51</v>
      </c>
      <c r="C125" s="284" t="s">
        <v>50</v>
      </c>
      <c r="D125" s="23">
        <v>0.04</v>
      </c>
      <c r="E125" s="23">
        <f>D125*E121</f>
        <v>19.080000000000002</v>
      </c>
      <c r="F125" s="23"/>
      <c r="G125" s="23"/>
      <c r="H125" s="23"/>
      <c r="I125" s="23"/>
      <c r="J125" s="23"/>
      <c r="K125" s="23"/>
      <c r="L125" s="23"/>
      <c r="M125" s="287"/>
      <c r="N125" s="287"/>
      <c r="O125" s="287"/>
      <c r="P125" s="287"/>
      <c r="Q125" s="287"/>
      <c r="R125" s="287"/>
    </row>
    <row r="126" spans="1:18" ht="27">
      <c r="A126" s="355">
        <v>6</v>
      </c>
      <c r="B126" s="283" t="s">
        <v>264</v>
      </c>
      <c r="C126" s="283" t="s">
        <v>203</v>
      </c>
      <c r="D126" s="299"/>
      <c r="E126" s="299">
        <v>9.06</v>
      </c>
      <c r="F126" s="299"/>
      <c r="G126" s="23"/>
      <c r="H126" s="23"/>
      <c r="I126" s="23"/>
      <c r="J126" s="23"/>
      <c r="K126" s="23"/>
      <c r="L126" s="299"/>
      <c r="M126" s="287"/>
      <c r="N126" s="287"/>
      <c r="O126" s="287"/>
      <c r="P126" s="287"/>
      <c r="Q126" s="287"/>
      <c r="R126" s="287"/>
    </row>
    <row r="127" spans="1:18">
      <c r="A127" s="372">
        <f>A126+0.1</f>
        <v>6.1</v>
      </c>
      <c r="B127" s="284" t="s">
        <v>49</v>
      </c>
      <c r="C127" s="284" t="s">
        <v>16</v>
      </c>
      <c r="D127" s="23">
        <v>0.8</v>
      </c>
      <c r="E127" s="23">
        <f>D127*E126</f>
        <v>7.2480000000000011</v>
      </c>
      <c r="F127" s="23"/>
      <c r="G127" s="23"/>
      <c r="H127" s="23"/>
      <c r="I127" s="23"/>
      <c r="J127" s="23"/>
      <c r="K127" s="23"/>
      <c r="L127" s="135"/>
      <c r="M127" s="287"/>
      <c r="N127" s="287"/>
      <c r="O127" s="287"/>
      <c r="P127" s="287"/>
      <c r="Q127" s="287"/>
      <c r="R127" s="287"/>
    </row>
    <row r="128" spans="1:18">
      <c r="A128" s="373">
        <f>A127+0.1</f>
        <v>6.1999999999999993</v>
      </c>
      <c r="B128" s="284" t="s">
        <v>265</v>
      </c>
      <c r="C128" s="284" t="s">
        <v>34</v>
      </c>
      <c r="D128" s="23">
        <v>0.32</v>
      </c>
      <c r="E128" s="23">
        <f>D128*E126</f>
        <v>2.8992</v>
      </c>
      <c r="F128" s="23"/>
      <c r="G128" s="23"/>
      <c r="H128" s="23"/>
      <c r="I128" s="23"/>
      <c r="J128" s="23"/>
      <c r="K128" s="23"/>
      <c r="L128" s="23"/>
      <c r="M128" s="287"/>
      <c r="N128" s="287"/>
      <c r="O128" s="287"/>
      <c r="P128" s="287"/>
      <c r="Q128" s="287"/>
      <c r="R128" s="287"/>
    </row>
    <row r="129" spans="1:18" ht="29.25">
      <c r="A129" s="375">
        <f>A128+0.1</f>
        <v>6.2999999999999989</v>
      </c>
      <c r="B129" s="157" t="s">
        <v>266</v>
      </c>
      <c r="C129" s="157" t="s">
        <v>39</v>
      </c>
      <c r="D129" s="158">
        <v>1.1000000000000001</v>
      </c>
      <c r="E129" s="158">
        <f>D129*E126</f>
        <v>9.9660000000000011</v>
      </c>
      <c r="F129" s="158"/>
      <c r="G129" s="158"/>
      <c r="H129" s="158"/>
      <c r="I129" s="158"/>
      <c r="J129" s="158"/>
      <c r="K129" s="158"/>
      <c r="L129" s="158"/>
      <c r="Q129" s="320"/>
      <c r="R129" s="287"/>
    </row>
    <row r="130" spans="1:18">
      <c r="A130" s="375">
        <f t="shared" ref="A130" si="15">A129+0.1</f>
        <v>6.3999999999999986</v>
      </c>
      <c r="B130" s="157" t="s">
        <v>51</v>
      </c>
      <c r="C130" s="157" t="s">
        <v>50</v>
      </c>
      <c r="D130" s="158">
        <v>0.02</v>
      </c>
      <c r="E130" s="158">
        <f>D130*E126</f>
        <v>0.1812</v>
      </c>
      <c r="F130" s="158"/>
      <c r="G130" s="158"/>
      <c r="H130" s="158"/>
      <c r="I130" s="158"/>
      <c r="J130" s="158"/>
      <c r="K130" s="158"/>
      <c r="L130" s="158"/>
      <c r="Q130" s="320"/>
      <c r="R130" s="287"/>
    </row>
    <row r="131" spans="1:18" s="154" customFormat="1">
      <c r="A131" s="411"/>
      <c r="B131" s="407" t="s">
        <v>310</v>
      </c>
      <c r="C131" s="408"/>
      <c r="D131" s="409"/>
      <c r="E131" s="409"/>
      <c r="F131" s="409"/>
      <c r="G131" s="409"/>
      <c r="H131" s="409"/>
      <c r="I131" s="409"/>
      <c r="J131" s="409"/>
      <c r="K131" s="409"/>
      <c r="L131" s="412"/>
      <c r="M131" s="116"/>
      <c r="N131" s="116"/>
      <c r="O131" s="116"/>
      <c r="P131" s="116"/>
      <c r="Q131" s="116"/>
      <c r="R131" s="116"/>
    </row>
    <row r="132" spans="1:18" ht="38.25">
      <c r="A132" s="106" t="s">
        <v>155</v>
      </c>
      <c r="B132" s="419" t="s">
        <v>214</v>
      </c>
      <c r="C132" s="276" t="s">
        <v>39</v>
      </c>
      <c r="D132" s="325"/>
      <c r="E132" s="376">
        <v>0.3</v>
      </c>
      <c r="F132" s="327"/>
      <c r="G132" s="328"/>
      <c r="H132" s="328"/>
      <c r="I132" s="328"/>
      <c r="J132" s="328"/>
      <c r="K132" s="133"/>
      <c r="L132" s="132"/>
    </row>
    <row r="133" spans="1:18">
      <c r="A133" s="269">
        <f>A132+0.1</f>
        <v>1.1000000000000001</v>
      </c>
      <c r="B133" s="135" t="s">
        <v>46</v>
      </c>
      <c r="C133" s="313" t="s">
        <v>16</v>
      </c>
      <c r="D133" s="313">
        <v>0.89</v>
      </c>
      <c r="E133" s="313">
        <f>D133*E132</f>
        <v>0.26700000000000002</v>
      </c>
      <c r="F133" s="328"/>
      <c r="G133" s="328"/>
      <c r="H133" s="335"/>
      <c r="I133" s="335"/>
      <c r="J133" s="328"/>
      <c r="K133" s="133"/>
      <c r="L133" s="377"/>
    </row>
    <row r="134" spans="1:18">
      <c r="A134" s="329">
        <f t="shared" ref="A134:A136" si="16">A133+0.1</f>
        <v>1.2000000000000002</v>
      </c>
      <c r="B134" s="134" t="s">
        <v>47</v>
      </c>
      <c r="C134" s="134" t="s">
        <v>78</v>
      </c>
      <c r="D134" s="135">
        <v>0.37</v>
      </c>
      <c r="E134" s="313">
        <f>D134*E132</f>
        <v>0.111</v>
      </c>
      <c r="F134" s="347"/>
      <c r="G134" s="136"/>
      <c r="H134" s="136"/>
      <c r="I134" s="347"/>
      <c r="J134" s="313"/>
      <c r="K134" s="135"/>
      <c r="L134" s="136"/>
    </row>
    <row r="135" spans="1:18">
      <c r="A135" s="329">
        <f t="shared" si="16"/>
        <v>1.3000000000000003</v>
      </c>
      <c r="B135" s="134" t="s">
        <v>215</v>
      </c>
      <c r="C135" s="134" t="s">
        <v>39</v>
      </c>
      <c r="D135" s="135">
        <v>1.1499999999999999</v>
      </c>
      <c r="E135" s="313">
        <f>D135*E132</f>
        <v>0.34499999999999997</v>
      </c>
      <c r="F135" s="313"/>
      <c r="G135" s="135"/>
      <c r="H135" s="136"/>
      <c r="I135" s="347"/>
      <c r="J135" s="347"/>
      <c r="K135" s="136"/>
      <c r="L135" s="136"/>
    </row>
    <row r="136" spans="1:18">
      <c r="A136" s="329">
        <f t="shared" si="16"/>
        <v>1.4000000000000004</v>
      </c>
      <c r="B136" s="284" t="s">
        <v>51</v>
      </c>
      <c r="C136" s="284" t="s">
        <v>50</v>
      </c>
      <c r="D136" s="23">
        <v>0.02</v>
      </c>
      <c r="E136" s="86">
        <f>D136*E132</f>
        <v>6.0000000000000001E-3</v>
      </c>
      <c r="F136" s="86"/>
      <c r="G136" s="23"/>
      <c r="H136" s="86"/>
      <c r="I136" s="23"/>
      <c r="J136" s="86"/>
      <c r="K136" s="23"/>
      <c r="L136" s="23"/>
    </row>
    <row r="137" spans="1:18">
      <c r="A137" s="378">
        <f>A132+1</f>
        <v>2</v>
      </c>
      <c r="B137" s="419" t="s">
        <v>267</v>
      </c>
      <c r="C137" s="419" t="s">
        <v>39</v>
      </c>
      <c r="D137" s="132"/>
      <c r="E137" s="379">
        <v>2.5</v>
      </c>
      <c r="F137" s="325"/>
      <c r="G137" s="136"/>
      <c r="H137" s="136"/>
      <c r="I137" s="347"/>
      <c r="J137" s="347"/>
      <c r="K137" s="136"/>
      <c r="L137" s="132"/>
    </row>
    <row r="138" spans="1:18">
      <c r="A138" s="372">
        <f>A137+0.1</f>
        <v>2.1</v>
      </c>
      <c r="B138" s="134" t="s">
        <v>30</v>
      </c>
      <c r="C138" s="134" t="s">
        <v>16</v>
      </c>
      <c r="D138" s="135">
        <v>4.5</v>
      </c>
      <c r="E138" s="313">
        <f>D138*E137</f>
        <v>11.25</v>
      </c>
      <c r="F138" s="347"/>
      <c r="G138" s="136"/>
      <c r="H138" s="23"/>
      <c r="I138" s="313"/>
      <c r="J138" s="347"/>
      <c r="K138" s="136"/>
      <c r="L138" s="135"/>
      <c r="R138" s="120">
        <v>4.5999999999999996</v>
      </c>
    </row>
    <row r="139" spans="1:18">
      <c r="A139" s="373">
        <f>A138+0.1</f>
        <v>2.2000000000000002</v>
      </c>
      <c r="B139" s="134" t="s">
        <v>47</v>
      </c>
      <c r="C139" s="134" t="s">
        <v>17</v>
      </c>
      <c r="D139" s="135">
        <v>0.37</v>
      </c>
      <c r="E139" s="313">
        <f>D139*E137</f>
        <v>0.92500000000000004</v>
      </c>
      <c r="F139" s="347"/>
      <c r="G139" s="136"/>
      <c r="H139" s="136"/>
      <c r="I139" s="347"/>
      <c r="J139" s="313"/>
      <c r="K139" s="135"/>
      <c r="L139" s="136"/>
    </row>
    <row r="140" spans="1:18" s="175" customFormat="1">
      <c r="A140" s="373">
        <f>A139+0.1</f>
        <v>2.3000000000000003</v>
      </c>
      <c r="B140" s="134" t="s">
        <v>268</v>
      </c>
      <c r="C140" s="134" t="s">
        <v>39</v>
      </c>
      <c r="D140" s="135">
        <v>1.02</v>
      </c>
      <c r="E140" s="313">
        <f>D140*E137</f>
        <v>2.5499999999999998</v>
      </c>
      <c r="F140" s="335"/>
      <c r="G140" s="135"/>
      <c r="H140" s="136"/>
      <c r="I140" s="347"/>
      <c r="J140" s="347"/>
      <c r="K140" s="136"/>
      <c r="L140" s="136"/>
      <c r="M140" s="116"/>
      <c r="N140" s="116"/>
      <c r="O140" s="116"/>
      <c r="P140" s="116"/>
      <c r="Q140" s="116"/>
      <c r="R140" s="116"/>
    </row>
    <row r="141" spans="1:18" s="175" customFormat="1">
      <c r="A141" s="373">
        <f t="shared" ref="A141:A143" si="17">A140+0.1</f>
        <v>2.4000000000000004</v>
      </c>
      <c r="B141" s="134" t="s">
        <v>140</v>
      </c>
      <c r="C141" s="134" t="s">
        <v>68</v>
      </c>
      <c r="D141" s="135">
        <v>1.61</v>
      </c>
      <c r="E141" s="135">
        <f>D141*E137</f>
        <v>4.0250000000000004</v>
      </c>
      <c r="F141" s="313"/>
      <c r="G141" s="135"/>
      <c r="H141" s="136"/>
      <c r="I141" s="136"/>
      <c r="J141" s="136"/>
      <c r="K141" s="136"/>
      <c r="L141" s="136"/>
      <c r="M141" s="116"/>
      <c r="N141" s="116"/>
      <c r="O141" s="116"/>
      <c r="P141" s="116"/>
      <c r="Q141" s="116"/>
      <c r="R141" s="116"/>
    </row>
    <row r="142" spans="1:18">
      <c r="A142" s="373">
        <f t="shared" si="17"/>
        <v>2.5000000000000004</v>
      </c>
      <c r="B142" s="134" t="s">
        <v>127</v>
      </c>
      <c r="C142" s="134" t="s">
        <v>39</v>
      </c>
      <c r="D142" s="135">
        <v>0.02</v>
      </c>
      <c r="E142" s="135">
        <f>D142*E137</f>
        <v>0.05</v>
      </c>
      <c r="F142" s="313"/>
      <c r="G142" s="135"/>
      <c r="H142" s="136"/>
      <c r="I142" s="136"/>
      <c r="J142" s="136"/>
      <c r="K142" s="136"/>
      <c r="L142" s="136"/>
    </row>
    <row r="143" spans="1:18">
      <c r="A143" s="373">
        <f t="shared" si="17"/>
        <v>2.6000000000000005</v>
      </c>
      <c r="B143" s="134" t="s">
        <v>41</v>
      </c>
      <c r="C143" s="134" t="s">
        <v>17</v>
      </c>
      <c r="D143" s="135">
        <v>0.28000000000000003</v>
      </c>
      <c r="E143" s="313">
        <f>D143*E137</f>
        <v>0.70000000000000007</v>
      </c>
      <c r="F143" s="313"/>
      <c r="G143" s="135"/>
      <c r="H143" s="136"/>
      <c r="I143" s="347"/>
      <c r="J143" s="347"/>
      <c r="K143" s="136"/>
      <c r="L143" s="136"/>
    </row>
    <row r="144" spans="1:18" s="175" customFormat="1" ht="27">
      <c r="A144" s="380">
        <f>A137+1</f>
        <v>3</v>
      </c>
      <c r="B144" s="283" t="s">
        <v>269</v>
      </c>
      <c r="C144" s="283" t="s">
        <v>92</v>
      </c>
      <c r="D144" s="23"/>
      <c r="E144" s="307">
        <v>2</v>
      </c>
      <c r="F144" s="86"/>
      <c r="G144" s="23"/>
      <c r="H144" s="23"/>
      <c r="I144" s="23"/>
      <c r="J144" s="86"/>
      <c r="K144" s="23"/>
      <c r="L144" s="299"/>
      <c r="M144" s="116"/>
      <c r="N144" s="116"/>
      <c r="O144" s="116"/>
      <c r="P144" s="116"/>
      <c r="Q144" s="116"/>
      <c r="R144" s="116"/>
    </row>
    <row r="145" spans="1:18" s="175" customFormat="1">
      <c r="A145" s="372">
        <f>A144+0.1</f>
        <v>3.1</v>
      </c>
      <c r="B145" s="134" t="s">
        <v>30</v>
      </c>
      <c r="C145" s="134" t="s">
        <v>78</v>
      </c>
      <c r="D145" s="135" t="s">
        <v>63</v>
      </c>
      <c r="E145" s="313">
        <v>2</v>
      </c>
      <c r="F145" s="347"/>
      <c r="G145" s="136"/>
      <c r="H145" s="23"/>
      <c r="I145" s="313"/>
      <c r="J145" s="347"/>
      <c r="K145" s="136"/>
      <c r="L145" s="135"/>
      <c r="M145" s="116"/>
      <c r="N145" s="116"/>
      <c r="O145" s="116"/>
      <c r="P145" s="116"/>
      <c r="Q145" s="116"/>
      <c r="R145" s="116"/>
    </row>
    <row r="146" spans="1:18" s="156" customFormat="1" ht="13.5">
      <c r="A146" s="373">
        <f>A145+0.1</f>
        <v>3.2</v>
      </c>
      <c r="B146" s="134" t="s">
        <v>82</v>
      </c>
      <c r="C146" s="134" t="s">
        <v>20</v>
      </c>
      <c r="D146" s="135" t="s">
        <v>63</v>
      </c>
      <c r="E146" s="313">
        <v>19.5</v>
      </c>
      <c r="F146" s="313"/>
      <c r="G146" s="135"/>
      <c r="H146" s="136"/>
      <c r="I146" s="347"/>
      <c r="J146" s="347"/>
      <c r="K146" s="136"/>
      <c r="L146" s="136"/>
      <c r="M146" s="116"/>
      <c r="N146" s="116"/>
      <c r="O146" s="119">
        <f>E146*0.0242</f>
        <v>0.47189999999999999</v>
      </c>
      <c r="P146" s="116"/>
      <c r="Q146" s="116"/>
      <c r="R146" s="116"/>
    </row>
    <row r="147" spans="1:18" s="156" customFormat="1" ht="13.5">
      <c r="A147" s="373">
        <f t="shared" ref="A147:A149" si="18">A146+0.1</f>
        <v>3.3000000000000003</v>
      </c>
      <c r="B147" s="134" t="s">
        <v>270</v>
      </c>
      <c r="C147" s="134" t="s">
        <v>20</v>
      </c>
      <c r="D147" s="313" t="s">
        <v>63</v>
      </c>
      <c r="E147" s="313">
        <v>17.399999999999999</v>
      </c>
      <c r="F147" s="313"/>
      <c r="G147" s="135"/>
      <c r="H147" s="136"/>
      <c r="I147" s="347"/>
      <c r="J147" s="347"/>
      <c r="K147" s="136"/>
      <c r="L147" s="136"/>
      <c r="M147" s="116"/>
      <c r="N147" s="116"/>
      <c r="O147" s="116">
        <f>0.284*E147</f>
        <v>4.9415999999999993</v>
      </c>
      <c r="P147" s="116"/>
      <c r="Q147" s="116"/>
      <c r="R147" s="116"/>
    </row>
    <row r="148" spans="1:18" s="156" customFormat="1" ht="13.5">
      <c r="A148" s="373">
        <f t="shared" si="18"/>
        <v>3.4000000000000004</v>
      </c>
      <c r="B148" s="134" t="s">
        <v>271</v>
      </c>
      <c r="C148" s="134" t="s">
        <v>52</v>
      </c>
      <c r="D148" s="23" t="s">
        <v>63</v>
      </c>
      <c r="E148" s="23">
        <v>19.2</v>
      </c>
      <c r="F148" s="381"/>
      <c r="G148" s="23"/>
      <c r="H148" s="23"/>
      <c r="I148" s="23"/>
      <c r="J148" s="86"/>
      <c r="K148" s="23"/>
      <c r="L148" s="136"/>
      <c r="M148" s="116"/>
      <c r="N148" s="116"/>
      <c r="O148" s="116"/>
      <c r="P148" s="116"/>
      <c r="Q148" s="116"/>
      <c r="R148" s="116"/>
    </row>
    <row r="149" spans="1:18" s="156" customFormat="1" ht="13.5">
      <c r="A149" s="373">
        <f t="shared" si="18"/>
        <v>3.5000000000000004</v>
      </c>
      <c r="B149" s="134" t="s">
        <v>272</v>
      </c>
      <c r="C149" s="134" t="s">
        <v>68</v>
      </c>
      <c r="D149" s="23" t="s">
        <v>63</v>
      </c>
      <c r="E149" s="23">
        <v>25.6</v>
      </c>
      <c r="F149" s="86"/>
      <c r="G149" s="23"/>
      <c r="H149" s="23"/>
      <c r="I149" s="23"/>
      <c r="J149" s="86"/>
      <c r="K149" s="23"/>
      <c r="L149" s="136"/>
      <c r="M149" s="116"/>
      <c r="N149" s="116"/>
      <c r="O149" s="116"/>
      <c r="P149" s="116"/>
      <c r="Q149" s="116"/>
      <c r="R149" s="116"/>
    </row>
    <row r="150" spans="1:18" s="116" customFormat="1" ht="33" customHeight="1">
      <c r="A150" s="380">
        <v>4</v>
      </c>
      <c r="B150" s="283" t="s">
        <v>319</v>
      </c>
      <c r="C150" s="283" t="s">
        <v>320</v>
      </c>
      <c r="D150" s="299" t="s">
        <v>63</v>
      </c>
      <c r="E150" s="203">
        <v>1</v>
      </c>
      <c r="F150" s="86"/>
      <c r="G150" s="23"/>
      <c r="H150" s="23"/>
      <c r="I150" s="23"/>
      <c r="J150" s="86"/>
      <c r="K150" s="23"/>
      <c r="L150" s="299"/>
    </row>
    <row r="151" spans="1:18" s="156" customFormat="1" ht="27">
      <c r="A151" s="380">
        <v>5</v>
      </c>
      <c r="B151" s="283" t="s">
        <v>321</v>
      </c>
      <c r="C151" s="283" t="s">
        <v>92</v>
      </c>
      <c r="D151" s="23"/>
      <c r="E151" s="307">
        <v>2</v>
      </c>
      <c r="F151" s="86"/>
      <c r="G151" s="23"/>
      <c r="H151" s="23"/>
      <c r="I151" s="23"/>
      <c r="J151" s="86"/>
      <c r="K151" s="23"/>
      <c r="L151" s="299"/>
      <c r="M151" s="116"/>
      <c r="N151" s="116"/>
      <c r="O151" s="116"/>
      <c r="P151" s="116"/>
      <c r="Q151" s="116"/>
      <c r="R151" s="116"/>
    </row>
    <row r="152" spans="1:18" s="156" customFormat="1" ht="13.5">
      <c r="A152" s="372">
        <f>A151+0.1</f>
        <v>5.0999999999999996</v>
      </c>
      <c r="B152" s="134" t="s">
        <v>30</v>
      </c>
      <c r="C152" s="134" t="s">
        <v>78</v>
      </c>
      <c r="D152" s="135" t="s">
        <v>63</v>
      </c>
      <c r="E152" s="313">
        <v>2</v>
      </c>
      <c r="F152" s="347"/>
      <c r="G152" s="136"/>
      <c r="H152" s="23"/>
      <c r="I152" s="313"/>
      <c r="J152" s="347"/>
      <c r="K152" s="136"/>
      <c r="L152" s="135"/>
      <c r="M152" s="116"/>
      <c r="N152" s="116"/>
      <c r="O152" s="116"/>
      <c r="P152" s="116"/>
      <c r="Q152" s="116"/>
      <c r="R152" s="116"/>
    </row>
    <row r="153" spans="1:18">
      <c r="A153" s="373">
        <f>A152+0.1</f>
        <v>5.1999999999999993</v>
      </c>
      <c r="B153" s="343" t="s">
        <v>273</v>
      </c>
      <c r="C153" s="343" t="s">
        <v>136</v>
      </c>
      <c r="D153" s="344" t="s">
        <v>63</v>
      </c>
      <c r="E153" s="344">
        <v>13.48</v>
      </c>
      <c r="F153" s="344"/>
      <c r="G153" s="344"/>
      <c r="H153" s="331"/>
      <c r="I153" s="331"/>
      <c r="J153" s="331"/>
      <c r="K153" s="330"/>
      <c r="L153" s="136"/>
      <c r="O153" s="116">
        <f>E153*0.6</f>
        <v>8.0879999999999992</v>
      </c>
      <c r="Q153" s="382"/>
      <c r="R153" s="382"/>
    </row>
    <row r="154" spans="1:18">
      <c r="A154" s="373">
        <f t="shared" ref="A154:A156" si="19">A153+0.1</f>
        <v>5.2999999999999989</v>
      </c>
      <c r="B154" s="343" t="s">
        <v>274</v>
      </c>
      <c r="C154" s="343" t="s">
        <v>21</v>
      </c>
      <c r="D154" s="344" t="s">
        <v>63</v>
      </c>
      <c r="E154" s="344">
        <v>0.5</v>
      </c>
      <c r="F154" s="344"/>
      <c r="G154" s="344"/>
      <c r="H154" s="331"/>
      <c r="I154" s="331"/>
      <c r="J154" s="331"/>
      <c r="K154" s="330"/>
      <c r="L154" s="136"/>
      <c r="M154" s="382"/>
      <c r="N154" s="382"/>
      <c r="O154" s="383">
        <f>E154</f>
        <v>0.5</v>
      </c>
      <c r="P154" s="382"/>
    </row>
    <row r="155" spans="1:18">
      <c r="A155" s="373">
        <f t="shared" si="19"/>
        <v>5.3999999999999986</v>
      </c>
      <c r="B155" s="343" t="s">
        <v>275</v>
      </c>
      <c r="C155" s="343" t="s">
        <v>21</v>
      </c>
      <c r="D155" s="344" t="s">
        <v>63</v>
      </c>
      <c r="E155" s="344">
        <v>0.65</v>
      </c>
      <c r="F155" s="344"/>
      <c r="G155" s="344"/>
      <c r="H155" s="331"/>
      <c r="I155" s="331"/>
      <c r="J155" s="331"/>
      <c r="K155" s="330"/>
      <c r="L155" s="136"/>
      <c r="O155" s="383">
        <f>E155</f>
        <v>0.65</v>
      </c>
    </row>
    <row r="156" spans="1:18">
      <c r="A156" s="373">
        <f t="shared" si="19"/>
        <v>5.4999999999999982</v>
      </c>
      <c r="B156" s="343" t="s">
        <v>276</v>
      </c>
      <c r="C156" s="343" t="s">
        <v>78</v>
      </c>
      <c r="D156" s="344" t="s">
        <v>63</v>
      </c>
      <c r="E156" s="344">
        <v>2</v>
      </c>
      <c r="F156" s="344"/>
      <c r="G156" s="344"/>
      <c r="H156" s="331"/>
      <c r="I156" s="331"/>
      <c r="J156" s="331"/>
      <c r="K156" s="330"/>
      <c r="L156" s="136"/>
      <c r="O156" s="119">
        <f>SUM(O146:O155)</f>
        <v>14.651499999999999</v>
      </c>
    </row>
    <row r="157" spans="1:18" ht="15.75">
      <c r="A157" s="339">
        <f>A151+1</f>
        <v>6</v>
      </c>
      <c r="B157" s="283" t="s">
        <v>251</v>
      </c>
      <c r="C157" s="283" t="s">
        <v>228</v>
      </c>
      <c r="D157" s="299"/>
      <c r="E157" s="299">
        <f>O156</f>
        <v>14.651499999999999</v>
      </c>
      <c r="F157" s="307"/>
      <c r="G157" s="299"/>
      <c r="H157" s="299"/>
      <c r="I157" s="299"/>
      <c r="J157" s="307"/>
      <c r="K157" s="299"/>
      <c r="L157" s="299"/>
      <c r="Q157" s="320"/>
      <c r="R157" s="287"/>
    </row>
    <row r="158" spans="1:18">
      <c r="A158" s="284">
        <f t="shared" ref="A158:A161" si="20">A157+0.1</f>
        <v>6.1</v>
      </c>
      <c r="B158" s="284" t="s">
        <v>72</v>
      </c>
      <c r="C158" s="284" t="s">
        <v>16</v>
      </c>
      <c r="D158" s="349">
        <v>0.68</v>
      </c>
      <c r="E158" s="23">
        <f>E157*D158</f>
        <v>9.9630200000000002</v>
      </c>
      <c r="F158" s="86"/>
      <c r="G158" s="23"/>
      <c r="H158" s="23"/>
      <c r="I158" s="23"/>
      <c r="J158" s="86"/>
      <c r="K158" s="23"/>
      <c r="L158" s="23"/>
      <c r="Q158" s="320"/>
      <c r="R158" s="287"/>
    </row>
    <row r="159" spans="1:18">
      <c r="A159" s="373">
        <f t="shared" si="20"/>
        <v>6.1999999999999993</v>
      </c>
      <c r="B159" s="284" t="s">
        <v>73</v>
      </c>
      <c r="C159" s="284" t="s">
        <v>17</v>
      </c>
      <c r="D159" s="352">
        <v>2.9999999999999997E-4</v>
      </c>
      <c r="E159" s="23">
        <f>D159*E157</f>
        <v>4.3954499999999995E-3</v>
      </c>
      <c r="F159" s="23"/>
      <c r="G159" s="23"/>
      <c r="H159" s="23"/>
      <c r="I159" s="23"/>
      <c r="J159" s="23"/>
      <c r="K159" s="23"/>
      <c r="L159" s="23"/>
    </row>
    <row r="160" spans="1:18">
      <c r="A160" s="312">
        <f t="shared" si="20"/>
        <v>6.2999999999999989</v>
      </c>
      <c r="B160" s="284" t="s">
        <v>252</v>
      </c>
      <c r="C160" s="284" t="s">
        <v>52</v>
      </c>
      <c r="D160" s="349">
        <v>0.28000000000000003</v>
      </c>
      <c r="E160" s="23">
        <f>D160*E157</f>
        <v>4.1024200000000004</v>
      </c>
      <c r="F160" s="86"/>
      <c r="G160" s="23"/>
      <c r="H160" s="23"/>
      <c r="I160" s="23"/>
      <c r="J160" s="86"/>
      <c r="K160" s="23"/>
      <c r="L160" s="23"/>
      <c r="Q160" s="320"/>
      <c r="R160" s="287"/>
    </row>
    <row r="161" spans="1:18">
      <c r="A161" s="312">
        <f t="shared" si="20"/>
        <v>6.3999999999999986</v>
      </c>
      <c r="B161" s="284" t="s">
        <v>41</v>
      </c>
      <c r="C161" s="284" t="s">
        <v>17</v>
      </c>
      <c r="D161" s="349">
        <v>1.9E-3</v>
      </c>
      <c r="E161" s="23">
        <f>D161*E157</f>
        <v>2.7837849999999997E-2</v>
      </c>
      <c r="F161" s="86"/>
      <c r="G161" s="23"/>
      <c r="H161" s="23"/>
      <c r="I161" s="23"/>
      <c r="J161" s="86"/>
      <c r="K161" s="23"/>
      <c r="L161" s="23"/>
      <c r="Q161" s="320"/>
      <c r="R161" s="287"/>
    </row>
    <row r="162" spans="1:18">
      <c r="A162" s="315"/>
      <c r="B162" s="316" t="s">
        <v>25</v>
      </c>
      <c r="C162" s="315"/>
      <c r="D162" s="315"/>
      <c r="E162" s="317"/>
      <c r="F162" s="317"/>
      <c r="G162" s="324"/>
      <c r="H162" s="315"/>
      <c r="I162" s="324"/>
      <c r="J162" s="317"/>
      <c r="K162" s="324"/>
      <c r="L162" s="319"/>
      <c r="M162" s="384"/>
      <c r="P162" s="119"/>
      <c r="Q162" s="320"/>
      <c r="R162" s="417"/>
    </row>
    <row r="163" spans="1:18">
      <c r="A163" s="315"/>
      <c r="B163" s="321" t="s">
        <v>128</v>
      </c>
      <c r="C163" s="322" t="s">
        <v>17</v>
      </c>
      <c r="D163" s="323" t="s">
        <v>324</v>
      </c>
      <c r="E163" s="317"/>
      <c r="F163" s="317"/>
      <c r="G163" s="315"/>
      <c r="H163" s="315"/>
      <c r="I163" s="318"/>
      <c r="J163" s="317"/>
      <c r="K163" s="318"/>
      <c r="L163" s="324"/>
      <c r="M163" s="119"/>
      <c r="N163" s="405"/>
      <c r="Q163" s="320"/>
      <c r="R163" s="287"/>
    </row>
    <row r="164" spans="1:18">
      <c r="A164" s="315"/>
      <c r="B164" s="315" t="s">
        <v>129</v>
      </c>
      <c r="C164" s="317" t="s">
        <v>17</v>
      </c>
      <c r="D164" s="321"/>
      <c r="E164" s="317"/>
      <c r="F164" s="317"/>
      <c r="G164" s="315"/>
      <c r="H164" s="315"/>
      <c r="I164" s="318"/>
      <c r="J164" s="317"/>
      <c r="K164" s="318"/>
      <c r="L164" s="319"/>
      <c r="Q164" s="320"/>
      <c r="R164" s="287"/>
    </row>
    <row r="165" spans="1:18">
      <c r="A165" s="315"/>
      <c r="B165" s="321" t="s">
        <v>130</v>
      </c>
      <c r="C165" s="322" t="s">
        <v>17</v>
      </c>
      <c r="D165" s="323" t="s">
        <v>324</v>
      </c>
      <c r="E165" s="317"/>
      <c r="F165" s="317"/>
      <c r="G165" s="315"/>
      <c r="H165" s="315"/>
      <c r="I165" s="318"/>
      <c r="J165" s="317"/>
      <c r="K165" s="318"/>
      <c r="L165" s="324"/>
      <c r="Q165" s="320"/>
      <c r="R165" s="287"/>
    </row>
    <row r="166" spans="1:18">
      <c r="A166" s="315"/>
      <c r="B166" s="316" t="s">
        <v>25</v>
      </c>
      <c r="C166" s="315"/>
      <c r="D166" s="315"/>
      <c r="E166" s="317"/>
      <c r="F166" s="317"/>
      <c r="G166" s="360"/>
      <c r="H166" s="321"/>
      <c r="I166" s="318"/>
      <c r="J166" s="317"/>
      <c r="K166" s="318"/>
      <c r="L166" s="319"/>
      <c r="Q166" s="320"/>
      <c r="R166" s="287"/>
    </row>
    <row r="167" spans="1:18">
      <c r="K167" s="320"/>
    </row>
    <row r="168" spans="1:18">
      <c r="Q168" s="119"/>
      <c r="R168" s="399"/>
    </row>
  </sheetData>
  <mergeCells count="11">
    <mergeCell ref="A2:L2"/>
    <mergeCell ref="L4:L5"/>
    <mergeCell ref="A1:L1"/>
    <mergeCell ref="A4:A5"/>
    <mergeCell ref="B4:B5"/>
    <mergeCell ref="C4:C5"/>
    <mergeCell ref="D4:E4"/>
    <mergeCell ref="F4:G4"/>
    <mergeCell ref="H4:I4"/>
    <mergeCell ref="J4:K4"/>
    <mergeCell ref="A3:G3"/>
  </mergeCells>
  <printOptions horizontalCentered="1"/>
  <pageMargins left="0" right="0" top="0.75" bottom="0.75" header="0.3" footer="0.3"/>
  <pageSetup paperSize="9" scale="8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view="pageBreakPreview" zoomScale="85" zoomScaleNormal="100" zoomScaleSheetLayoutView="85" workbookViewId="0">
      <selection activeCell="A3" sqref="A3:C3"/>
    </sheetView>
  </sheetViews>
  <sheetFormatPr defaultRowHeight="15"/>
  <cols>
    <col min="1" max="1" width="7.140625" style="271" customWidth="1"/>
    <col min="2" max="2" width="37.28515625" customWidth="1"/>
    <col min="3" max="3" width="9.42578125" customWidth="1"/>
    <col min="4" max="4" width="7.42578125" customWidth="1"/>
    <col min="5" max="5" width="10.28515625" customWidth="1"/>
    <col min="8" max="8" width="5" customWidth="1"/>
    <col min="9" max="9" width="8.5703125" customWidth="1"/>
    <col min="10" max="10" width="6.85546875" customWidth="1"/>
    <col min="11" max="11" width="8.85546875" customWidth="1"/>
    <col min="12" max="12" width="11.5703125" customWidth="1"/>
    <col min="13" max="16" width="9.140625" customWidth="1"/>
    <col min="17" max="17" width="2.140625" customWidth="1"/>
    <col min="18" max="18" width="9.140625" customWidth="1"/>
  </cols>
  <sheetData>
    <row r="1" spans="1:12" ht="45" customHeight="1">
      <c r="A1" s="456" t="str">
        <f>თავფურელი!C11</f>
        <v>dmanisis raioni, sofeli amamlo, skveris da sportuli moednis mowyoba</v>
      </c>
      <c r="B1" s="456"/>
      <c r="C1" s="456"/>
      <c r="D1" s="456"/>
      <c r="E1" s="456"/>
      <c r="F1" s="456"/>
      <c r="G1" s="456"/>
      <c r="H1" s="457"/>
      <c r="I1" s="457"/>
      <c r="J1" s="457"/>
      <c r="K1" s="457"/>
      <c r="L1" s="457"/>
    </row>
    <row r="2" spans="1:12" s="200" customFormat="1" ht="25.5" customHeight="1">
      <c r="A2" s="456" t="s">
        <v>290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2">
      <c r="A3" s="458"/>
      <c r="B3" s="458"/>
      <c r="C3" s="458"/>
      <c r="D3" s="1"/>
      <c r="E3" s="1"/>
      <c r="F3" s="1"/>
      <c r="G3" s="1"/>
      <c r="H3" s="1"/>
      <c r="I3" s="1"/>
      <c r="J3" s="1"/>
      <c r="K3" s="1"/>
      <c r="L3" s="1"/>
    </row>
    <row r="4" spans="1:12" ht="27" customHeight="1">
      <c r="A4" s="459" t="s">
        <v>0</v>
      </c>
      <c r="B4" s="452" t="s">
        <v>2</v>
      </c>
      <c r="C4" s="452" t="s">
        <v>3</v>
      </c>
      <c r="D4" s="463" t="s">
        <v>4</v>
      </c>
      <c r="E4" s="464"/>
      <c r="F4" s="452" t="s">
        <v>5</v>
      </c>
      <c r="G4" s="452"/>
      <c r="H4" s="452" t="s">
        <v>6</v>
      </c>
      <c r="I4" s="452"/>
      <c r="J4" s="452" t="s">
        <v>7</v>
      </c>
      <c r="K4" s="452"/>
      <c r="L4" s="452" t="s">
        <v>8</v>
      </c>
    </row>
    <row r="5" spans="1:12" ht="38.25">
      <c r="A5" s="459" t="s">
        <v>0</v>
      </c>
      <c r="B5" s="452" t="s">
        <v>9</v>
      </c>
      <c r="C5" s="462" t="s">
        <v>10</v>
      </c>
      <c r="D5" s="2" t="s">
        <v>11</v>
      </c>
      <c r="E5" s="2" t="s">
        <v>12</v>
      </c>
      <c r="F5" s="3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52" t="s">
        <v>14</v>
      </c>
    </row>
    <row r="6" spans="1:12">
      <c r="A6" s="246">
        <v>1</v>
      </c>
      <c r="B6" s="6">
        <v>3</v>
      </c>
      <c r="C6" s="6">
        <v>4</v>
      </c>
      <c r="D6" s="5">
        <v>5</v>
      </c>
      <c r="E6" s="5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</row>
    <row r="7" spans="1:12" s="200" customFormat="1" ht="24.75" customHeight="1">
      <c r="A7" s="477" t="s">
        <v>103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9"/>
    </row>
    <row r="8" spans="1:12" s="200" customFormat="1" ht="27">
      <c r="A8" s="124">
        <v>1</v>
      </c>
      <c r="B8" s="202" t="s">
        <v>169</v>
      </c>
      <c r="C8" s="202" t="s">
        <v>159</v>
      </c>
      <c r="D8" s="202"/>
      <c r="E8" s="223">
        <f>E17+E23</f>
        <v>22</v>
      </c>
      <c r="F8" s="215"/>
      <c r="G8" s="215"/>
      <c r="H8" s="215"/>
      <c r="I8" s="215"/>
      <c r="J8" s="215"/>
      <c r="K8" s="215"/>
      <c r="L8" s="215"/>
    </row>
    <row r="9" spans="1:12" s="200" customFormat="1">
      <c r="A9" s="256">
        <f>A8+0.1</f>
        <v>1.1000000000000001</v>
      </c>
      <c r="B9" s="163" t="s">
        <v>72</v>
      </c>
      <c r="C9" s="174" t="s">
        <v>16</v>
      </c>
      <c r="D9" s="79">
        <v>1.02</v>
      </c>
      <c r="E9" s="160">
        <f>D9*E8</f>
        <v>22.44</v>
      </c>
      <c r="F9" s="160"/>
      <c r="G9" s="160"/>
      <c r="H9" s="160"/>
      <c r="I9" s="160"/>
      <c r="J9" s="160"/>
      <c r="K9" s="160"/>
      <c r="L9" s="160"/>
    </row>
    <row r="10" spans="1:12" s="200" customFormat="1">
      <c r="A10" s="123">
        <f>A9+0.1</f>
        <v>1.2000000000000002</v>
      </c>
      <c r="B10" s="173" t="s">
        <v>160</v>
      </c>
      <c r="C10" s="173" t="s">
        <v>34</v>
      </c>
      <c r="D10" s="173">
        <v>1.9E-2</v>
      </c>
      <c r="E10" s="208">
        <f>D10*E8</f>
        <v>0.41799999999999998</v>
      </c>
      <c r="F10" s="165"/>
      <c r="G10" s="165"/>
      <c r="H10" s="165"/>
      <c r="I10" s="165"/>
      <c r="J10" s="165"/>
      <c r="K10" s="165"/>
      <c r="L10" s="165"/>
    </row>
    <row r="11" spans="1:12" s="200" customFormat="1">
      <c r="A11" s="123">
        <f t="shared" ref="A11" si="0">A10+0.1</f>
        <v>1.3000000000000003</v>
      </c>
      <c r="B11" s="173" t="s">
        <v>161</v>
      </c>
      <c r="C11" s="173" t="s">
        <v>34</v>
      </c>
      <c r="D11" s="173">
        <v>1.9E-2</v>
      </c>
      <c r="E11" s="208">
        <f>D11*E8</f>
        <v>0.41799999999999998</v>
      </c>
      <c r="F11" s="165"/>
      <c r="G11" s="165"/>
      <c r="H11" s="165"/>
      <c r="I11" s="165"/>
      <c r="J11" s="165"/>
      <c r="K11" s="165"/>
      <c r="L11" s="165"/>
    </row>
    <row r="12" spans="1:12" s="200" customFormat="1" ht="27">
      <c r="A12" s="252">
        <f>A11+0.1</f>
        <v>1.4000000000000004</v>
      </c>
      <c r="B12" s="204" t="s">
        <v>170</v>
      </c>
      <c r="C12" s="204" t="s">
        <v>71</v>
      </c>
      <c r="D12" s="204">
        <v>0.157</v>
      </c>
      <c r="E12" s="157">
        <f>D12*E8</f>
        <v>3.4540000000000002</v>
      </c>
      <c r="F12" s="125"/>
      <c r="G12" s="125"/>
      <c r="H12" s="125"/>
      <c r="I12" s="125"/>
      <c r="J12" s="125"/>
      <c r="K12" s="125"/>
      <c r="L12" s="125"/>
    </row>
    <row r="13" spans="1:12" s="200" customFormat="1" ht="27">
      <c r="A13" s="124">
        <f>A8+1</f>
        <v>2</v>
      </c>
      <c r="B13" s="202" t="s">
        <v>36</v>
      </c>
      <c r="C13" s="202" t="s">
        <v>39</v>
      </c>
      <c r="D13" s="203"/>
      <c r="E13" s="215">
        <f>(0.64*E17)+(0.125*E23)</f>
        <v>3.7800000000000002</v>
      </c>
      <c r="F13" s="215"/>
      <c r="G13" s="158"/>
      <c r="H13" s="158"/>
      <c r="I13" s="158"/>
      <c r="J13" s="158"/>
      <c r="K13" s="158"/>
      <c r="L13" s="217"/>
    </row>
    <row r="14" spans="1:12" s="200" customFormat="1">
      <c r="A14" s="252">
        <f>A13+0.1</f>
        <v>2.1</v>
      </c>
      <c r="B14" s="163" t="s">
        <v>30</v>
      </c>
      <c r="C14" s="163" t="s">
        <v>16</v>
      </c>
      <c r="D14" s="83">
        <v>0.87</v>
      </c>
      <c r="E14" s="160">
        <f>E13*D14</f>
        <v>3.2886000000000002</v>
      </c>
      <c r="F14" s="7"/>
      <c r="G14" s="7"/>
      <c r="H14" s="160"/>
      <c r="I14" s="160"/>
      <c r="J14" s="160"/>
      <c r="K14" s="160"/>
      <c r="L14" s="160"/>
    </row>
    <row r="15" spans="1:12" s="200" customFormat="1">
      <c r="A15" s="124">
        <f>A13+1</f>
        <v>3</v>
      </c>
      <c r="B15" s="202" t="s">
        <v>175</v>
      </c>
      <c r="C15" s="202" t="s">
        <v>19</v>
      </c>
      <c r="D15" s="203"/>
      <c r="E15" s="215">
        <f>E13*1.85</f>
        <v>6.9930000000000012</v>
      </c>
      <c r="F15" s="215"/>
      <c r="G15" s="158"/>
      <c r="H15" s="158"/>
      <c r="I15" s="158"/>
      <c r="J15" s="158"/>
      <c r="K15" s="158"/>
      <c r="L15" s="217"/>
    </row>
    <row r="16" spans="1:12" s="200" customFormat="1">
      <c r="A16" s="123">
        <f>A15+0.1</f>
        <v>3.1</v>
      </c>
      <c r="B16" s="173" t="s">
        <v>162</v>
      </c>
      <c r="C16" s="173" t="s">
        <v>19</v>
      </c>
      <c r="D16" s="173">
        <v>1</v>
      </c>
      <c r="E16" s="209">
        <f>E15*D16</f>
        <v>6.9930000000000012</v>
      </c>
      <c r="F16" s="206"/>
      <c r="G16" s="206"/>
      <c r="H16" s="209"/>
      <c r="I16" s="209"/>
      <c r="J16" s="209"/>
      <c r="K16" s="209"/>
      <c r="L16" s="209"/>
    </row>
    <row r="17" spans="1:13" s="200" customFormat="1" ht="27">
      <c r="A17" s="124">
        <f>A15+1</f>
        <v>4</v>
      </c>
      <c r="B17" s="202" t="s">
        <v>174</v>
      </c>
      <c r="C17" s="202" t="s">
        <v>159</v>
      </c>
      <c r="D17" s="202"/>
      <c r="E17" s="203">
        <f>SUM(E21:E21)</f>
        <v>2</v>
      </c>
      <c r="F17" s="215"/>
      <c r="G17" s="215"/>
      <c r="H17" s="215"/>
      <c r="I17" s="215"/>
      <c r="J17" s="215"/>
      <c r="K17" s="215"/>
      <c r="L17" s="215"/>
    </row>
    <row r="18" spans="1:13" s="200" customFormat="1">
      <c r="A18" s="256">
        <f>A17+0.1</f>
        <v>4.0999999999999996</v>
      </c>
      <c r="B18" s="163" t="s">
        <v>72</v>
      </c>
      <c r="C18" s="174" t="s">
        <v>16</v>
      </c>
      <c r="D18" s="163">
        <v>1</v>
      </c>
      <c r="E18" s="160">
        <f>D18*E17</f>
        <v>2</v>
      </c>
      <c r="F18" s="160"/>
      <c r="G18" s="160"/>
      <c r="H18" s="160"/>
      <c r="I18" s="160"/>
      <c r="J18" s="160"/>
      <c r="K18" s="160"/>
      <c r="L18" s="160"/>
    </row>
    <row r="19" spans="1:13" s="200" customFormat="1">
      <c r="A19" s="123">
        <f>A18+0.1</f>
        <v>4.1999999999999993</v>
      </c>
      <c r="B19" s="173" t="s">
        <v>171</v>
      </c>
      <c r="C19" s="173" t="s">
        <v>34</v>
      </c>
      <c r="D19" s="173">
        <v>0.03</v>
      </c>
      <c r="E19" s="208">
        <f>D19*E17</f>
        <v>0.06</v>
      </c>
      <c r="F19" s="165"/>
      <c r="G19" s="165"/>
      <c r="H19" s="165"/>
      <c r="I19" s="165"/>
      <c r="J19" s="165"/>
      <c r="K19" s="165"/>
      <c r="L19" s="165"/>
    </row>
    <row r="20" spans="1:13" s="200" customFormat="1">
      <c r="A20" s="123">
        <f>A19+0.1</f>
        <v>4.2999999999999989</v>
      </c>
      <c r="B20" s="173" t="s">
        <v>172</v>
      </c>
      <c r="C20" s="173" t="s">
        <v>34</v>
      </c>
      <c r="D20" s="173">
        <v>0.112</v>
      </c>
      <c r="E20" s="208">
        <f>D20*E17</f>
        <v>0.224</v>
      </c>
      <c r="F20" s="165"/>
      <c r="G20" s="165"/>
      <c r="H20" s="165"/>
      <c r="I20" s="165"/>
      <c r="J20" s="165"/>
      <c r="K20" s="165"/>
      <c r="L20" s="165"/>
    </row>
    <row r="21" spans="1:13" s="200" customFormat="1" ht="33" customHeight="1">
      <c r="A21" s="257">
        <f>A20+0.1</f>
        <v>4.3999999999999986</v>
      </c>
      <c r="B21" s="166" t="s">
        <v>166</v>
      </c>
      <c r="C21" s="157" t="s">
        <v>22</v>
      </c>
      <c r="D21" s="166" t="s">
        <v>59</v>
      </c>
      <c r="E21" s="166">
        <v>2</v>
      </c>
      <c r="F21" s="166"/>
      <c r="G21" s="22"/>
      <c r="H21" s="22"/>
      <c r="I21" s="22"/>
      <c r="J21" s="22"/>
      <c r="K21" s="22"/>
      <c r="L21" s="22"/>
      <c r="M21" s="230"/>
    </row>
    <row r="22" spans="1:13" s="200" customFormat="1" ht="22.5" customHeight="1">
      <c r="A22" s="257">
        <f>A21+0.1</f>
        <v>4.4999999999999982</v>
      </c>
      <c r="B22" s="204" t="s">
        <v>142</v>
      </c>
      <c r="C22" s="204" t="s">
        <v>71</v>
      </c>
      <c r="D22" s="204">
        <v>0.107</v>
      </c>
      <c r="E22" s="204">
        <f>D22*E17</f>
        <v>0.214</v>
      </c>
      <c r="F22" s="125"/>
      <c r="G22" s="125"/>
      <c r="H22" s="125"/>
      <c r="I22" s="125"/>
      <c r="J22" s="125"/>
      <c r="K22" s="125"/>
      <c r="L22" s="125"/>
    </row>
    <row r="23" spans="1:13" s="200" customFormat="1" ht="27">
      <c r="A23" s="124">
        <f>A17+1</f>
        <v>5</v>
      </c>
      <c r="B23" s="202" t="s">
        <v>173</v>
      </c>
      <c r="C23" s="202" t="s">
        <v>159</v>
      </c>
      <c r="D23" s="202"/>
      <c r="E23" s="203">
        <f>SUM(E25:E25)</f>
        <v>20</v>
      </c>
      <c r="F23" s="203"/>
      <c r="G23" s="215"/>
      <c r="H23" s="215"/>
      <c r="I23" s="215"/>
      <c r="J23" s="215"/>
      <c r="K23" s="215"/>
      <c r="L23" s="215"/>
    </row>
    <row r="24" spans="1:13" s="200" customFormat="1">
      <c r="A24" s="256">
        <f>A23+0.1</f>
        <v>5.0999999999999996</v>
      </c>
      <c r="B24" s="163" t="s">
        <v>72</v>
      </c>
      <c r="C24" s="174" t="s">
        <v>16</v>
      </c>
      <c r="D24" s="79">
        <v>9.0999999999999998E-2</v>
      </c>
      <c r="E24" s="163">
        <f>D24*E23</f>
        <v>1.8199999999999998</v>
      </c>
      <c r="F24" s="163"/>
      <c r="G24" s="160"/>
      <c r="H24" s="160"/>
      <c r="I24" s="160"/>
      <c r="J24" s="160"/>
      <c r="K24" s="160"/>
      <c r="L24" s="160"/>
    </row>
    <row r="25" spans="1:13" s="200" customFormat="1" ht="19.5" customHeight="1">
      <c r="A25" s="257">
        <f t="shared" ref="A25:A26" si="1">A24+0.1</f>
        <v>5.1999999999999993</v>
      </c>
      <c r="B25" s="166" t="s">
        <v>167</v>
      </c>
      <c r="C25" s="157" t="s">
        <v>22</v>
      </c>
      <c r="D25" s="166" t="s">
        <v>59</v>
      </c>
      <c r="E25" s="166">
        <v>20</v>
      </c>
      <c r="F25" s="125"/>
      <c r="G25" s="22"/>
      <c r="H25" s="158"/>
      <c r="I25" s="158"/>
      <c r="J25" s="158"/>
      <c r="K25" s="158"/>
      <c r="L25" s="22"/>
    </row>
    <row r="26" spans="1:13" s="200" customFormat="1">
      <c r="A26" s="257">
        <f t="shared" si="1"/>
        <v>5.2999999999999989</v>
      </c>
      <c r="B26" s="204" t="s">
        <v>142</v>
      </c>
      <c r="C26" s="204" t="s">
        <v>71</v>
      </c>
      <c r="D26" s="204">
        <v>3.5999999999999997E-2</v>
      </c>
      <c r="E26" s="204">
        <f>D26*E23</f>
        <v>0.72</v>
      </c>
      <c r="F26" s="125"/>
      <c r="G26" s="125"/>
      <c r="H26" s="125"/>
      <c r="I26" s="125"/>
      <c r="J26" s="125"/>
      <c r="K26" s="125"/>
      <c r="L26" s="125"/>
    </row>
    <row r="27" spans="1:13" s="200" customFormat="1" ht="27">
      <c r="A27" s="124">
        <f>A23+1</f>
        <v>6</v>
      </c>
      <c r="B27" s="202" t="s">
        <v>176</v>
      </c>
      <c r="C27" s="202" t="s">
        <v>77</v>
      </c>
      <c r="D27" s="91"/>
      <c r="E27" s="91">
        <v>29</v>
      </c>
      <c r="F27" s="91"/>
      <c r="G27" s="239"/>
      <c r="H27" s="240"/>
      <c r="I27" s="239"/>
      <c r="J27" s="240"/>
      <c r="K27" s="239"/>
      <c r="L27" s="10"/>
    </row>
    <row r="28" spans="1:13" s="200" customFormat="1">
      <c r="A28" s="257">
        <f>A27+0.1</f>
        <v>6.1</v>
      </c>
      <c r="B28" s="163" t="s">
        <v>72</v>
      </c>
      <c r="C28" s="174" t="s">
        <v>16</v>
      </c>
      <c r="D28" s="83">
        <v>0.38300000000000001</v>
      </c>
      <c r="E28" s="163">
        <f>D28*E27</f>
        <v>11.106999999999999</v>
      </c>
      <c r="F28" s="163"/>
      <c r="G28" s="160"/>
      <c r="H28" s="160"/>
      <c r="I28" s="160"/>
      <c r="J28" s="160"/>
      <c r="K28" s="160"/>
      <c r="L28" s="160"/>
    </row>
    <row r="29" spans="1:13" s="200" customFormat="1" ht="40.5">
      <c r="A29" s="257">
        <f>A28+0.1</f>
        <v>6.1999999999999993</v>
      </c>
      <c r="B29" s="204" t="s">
        <v>177</v>
      </c>
      <c r="C29" s="2" t="s">
        <v>178</v>
      </c>
      <c r="D29" s="2">
        <v>0.15</v>
      </c>
      <c r="E29" s="2">
        <f>D29*E27</f>
        <v>4.3499999999999996</v>
      </c>
      <c r="F29" s="421"/>
      <c r="G29" s="158"/>
      <c r="H29" s="162"/>
      <c r="I29" s="160"/>
      <c r="J29" s="162"/>
      <c r="K29" s="160"/>
      <c r="L29" s="241"/>
    </row>
    <row r="30" spans="1:13" s="200" customFormat="1" ht="27">
      <c r="A30" s="124">
        <f>A27+1</f>
        <v>7</v>
      </c>
      <c r="B30" s="202" t="s">
        <v>179</v>
      </c>
      <c r="C30" s="202"/>
      <c r="D30" s="202"/>
      <c r="E30" s="202">
        <f>E27</f>
        <v>29</v>
      </c>
      <c r="F30" s="421"/>
      <c r="G30" s="158"/>
      <c r="H30" s="216"/>
      <c r="I30" s="215"/>
      <c r="J30" s="216"/>
      <c r="K30" s="215"/>
      <c r="L30" s="241"/>
    </row>
    <row r="31" spans="1:13" s="200" customFormat="1">
      <c r="A31" s="256">
        <f>A30+0.1</f>
        <v>7.1</v>
      </c>
      <c r="B31" s="163" t="s">
        <v>72</v>
      </c>
      <c r="C31" s="174" t="s">
        <v>16</v>
      </c>
      <c r="D31" s="79">
        <v>0.35</v>
      </c>
      <c r="E31" s="163">
        <f>D31*E30</f>
        <v>10.149999999999999</v>
      </c>
      <c r="F31" s="163"/>
      <c r="G31" s="160"/>
      <c r="H31" s="160"/>
      <c r="I31" s="160"/>
      <c r="J31" s="160"/>
      <c r="K31" s="160"/>
      <c r="L31" s="160"/>
    </row>
    <row r="32" spans="1:13" s="200" customFormat="1">
      <c r="A32" s="123">
        <f>A31+0.1</f>
        <v>7.1999999999999993</v>
      </c>
      <c r="B32" s="173" t="s">
        <v>171</v>
      </c>
      <c r="C32" s="173" t="s">
        <v>34</v>
      </c>
      <c r="D32" s="173">
        <v>2.5000000000000001E-2</v>
      </c>
      <c r="E32" s="173">
        <f>D32*E30</f>
        <v>0.72500000000000009</v>
      </c>
      <c r="F32" s="165"/>
      <c r="G32" s="165"/>
      <c r="H32" s="165"/>
      <c r="I32" s="165"/>
      <c r="J32" s="165"/>
      <c r="K32" s="165"/>
      <c r="L32" s="165"/>
    </row>
    <row r="33" spans="1:12" s="200" customFormat="1">
      <c r="A33" s="257">
        <f>A32+0.1</f>
        <v>7.2999999999999989</v>
      </c>
      <c r="B33" s="204" t="s">
        <v>180</v>
      </c>
      <c r="C33" s="204" t="s">
        <v>21</v>
      </c>
      <c r="D33" s="2">
        <v>1</v>
      </c>
      <c r="E33" s="2">
        <f>D33*E30</f>
        <v>29</v>
      </c>
      <c r="F33" s="421"/>
      <c r="G33" s="158"/>
      <c r="H33" s="162"/>
      <c r="I33" s="160"/>
      <c r="J33" s="162"/>
      <c r="K33" s="160"/>
      <c r="L33" s="241"/>
    </row>
    <row r="34" spans="1:12" s="200" customFormat="1">
      <c r="A34" s="257">
        <f t="shared" ref="A34" si="2">A33+0.1</f>
        <v>7.3999999999999986</v>
      </c>
      <c r="B34" s="204" t="s">
        <v>142</v>
      </c>
      <c r="C34" s="204" t="s">
        <v>71</v>
      </c>
      <c r="D34" s="204">
        <v>0.1</v>
      </c>
      <c r="E34" s="157">
        <f>D34*E30</f>
        <v>2.9000000000000004</v>
      </c>
      <c r="F34" s="125"/>
      <c r="G34" s="125"/>
      <c r="H34" s="125"/>
      <c r="I34" s="125"/>
      <c r="J34" s="125"/>
      <c r="K34" s="125"/>
      <c r="L34" s="125"/>
    </row>
    <row r="35" spans="1:12" s="200" customFormat="1" ht="24.75" customHeight="1">
      <c r="A35" s="477" t="s">
        <v>110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9"/>
    </row>
    <row r="36" spans="1:12" s="200" customFormat="1" ht="49.5" customHeight="1">
      <c r="A36" s="248">
        <v>1</v>
      </c>
      <c r="B36" s="100" t="s">
        <v>102</v>
      </c>
      <c r="C36" s="100" t="s">
        <v>68</v>
      </c>
      <c r="D36" s="98"/>
      <c r="E36" s="98">
        <f>E59+E84+E93+E27</f>
        <v>275.39999999999998</v>
      </c>
      <c r="F36" s="21"/>
      <c r="G36" s="21"/>
      <c r="H36" s="29"/>
      <c r="I36" s="29"/>
      <c r="J36" s="29"/>
      <c r="K36" s="29"/>
      <c r="L36" s="101"/>
    </row>
    <row r="37" spans="1:12" s="200" customFormat="1" ht="29.25" customHeight="1">
      <c r="A37" s="259">
        <v>1.1000000000000001</v>
      </c>
      <c r="B37" s="126" t="s">
        <v>15</v>
      </c>
      <c r="C37" s="126" t="s">
        <v>16</v>
      </c>
      <c r="D37" s="207">
        <v>0.216</v>
      </c>
      <c r="E37" s="225">
        <f>E36*D37</f>
        <v>59.486399999999996</v>
      </c>
      <c r="F37" s="126"/>
      <c r="G37" s="89"/>
      <c r="H37" s="163"/>
      <c r="I37" s="207"/>
      <c r="J37" s="126"/>
      <c r="K37" s="126"/>
      <c r="L37" s="207"/>
    </row>
    <row r="38" spans="1:12" s="200" customFormat="1" ht="28.5" customHeight="1">
      <c r="A38" s="15">
        <f>A36+1</f>
        <v>2</v>
      </c>
      <c r="B38" s="202" t="s">
        <v>28</v>
      </c>
      <c r="C38" s="202" t="s">
        <v>39</v>
      </c>
      <c r="D38" s="203"/>
      <c r="E38" s="234">
        <f>E40*0.1</f>
        <v>8.9600000000000009</v>
      </c>
      <c r="F38" s="203"/>
      <c r="G38" s="202"/>
      <c r="H38" s="202"/>
      <c r="I38" s="202"/>
      <c r="J38" s="202"/>
      <c r="K38" s="202"/>
      <c r="L38" s="203"/>
    </row>
    <row r="39" spans="1:12" s="200" customFormat="1" ht="23.25" customHeight="1">
      <c r="A39" s="252">
        <f>A38+0.1</f>
        <v>2.1</v>
      </c>
      <c r="B39" s="126" t="s">
        <v>15</v>
      </c>
      <c r="C39" s="126" t="s">
        <v>16</v>
      </c>
      <c r="D39" s="207">
        <v>2.06</v>
      </c>
      <c r="E39" s="225">
        <f>E38*D39</f>
        <v>18.457600000000003</v>
      </c>
      <c r="F39" s="126"/>
      <c r="G39" s="89"/>
      <c r="H39" s="163"/>
      <c r="I39" s="207"/>
      <c r="J39" s="126"/>
      <c r="K39" s="126"/>
      <c r="L39" s="207"/>
    </row>
    <row r="40" spans="1:12" s="200" customFormat="1" ht="48" customHeight="1">
      <c r="A40" s="178">
        <f>A38+1</f>
        <v>3</v>
      </c>
      <c r="B40" s="218" t="s">
        <v>29</v>
      </c>
      <c r="C40" s="218" t="s">
        <v>39</v>
      </c>
      <c r="D40" s="21"/>
      <c r="E40" s="235">
        <f>(E93+E84)*0.4</f>
        <v>89.600000000000009</v>
      </c>
      <c r="F40" s="21"/>
      <c r="G40" s="21"/>
      <c r="H40" s="92"/>
      <c r="I40" s="92"/>
      <c r="J40" s="92"/>
      <c r="K40" s="92"/>
      <c r="L40" s="21"/>
    </row>
    <row r="41" spans="1:12" s="200" customFormat="1" ht="24" customHeight="1">
      <c r="A41" s="257">
        <f>A40+0.1</f>
        <v>3.1</v>
      </c>
      <c r="B41" s="163" t="s">
        <v>30</v>
      </c>
      <c r="C41" s="163" t="s">
        <v>16</v>
      </c>
      <c r="D41" s="79">
        <v>9.9599999999999994E-2</v>
      </c>
      <c r="E41" s="227">
        <f>D41*E40</f>
        <v>8.9241600000000005</v>
      </c>
      <c r="F41" s="92"/>
      <c r="G41" s="92"/>
      <c r="H41" s="163"/>
      <c r="I41" s="102"/>
      <c r="J41" s="92"/>
      <c r="K41" s="92"/>
      <c r="L41" s="102"/>
    </row>
    <row r="42" spans="1:12" s="200" customFormat="1" ht="24" customHeight="1">
      <c r="A42" s="252">
        <f>A41+0.1</f>
        <v>3.2</v>
      </c>
      <c r="B42" s="173" t="s">
        <v>31</v>
      </c>
      <c r="C42" s="173" t="s">
        <v>17</v>
      </c>
      <c r="D42" s="84">
        <v>0.223</v>
      </c>
      <c r="E42" s="224">
        <f>D42*E40</f>
        <v>19.980800000000002</v>
      </c>
      <c r="F42" s="207"/>
      <c r="G42" s="207"/>
      <c r="H42" s="165"/>
      <c r="I42" s="165"/>
      <c r="J42" s="165"/>
      <c r="K42" s="165"/>
      <c r="L42" s="165"/>
    </row>
    <row r="43" spans="1:12" s="200" customFormat="1" ht="40.5" customHeight="1">
      <c r="A43" s="15">
        <f>A40+1</f>
        <v>4</v>
      </c>
      <c r="B43" s="202" t="s">
        <v>32</v>
      </c>
      <c r="C43" s="202" t="s">
        <v>39</v>
      </c>
      <c r="D43" s="19"/>
      <c r="E43" s="223">
        <f>E40</f>
        <v>89.600000000000009</v>
      </c>
      <c r="F43" s="203"/>
      <c r="G43" s="127"/>
      <c r="H43" s="127"/>
      <c r="I43" s="127"/>
      <c r="J43" s="127"/>
      <c r="K43" s="127"/>
      <c r="L43" s="21"/>
    </row>
    <row r="44" spans="1:12" s="200" customFormat="1" ht="21" customHeight="1">
      <c r="A44" s="252">
        <f>A43+0.1</f>
        <v>4.0999999999999996</v>
      </c>
      <c r="B44" s="163" t="s">
        <v>30</v>
      </c>
      <c r="C44" s="163" t="s">
        <v>16</v>
      </c>
      <c r="D44" s="83">
        <f>20/1000</f>
        <v>0.02</v>
      </c>
      <c r="E44" s="227">
        <f>E43*D44</f>
        <v>1.7920000000000003</v>
      </c>
      <c r="F44" s="128"/>
      <c r="G44" s="128"/>
      <c r="H44" s="207"/>
      <c r="I44" s="163"/>
      <c r="J44" s="163"/>
      <c r="K44" s="163"/>
      <c r="L44" s="163"/>
    </row>
    <row r="45" spans="1:12" s="200" customFormat="1" ht="21" customHeight="1">
      <c r="A45" s="252">
        <f>A44+0.1</f>
        <v>4.1999999999999993</v>
      </c>
      <c r="B45" s="173" t="s">
        <v>33</v>
      </c>
      <c r="C45" s="173" t="s">
        <v>34</v>
      </c>
      <c r="D45" s="238">
        <f>44.8/1000</f>
        <v>4.48E-2</v>
      </c>
      <c r="E45" s="224">
        <f>D45*E43</f>
        <v>4.0140800000000008</v>
      </c>
      <c r="F45" s="125"/>
      <c r="G45" s="125"/>
      <c r="H45" s="165"/>
      <c r="I45" s="165"/>
      <c r="J45" s="165"/>
      <c r="K45" s="165"/>
      <c r="L45" s="165"/>
    </row>
    <row r="46" spans="1:12" s="200" customFormat="1" ht="21.75" customHeight="1">
      <c r="A46" s="252">
        <f>A45+0.1</f>
        <v>4.2999999999999989</v>
      </c>
      <c r="B46" s="173" t="s">
        <v>35</v>
      </c>
      <c r="C46" s="173" t="s">
        <v>17</v>
      </c>
      <c r="D46" s="84">
        <f>2.09/1000</f>
        <v>2.0899999999999998E-3</v>
      </c>
      <c r="E46" s="224">
        <f>D46*E43</f>
        <v>0.18726400000000001</v>
      </c>
      <c r="F46" s="207"/>
      <c r="G46" s="207"/>
      <c r="H46" s="165"/>
      <c r="I46" s="165"/>
      <c r="J46" s="165"/>
      <c r="K46" s="165"/>
      <c r="L46" s="165"/>
    </row>
    <row r="47" spans="1:12" s="200" customFormat="1" ht="21.75" customHeight="1">
      <c r="A47" s="252">
        <f>A46+0.1</f>
        <v>4.3999999999999986</v>
      </c>
      <c r="B47" s="161" t="s">
        <v>152</v>
      </c>
      <c r="C47" s="161" t="s">
        <v>39</v>
      </c>
      <c r="D47" s="153">
        <f>0.03/1000</f>
        <v>2.9999999999999997E-5</v>
      </c>
      <c r="E47" s="212">
        <f>E43*D47</f>
        <v>2.6879999999999999E-3</v>
      </c>
      <c r="F47" s="125"/>
      <c r="G47" s="125"/>
      <c r="H47" s="166"/>
      <c r="I47" s="166"/>
      <c r="J47" s="166"/>
      <c r="K47" s="166"/>
      <c r="L47" s="166"/>
    </row>
    <row r="48" spans="1:12" s="200" customFormat="1" ht="27" customHeight="1">
      <c r="A48" s="15">
        <f>A43+1</f>
        <v>5</v>
      </c>
      <c r="B48" s="202" t="s">
        <v>36</v>
      </c>
      <c r="C48" s="202" t="s">
        <v>121</v>
      </c>
      <c r="D48" s="203"/>
      <c r="E48" s="223">
        <f>E38</f>
        <v>8.9600000000000009</v>
      </c>
      <c r="F48" s="203"/>
      <c r="G48" s="204"/>
      <c r="H48" s="204"/>
      <c r="I48" s="204"/>
      <c r="J48" s="204"/>
      <c r="K48" s="204"/>
      <c r="L48" s="21"/>
    </row>
    <row r="49" spans="1:13" s="200" customFormat="1" ht="24" customHeight="1">
      <c r="A49" s="252">
        <f>A48+0.1</f>
        <v>5.0999999999999996</v>
      </c>
      <c r="B49" s="160" t="s">
        <v>30</v>
      </c>
      <c r="C49" s="160" t="s">
        <v>16</v>
      </c>
      <c r="D49" s="17">
        <v>0.87</v>
      </c>
      <c r="E49" s="227">
        <f>E48*D49</f>
        <v>7.7952000000000004</v>
      </c>
      <c r="F49" s="117"/>
      <c r="G49" s="117"/>
      <c r="H49" s="160"/>
      <c r="I49" s="160"/>
      <c r="J49" s="160"/>
      <c r="K49" s="160"/>
      <c r="L49" s="160"/>
    </row>
    <row r="50" spans="1:13" s="200" customFormat="1" ht="24" customHeight="1">
      <c r="A50" s="15">
        <f>A48+1</f>
        <v>6</v>
      </c>
      <c r="B50" s="202" t="s">
        <v>175</v>
      </c>
      <c r="C50" s="202" t="s">
        <v>19</v>
      </c>
      <c r="D50" s="203"/>
      <c r="E50" s="223">
        <f>(E48+E43)*1.85</f>
        <v>182.33600000000001</v>
      </c>
      <c r="F50" s="215"/>
      <c r="G50" s="157"/>
      <c r="H50" s="157"/>
      <c r="I50" s="157"/>
      <c r="J50" s="157"/>
      <c r="K50" s="157"/>
      <c r="L50" s="217"/>
    </row>
    <row r="51" spans="1:13" s="200" customFormat="1" ht="30.75" customHeight="1">
      <c r="A51" s="252">
        <f>A50+0.1</f>
        <v>6.1</v>
      </c>
      <c r="B51" s="208" t="s">
        <v>24</v>
      </c>
      <c r="C51" s="208" t="s">
        <v>19</v>
      </c>
      <c r="D51" s="208">
        <v>1</v>
      </c>
      <c r="E51" s="224">
        <f>E50*D51</f>
        <v>182.33600000000001</v>
      </c>
      <c r="F51" s="206"/>
      <c r="G51" s="206"/>
      <c r="H51" s="209"/>
      <c r="I51" s="209"/>
      <c r="J51" s="209"/>
      <c r="K51" s="209"/>
      <c r="L51" s="209"/>
    </row>
    <row r="52" spans="1:13" s="200" customFormat="1" ht="39.75" customHeight="1">
      <c r="A52" s="248">
        <f>A50+1</f>
        <v>7</v>
      </c>
      <c r="B52" s="27" t="s">
        <v>113</v>
      </c>
      <c r="C52" s="27" t="s">
        <v>39</v>
      </c>
      <c r="D52" s="28"/>
      <c r="E52" s="233">
        <f>E40/2</f>
        <v>44.800000000000004</v>
      </c>
      <c r="F52" s="30"/>
      <c r="G52" s="158"/>
      <c r="H52" s="215"/>
      <c r="I52" s="215"/>
      <c r="J52" s="215"/>
      <c r="K52" s="215"/>
      <c r="L52" s="215"/>
    </row>
    <row r="53" spans="1:13" s="200" customFormat="1" ht="21.75" customHeight="1">
      <c r="A53" s="260">
        <f t="shared" ref="A53:A57" si="3">A52+0.1</f>
        <v>7.1</v>
      </c>
      <c r="B53" s="126" t="s">
        <v>49</v>
      </c>
      <c r="C53" s="126" t="s">
        <v>16</v>
      </c>
      <c r="D53" s="94">
        <f>15/100</f>
        <v>0.15</v>
      </c>
      <c r="E53" s="213">
        <f>D53*E52</f>
        <v>6.7200000000000006</v>
      </c>
      <c r="F53" s="207"/>
      <c r="G53" s="207"/>
      <c r="H53" s="207"/>
      <c r="I53" s="207"/>
      <c r="J53" s="207"/>
      <c r="K53" s="207"/>
      <c r="L53" s="207"/>
    </row>
    <row r="54" spans="1:13" s="200" customFormat="1" ht="29.25" customHeight="1">
      <c r="A54" s="261">
        <f t="shared" si="3"/>
        <v>7.1999999999999993</v>
      </c>
      <c r="B54" s="127" t="s">
        <v>53</v>
      </c>
      <c r="C54" s="127" t="s">
        <v>34</v>
      </c>
      <c r="D54" s="95">
        <f>2.16/100</f>
        <v>2.1600000000000001E-2</v>
      </c>
      <c r="E54" s="229">
        <f>D54*E52</f>
        <v>0.9676800000000001</v>
      </c>
      <c r="F54" s="128"/>
      <c r="G54" s="128"/>
      <c r="H54" s="128"/>
      <c r="I54" s="128"/>
      <c r="J54" s="128"/>
      <c r="K54" s="128"/>
      <c r="L54" s="128"/>
    </row>
    <row r="55" spans="1:13" s="200" customFormat="1" ht="21.75" customHeight="1">
      <c r="A55" s="261">
        <f t="shared" si="3"/>
        <v>7.2999999999999989</v>
      </c>
      <c r="B55" s="127" t="s">
        <v>54</v>
      </c>
      <c r="C55" s="127" t="s">
        <v>34</v>
      </c>
      <c r="D55" s="95">
        <f>2.73/100</f>
        <v>2.7300000000000001E-2</v>
      </c>
      <c r="E55" s="229">
        <f>D55*E52</f>
        <v>1.2230400000000001</v>
      </c>
      <c r="F55" s="128"/>
      <c r="G55" s="128"/>
      <c r="H55" s="128"/>
      <c r="I55" s="128"/>
      <c r="J55" s="128"/>
      <c r="K55" s="128"/>
      <c r="L55" s="128"/>
    </row>
    <row r="56" spans="1:13" s="200" customFormat="1" ht="22.5" customHeight="1">
      <c r="A56" s="261">
        <f t="shared" si="3"/>
        <v>7.3999999999999986</v>
      </c>
      <c r="B56" s="127" t="s">
        <v>134</v>
      </c>
      <c r="C56" s="127" t="s">
        <v>122</v>
      </c>
      <c r="D56" s="96">
        <f>0.97/100</f>
        <v>9.7000000000000003E-3</v>
      </c>
      <c r="E56" s="229">
        <f>E52*D56</f>
        <v>0.43456000000000006</v>
      </c>
      <c r="F56" s="128"/>
      <c r="G56" s="128"/>
      <c r="H56" s="128"/>
      <c r="I56" s="128"/>
      <c r="J56" s="128"/>
      <c r="K56" s="128"/>
      <c r="L56" s="128"/>
    </row>
    <row r="57" spans="1:13" s="200" customFormat="1" ht="22.5" customHeight="1">
      <c r="A57" s="243">
        <f t="shared" si="3"/>
        <v>7.4999999999999982</v>
      </c>
      <c r="B57" s="161" t="s">
        <v>153</v>
      </c>
      <c r="C57" s="161" t="s">
        <v>39</v>
      </c>
      <c r="D57" s="166">
        <v>1.22</v>
      </c>
      <c r="E57" s="228">
        <f>D57*E52</f>
        <v>54.656000000000006</v>
      </c>
      <c r="F57" s="166"/>
      <c r="G57" s="166"/>
      <c r="H57" s="170"/>
      <c r="I57" s="170"/>
      <c r="J57" s="170"/>
      <c r="K57" s="170"/>
      <c r="L57" s="170"/>
    </row>
    <row r="58" spans="1:13" s="200" customFormat="1" ht="22.5" customHeight="1">
      <c r="A58" s="243">
        <f>A57+0.1</f>
        <v>7.5999999999999979</v>
      </c>
      <c r="B58" s="204" t="s">
        <v>142</v>
      </c>
      <c r="C58" s="204" t="s">
        <v>39</v>
      </c>
      <c r="D58" s="97">
        <f>7/100</f>
        <v>7.0000000000000007E-2</v>
      </c>
      <c r="E58" s="221">
        <f>D58*E52</f>
        <v>3.1360000000000006</v>
      </c>
      <c r="F58" s="125"/>
      <c r="G58" s="125"/>
      <c r="H58" s="125"/>
      <c r="I58" s="125"/>
      <c r="J58" s="125"/>
      <c r="K58" s="125"/>
      <c r="L58" s="125"/>
    </row>
    <row r="59" spans="1:13" s="200" customFormat="1" ht="59.25" customHeight="1">
      <c r="A59" s="248">
        <f>A52+1</f>
        <v>8</v>
      </c>
      <c r="B59" s="90" t="s">
        <v>114</v>
      </c>
      <c r="C59" s="90" t="s">
        <v>39</v>
      </c>
      <c r="D59" s="98"/>
      <c r="E59" s="233">
        <f>E52/2</f>
        <v>22.400000000000002</v>
      </c>
      <c r="F59" s="99"/>
      <c r="G59" s="125"/>
      <c r="H59" s="203"/>
      <c r="I59" s="203"/>
      <c r="J59" s="203"/>
      <c r="K59" s="203"/>
      <c r="L59" s="203"/>
    </row>
    <row r="60" spans="1:13" s="200" customFormat="1" ht="27.75" customHeight="1">
      <c r="A60" s="260">
        <f t="shared" ref="A60:A64" si="4">A59+0.1</f>
        <v>8.1</v>
      </c>
      <c r="B60" s="126" t="s">
        <v>49</v>
      </c>
      <c r="C60" s="126" t="s">
        <v>16</v>
      </c>
      <c r="D60" s="94">
        <f>15/100</f>
        <v>0.15</v>
      </c>
      <c r="E60" s="213">
        <f>D60*E59</f>
        <v>3.3600000000000003</v>
      </c>
      <c r="F60" s="207"/>
      <c r="G60" s="207"/>
      <c r="H60" s="207"/>
      <c r="I60" s="207"/>
      <c r="J60" s="207"/>
      <c r="K60" s="207"/>
      <c r="L60" s="207"/>
    </row>
    <row r="61" spans="1:13" s="200" customFormat="1" ht="28.5" customHeight="1">
      <c r="A61" s="261">
        <f t="shared" si="4"/>
        <v>8.1999999999999993</v>
      </c>
      <c r="B61" s="127" t="s">
        <v>53</v>
      </c>
      <c r="C61" s="127" t="s">
        <v>34</v>
      </c>
      <c r="D61" s="95">
        <f>2.16/100</f>
        <v>2.1600000000000001E-2</v>
      </c>
      <c r="E61" s="229">
        <f>D61*E59</f>
        <v>0.48384000000000005</v>
      </c>
      <c r="F61" s="128"/>
      <c r="G61" s="128"/>
      <c r="H61" s="128"/>
      <c r="I61" s="128"/>
      <c r="J61" s="128"/>
      <c r="K61" s="128"/>
      <c r="L61" s="128"/>
      <c r="M61" s="175"/>
    </row>
    <row r="62" spans="1:13" s="200" customFormat="1" ht="20.25" customHeight="1">
      <c r="A62" s="261">
        <f t="shared" si="4"/>
        <v>8.2999999999999989</v>
      </c>
      <c r="B62" s="127" t="s">
        <v>54</v>
      </c>
      <c r="C62" s="127" t="s">
        <v>34</v>
      </c>
      <c r="D62" s="95">
        <f>2.73/100</f>
        <v>2.7300000000000001E-2</v>
      </c>
      <c r="E62" s="229">
        <f>D62*E59</f>
        <v>0.61152000000000006</v>
      </c>
      <c r="F62" s="128"/>
      <c r="G62" s="128"/>
      <c r="H62" s="128"/>
      <c r="I62" s="128"/>
      <c r="J62" s="128"/>
      <c r="K62" s="128"/>
      <c r="L62" s="128"/>
      <c r="M62" s="175"/>
    </row>
    <row r="63" spans="1:13" s="200" customFormat="1" ht="21.75" customHeight="1">
      <c r="A63" s="261">
        <f t="shared" si="4"/>
        <v>8.3999999999999986</v>
      </c>
      <c r="B63" s="127" t="s">
        <v>134</v>
      </c>
      <c r="C63" s="127" t="s">
        <v>122</v>
      </c>
      <c r="D63" s="96">
        <f>0.97/100</f>
        <v>9.7000000000000003E-3</v>
      </c>
      <c r="E63" s="229">
        <f>E59*D63</f>
        <v>0.21728000000000003</v>
      </c>
      <c r="F63" s="128"/>
      <c r="G63" s="128"/>
      <c r="H63" s="128"/>
      <c r="I63" s="128"/>
      <c r="J63" s="128"/>
      <c r="K63" s="128"/>
      <c r="L63" s="128"/>
    </row>
    <row r="64" spans="1:13" s="200" customFormat="1" ht="24" customHeight="1">
      <c r="A64" s="243">
        <f t="shared" si="4"/>
        <v>8.4999999999999982</v>
      </c>
      <c r="B64" s="161" t="s">
        <v>111</v>
      </c>
      <c r="C64" s="161" t="s">
        <v>39</v>
      </c>
      <c r="D64" s="166">
        <v>1.22</v>
      </c>
      <c r="E64" s="228">
        <f>D64*E59</f>
        <v>27.328000000000003</v>
      </c>
      <c r="F64" s="166"/>
      <c r="G64" s="166"/>
      <c r="H64" s="170"/>
      <c r="I64" s="170"/>
      <c r="J64" s="170"/>
      <c r="K64" s="170"/>
      <c r="L64" s="170"/>
    </row>
    <row r="65" spans="1:13" s="200" customFormat="1" ht="24" customHeight="1">
      <c r="A65" s="243">
        <f>A64+0.1</f>
        <v>8.5999999999999979</v>
      </c>
      <c r="B65" s="204" t="s">
        <v>142</v>
      </c>
      <c r="C65" s="204" t="s">
        <v>39</v>
      </c>
      <c r="D65" s="97">
        <f>7/100</f>
        <v>7.0000000000000007E-2</v>
      </c>
      <c r="E65" s="221">
        <f>D65*E59</f>
        <v>1.5680000000000003</v>
      </c>
      <c r="F65" s="125"/>
      <c r="G65" s="125"/>
      <c r="H65" s="125"/>
      <c r="I65" s="125"/>
      <c r="J65" s="125"/>
      <c r="K65" s="125"/>
      <c r="L65" s="125"/>
    </row>
    <row r="66" spans="1:13" s="200" customFormat="1" ht="52.5" customHeight="1">
      <c r="A66" s="124">
        <f>A59+1</f>
        <v>9</v>
      </c>
      <c r="B66" s="216" t="s">
        <v>56</v>
      </c>
      <c r="C66" s="216" t="s">
        <v>181</v>
      </c>
      <c r="D66" s="216"/>
      <c r="E66" s="203">
        <f>SUM(E69:E71)</f>
        <v>128</v>
      </c>
      <c r="F66" s="216"/>
      <c r="G66" s="159"/>
      <c r="H66" s="159"/>
      <c r="I66" s="159"/>
      <c r="J66" s="159"/>
      <c r="K66" s="159"/>
      <c r="L66" s="215"/>
    </row>
    <row r="67" spans="1:13" s="200" customFormat="1" ht="24" customHeight="1">
      <c r="A67" s="257">
        <f>A66+0.1</f>
        <v>9.1</v>
      </c>
      <c r="B67" s="162" t="s">
        <v>57</v>
      </c>
      <c r="C67" s="162" t="s">
        <v>58</v>
      </c>
      <c r="D67" s="160">
        <v>0.74</v>
      </c>
      <c r="E67" s="163">
        <f>D67*E66</f>
        <v>94.72</v>
      </c>
      <c r="F67" s="159"/>
      <c r="G67" s="159"/>
      <c r="H67" s="160"/>
      <c r="I67" s="171"/>
      <c r="J67" s="159"/>
      <c r="K67" s="159"/>
      <c r="L67" s="171"/>
    </row>
    <row r="68" spans="1:13" s="200" customFormat="1" ht="28.5" customHeight="1">
      <c r="A68" s="261">
        <f t="shared" ref="A68" si="5">A67+0.1</f>
        <v>9.1999999999999993</v>
      </c>
      <c r="B68" s="127" t="s">
        <v>42</v>
      </c>
      <c r="C68" s="127" t="s">
        <v>34</v>
      </c>
      <c r="D68" s="96">
        <v>7.1000000000000004E-3</v>
      </c>
      <c r="E68" s="128">
        <f>D68*E66</f>
        <v>0.90880000000000005</v>
      </c>
      <c r="F68" s="128"/>
      <c r="G68" s="128"/>
      <c r="H68" s="128"/>
      <c r="I68" s="128"/>
      <c r="J68" s="128"/>
      <c r="K68" s="128"/>
      <c r="L68" s="128"/>
      <c r="M68" s="175"/>
    </row>
    <row r="69" spans="1:13" s="200" customFormat="1" ht="24" customHeight="1">
      <c r="A69" s="257">
        <f>A68+0.1</f>
        <v>9.2999999999999989</v>
      </c>
      <c r="B69" s="157" t="s">
        <v>158</v>
      </c>
      <c r="C69" s="157" t="s">
        <v>20</v>
      </c>
      <c r="D69" s="158" t="s">
        <v>59</v>
      </c>
      <c r="E69" s="125">
        <v>32</v>
      </c>
      <c r="F69" s="221"/>
      <c r="G69" s="158"/>
      <c r="H69" s="31"/>
      <c r="I69" s="31"/>
      <c r="J69" s="31"/>
      <c r="K69" s="31"/>
      <c r="L69" s="31"/>
    </row>
    <row r="70" spans="1:13" s="200" customFormat="1" ht="24" customHeight="1">
      <c r="A70" s="257">
        <f t="shared" ref="A70:A73" si="6">A69+0.1</f>
        <v>9.3999999999999986</v>
      </c>
      <c r="B70" s="157" t="s">
        <v>60</v>
      </c>
      <c r="C70" s="157" t="s">
        <v>20</v>
      </c>
      <c r="D70" s="158" t="s">
        <v>59</v>
      </c>
      <c r="E70" s="125">
        <v>54</v>
      </c>
      <c r="F70" s="125"/>
      <c r="G70" s="158"/>
      <c r="H70" s="31"/>
      <c r="I70" s="31"/>
      <c r="J70" s="31"/>
      <c r="K70" s="31"/>
      <c r="L70" s="31"/>
    </row>
    <row r="71" spans="1:13" s="200" customFormat="1" ht="24" customHeight="1">
      <c r="A71" s="257">
        <f t="shared" si="6"/>
        <v>9.4999999999999982</v>
      </c>
      <c r="B71" s="157" t="s">
        <v>182</v>
      </c>
      <c r="C71" s="157"/>
      <c r="D71" s="158" t="s">
        <v>59</v>
      </c>
      <c r="E71" s="125">
        <v>42</v>
      </c>
      <c r="F71" s="125"/>
      <c r="G71" s="158"/>
      <c r="H71" s="31"/>
      <c r="I71" s="31"/>
      <c r="J71" s="31"/>
      <c r="K71" s="31"/>
      <c r="L71" s="31"/>
    </row>
    <row r="72" spans="1:13" s="200" customFormat="1">
      <c r="A72" s="257">
        <f t="shared" si="6"/>
        <v>9.5999999999999979</v>
      </c>
      <c r="B72" s="157" t="s">
        <v>61</v>
      </c>
      <c r="C72" s="157" t="s">
        <v>43</v>
      </c>
      <c r="D72" s="242">
        <v>3.9E-2</v>
      </c>
      <c r="E72" s="221">
        <f>D72*E66</f>
        <v>4.992</v>
      </c>
      <c r="F72" s="158"/>
      <c r="G72" s="158"/>
      <c r="H72" s="159"/>
      <c r="I72" s="159"/>
      <c r="J72" s="159"/>
      <c r="K72" s="159"/>
      <c r="L72" s="31"/>
    </row>
    <row r="73" spans="1:13" s="200" customFormat="1">
      <c r="A73" s="257">
        <f t="shared" si="6"/>
        <v>9.6999999999999975</v>
      </c>
      <c r="B73" s="157" t="s">
        <v>51</v>
      </c>
      <c r="C73" s="157" t="s">
        <v>17</v>
      </c>
      <c r="D73" s="242">
        <v>9.6000000000000002E-2</v>
      </c>
      <c r="E73" s="221">
        <f>D73*E66</f>
        <v>12.288</v>
      </c>
      <c r="F73" s="158"/>
      <c r="G73" s="158"/>
      <c r="H73" s="159"/>
      <c r="I73" s="159"/>
      <c r="J73" s="159"/>
      <c r="K73" s="159"/>
      <c r="L73" s="31"/>
    </row>
    <row r="74" spans="1:13" s="200" customFormat="1" ht="37.5" customHeight="1">
      <c r="A74" s="248">
        <f>A66+1</f>
        <v>10</v>
      </c>
      <c r="B74" s="9" t="s">
        <v>62</v>
      </c>
      <c r="C74" s="9" t="s">
        <v>55</v>
      </c>
      <c r="D74" s="217"/>
      <c r="E74" s="235">
        <f>E84*10*1.1*0.4/1000</f>
        <v>0.60720000000000018</v>
      </c>
      <c r="F74" s="217"/>
      <c r="G74" s="169"/>
      <c r="H74" s="169"/>
      <c r="I74" s="170"/>
      <c r="J74" s="169"/>
      <c r="K74" s="169"/>
      <c r="L74" s="217"/>
    </row>
    <row r="75" spans="1:13" s="200" customFormat="1" ht="27" customHeight="1">
      <c r="A75" s="260">
        <f>A74+0.1</f>
        <v>10.1</v>
      </c>
      <c r="B75" s="162" t="s">
        <v>30</v>
      </c>
      <c r="C75" s="162" t="s">
        <v>16</v>
      </c>
      <c r="D75" s="160">
        <v>12.3</v>
      </c>
      <c r="E75" s="227">
        <f>D75*E74</f>
        <v>7.4685600000000028</v>
      </c>
      <c r="F75" s="32"/>
      <c r="G75" s="32"/>
      <c r="H75" s="206"/>
      <c r="I75" s="163"/>
      <c r="J75" s="32"/>
      <c r="K75" s="32"/>
      <c r="L75" s="160"/>
    </row>
    <row r="76" spans="1:13" s="200" customFormat="1">
      <c r="A76" s="262">
        <f>A75+0.1</f>
        <v>10.199999999999999</v>
      </c>
      <c r="B76" s="208" t="s">
        <v>47</v>
      </c>
      <c r="C76" s="208" t="s">
        <v>17</v>
      </c>
      <c r="D76" s="209">
        <v>1.4</v>
      </c>
      <c r="E76" s="224">
        <f>D76*E74</f>
        <v>0.85008000000000017</v>
      </c>
      <c r="F76" s="167"/>
      <c r="G76" s="167"/>
      <c r="H76" s="167"/>
      <c r="I76" s="168"/>
      <c r="J76" s="209"/>
      <c r="K76" s="209"/>
      <c r="L76" s="167"/>
    </row>
    <row r="77" spans="1:13" s="200" customFormat="1" ht="19.5" customHeight="1">
      <c r="A77" s="263">
        <f t="shared" ref="A77:A78" si="7">A76+0.1</f>
        <v>10.299999999999999</v>
      </c>
      <c r="B77" s="71" t="s">
        <v>44</v>
      </c>
      <c r="C77" s="71" t="s">
        <v>19</v>
      </c>
      <c r="D77" s="72" t="s">
        <v>59</v>
      </c>
      <c r="E77" s="211">
        <f>E74</f>
        <v>0.60720000000000018</v>
      </c>
      <c r="F77" s="72"/>
      <c r="G77" s="72"/>
      <c r="H77" s="157"/>
      <c r="I77" s="157"/>
      <c r="J77" s="157"/>
      <c r="K77" s="157"/>
      <c r="L77" s="158"/>
    </row>
    <row r="78" spans="1:13" s="200" customFormat="1" ht="21" customHeight="1">
      <c r="A78" s="264">
        <f t="shared" si="7"/>
        <v>10.399999999999999</v>
      </c>
      <c r="B78" s="164" t="s">
        <v>41</v>
      </c>
      <c r="C78" s="157" t="s">
        <v>17</v>
      </c>
      <c r="D78" s="22">
        <v>7.15</v>
      </c>
      <c r="E78" s="228">
        <f>D78*E74</f>
        <v>4.3414800000000016</v>
      </c>
      <c r="F78" s="22"/>
      <c r="G78" s="22"/>
      <c r="H78" s="169"/>
      <c r="I78" s="170"/>
      <c r="J78" s="169"/>
      <c r="K78" s="169"/>
      <c r="L78" s="169"/>
    </row>
    <row r="79" spans="1:13" s="200" customFormat="1" ht="54" customHeight="1">
      <c r="A79" s="248">
        <f>A74+1</f>
        <v>11</v>
      </c>
      <c r="B79" s="9" t="s">
        <v>186</v>
      </c>
      <c r="C79" s="9" t="s">
        <v>39</v>
      </c>
      <c r="D79" s="217"/>
      <c r="E79" s="235">
        <f>E84*0.08</f>
        <v>11.040000000000001</v>
      </c>
      <c r="F79" s="217"/>
      <c r="G79" s="169"/>
      <c r="H79" s="169"/>
      <c r="I79" s="170"/>
      <c r="J79" s="169"/>
      <c r="K79" s="169"/>
      <c r="L79" s="217"/>
    </row>
    <row r="80" spans="1:13" s="200" customFormat="1">
      <c r="A80" s="260">
        <f>A79+0.1</f>
        <v>11.1</v>
      </c>
      <c r="B80" s="162" t="s">
        <v>30</v>
      </c>
      <c r="C80" s="162" t="s">
        <v>16</v>
      </c>
      <c r="D80" s="160">
        <v>1.37</v>
      </c>
      <c r="E80" s="227">
        <f>D80*E79</f>
        <v>15.124800000000002</v>
      </c>
      <c r="F80" s="32"/>
      <c r="G80" s="32"/>
      <c r="H80" s="206"/>
      <c r="I80" s="163"/>
      <c r="J80" s="32"/>
      <c r="K80" s="32"/>
      <c r="L80" s="160"/>
    </row>
    <row r="81" spans="1:12" s="200" customFormat="1">
      <c r="A81" s="262">
        <f>A80+0.1</f>
        <v>11.2</v>
      </c>
      <c r="B81" s="208" t="s">
        <v>47</v>
      </c>
      <c r="C81" s="208" t="s">
        <v>17</v>
      </c>
      <c r="D81" s="209">
        <v>0.28299999999999997</v>
      </c>
      <c r="E81" s="224">
        <f>D81*E79</f>
        <v>3.12432</v>
      </c>
      <c r="F81" s="167"/>
      <c r="G81" s="167"/>
      <c r="H81" s="167"/>
      <c r="I81" s="168"/>
      <c r="J81" s="209"/>
      <c r="K81" s="209"/>
      <c r="L81" s="167"/>
    </row>
    <row r="82" spans="1:12" s="200" customFormat="1">
      <c r="A82" s="264">
        <f>A81+0.1</f>
        <v>11.299999999999999</v>
      </c>
      <c r="B82" s="164" t="s">
        <v>187</v>
      </c>
      <c r="C82" s="164" t="s">
        <v>39</v>
      </c>
      <c r="D82" s="22">
        <v>1.02</v>
      </c>
      <c r="E82" s="228">
        <f>D82*E79</f>
        <v>11.260800000000001</v>
      </c>
      <c r="F82" s="22"/>
      <c r="G82" s="22"/>
      <c r="H82" s="169"/>
      <c r="I82" s="170"/>
      <c r="J82" s="169"/>
      <c r="K82" s="169"/>
      <c r="L82" s="169"/>
    </row>
    <row r="83" spans="1:12" s="200" customFormat="1">
      <c r="A83" s="264">
        <f>A82+0.1</f>
        <v>11.399999999999999</v>
      </c>
      <c r="B83" s="164" t="s">
        <v>41</v>
      </c>
      <c r="C83" s="164" t="s">
        <v>17</v>
      </c>
      <c r="D83" s="22">
        <v>0.62</v>
      </c>
      <c r="E83" s="228">
        <f>D83*E79</f>
        <v>6.8448000000000002</v>
      </c>
      <c r="F83" s="22"/>
      <c r="G83" s="22"/>
      <c r="H83" s="169"/>
      <c r="I83" s="170"/>
      <c r="J83" s="169"/>
      <c r="K83" s="169"/>
      <c r="L83" s="169"/>
    </row>
    <row r="84" spans="1:12" s="200" customFormat="1" ht="50.25" customHeight="1">
      <c r="A84" s="178">
        <f>A79+1</f>
        <v>12</v>
      </c>
      <c r="B84" s="137" t="s">
        <v>144</v>
      </c>
      <c r="C84" s="138" t="s">
        <v>21</v>
      </c>
      <c r="D84" s="139"/>
      <c r="E84" s="21">
        <v>138</v>
      </c>
      <c r="F84" s="217"/>
      <c r="G84" s="159"/>
      <c r="H84" s="159"/>
      <c r="I84" s="159"/>
      <c r="J84" s="159"/>
      <c r="K84" s="159"/>
      <c r="L84" s="217"/>
    </row>
    <row r="85" spans="1:12" s="200" customFormat="1">
      <c r="A85" s="257">
        <f t="shared" ref="A85:A87" si="8">A84+0.1</f>
        <v>12.1</v>
      </c>
      <c r="B85" s="140" t="s">
        <v>145</v>
      </c>
      <c r="C85" s="141" t="s">
        <v>17</v>
      </c>
      <c r="D85" s="142">
        <v>1</v>
      </c>
      <c r="E85" s="163">
        <f>D85*E84</f>
        <v>138</v>
      </c>
      <c r="F85" s="159"/>
      <c r="G85" s="159"/>
      <c r="H85" s="160"/>
      <c r="I85" s="160"/>
      <c r="J85" s="159"/>
      <c r="K85" s="159"/>
      <c r="L85" s="160"/>
    </row>
    <row r="86" spans="1:12" s="200" customFormat="1" ht="25.5">
      <c r="A86" s="257">
        <f t="shared" si="8"/>
        <v>12.2</v>
      </c>
      <c r="B86" s="143" t="s">
        <v>146</v>
      </c>
      <c r="C86" s="144" t="s">
        <v>64</v>
      </c>
      <c r="D86" s="145">
        <v>1.02</v>
      </c>
      <c r="E86" s="166">
        <f>D86*E84</f>
        <v>140.76</v>
      </c>
      <c r="F86" s="22"/>
      <c r="G86" s="22"/>
      <c r="H86" s="159"/>
      <c r="I86" s="159"/>
      <c r="J86" s="159"/>
      <c r="K86" s="159"/>
      <c r="L86" s="31"/>
    </row>
    <row r="87" spans="1:12" s="200" customFormat="1" ht="21" customHeight="1">
      <c r="A87" s="257">
        <f t="shared" si="8"/>
        <v>12.299999999999999</v>
      </c>
      <c r="B87" s="146" t="s">
        <v>147</v>
      </c>
      <c r="C87" s="144" t="s">
        <v>148</v>
      </c>
      <c r="D87" s="145">
        <v>0.5</v>
      </c>
      <c r="E87" s="166">
        <f>E84*D87</f>
        <v>69</v>
      </c>
      <c r="F87" s="22"/>
      <c r="G87" s="22"/>
      <c r="H87" s="159"/>
      <c r="I87" s="159"/>
      <c r="J87" s="159"/>
      <c r="K87" s="159"/>
      <c r="L87" s="31"/>
    </row>
    <row r="88" spans="1:12" s="200" customFormat="1" ht="51.75" customHeight="1">
      <c r="A88" s="15">
        <f>A84+1</f>
        <v>13</v>
      </c>
      <c r="B88" s="202" t="s">
        <v>125</v>
      </c>
      <c r="C88" s="202" t="s">
        <v>39</v>
      </c>
      <c r="D88" s="203"/>
      <c r="E88" s="203">
        <f>E93*0.05</f>
        <v>4.3</v>
      </c>
      <c r="F88" s="215"/>
      <c r="G88" s="159"/>
      <c r="H88" s="159"/>
      <c r="I88" s="159"/>
      <c r="J88" s="159"/>
      <c r="K88" s="159"/>
      <c r="L88" s="215"/>
    </row>
    <row r="89" spans="1:12" s="200" customFormat="1">
      <c r="A89" s="257">
        <f>A88+0.1</f>
        <v>13.1</v>
      </c>
      <c r="B89" s="162" t="s">
        <v>15</v>
      </c>
      <c r="C89" s="162" t="s">
        <v>16</v>
      </c>
      <c r="D89" s="162">
        <v>3</v>
      </c>
      <c r="E89" s="174">
        <f>D89*E88</f>
        <v>12.899999999999999</v>
      </c>
      <c r="F89" s="159"/>
      <c r="G89" s="159"/>
      <c r="H89" s="160"/>
      <c r="I89" s="171"/>
      <c r="J89" s="159"/>
      <c r="K89" s="159"/>
      <c r="L89" s="171"/>
    </row>
    <row r="90" spans="1:12" s="200" customFormat="1" ht="27">
      <c r="A90" s="257">
        <f t="shared" ref="A90:A92" si="9">A89+0.1</f>
        <v>13.2</v>
      </c>
      <c r="B90" s="204" t="s">
        <v>133</v>
      </c>
      <c r="C90" s="122" t="s">
        <v>39</v>
      </c>
      <c r="D90" s="221" t="s">
        <v>63</v>
      </c>
      <c r="E90" s="125">
        <f>E88*0.8</f>
        <v>3.44</v>
      </c>
      <c r="F90" s="125"/>
      <c r="G90" s="125"/>
      <c r="H90" s="92"/>
      <c r="I90" s="92"/>
      <c r="J90" s="92"/>
      <c r="K90" s="92"/>
      <c r="L90" s="93"/>
    </row>
    <row r="91" spans="1:12" s="200" customFormat="1" ht="27">
      <c r="A91" s="257">
        <f t="shared" si="9"/>
        <v>13.299999999999999</v>
      </c>
      <c r="B91" s="204" t="s">
        <v>132</v>
      </c>
      <c r="C91" s="122" t="s">
        <v>39</v>
      </c>
      <c r="D91" s="221" t="s">
        <v>63</v>
      </c>
      <c r="E91" s="125">
        <f>E88*0.2</f>
        <v>0.86</v>
      </c>
      <c r="F91" s="125"/>
      <c r="G91" s="125"/>
      <c r="H91" s="92"/>
      <c r="I91" s="92"/>
      <c r="J91" s="92"/>
      <c r="K91" s="92"/>
      <c r="L91" s="93"/>
    </row>
    <row r="92" spans="1:12" s="200" customFormat="1">
      <c r="A92" s="257">
        <f t="shared" si="9"/>
        <v>13.399999999999999</v>
      </c>
      <c r="B92" s="122" t="s">
        <v>65</v>
      </c>
      <c r="C92" s="122" t="s">
        <v>17</v>
      </c>
      <c r="D92" s="221">
        <v>0.01</v>
      </c>
      <c r="E92" s="125">
        <f>D92*E88</f>
        <v>4.2999999999999997E-2</v>
      </c>
      <c r="F92" s="158"/>
      <c r="G92" s="158"/>
      <c r="H92" s="159"/>
      <c r="I92" s="159"/>
      <c r="J92" s="159"/>
      <c r="K92" s="159"/>
      <c r="L92" s="31"/>
    </row>
    <row r="93" spans="1:12" s="200" customFormat="1">
      <c r="A93" s="124">
        <f>A88+1</f>
        <v>14</v>
      </c>
      <c r="B93" s="216" t="s">
        <v>66</v>
      </c>
      <c r="C93" s="216" t="s">
        <v>68</v>
      </c>
      <c r="D93" s="215"/>
      <c r="E93" s="203">
        <v>86</v>
      </c>
      <c r="F93" s="215"/>
      <c r="G93" s="159"/>
      <c r="H93" s="159"/>
      <c r="I93" s="159"/>
      <c r="J93" s="159"/>
      <c r="K93" s="156"/>
      <c r="L93" s="215"/>
    </row>
    <row r="94" spans="1:12" s="200" customFormat="1">
      <c r="A94" s="257">
        <f>A93+0.1</f>
        <v>14.1</v>
      </c>
      <c r="B94" s="162" t="s">
        <v>57</v>
      </c>
      <c r="C94" s="162" t="s">
        <v>16</v>
      </c>
      <c r="D94" s="162">
        <v>0.40200000000000002</v>
      </c>
      <c r="E94" s="227">
        <f>D94*E93</f>
        <v>34.572000000000003</v>
      </c>
      <c r="F94" s="159"/>
      <c r="G94" s="159"/>
      <c r="H94" s="160"/>
      <c r="I94" s="171"/>
      <c r="J94" s="159"/>
      <c r="K94" s="159"/>
      <c r="L94" s="171"/>
    </row>
    <row r="95" spans="1:12" s="200" customFormat="1">
      <c r="A95" s="262">
        <f>A94+0.1</f>
        <v>14.2</v>
      </c>
      <c r="B95" s="208" t="s">
        <v>67</v>
      </c>
      <c r="C95" s="208" t="s">
        <v>48</v>
      </c>
      <c r="D95" s="209">
        <v>0.129</v>
      </c>
      <c r="E95" s="224">
        <f>E93*D95</f>
        <v>11.094000000000001</v>
      </c>
      <c r="F95" s="167"/>
      <c r="G95" s="167"/>
      <c r="H95" s="167"/>
      <c r="I95" s="168"/>
      <c r="J95" s="209"/>
      <c r="K95" s="209"/>
      <c r="L95" s="167"/>
    </row>
    <row r="96" spans="1:12" s="200" customFormat="1" ht="38.25" customHeight="1">
      <c r="A96" s="257">
        <f>A95+0.1</f>
        <v>14.299999999999999</v>
      </c>
      <c r="B96" s="157" t="s">
        <v>313</v>
      </c>
      <c r="C96" s="157" t="s">
        <v>68</v>
      </c>
      <c r="D96" s="158">
        <v>1</v>
      </c>
      <c r="E96" s="221">
        <f>E93*D96</f>
        <v>86</v>
      </c>
      <c r="F96" s="158"/>
      <c r="G96" s="158"/>
      <c r="H96" s="159"/>
      <c r="I96" s="159"/>
      <c r="J96" s="159"/>
      <c r="K96" s="159"/>
      <c r="L96" s="31"/>
    </row>
    <row r="97" spans="1:12" s="200" customFormat="1">
      <c r="A97" s="257">
        <f>A96+0.1</f>
        <v>14.399999999999999</v>
      </c>
      <c r="B97" s="157" t="s">
        <v>69</v>
      </c>
      <c r="C97" s="157" t="s">
        <v>39</v>
      </c>
      <c r="D97" s="236">
        <v>5.0000000000000001E-4</v>
      </c>
      <c r="E97" s="221">
        <f>D97*E93</f>
        <v>4.3000000000000003E-2</v>
      </c>
      <c r="F97" s="158"/>
      <c r="G97" s="158"/>
      <c r="H97" s="159"/>
      <c r="I97" s="159"/>
      <c r="J97" s="159"/>
      <c r="K97" s="159"/>
      <c r="L97" s="31"/>
    </row>
    <row r="98" spans="1:12" s="200" customFormat="1" ht="23.25" customHeight="1">
      <c r="A98" s="477" t="s">
        <v>108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9"/>
    </row>
    <row r="99" spans="1:12" s="200" customFormat="1" ht="30.75" customHeight="1">
      <c r="A99" s="15">
        <v>1</v>
      </c>
      <c r="B99" s="202" t="s">
        <v>28</v>
      </c>
      <c r="C99" s="202" t="s">
        <v>39</v>
      </c>
      <c r="D99" s="203"/>
      <c r="E99" s="223">
        <f>E110+E105</f>
        <v>3.08</v>
      </c>
      <c r="F99" s="215"/>
      <c r="G99" s="216"/>
      <c r="H99" s="216"/>
      <c r="I99" s="216"/>
      <c r="J99" s="216"/>
      <c r="K99" s="216"/>
      <c r="L99" s="215"/>
    </row>
    <row r="100" spans="1:12" s="200" customFormat="1" ht="23.25" customHeight="1">
      <c r="A100" s="252">
        <f>A99+0.1</f>
        <v>1.1000000000000001</v>
      </c>
      <c r="B100" s="126" t="s">
        <v>15</v>
      </c>
      <c r="C100" s="126" t="s">
        <v>16</v>
      </c>
      <c r="D100" s="207">
        <v>2.06</v>
      </c>
      <c r="E100" s="225">
        <f>E99*D100</f>
        <v>6.3448000000000002</v>
      </c>
      <c r="F100" s="205"/>
      <c r="G100" s="16"/>
      <c r="H100" s="160"/>
      <c r="I100" s="206"/>
      <c r="J100" s="205"/>
      <c r="K100" s="205"/>
      <c r="L100" s="206"/>
    </row>
    <row r="101" spans="1:12" s="200" customFormat="1" ht="34.5" customHeight="1">
      <c r="A101" s="15">
        <f>A99+1</f>
        <v>2</v>
      </c>
      <c r="B101" s="202" t="s">
        <v>36</v>
      </c>
      <c r="C101" s="202" t="s">
        <v>123</v>
      </c>
      <c r="D101" s="203"/>
      <c r="E101" s="223">
        <f>E99</f>
        <v>3.08</v>
      </c>
      <c r="F101" s="203"/>
      <c r="G101" s="204"/>
      <c r="H101" s="204"/>
      <c r="I101" s="204"/>
      <c r="J101" s="204"/>
      <c r="K101" s="204"/>
      <c r="L101" s="21"/>
    </row>
    <row r="102" spans="1:12" s="200" customFormat="1" ht="23.25" customHeight="1">
      <c r="A102" s="252">
        <f>A101+0.1</f>
        <v>2.1</v>
      </c>
      <c r="B102" s="163" t="s">
        <v>30</v>
      </c>
      <c r="C102" s="163" t="s">
        <v>16</v>
      </c>
      <c r="D102" s="83">
        <v>0.87</v>
      </c>
      <c r="E102" s="227">
        <f>E101*D102</f>
        <v>2.6796000000000002</v>
      </c>
      <c r="F102" s="127"/>
      <c r="G102" s="127"/>
      <c r="H102" s="163"/>
      <c r="I102" s="163"/>
      <c r="J102" s="163"/>
      <c r="K102" s="163"/>
      <c r="L102" s="163"/>
    </row>
    <row r="103" spans="1:12" s="200" customFormat="1" ht="23.25" customHeight="1">
      <c r="A103" s="15">
        <f>A101+1</f>
        <v>3</v>
      </c>
      <c r="B103" s="202" t="s">
        <v>101</v>
      </c>
      <c r="C103" s="202" t="s">
        <v>19</v>
      </c>
      <c r="D103" s="203"/>
      <c r="E103" s="223">
        <f>E101*1.85</f>
        <v>5.6980000000000004</v>
      </c>
      <c r="F103" s="203"/>
      <c r="G103" s="204"/>
      <c r="H103" s="204"/>
      <c r="I103" s="204"/>
      <c r="J103" s="204"/>
      <c r="K103" s="204"/>
      <c r="L103" s="21"/>
    </row>
    <row r="104" spans="1:12" s="200" customFormat="1" ht="23.25" customHeight="1">
      <c r="A104" s="252">
        <f>A103+0.1</f>
        <v>3.1</v>
      </c>
      <c r="B104" s="173" t="s">
        <v>24</v>
      </c>
      <c r="C104" s="173" t="s">
        <v>19</v>
      </c>
      <c r="D104" s="173">
        <v>1</v>
      </c>
      <c r="E104" s="224">
        <f>E103*D104</f>
        <v>5.6980000000000004</v>
      </c>
      <c r="F104" s="207"/>
      <c r="G104" s="207"/>
      <c r="H104" s="123"/>
      <c r="I104" s="165"/>
      <c r="J104" s="165"/>
      <c r="K104" s="165"/>
      <c r="L104" s="165"/>
    </row>
    <row r="105" spans="1:12" s="200" customFormat="1" ht="46.5" customHeight="1">
      <c r="A105" s="15">
        <f>A103+1</f>
        <v>4</v>
      </c>
      <c r="B105" s="218" t="s">
        <v>154</v>
      </c>
      <c r="C105" s="218" t="s">
        <v>39</v>
      </c>
      <c r="D105" s="21"/>
      <c r="E105" s="237">
        <f>E110*0.1</f>
        <v>0.28000000000000003</v>
      </c>
      <c r="F105" s="24"/>
      <c r="G105" s="81"/>
      <c r="H105" s="81"/>
      <c r="I105" s="81"/>
      <c r="J105" s="81"/>
      <c r="K105" s="81"/>
      <c r="L105" s="21"/>
    </row>
    <row r="106" spans="1:12" s="200" customFormat="1" ht="23.25" customHeight="1">
      <c r="A106" s="252">
        <f>A105+0.1</f>
        <v>4.0999999999999996</v>
      </c>
      <c r="B106" s="163" t="s">
        <v>46</v>
      </c>
      <c r="C106" s="163" t="s">
        <v>16</v>
      </c>
      <c r="D106" s="163">
        <v>0.89</v>
      </c>
      <c r="E106" s="227">
        <f>D106*E105</f>
        <v>0.24920000000000003</v>
      </c>
      <c r="F106" s="25"/>
      <c r="G106" s="25"/>
      <c r="H106" s="26"/>
      <c r="I106" s="26"/>
      <c r="J106" s="81"/>
      <c r="K106" s="81"/>
      <c r="L106" s="107"/>
    </row>
    <row r="107" spans="1:12" s="200" customFormat="1" ht="23.25" customHeight="1">
      <c r="A107" s="252">
        <f>A106+0.1</f>
        <v>4.1999999999999993</v>
      </c>
      <c r="B107" s="173" t="s">
        <v>47</v>
      </c>
      <c r="C107" s="173" t="s">
        <v>78</v>
      </c>
      <c r="D107" s="165">
        <v>0.37</v>
      </c>
      <c r="E107" s="224">
        <f>D107*E105</f>
        <v>0.10360000000000001</v>
      </c>
      <c r="F107" s="168"/>
      <c r="G107" s="168"/>
      <c r="H107" s="168"/>
      <c r="I107" s="168"/>
      <c r="J107" s="165"/>
      <c r="K107" s="165"/>
      <c r="L107" s="168"/>
    </row>
    <row r="108" spans="1:12" s="200" customFormat="1" ht="23.25" customHeight="1">
      <c r="A108" s="252">
        <f>A107+0.1</f>
        <v>4.2999999999999989</v>
      </c>
      <c r="B108" s="164" t="s">
        <v>153</v>
      </c>
      <c r="C108" s="161" t="s">
        <v>39</v>
      </c>
      <c r="D108" s="166" t="s">
        <v>63</v>
      </c>
      <c r="E108" s="228">
        <f>E105</f>
        <v>0.28000000000000003</v>
      </c>
      <c r="F108" s="166"/>
      <c r="G108" s="166"/>
      <c r="H108" s="170"/>
      <c r="I108" s="170"/>
      <c r="J108" s="170"/>
      <c r="K108" s="170"/>
      <c r="L108" s="170"/>
    </row>
    <row r="109" spans="1:12" s="200" customFormat="1" ht="23.25" customHeight="1">
      <c r="A109" s="252">
        <f>A108+0.1</f>
        <v>4.3999999999999986</v>
      </c>
      <c r="B109" s="204" t="s">
        <v>51</v>
      </c>
      <c r="C109" s="204" t="s">
        <v>50</v>
      </c>
      <c r="D109" s="125">
        <v>0.02</v>
      </c>
      <c r="E109" s="221">
        <f>D109*E105</f>
        <v>5.6000000000000008E-3</v>
      </c>
      <c r="F109" s="125"/>
      <c r="G109" s="125"/>
      <c r="H109" s="125"/>
      <c r="I109" s="125"/>
      <c r="J109" s="125"/>
      <c r="K109" s="125"/>
      <c r="L109" s="125"/>
    </row>
    <row r="110" spans="1:12" s="200" customFormat="1" ht="34.5" customHeight="1">
      <c r="A110" s="124">
        <f>A105+1</f>
        <v>5</v>
      </c>
      <c r="B110" s="202" t="s">
        <v>70</v>
      </c>
      <c r="C110" s="202" t="s">
        <v>71</v>
      </c>
      <c r="D110" s="202"/>
      <c r="E110" s="223">
        <f>(E123+E121+E117)*0.2</f>
        <v>2.8000000000000003</v>
      </c>
      <c r="F110" s="202"/>
      <c r="G110" s="203"/>
      <c r="H110" s="202"/>
      <c r="I110" s="203"/>
      <c r="J110" s="202"/>
      <c r="K110" s="203"/>
      <c r="L110" s="203"/>
    </row>
    <row r="111" spans="1:12" s="200" customFormat="1" ht="30" customHeight="1">
      <c r="A111" s="257">
        <f t="shared" ref="A111:A116" si="10">A110+0.1</f>
        <v>5.0999999999999996</v>
      </c>
      <c r="B111" s="177" t="s">
        <v>30</v>
      </c>
      <c r="C111" s="174" t="s">
        <v>16</v>
      </c>
      <c r="D111" s="163">
        <v>4.5</v>
      </c>
      <c r="E111" s="227">
        <f>D111*E110</f>
        <v>12.600000000000001</v>
      </c>
      <c r="F111" s="176"/>
      <c r="G111" s="176"/>
      <c r="H111" s="207"/>
      <c r="I111" s="163"/>
      <c r="J111" s="176"/>
      <c r="K111" s="176"/>
      <c r="L111" s="163"/>
    </row>
    <row r="112" spans="1:12" s="200" customFormat="1" ht="24" customHeight="1">
      <c r="A112" s="265">
        <f t="shared" si="10"/>
        <v>5.1999999999999993</v>
      </c>
      <c r="B112" s="173" t="s">
        <v>47</v>
      </c>
      <c r="C112" s="173" t="s">
        <v>17</v>
      </c>
      <c r="D112" s="165">
        <v>0.37</v>
      </c>
      <c r="E112" s="165">
        <f>D112*E110</f>
        <v>1.036</v>
      </c>
      <c r="F112" s="168"/>
      <c r="G112" s="168"/>
      <c r="H112" s="168"/>
      <c r="I112" s="168"/>
      <c r="J112" s="165"/>
      <c r="K112" s="165"/>
      <c r="L112" s="168"/>
    </row>
    <row r="113" spans="1:17" s="175" customFormat="1" ht="24" customHeight="1">
      <c r="A113" s="257">
        <f t="shared" si="10"/>
        <v>5.2999999999999989</v>
      </c>
      <c r="B113" s="161" t="s">
        <v>149</v>
      </c>
      <c r="C113" s="161" t="s">
        <v>39</v>
      </c>
      <c r="D113" s="166">
        <v>1.02</v>
      </c>
      <c r="E113" s="166">
        <f>D113*E110</f>
        <v>2.8560000000000003</v>
      </c>
      <c r="F113" s="166"/>
      <c r="G113" s="166"/>
      <c r="H113" s="170"/>
      <c r="I113" s="170"/>
      <c r="J113" s="170"/>
      <c r="K113" s="170"/>
      <c r="L113" s="170"/>
    </row>
    <row r="114" spans="1:17" s="175" customFormat="1" ht="24" customHeight="1">
      <c r="A114" s="257">
        <f t="shared" si="10"/>
        <v>5.3999999999999986</v>
      </c>
      <c r="B114" s="161" t="s">
        <v>140</v>
      </c>
      <c r="C114" s="161" t="s">
        <v>68</v>
      </c>
      <c r="D114" s="166">
        <v>1.61</v>
      </c>
      <c r="E114" s="166">
        <f>E110*D114</f>
        <v>4.5080000000000009</v>
      </c>
      <c r="F114" s="166"/>
      <c r="G114" s="166"/>
      <c r="H114" s="170"/>
      <c r="I114" s="170"/>
      <c r="J114" s="170"/>
      <c r="K114" s="170"/>
      <c r="L114" s="170"/>
    </row>
    <row r="115" spans="1:17" s="175" customFormat="1" ht="24" customHeight="1">
      <c r="A115" s="257">
        <f t="shared" si="10"/>
        <v>5.4999999999999982</v>
      </c>
      <c r="B115" s="161" t="s">
        <v>127</v>
      </c>
      <c r="C115" s="161" t="s">
        <v>39</v>
      </c>
      <c r="D115" s="166">
        <f>1.72/100</f>
        <v>1.72E-2</v>
      </c>
      <c r="E115" s="166">
        <f>E110*D115</f>
        <v>4.8160000000000001E-2</v>
      </c>
      <c r="F115" s="166"/>
      <c r="G115" s="166"/>
      <c r="H115" s="170"/>
      <c r="I115" s="170"/>
      <c r="J115" s="170"/>
      <c r="K115" s="170"/>
      <c r="L115" s="170"/>
    </row>
    <row r="116" spans="1:17" s="175" customFormat="1" ht="24" customHeight="1">
      <c r="A116" s="257">
        <f t="shared" si="10"/>
        <v>5.5999999999999979</v>
      </c>
      <c r="B116" s="161" t="s">
        <v>41</v>
      </c>
      <c r="C116" s="161" t="s">
        <v>17</v>
      </c>
      <c r="D116" s="166">
        <v>0.28000000000000003</v>
      </c>
      <c r="E116" s="166">
        <f>D116*E110</f>
        <v>0.78400000000000014</v>
      </c>
      <c r="F116" s="166"/>
      <c r="G116" s="166"/>
      <c r="H116" s="170"/>
      <c r="I116" s="170"/>
      <c r="J116" s="170"/>
      <c r="K116" s="170"/>
      <c r="L116" s="170"/>
    </row>
    <row r="117" spans="1:17" s="200" customFormat="1" ht="37.5" customHeight="1">
      <c r="A117" s="249">
        <f>A110+1</f>
        <v>6</v>
      </c>
      <c r="B117" s="112" t="s">
        <v>135</v>
      </c>
      <c r="C117" s="112" t="s">
        <v>27</v>
      </c>
      <c r="D117" s="112"/>
      <c r="E117" s="214">
        <f>SUM(E118:E120)</f>
        <v>6</v>
      </c>
      <c r="F117" s="112"/>
      <c r="G117" s="113"/>
      <c r="H117" s="112"/>
      <c r="I117" s="113"/>
      <c r="J117" s="112"/>
      <c r="K117" s="113"/>
      <c r="L117" s="113"/>
    </row>
    <row r="118" spans="1:17" s="200" customFormat="1" ht="55.5" customHeight="1">
      <c r="A118" s="257">
        <f>A117+0.1</f>
        <v>6.1</v>
      </c>
      <c r="B118" s="157" t="s">
        <v>79</v>
      </c>
      <c r="C118" s="157" t="s">
        <v>22</v>
      </c>
      <c r="D118" s="157" t="s">
        <v>63</v>
      </c>
      <c r="E118" s="125">
        <v>4</v>
      </c>
      <c r="F118" s="204"/>
      <c r="G118" s="158"/>
      <c r="H118" s="157"/>
      <c r="I118" s="158"/>
      <c r="J118" s="157"/>
      <c r="K118" s="158"/>
      <c r="L118" s="158"/>
    </row>
    <row r="119" spans="1:17" s="200" customFormat="1" ht="42.75" customHeight="1">
      <c r="A119" s="257">
        <f t="shared" ref="A119" si="11">A118+0.1</f>
        <v>6.1999999999999993</v>
      </c>
      <c r="B119" s="157" t="s">
        <v>164</v>
      </c>
      <c r="C119" s="157" t="s">
        <v>22</v>
      </c>
      <c r="D119" s="157" t="s">
        <v>59</v>
      </c>
      <c r="E119" s="125">
        <v>1</v>
      </c>
      <c r="F119" s="204"/>
      <c r="G119" s="158"/>
      <c r="H119" s="157"/>
      <c r="I119" s="158"/>
      <c r="J119" s="157"/>
      <c r="K119" s="158"/>
      <c r="L119" s="158"/>
      <c r="P119" s="156"/>
      <c r="Q119" s="156"/>
    </row>
    <row r="120" spans="1:17" s="200" customFormat="1" ht="42.75" customHeight="1">
      <c r="A120" s="257">
        <f>A119+0.1</f>
        <v>6.2999999999999989</v>
      </c>
      <c r="B120" s="157" t="s">
        <v>131</v>
      </c>
      <c r="C120" s="157" t="s">
        <v>22</v>
      </c>
      <c r="D120" s="157" t="s">
        <v>59</v>
      </c>
      <c r="E120" s="125">
        <v>1</v>
      </c>
      <c r="F120" s="204"/>
      <c r="G120" s="158"/>
      <c r="H120" s="157"/>
      <c r="I120" s="158"/>
      <c r="J120" s="157"/>
      <c r="K120" s="158"/>
      <c r="L120" s="158"/>
      <c r="P120" s="156"/>
      <c r="Q120" s="156"/>
    </row>
    <row r="121" spans="1:17" s="200" customFormat="1">
      <c r="A121" s="124">
        <f>A117+1</f>
        <v>7</v>
      </c>
      <c r="B121" s="216" t="s">
        <v>80</v>
      </c>
      <c r="C121" s="216" t="s">
        <v>27</v>
      </c>
      <c r="D121" s="216"/>
      <c r="E121" s="203">
        <f>E122</f>
        <v>4</v>
      </c>
      <c r="F121" s="202"/>
      <c r="G121" s="215"/>
      <c r="H121" s="216"/>
      <c r="I121" s="215"/>
      <c r="J121" s="216"/>
      <c r="K121" s="215"/>
      <c r="L121" s="215"/>
    </row>
    <row r="122" spans="1:17" s="200" customFormat="1" ht="40.5">
      <c r="A122" s="257">
        <f>A121+0.1</f>
        <v>7.1</v>
      </c>
      <c r="B122" s="157" t="s">
        <v>81</v>
      </c>
      <c r="C122" s="157" t="s">
        <v>22</v>
      </c>
      <c r="D122" s="157">
        <v>1</v>
      </c>
      <c r="E122" s="125">
        <v>4</v>
      </c>
      <c r="F122" s="204"/>
      <c r="G122" s="158"/>
      <c r="H122" s="157"/>
      <c r="I122" s="158"/>
      <c r="J122" s="157"/>
      <c r="K122" s="158"/>
      <c r="L122" s="158"/>
    </row>
    <row r="123" spans="1:17" s="200" customFormat="1" ht="34.5" customHeight="1">
      <c r="A123" s="124">
        <f>A121+1</f>
        <v>8</v>
      </c>
      <c r="B123" s="216" t="s">
        <v>112</v>
      </c>
      <c r="C123" s="216" t="s">
        <v>27</v>
      </c>
      <c r="D123" s="216"/>
      <c r="E123" s="203">
        <f>SUM(E124:E126)</f>
        <v>4</v>
      </c>
      <c r="F123" s="202"/>
      <c r="G123" s="215"/>
      <c r="H123" s="216"/>
      <c r="I123" s="215"/>
      <c r="J123" s="216"/>
      <c r="K123" s="215"/>
      <c r="L123" s="215"/>
    </row>
    <row r="124" spans="1:17" s="200" customFormat="1" ht="59.25" customHeight="1">
      <c r="A124" s="257">
        <f t="shared" ref="A124:A127" si="12">A123+0.1</f>
        <v>8.1</v>
      </c>
      <c r="B124" s="157" t="s">
        <v>163</v>
      </c>
      <c r="C124" s="157" t="s">
        <v>22</v>
      </c>
      <c r="D124" s="121" t="s">
        <v>59</v>
      </c>
      <c r="E124" s="125">
        <v>2</v>
      </c>
      <c r="F124" s="204"/>
      <c r="G124" s="158"/>
      <c r="H124" s="157"/>
      <c r="I124" s="158"/>
      <c r="J124" s="157"/>
      <c r="K124" s="158"/>
      <c r="L124" s="158"/>
    </row>
    <row r="125" spans="1:17" s="200" customFormat="1" ht="59.25" customHeight="1">
      <c r="A125" s="257">
        <f t="shared" si="12"/>
        <v>8.1999999999999993</v>
      </c>
      <c r="B125" s="157" t="s">
        <v>165</v>
      </c>
      <c r="C125" s="157" t="s">
        <v>22</v>
      </c>
      <c r="D125" s="121" t="s">
        <v>59</v>
      </c>
      <c r="E125" s="125">
        <v>1</v>
      </c>
      <c r="F125" s="204"/>
      <c r="G125" s="158"/>
      <c r="H125" s="157"/>
      <c r="I125" s="158"/>
      <c r="J125" s="157"/>
      <c r="K125" s="158"/>
      <c r="L125" s="158"/>
    </row>
    <row r="126" spans="1:17" s="200" customFormat="1" ht="59.25" customHeight="1">
      <c r="A126" s="257">
        <f t="shared" si="12"/>
        <v>8.2999999999999989</v>
      </c>
      <c r="B126" s="157" t="s">
        <v>185</v>
      </c>
      <c r="C126" s="157" t="s">
        <v>22</v>
      </c>
      <c r="D126" s="121" t="s">
        <v>59</v>
      </c>
      <c r="E126" s="125">
        <v>1</v>
      </c>
      <c r="F126" s="204"/>
      <c r="G126" s="158"/>
      <c r="H126" s="157"/>
      <c r="I126" s="158"/>
      <c r="J126" s="157"/>
      <c r="K126" s="158"/>
      <c r="L126" s="158"/>
    </row>
    <row r="127" spans="1:17" s="200" customFormat="1" ht="40.5">
      <c r="A127" s="257">
        <f t="shared" si="12"/>
        <v>8.3999999999999986</v>
      </c>
      <c r="B127" s="157" t="s">
        <v>293</v>
      </c>
      <c r="C127" s="157" t="s">
        <v>22</v>
      </c>
      <c r="D127" s="121" t="s">
        <v>59</v>
      </c>
      <c r="E127" s="125">
        <v>1</v>
      </c>
      <c r="F127" s="204"/>
      <c r="G127" s="158"/>
      <c r="H127" s="157"/>
      <c r="I127" s="158"/>
      <c r="J127" s="157"/>
      <c r="K127" s="158"/>
      <c r="L127" s="158"/>
      <c r="P127" s="156"/>
      <c r="Q127" s="156"/>
    </row>
    <row r="128" spans="1:17" s="200" customFormat="1" ht="23.25" customHeight="1">
      <c r="A128" s="266"/>
      <c r="B128" s="155" t="s">
        <v>139</v>
      </c>
      <c r="C128" s="147"/>
      <c r="D128" s="147"/>
      <c r="E128" s="148"/>
      <c r="F128" s="149"/>
      <c r="G128" s="149"/>
      <c r="H128" s="148"/>
      <c r="I128" s="148"/>
      <c r="J128" s="148"/>
      <c r="K128" s="148"/>
      <c r="L128" s="148"/>
    </row>
    <row r="129" spans="1:12" s="200" customFormat="1" ht="31.5" customHeight="1">
      <c r="A129" s="15">
        <f>A123+1</f>
        <v>9</v>
      </c>
      <c r="B129" s="202" t="s">
        <v>28</v>
      </c>
      <c r="C129" s="202" t="s">
        <v>39</v>
      </c>
      <c r="D129" s="203"/>
      <c r="E129" s="223">
        <f>E140+E135</f>
        <v>2</v>
      </c>
      <c r="F129" s="215"/>
      <c r="G129" s="216"/>
      <c r="H129" s="216"/>
      <c r="I129" s="216"/>
      <c r="J129" s="216"/>
      <c r="K129" s="216"/>
      <c r="L129" s="215"/>
    </row>
    <row r="130" spans="1:12" s="200" customFormat="1" ht="27" customHeight="1">
      <c r="A130" s="252">
        <f>A129+0.1</f>
        <v>9.1</v>
      </c>
      <c r="B130" s="126" t="s">
        <v>15</v>
      </c>
      <c r="C130" s="126" t="s">
        <v>16</v>
      </c>
      <c r="D130" s="207">
        <v>2.06</v>
      </c>
      <c r="E130" s="225">
        <f>E129*D130</f>
        <v>4.12</v>
      </c>
      <c r="F130" s="205"/>
      <c r="G130" s="16"/>
      <c r="H130" s="160"/>
      <c r="I130" s="206"/>
      <c r="J130" s="205"/>
      <c r="K130" s="205"/>
      <c r="L130" s="206"/>
    </row>
    <row r="131" spans="1:12" s="200" customFormat="1" ht="33.75" customHeight="1">
      <c r="A131" s="15">
        <f>A129+1</f>
        <v>10</v>
      </c>
      <c r="B131" s="202" t="s">
        <v>36</v>
      </c>
      <c r="C131" s="202" t="s">
        <v>123</v>
      </c>
      <c r="D131" s="203"/>
      <c r="E131" s="223">
        <f>E129</f>
        <v>2</v>
      </c>
      <c r="F131" s="203"/>
      <c r="G131" s="204"/>
      <c r="H131" s="204"/>
      <c r="I131" s="204"/>
      <c r="J131" s="204"/>
      <c r="K131" s="204"/>
      <c r="L131" s="21"/>
    </row>
    <row r="132" spans="1:12" s="200" customFormat="1" ht="23.25" customHeight="1">
      <c r="A132" s="252">
        <f>A131+0.1</f>
        <v>10.1</v>
      </c>
      <c r="B132" s="163" t="s">
        <v>30</v>
      </c>
      <c r="C132" s="163" t="s">
        <v>16</v>
      </c>
      <c r="D132" s="83">
        <v>0.87</v>
      </c>
      <c r="E132" s="227">
        <f>E131*D132</f>
        <v>1.74</v>
      </c>
      <c r="F132" s="127"/>
      <c r="G132" s="127"/>
      <c r="H132" s="163"/>
      <c r="I132" s="163"/>
      <c r="J132" s="163"/>
      <c r="K132" s="163"/>
      <c r="L132" s="163"/>
    </row>
    <row r="133" spans="1:12" s="200" customFormat="1" ht="23.25" customHeight="1">
      <c r="A133" s="15">
        <f>A131+1</f>
        <v>11</v>
      </c>
      <c r="B133" s="202" t="s">
        <v>101</v>
      </c>
      <c r="C133" s="202" t="s">
        <v>19</v>
      </c>
      <c r="D133" s="203"/>
      <c r="E133" s="223">
        <f>E131*1.85</f>
        <v>3.7</v>
      </c>
      <c r="F133" s="203"/>
      <c r="G133" s="204"/>
      <c r="H133" s="204"/>
      <c r="I133" s="204"/>
      <c r="J133" s="204"/>
      <c r="K133" s="204"/>
      <c r="L133" s="21"/>
    </row>
    <row r="134" spans="1:12" s="200" customFormat="1" ht="23.25" customHeight="1">
      <c r="A134" s="252">
        <f>A133+0.1</f>
        <v>11.1</v>
      </c>
      <c r="B134" s="173" t="s">
        <v>24</v>
      </c>
      <c r="C134" s="173" t="s">
        <v>19</v>
      </c>
      <c r="D134" s="173">
        <v>1</v>
      </c>
      <c r="E134" s="224">
        <f>E133*D134</f>
        <v>3.7</v>
      </c>
      <c r="F134" s="207"/>
      <c r="G134" s="207"/>
      <c r="H134" s="123"/>
      <c r="I134" s="165"/>
      <c r="J134" s="165"/>
      <c r="K134" s="165"/>
      <c r="L134" s="165"/>
    </row>
    <row r="135" spans="1:12" s="200" customFormat="1" ht="48.75" customHeight="1">
      <c r="A135" s="15">
        <f>A133+1</f>
        <v>12</v>
      </c>
      <c r="B135" s="218" t="s">
        <v>154</v>
      </c>
      <c r="C135" s="218" t="s">
        <v>39</v>
      </c>
      <c r="D135" s="21"/>
      <c r="E135" s="237">
        <v>0.4</v>
      </c>
      <c r="F135" s="24"/>
      <c r="G135" s="81"/>
      <c r="H135" s="81"/>
      <c r="I135" s="81"/>
      <c r="J135" s="81"/>
      <c r="K135" s="81"/>
      <c r="L135" s="21"/>
    </row>
    <row r="136" spans="1:12" s="200" customFormat="1" ht="23.25" customHeight="1">
      <c r="A136" s="252">
        <f>A135+0.1</f>
        <v>12.1</v>
      </c>
      <c r="B136" s="163" t="s">
        <v>46</v>
      </c>
      <c r="C136" s="163" t="s">
        <v>16</v>
      </c>
      <c r="D136" s="163">
        <v>0.89</v>
      </c>
      <c r="E136" s="227">
        <f>D136*E135</f>
        <v>0.35600000000000004</v>
      </c>
      <c r="F136" s="25"/>
      <c r="G136" s="25"/>
      <c r="H136" s="26"/>
      <c r="I136" s="26"/>
      <c r="J136" s="81"/>
      <c r="K136" s="81"/>
      <c r="L136" s="107"/>
    </row>
    <row r="137" spans="1:12" s="200" customFormat="1" ht="23.25" customHeight="1">
      <c r="A137" s="252">
        <f>A136+0.1</f>
        <v>12.2</v>
      </c>
      <c r="B137" s="173" t="s">
        <v>47</v>
      </c>
      <c r="C137" s="173" t="s">
        <v>78</v>
      </c>
      <c r="D137" s="165">
        <v>0.37</v>
      </c>
      <c r="E137" s="224">
        <f>D137*E135</f>
        <v>0.14799999999999999</v>
      </c>
      <c r="F137" s="168"/>
      <c r="G137" s="168"/>
      <c r="H137" s="168"/>
      <c r="I137" s="168"/>
      <c r="J137" s="165"/>
      <c r="K137" s="165"/>
      <c r="L137" s="168"/>
    </row>
    <row r="138" spans="1:12" s="200" customFormat="1" ht="23.25" customHeight="1">
      <c r="A138" s="252">
        <f>A137+0.1</f>
        <v>12.299999999999999</v>
      </c>
      <c r="B138" s="164" t="s">
        <v>153</v>
      </c>
      <c r="C138" s="161" t="s">
        <v>39</v>
      </c>
      <c r="D138" s="166" t="s">
        <v>63</v>
      </c>
      <c r="E138" s="228">
        <f>E135</f>
        <v>0.4</v>
      </c>
      <c r="F138" s="166"/>
      <c r="G138" s="166"/>
      <c r="H138" s="170"/>
      <c r="I138" s="170"/>
      <c r="J138" s="170"/>
      <c r="K138" s="170"/>
      <c r="L138" s="170"/>
    </row>
    <row r="139" spans="1:12" s="200" customFormat="1" ht="23.25" customHeight="1">
      <c r="A139" s="252">
        <f>A138+0.1</f>
        <v>12.399999999999999</v>
      </c>
      <c r="B139" s="204" t="s">
        <v>51</v>
      </c>
      <c r="C139" s="204" t="s">
        <v>50</v>
      </c>
      <c r="D139" s="125">
        <v>0.02</v>
      </c>
      <c r="E139" s="221">
        <f>D139*E135</f>
        <v>8.0000000000000002E-3</v>
      </c>
      <c r="F139" s="125"/>
      <c r="G139" s="125"/>
      <c r="H139" s="125"/>
      <c r="I139" s="125"/>
      <c r="J139" s="125"/>
      <c r="K139" s="125"/>
      <c r="L139" s="125"/>
    </row>
    <row r="140" spans="1:12" s="154" customFormat="1" ht="32.25" customHeight="1">
      <c r="A140" s="124">
        <f>A135+1</f>
        <v>13</v>
      </c>
      <c r="B140" s="202" t="s">
        <v>70</v>
      </c>
      <c r="C140" s="202" t="s">
        <v>71</v>
      </c>
      <c r="D140" s="202"/>
      <c r="E140" s="203">
        <v>1.6</v>
      </c>
      <c r="F140" s="202"/>
      <c r="G140" s="203"/>
      <c r="H140" s="202"/>
      <c r="I140" s="203"/>
      <c r="J140" s="202"/>
      <c r="K140" s="203"/>
      <c r="L140" s="203"/>
    </row>
    <row r="141" spans="1:12" s="154" customFormat="1" ht="23.25" customHeight="1">
      <c r="A141" s="257">
        <f>A140+0.1</f>
        <v>13.1</v>
      </c>
      <c r="B141" s="174" t="s">
        <v>30</v>
      </c>
      <c r="C141" s="177" t="s">
        <v>16</v>
      </c>
      <c r="D141" s="163">
        <v>4.5</v>
      </c>
      <c r="E141" s="163">
        <f>D141*E140</f>
        <v>7.2</v>
      </c>
      <c r="F141" s="176"/>
      <c r="G141" s="176"/>
      <c r="H141" s="207"/>
      <c r="I141" s="163"/>
      <c r="J141" s="176"/>
      <c r="K141" s="176"/>
      <c r="L141" s="163"/>
    </row>
    <row r="142" spans="1:12" s="154" customFormat="1" ht="23.25" customHeight="1">
      <c r="A142" s="257">
        <f t="shared" ref="A142:A146" si="13">A141+0.1</f>
        <v>13.2</v>
      </c>
      <c r="B142" s="173" t="s">
        <v>47</v>
      </c>
      <c r="C142" s="195" t="s">
        <v>17</v>
      </c>
      <c r="D142" s="165">
        <v>0.37</v>
      </c>
      <c r="E142" s="165">
        <f>D142*E140</f>
        <v>0.59199999999999997</v>
      </c>
      <c r="F142" s="168"/>
      <c r="G142" s="168"/>
      <c r="H142" s="168"/>
      <c r="I142" s="168"/>
      <c r="J142" s="165"/>
      <c r="K142" s="165"/>
      <c r="L142" s="165"/>
    </row>
    <row r="143" spans="1:12" s="154" customFormat="1" ht="23.25" customHeight="1">
      <c r="A143" s="257">
        <f t="shared" si="13"/>
        <v>13.299999999999999</v>
      </c>
      <c r="B143" s="161" t="s">
        <v>149</v>
      </c>
      <c r="C143" s="161" t="s">
        <v>39</v>
      </c>
      <c r="D143" s="166">
        <v>1.02</v>
      </c>
      <c r="E143" s="166">
        <f>D143*E140</f>
        <v>1.6320000000000001</v>
      </c>
      <c r="F143" s="166"/>
      <c r="G143" s="166"/>
      <c r="H143" s="170"/>
      <c r="I143" s="170"/>
      <c r="J143" s="170"/>
      <c r="K143" s="170"/>
      <c r="L143" s="166"/>
    </row>
    <row r="144" spans="1:12" s="200" customFormat="1" ht="26.25" customHeight="1">
      <c r="A144" s="257">
        <f t="shared" si="13"/>
        <v>13.399999999999999</v>
      </c>
      <c r="B144" s="157" t="s">
        <v>150</v>
      </c>
      <c r="C144" s="161" t="s">
        <v>68</v>
      </c>
      <c r="D144" s="166">
        <v>1.61</v>
      </c>
      <c r="E144" s="166">
        <f>D144*E140</f>
        <v>2.5760000000000005</v>
      </c>
      <c r="F144" s="166"/>
      <c r="G144" s="166"/>
      <c r="H144" s="170"/>
      <c r="I144" s="170"/>
      <c r="J144" s="170"/>
      <c r="K144" s="170"/>
      <c r="L144" s="166"/>
    </row>
    <row r="145" spans="1:17" s="200" customFormat="1" ht="19.5" customHeight="1">
      <c r="A145" s="257">
        <f t="shared" si="13"/>
        <v>13.499999999999998</v>
      </c>
      <c r="B145" s="161" t="s">
        <v>127</v>
      </c>
      <c r="C145" s="161" t="s">
        <v>39</v>
      </c>
      <c r="D145" s="166">
        <v>1.72E-2</v>
      </c>
      <c r="E145" s="166">
        <f>D145*E140</f>
        <v>2.7520000000000003E-2</v>
      </c>
      <c r="F145" s="166"/>
      <c r="G145" s="166"/>
      <c r="H145" s="170"/>
      <c r="I145" s="170"/>
      <c r="J145" s="170"/>
      <c r="K145" s="170"/>
      <c r="L145" s="166"/>
    </row>
    <row r="146" spans="1:17" s="200" customFormat="1" ht="19.5" customHeight="1">
      <c r="A146" s="257">
        <f t="shared" si="13"/>
        <v>13.599999999999998</v>
      </c>
      <c r="B146" s="161" t="s">
        <v>41</v>
      </c>
      <c r="C146" s="161" t="s">
        <v>17</v>
      </c>
      <c r="D146" s="166">
        <v>0.28000000000000003</v>
      </c>
      <c r="E146" s="166">
        <f>D146*E140</f>
        <v>0.44800000000000006</v>
      </c>
      <c r="F146" s="166"/>
      <c r="G146" s="166"/>
      <c r="H146" s="170"/>
      <c r="I146" s="170"/>
      <c r="J146" s="170"/>
      <c r="K146" s="170"/>
      <c r="L146" s="166"/>
    </row>
    <row r="147" spans="1:17" s="200" customFormat="1" ht="28.5" customHeight="1">
      <c r="A147" s="178">
        <f>A140+1</f>
        <v>14</v>
      </c>
      <c r="B147" s="179" t="s">
        <v>151</v>
      </c>
      <c r="C147" s="179" t="s">
        <v>55</v>
      </c>
      <c r="D147" s="180"/>
      <c r="E147" s="20">
        <f>1250.834/1000</f>
        <v>1.250834</v>
      </c>
      <c r="F147" s="180"/>
      <c r="G147" s="181"/>
      <c r="H147" s="181"/>
      <c r="I147" s="181"/>
      <c r="J147" s="182"/>
      <c r="K147" s="182"/>
      <c r="L147" s="183"/>
    </row>
    <row r="148" spans="1:17" s="200" customFormat="1" ht="19.5" customHeight="1">
      <c r="A148" s="267">
        <f>A147+0.1</f>
        <v>14.1</v>
      </c>
      <c r="B148" s="184" t="s">
        <v>49</v>
      </c>
      <c r="C148" s="184" t="s">
        <v>16</v>
      </c>
      <c r="D148" s="185">
        <v>30.1</v>
      </c>
      <c r="E148" s="185">
        <f>D148*E147</f>
        <v>37.650103399999999</v>
      </c>
      <c r="F148" s="186"/>
      <c r="G148" s="186"/>
      <c r="H148" s="207"/>
      <c r="I148" s="207"/>
      <c r="J148" s="187"/>
      <c r="K148" s="187"/>
      <c r="L148" s="160"/>
    </row>
    <row r="149" spans="1:17" s="200" customFormat="1" ht="19.5" customHeight="1">
      <c r="A149" s="268">
        <f>A147+0.1</f>
        <v>14.1</v>
      </c>
      <c r="B149" s="188" t="s">
        <v>40</v>
      </c>
      <c r="C149" s="173" t="s">
        <v>17</v>
      </c>
      <c r="D149" s="189">
        <v>6.46</v>
      </c>
      <c r="E149" s="189">
        <f>D149*E147</f>
        <v>8.0803876399999996</v>
      </c>
      <c r="F149" s="190"/>
      <c r="G149" s="190"/>
      <c r="H149" s="190"/>
      <c r="I149" s="190"/>
      <c r="J149" s="191"/>
      <c r="K149" s="191"/>
      <c r="L149" s="167"/>
    </row>
    <row r="150" spans="1:17" s="200" customFormat="1" ht="19.5" customHeight="1">
      <c r="A150" s="192">
        <f>A149+0.1</f>
        <v>14.2</v>
      </c>
      <c r="B150" s="193" t="s">
        <v>312</v>
      </c>
      <c r="C150" s="193" t="s">
        <v>136</v>
      </c>
      <c r="D150" s="194" t="s">
        <v>59</v>
      </c>
      <c r="E150" s="194">
        <v>1.2</v>
      </c>
      <c r="F150" s="194"/>
      <c r="G150" s="194"/>
      <c r="H150" s="181"/>
      <c r="I150" s="181"/>
      <c r="J150" s="182"/>
      <c r="K150" s="182"/>
      <c r="L150" s="169"/>
      <c r="M150" s="156"/>
      <c r="N150" s="156"/>
      <c r="O150" s="156"/>
    </row>
    <row r="151" spans="1:17" s="200" customFormat="1" ht="19.5" customHeight="1">
      <c r="A151" s="192">
        <f>A150+0.1</f>
        <v>14.299999999999999</v>
      </c>
      <c r="B151" s="193" t="s">
        <v>294</v>
      </c>
      <c r="C151" s="193" t="s">
        <v>136</v>
      </c>
      <c r="D151" s="194" t="s">
        <v>59</v>
      </c>
      <c r="E151" s="194">
        <v>102.6</v>
      </c>
      <c r="F151" s="194"/>
      <c r="G151" s="194"/>
      <c r="H151" s="181"/>
      <c r="I151" s="181"/>
      <c r="J151" s="182"/>
      <c r="K151" s="182"/>
      <c r="L151" s="169"/>
      <c r="M151" s="156"/>
      <c r="N151" s="156"/>
      <c r="O151" s="156"/>
    </row>
    <row r="152" spans="1:17" s="200" customFormat="1" ht="19.5" customHeight="1">
      <c r="A152" s="192">
        <f>A150+0.1</f>
        <v>14.299999999999999</v>
      </c>
      <c r="B152" s="193" t="s">
        <v>157</v>
      </c>
      <c r="C152" s="193" t="s">
        <v>136</v>
      </c>
      <c r="D152" s="194" t="s">
        <v>59</v>
      </c>
      <c r="E152" s="194">
        <v>156</v>
      </c>
      <c r="F152" s="194"/>
      <c r="G152" s="194"/>
      <c r="H152" s="181"/>
      <c r="I152" s="181"/>
      <c r="J152" s="182"/>
      <c r="K152" s="182"/>
      <c r="L152" s="169"/>
      <c r="M152" s="156"/>
      <c r="N152" s="156"/>
      <c r="O152" s="156"/>
    </row>
    <row r="153" spans="1:17" s="175" customFormat="1" ht="21.75" customHeight="1">
      <c r="A153" s="192">
        <f t="shared" ref="A153:A155" si="14">A152+0.1</f>
        <v>14.399999999999999</v>
      </c>
      <c r="B153" s="193" t="s">
        <v>184</v>
      </c>
      <c r="C153" s="193" t="s">
        <v>136</v>
      </c>
      <c r="D153" s="194" t="s">
        <v>59</v>
      </c>
      <c r="E153" s="194">
        <v>344</v>
      </c>
      <c r="F153" s="194"/>
      <c r="G153" s="194"/>
      <c r="H153" s="181"/>
      <c r="I153" s="181"/>
      <c r="J153" s="182"/>
      <c r="K153" s="182"/>
      <c r="L153" s="169"/>
      <c r="M153" s="156"/>
      <c r="N153" s="156"/>
      <c r="O153" s="156"/>
    </row>
    <row r="154" spans="1:17" s="175" customFormat="1" ht="19.5" customHeight="1">
      <c r="A154" s="192">
        <f t="shared" si="14"/>
        <v>14.499999999999998</v>
      </c>
      <c r="B154" s="193" t="s">
        <v>138</v>
      </c>
      <c r="C154" s="193" t="s">
        <v>52</v>
      </c>
      <c r="D154" s="194">
        <v>4.8</v>
      </c>
      <c r="E154" s="197">
        <f>D154*E147</f>
        <v>6.0040031999999997</v>
      </c>
      <c r="F154" s="194"/>
      <c r="G154" s="194"/>
      <c r="H154" s="181"/>
      <c r="I154" s="181"/>
      <c r="J154" s="182"/>
      <c r="K154" s="182"/>
      <c r="L154" s="169"/>
      <c r="M154" s="156"/>
      <c r="N154" s="156"/>
      <c r="O154" s="156"/>
      <c r="P154" s="156"/>
      <c r="Q154" s="156"/>
    </row>
    <row r="155" spans="1:17" s="175" customFormat="1" ht="19.5" customHeight="1">
      <c r="A155" s="192">
        <f t="shared" si="14"/>
        <v>14.599999999999998</v>
      </c>
      <c r="B155" s="193" t="s">
        <v>51</v>
      </c>
      <c r="C155" s="161" t="s">
        <v>17</v>
      </c>
      <c r="D155" s="194">
        <v>5.4</v>
      </c>
      <c r="E155" s="197">
        <f>D155*E147</f>
        <v>6.7545036000000005</v>
      </c>
      <c r="F155" s="194"/>
      <c r="G155" s="194"/>
      <c r="H155" s="181"/>
      <c r="I155" s="181"/>
      <c r="J155" s="182"/>
      <c r="K155" s="182"/>
      <c r="L155" s="169"/>
      <c r="M155" s="156"/>
      <c r="N155" s="156"/>
      <c r="O155" s="156"/>
      <c r="P155" s="156"/>
      <c r="Q155" s="156"/>
    </row>
    <row r="156" spans="1:17" s="156" customFormat="1" ht="30.75" customHeight="1">
      <c r="A156" s="124">
        <f>A147+1</f>
        <v>15</v>
      </c>
      <c r="B156" s="216" t="s">
        <v>141</v>
      </c>
      <c r="C156" s="216" t="s">
        <v>21</v>
      </c>
      <c r="D156" s="216"/>
      <c r="E156" s="223">
        <f>69.256*1.1</f>
        <v>76.181600000000003</v>
      </c>
      <c r="F156" s="220"/>
      <c r="G156" s="215"/>
      <c r="H156" s="216"/>
      <c r="I156" s="215"/>
      <c r="J156" s="216"/>
      <c r="K156" s="215"/>
      <c r="L156" s="215"/>
    </row>
    <row r="157" spans="1:17" s="156" customFormat="1" ht="19.5" customHeight="1">
      <c r="A157" s="257">
        <f>A156+0.1</f>
        <v>15.1</v>
      </c>
      <c r="B157" s="162" t="s">
        <v>72</v>
      </c>
      <c r="C157" s="162" t="s">
        <v>16</v>
      </c>
      <c r="D157" s="162">
        <v>0.68</v>
      </c>
      <c r="E157" s="227">
        <f>D157*E156</f>
        <v>51.803488000000009</v>
      </c>
      <c r="F157" s="159"/>
      <c r="G157" s="159"/>
      <c r="H157" s="172"/>
      <c r="I157" s="171"/>
      <c r="J157" s="159"/>
      <c r="K157" s="159"/>
      <c r="L157" s="171"/>
    </row>
    <row r="158" spans="1:17" s="156" customFormat="1" ht="19.5" customHeight="1">
      <c r="A158" s="268">
        <f>A157+0.1</f>
        <v>15.2</v>
      </c>
      <c r="B158" s="188" t="s">
        <v>73</v>
      </c>
      <c r="C158" s="173" t="s">
        <v>17</v>
      </c>
      <c r="D158" s="189">
        <v>2.9999999999999997E-4</v>
      </c>
      <c r="E158" s="196">
        <f>D158*E156</f>
        <v>2.285448E-2</v>
      </c>
      <c r="F158" s="190"/>
      <c r="G158" s="190"/>
      <c r="H158" s="190"/>
      <c r="I158" s="190"/>
      <c r="J158" s="191"/>
      <c r="K158" s="191"/>
      <c r="L158" s="167"/>
      <c r="P158" s="175"/>
      <c r="Q158" s="175"/>
    </row>
    <row r="159" spans="1:17" s="156" customFormat="1" ht="19.5" customHeight="1">
      <c r="A159" s="257">
        <f>A158+0.1</f>
        <v>15.299999999999999</v>
      </c>
      <c r="B159" s="157" t="s">
        <v>74</v>
      </c>
      <c r="C159" s="157" t="s">
        <v>52</v>
      </c>
      <c r="D159" s="157">
        <v>0.5</v>
      </c>
      <c r="E159" s="158">
        <f>D159*E156</f>
        <v>38.090800000000002</v>
      </c>
      <c r="F159" s="158"/>
      <c r="G159" s="158"/>
      <c r="H159" s="157"/>
      <c r="I159" s="158"/>
      <c r="J159" s="157"/>
      <c r="K159" s="158"/>
      <c r="L159" s="158"/>
    </row>
    <row r="160" spans="1:17" s="156" customFormat="1" ht="21" customHeight="1">
      <c r="A160" s="257">
        <f t="shared" ref="A160:A161" si="15">A159+0.1</f>
        <v>15.399999999999999</v>
      </c>
      <c r="B160" s="157" t="s">
        <v>75</v>
      </c>
      <c r="C160" s="157" t="s">
        <v>52</v>
      </c>
      <c r="D160" s="157">
        <v>2.7E-2</v>
      </c>
      <c r="E160" s="158">
        <f>D160*E156</f>
        <v>2.0569032000000003</v>
      </c>
      <c r="F160" s="158"/>
      <c r="G160" s="158"/>
      <c r="H160" s="157"/>
      <c r="I160" s="158"/>
      <c r="J160" s="157"/>
      <c r="K160" s="158"/>
      <c r="L160" s="158"/>
    </row>
    <row r="161" spans="1:14" s="156" customFormat="1" ht="19.5" customHeight="1">
      <c r="A161" s="257">
        <f t="shared" si="15"/>
        <v>15.499999999999998</v>
      </c>
      <c r="B161" s="157" t="s">
        <v>41</v>
      </c>
      <c r="C161" s="157" t="s">
        <v>17</v>
      </c>
      <c r="D161" s="157">
        <v>1.9E-3</v>
      </c>
      <c r="E161" s="158">
        <f>D161*E156</f>
        <v>0.14474504000000002</v>
      </c>
      <c r="F161" s="158"/>
      <c r="G161" s="158"/>
      <c r="H161" s="157"/>
      <c r="I161" s="158"/>
      <c r="J161" s="157"/>
      <c r="K161" s="158"/>
      <c r="L161" s="158"/>
    </row>
    <row r="162" spans="1:14" s="200" customFormat="1">
      <c r="A162" s="258"/>
      <c r="B162" s="216" t="s">
        <v>26</v>
      </c>
      <c r="C162" s="216" t="s">
        <v>17</v>
      </c>
      <c r="D162" s="215"/>
      <c r="E162" s="203"/>
      <c r="F162" s="203"/>
      <c r="G162" s="215"/>
      <c r="H162" s="11"/>
      <c r="I162" s="34"/>
      <c r="J162" s="8"/>
      <c r="K162" s="418"/>
      <c r="L162" s="215"/>
      <c r="M162" s="210"/>
    </row>
    <row r="163" spans="1:14" s="200" customFormat="1">
      <c r="A163" s="243"/>
      <c r="B163" s="157" t="s">
        <v>325</v>
      </c>
      <c r="C163" s="157" t="s">
        <v>17</v>
      </c>
      <c r="D163" s="158"/>
      <c r="E163" s="125"/>
      <c r="F163" s="125"/>
      <c r="G163" s="159"/>
      <c r="H163" s="159"/>
      <c r="I163" s="159"/>
      <c r="J163" s="159"/>
      <c r="K163" s="159"/>
      <c r="L163" s="158"/>
      <c r="M163" s="210"/>
      <c r="N163" s="80"/>
    </row>
    <row r="164" spans="1:14" s="200" customFormat="1">
      <c r="A164" s="254"/>
      <c r="B164" s="216" t="s">
        <v>26</v>
      </c>
      <c r="C164" s="216" t="s">
        <v>17</v>
      </c>
      <c r="D164" s="215"/>
      <c r="E164" s="203"/>
      <c r="F164" s="203"/>
      <c r="G164" s="11"/>
      <c r="H164" s="11"/>
      <c r="I164" s="11"/>
      <c r="J164" s="11"/>
      <c r="K164" s="11"/>
      <c r="L164" s="215"/>
    </row>
    <row r="165" spans="1:14" s="200" customFormat="1">
      <c r="A165" s="243"/>
      <c r="B165" s="157" t="s">
        <v>323</v>
      </c>
      <c r="C165" s="157" t="s">
        <v>17</v>
      </c>
      <c r="D165" s="158"/>
      <c r="E165" s="125"/>
      <c r="F165" s="125"/>
      <c r="G165" s="159"/>
      <c r="H165" s="159"/>
      <c r="I165" s="159"/>
      <c r="J165" s="159"/>
      <c r="K165" s="159"/>
      <c r="L165" s="158"/>
    </row>
    <row r="166" spans="1:14" s="200" customFormat="1">
      <c r="A166" s="255"/>
      <c r="B166" s="12" t="s">
        <v>25</v>
      </c>
      <c r="C166" s="12" t="s">
        <v>17</v>
      </c>
      <c r="D166" s="13"/>
      <c r="E166" s="13"/>
      <c r="F166" s="13"/>
      <c r="G166" s="14"/>
      <c r="H166" s="14"/>
      <c r="I166" s="14"/>
      <c r="J166" s="14"/>
      <c r="K166" s="14"/>
      <c r="L166" s="13"/>
    </row>
    <row r="169" spans="1:14">
      <c r="B169" s="287"/>
    </row>
  </sheetData>
  <mergeCells count="14">
    <mergeCell ref="A35:L35"/>
    <mergeCell ref="A98:L98"/>
    <mergeCell ref="A7:L7"/>
    <mergeCell ref="A1:L1"/>
    <mergeCell ref="A4:A5"/>
    <mergeCell ref="B4:B5"/>
    <mergeCell ref="C4:C5"/>
    <mergeCell ref="D4:E4"/>
    <mergeCell ref="F4:G4"/>
    <mergeCell ref="H4:I4"/>
    <mergeCell ref="J4:K4"/>
    <mergeCell ref="L4:L5"/>
    <mergeCell ref="A3:C3"/>
    <mergeCell ref="A2:L2"/>
  </mergeCells>
  <printOptions horizontalCentered="1"/>
  <pageMargins left="0" right="0" top="0.75" bottom="0.75" header="0.3" footer="0.3"/>
  <pageSetup paperSize="9" scale="85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topLeftCell="A90" zoomScale="85" zoomScaleNormal="100" zoomScaleSheetLayoutView="85" workbookViewId="0">
      <selection activeCell="B104" sqref="B104"/>
    </sheetView>
  </sheetViews>
  <sheetFormatPr defaultColWidth="9.140625" defaultRowHeight="15"/>
  <cols>
    <col min="1" max="1" width="7.140625" style="271" customWidth="1"/>
    <col min="2" max="2" width="37.140625" style="200" customWidth="1"/>
    <col min="3" max="3" width="9.42578125" style="200" customWidth="1"/>
    <col min="4" max="4" width="7.42578125" style="200" customWidth="1"/>
    <col min="5" max="5" width="9.140625" style="200" bestFit="1" customWidth="1"/>
    <col min="6" max="7" width="9.140625" style="200"/>
    <col min="8" max="8" width="5" style="200" customWidth="1"/>
    <col min="9" max="9" width="8.5703125" style="200" customWidth="1"/>
    <col min="10" max="10" width="6.85546875" style="200" customWidth="1"/>
    <col min="11" max="11" width="8.85546875" style="200" customWidth="1"/>
    <col min="12" max="12" width="11.5703125" style="200" customWidth="1"/>
    <col min="13" max="16" width="9.140625" style="200" customWidth="1"/>
    <col min="17" max="17" width="11.85546875" style="200" customWidth="1"/>
    <col min="18" max="18" width="9.140625" style="200" customWidth="1"/>
    <col min="19" max="16384" width="9.140625" style="200"/>
  </cols>
  <sheetData>
    <row r="1" spans="1:15">
      <c r="A1" s="456" t="str">
        <f>თავფურელი!C11</f>
        <v>dmanisis raioni, sofeli amamlo, skveris da sportuli moednis mowyoba</v>
      </c>
      <c r="B1" s="456"/>
      <c r="C1" s="456"/>
      <c r="D1" s="456"/>
      <c r="E1" s="456"/>
      <c r="F1" s="456"/>
      <c r="G1" s="456"/>
      <c r="H1" s="457"/>
      <c r="I1" s="457"/>
      <c r="J1" s="457"/>
      <c r="K1" s="457"/>
      <c r="L1" s="457"/>
    </row>
    <row r="2" spans="1:15">
      <c r="A2" s="456" t="s">
        <v>292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5">
      <c r="A3" s="458"/>
      <c r="B3" s="458"/>
      <c r="C3" s="458"/>
      <c r="D3" s="1"/>
      <c r="E3" s="1"/>
      <c r="F3" s="1"/>
      <c r="G3" s="1"/>
      <c r="H3" s="1"/>
      <c r="I3" s="1"/>
      <c r="J3" s="1"/>
      <c r="K3" s="1"/>
      <c r="L3" s="1"/>
    </row>
    <row r="4" spans="1:15" ht="21" customHeight="1">
      <c r="A4" s="459" t="s">
        <v>0</v>
      </c>
      <c r="B4" s="452" t="s">
        <v>2</v>
      </c>
      <c r="C4" s="452" t="s">
        <v>3</v>
      </c>
      <c r="D4" s="463" t="s">
        <v>4</v>
      </c>
      <c r="E4" s="464"/>
      <c r="F4" s="452" t="s">
        <v>5</v>
      </c>
      <c r="G4" s="452"/>
      <c r="H4" s="452" t="s">
        <v>6</v>
      </c>
      <c r="I4" s="452"/>
      <c r="J4" s="452" t="s">
        <v>7</v>
      </c>
      <c r="K4" s="452"/>
      <c r="L4" s="452" t="s">
        <v>8</v>
      </c>
    </row>
    <row r="5" spans="1:15" ht="51">
      <c r="A5" s="459" t="s">
        <v>0</v>
      </c>
      <c r="B5" s="452" t="s">
        <v>9</v>
      </c>
      <c r="C5" s="462" t="s">
        <v>10</v>
      </c>
      <c r="D5" s="2" t="s">
        <v>11</v>
      </c>
      <c r="E5" s="2" t="s">
        <v>12</v>
      </c>
      <c r="F5" s="3" t="s">
        <v>13</v>
      </c>
      <c r="G5" s="244" t="s">
        <v>14</v>
      </c>
      <c r="H5" s="244" t="s">
        <v>13</v>
      </c>
      <c r="I5" s="244" t="s">
        <v>14</v>
      </c>
      <c r="J5" s="244" t="s">
        <v>13</v>
      </c>
      <c r="K5" s="244" t="s">
        <v>14</v>
      </c>
      <c r="L5" s="452" t="s">
        <v>14</v>
      </c>
    </row>
    <row r="6" spans="1:15">
      <c r="A6" s="246">
        <v>1</v>
      </c>
      <c r="B6" s="245">
        <v>3</v>
      </c>
      <c r="C6" s="245">
        <v>4</v>
      </c>
      <c r="D6" s="5">
        <v>5</v>
      </c>
      <c r="E6" s="5">
        <v>6</v>
      </c>
      <c r="F6" s="245">
        <v>7</v>
      </c>
      <c r="G6" s="245">
        <v>8</v>
      </c>
      <c r="H6" s="245">
        <v>9</v>
      </c>
      <c r="I6" s="245">
        <v>10</v>
      </c>
      <c r="J6" s="245">
        <v>11</v>
      </c>
      <c r="K6" s="245">
        <v>12</v>
      </c>
      <c r="L6" s="245">
        <v>13</v>
      </c>
    </row>
    <row r="7" spans="1:15">
      <c r="A7" s="477" t="s">
        <v>189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3"/>
    </row>
    <row r="8" spans="1:15" ht="27">
      <c r="A8" s="15">
        <v>1</v>
      </c>
      <c r="B8" s="202" t="s">
        <v>104</v>
      </c>
      <c r="C8" s="202" t="s">
        <v>39</v>
      </c>
      <c r="D8" s="203"/>
      <c r="E8" s="427">
        <f>(134*0.5*0.8)+E15</f>
        <v>58.225000000000001</v>
      </c>
      <c r="F8" s="215"/>
      <c r="G8" s="216"/>
      <c r="H8" s="216"/>
      <c r="I8" s="216"/>
      <c r="J8" s="216"/>
      <c r="K8" s="216"/>
      <c r="L8" s="215"/>
      <c r="M8" s="210"/>
    </row>
    <row r="9" spans="1:15">
      <c r="A9" s="252">
        <f>A8+0.1</f>
        <v>1.1000000000000001</v>
      </c>
      <c r="B9" s="126" t="s">
        <v>15</v>
      </c>
      <c r="C9" s="126" t="s">
        <v>16</v>
      </c>
      <c r="D9" s="207">
        <v>2.06</v>
      </c>
      <c r="E9" s="88">
        <f>E8*D9</f>
        <v>119.9435</v>
      </c>
      <c r="F9" s="205"/>
      <c r="G9" s="16"/>
      <c r="H9" s="160"/>
      <c r="I9" s="206"/>
      <c r="J9" s="205"/>
      <c r="K9" s="205"/>
      <c r="L9" s="206"/>
    </row>
    <row r="10" spans="1:15" ht="38.25">
      <c r="A10" s="178">
        <f>A8+1</f>
        <v>2</v>
      </c>
      <c r="B10" s="218" t="s">
        <v>154</v>
      </c>
      <c r="C10" s="218" t="s">
        <v>39</v>
      </c>
      <c r="D10" s="21"/>
      <c r="E10" s="20">
        <f>E15/5</f>
        <v>0.92500000000000004</v>
      </c>
      <c r="F10" s="24"/>
      <c r="G10" s="81"/>
      <c r="H10" s="81"/>
      <c r="I10" s="81"/>
      <c r="J10" s="81"/>
      <c r="K10" s="81"/>
      <c r="L10" s="21"/>
    </row>
    <row r="11" spans="1:15">
      <c r="A11" s="257">
        <f>A10+0.1</f>
        <v>2.1</v>
      </c>
      <c r="B11" s="163" t="s">
        <v>46</v>
      </c>
      <c r="C11" s="163" t="s">
        <v>16</v>
      </c>
      <c r="D11" s="163">
        <v>0.89</v>
      </c>
      <c r="E11" s="163">
        <f>D11*E10</f>
        <v>0.82325000000000004</v>
      </c>
      <c r="F11" s="25"/>
      <c r="G11" s="25"/>
      <c r="H11" s="26"/>
      <c r="I11" s="26"/>
      <c r="J11" s="81"/>
      <c r="K11" s="81"/>
      <c r="L11" s="107"/>
    </row>
    <row r="12" spans="1:15">
      <c r="A12" s="257">
        <f t="shared" ref="A12:A14" si="0">A11+0.1</f>
        <v>2.2000000000000002</v>
      </c>
      <c r="B12" s="173" t="s">
        <v>47</v>
      </c>
      <c r="C12" s="173" t="s">
        <v>78</v>
      </c>
      <c r="D12" s="165">
        <v>0.37</v>
      </c>
      <c r="E12" s="165">
        <f>D12*E10</f>
        <v>0.34225</v>
      </c>
      <c r="F12" s="168"/>
      <c r="G12" s="168"/>
      <c r="H12" s="168"/>
      <c r="I12" s="168"/>
      <c r="J12" s="165"/>
      <c r="K12" s="165"/>
      <c r="L12" s="168"/>
    </row>
    <row r="13" spans="1:15" ht="25.5">
      <c r="A13" s="257">
        <f t="shared" si="0"/>
        <v>2.3000000000000003</v>
      </c>
      <c r="B13" s="164" t="s">
        <v>153</v>
      </c>
      <c r="C13" s="161" t="s">
        <v>39</v>
      </c>
      <c r="D13" s="166" t="s">
        <v>63</v>
      </c>
      <c r="E13" s="166">
        <f>E10</f>
        <v>0.92500000000000004</v>
      </c>
      <c r="F13" s="166"/>
      <c r="G13" s="166"/>
      <c r="H13" s="170"/>
      <c r="I13" s="170"/>
      <c r="J13" s="170"/>
      <c r="K13" s="170"/>
      <c r="L13" s="170"/>
    </row>
    <row r="14" spans="1:15">
      <c r="A14" s="257">
        <f t="shared" si="0"/>
        <v>2.4000000000000004</v>
      </c>
      <c r="B14" s="204" t="s">
        <v>51</v>
      </c>
      <c r="C14" s="204" t="s">
        <v>50</v>
      </c>
      <c r="D14" s="125">
        <v>0.02</v>
      </c>
      <c r="E14" s="125">
        <f>D14*E10</f>
        <v>1.8500000000000003E-2</v>
      </c>
      <c r="F14" s="125"/>
      <c r="G14" s="125"/>
      <c r="H14" s="125"/>
      <c r="I14" s="125"/>
      <c r="J14" s="125"/>
      <c r="K14" s="125"/>
      <c r="L14" s="97"/>
    </row>
    <row r="15" spans="1:15" ht="27">
      <c r="A15" s="124">
        <f>A10+1</f>
        <v>3</v>
      </c>
      <c r="B15" s="202" t="s">
        <v>70</v>
      </c>
      <c r="C15" s="216" t="s">
        <v>71</v>
      </c>
      <c r="D15" s="216"/>
      <c r="E15" s="202">
        <f>(5*0.5*0.5*0.5)+E27</f>
        <v>4.625</v>
      </c>
      <c r="F15" s="216"/>
      <c r="G15" s="215"/>
      <c r="H15" s="216"/>
      <c r="I15" s="215"/>
      <c r="J15" s="216"/>
      <c r="K15" s="215"/>
      <c r="L15" s="215"/>
      <c r="M15" s="156"/>
      <c r="N15" s="156"/>
      <c r="O15" s="156"/>
    </row>
    <row r="16" spans="1:15">
      <c r="A16" s="257">
        <f>A15+0.1</f>
        <v>3.1</v>
      </c>
      <c r="B16" s="162" t="s">
        <v>30</v>
      </c>
      <c r="C16" s="162" t="s">
        <v>16</v>
      </c>
      <c r="D16" s="160">
        <v>4.5</v>
      </c>
      <c r="E16" s="163">
        <f>D16*E15</f>
        <v>20.8125</v>
      </c>
      <c r="F16" s="176"/>
      <c r="G16" s="32"/>
      <c r="H16" s="206"/>
      <c r="I16" s="163"/>
      <c r="J16" s="176"/>
      <c r="K16" s="32"/>
      <c r="L16" s="160"/>
      <c r="M16" s="156"/>
      <c r="N16" s="156"/>
      <c r="O16" s="156"/>
    </row>
    <row r="17" spans="1:18">
      <c r="A17" s="257">
        <f>A16+0.1</f>
        <v>3.2</v>
      </c>
      <c r="B17" s="208" t="s">
        <v>47</v>
      </c>
      <c r="C17" s="208" t="s">
        <v>17</v>
      </c>
      <c r="D17" s="209">
        <v>0.37</v>
      </c>
      <c r="E17" s="165">
        <f>D17*E15</f>
        <v>1.7112499999999999</v>
      </c>
      <c r="F17" s="168"/>
      <c r="G17" s="167"/>
      <c r="H17" s="167"/>
      <c r="I17" s="168"/>
      <c r="J17" s="165"/>
      <c r="K17" s="209"/>
      <c r="L17" s="167"/>
      <c r="M17" s="156"/>
      <c r="N17" s="156"/>
      <c r="O17" s="156"/>
    </row>
    <row r="18" spans="1:18">
      <c r="A18" s="257">
        <f>A17+0.1</f>
        <v>3.3000000000000003</v>
      </c>
      <c r="B18" s="204" t="s">
        <v>314</v>
      </c>
      <c r="C18" s="164" t="s">
        <v>39</v>
      </c>
      <c r="D18" s="22">
        <v>1.02</v>
      </c>
      <c r="E18" s="166">
        <f>D18*E15</f>
        <v>4.7175000000000002</v>
      </c>
      <c r="F18" s="166"/>
      <c r="G18" s="22"/>
      <c r="H18" s="169"/>
      <c r="I18" s="170"/>
      <c r="J18" s="170"/>
      <c r="K18" s="169"/>
      <c r="L18" s="169"/>
      <c r="M18" s="156"/>
      <c r="N18" s="156"/>
      <c r="O18" s="156"/>
    </row>
    <row r="19" spans="1:18">
      <c r="A19" s="257">
        <f t="shared" ref="A19:A21" si="1">A18+0.1</f>
        <v>3.4000000000000004</v>
      </c>
      <c r="B19" s="204" t="s">
        <v>126</v>
      </c>
      <c r="C19" s="161" t="s">
        <v>124</v>
      </c>
      <c r="D19" s="166">
        <v>1.61</v>
      </c>
      <c r="E19" s="166">
        <f>E15*D19</f>
        <v>7.44625</v>
      </c>
      <c r="F19" s="166"/>
      <c r="G19" s="166"/>
      <c r="H19" s="170"/>
      <c r="I19" s="170"/>
      <c r="J19" s="170"/>
      <c r="K19" s="170"/>
      <c r="L19" s="170"/>
      <c r="M19" s="156"/>
      <c r="N19" s="156"/>
      <c r="O19" s="156"/>
    </row>
    <row r="20" spans="1:18">
      <c r="A20" s="257">
        <f t="shared" si="1"/>
        <v>3.5000000000000004</v>
      </c>
      <c r="B20" s="204" t="s">
        <v>127</v>
      </c>
      <c r="C20" s="161" t="s">
        <v>120</v>
      </c>
      <c r="D20" s="166">
        <f>1.72/100</f>
        <v>1.72E-2</v>
      </c>
      <c r="E20" s="166">
        <f>E15*D20</f>
        <v>7.9549999999999996E-2</v>
      </c>
      <c r="F20" s="166"/>
      <c r="G20" s="166"/>
      <c r="H20" s="170"/>
      <c r="I20" s="170"/>
      <c r="J20" s="170"/>
      <c r="K20" s="170"/>
      <c r="L20" s="170"/>
      <c r="M20" s="156"/>
      <c r="N20" s="156"/>
      <c r="O20" s="156"/>
    </row>
    <row r="21" spans="1:18">
      <c r="A21" s="257">
        <f t="shared" si="1"/>
        <v>3.6000000000000005</v>
      </c>
      <c r="B21" s="161" t="s">
        <v>41</v>
      </c>
      <c r="C21" s="161" t="s">
        <v>48</v>
      </c>
      <c r="D21" s="166">
        <v>0.28000000000000003</v>
      </c>
      <c r="E21" s="228">
        <f>D21*E15</f>
        <v>1.2950000000000002</v>
      </c>
      <c r="F21" s="166"/>
      <c r="G21" s="166"/>
      <c r="H21" s="170"/>
      <c r="I21" s="170"/>
      <c r="J21" s="170"/>
      <c r="K21" s="170"/>
      <c r="L21" s="170"/>
      <c r="M21" s="156"/>
      <c r="N21" s="156"/>
      <c r="O21" s="156"/>
    </row>
    <row r="22" spans="1:18" ht="25.5">
      <c r="A22" s="202">
        <v>4</v>
      </c>
      <c r="B22" s="218" t="s">
        <v>315</v>
      </c>
      <c r="C22" s="218" t="s">
        <v>22</v>
      </c>
      <c r="D22" s="21"/>
      <c r="E22" s="21">
        <v>1</v>
      </c>
      <c r="F22" s="102"/>
      <c r="G22" s="92"/>
      <c r="H22" s="29"/>
      <c r="I22" s="29"/>
      <c r="J22" s="29"/>
      <c r="K22" s="29"/>
      <c r="L22" s="203"/>
      <c r="M22" s="156"/>
      <c r="N22" s="156"/>
      <c r="O22" s="156"/>
    </row>
    <row r="23" spans="1:18">
      <c r="A23" s="161">
        <f t="shared" ref="A23:A26" si="2">A22+0.1</f>
        <v>4.0999999999999996</v>
      </c>
      <c r="B23" s="174" t="s">
        <v>49</v>
      </c>
      <c r="C23" s="174" t="s">
        <v>16</v>
      </c>
      <c r="D23" s="174">
        <v>5.4</v>
      </c>
      <c r="E23" s="174">
        <f>D23*E22</f>
        <v>5.4</v>
      </c>
      <c r="F23" s="92"/>
      <c r="G23" s="92"/>
      <c r="H23" s="104"/>
      <c r="I23" s="105"/>
      <c r="J23" s="92"/>
      <c r="K23" s="92"/>
      <c r="L23" s="105"/>
      <c r="M23" s="156"/>
      <c r="N23" s="156"/>
      <c r="O23" s="156"/>
    </row>
    <row r="24" spans="1:18">
      <c r="A24" s="161">
        <f t="shared" si="2"/>
        <v>4.1999999999999993</v>
      </c>
      <c r="B24" s="127" t="s">
        <v>316</v>
      </c>
      <c r="C24" s="127" t="s">
        <v>34</v>
      </c>
      <c r="D24" s="128">
        <v>1.25</v>
      </c>
      <c r="E24" s="128">
        <f>D24*E22</f>
        <v>1.25</v>
      </c>
      <c r="F24" s="128"/>
      <c r="G24" s="128"/>
      <c r="H24" s="128"/>
      <c r="I24" s="128"/>
      <c r="J24" s="128"/>
      <c r="K24" s="128"/>
      <c r="L24" s="128"/>
      <c r="M24" s="156"/>
      <c r="N24" s="156"/>
      <c r="O24" s="156"/>
    </row>
    <row r="25" spans="1:18" ht="27">
      <c r="A25" s="161">
        <f t="shared" si="2"/>
        <v>4.2999999999999989</v>
      </c>
      <c r="B25" s="204" t="s">
        <v>317</v>
      </c>
      <c r="C25" s="204" t="s">
        <v>20</v>
      </c>
      <c r="D25" s="125" t="s">
        <v>59</v>
      </c>
      <c r="E25" s="86">
        <v>6.5</v>
      </c>
      <c r="F25" s="125"/>
      <c r="G25" s="125"/>
      <c r="H25" s="125"/>
      <c r="I25" s="125"/>
      <c r="J25" s="108"/>
      <c r="K25" s="108"/>
      <c r="L25" s="125"/>
      <c r="M25" s="156"/>
      <c r="N25" s="156"/>
      <c r="O25" s="156"/>
    </row>
    <row r="26" spans="1:18">
      <c r="A26" s="161">
        <f t="shared" si="2"/>
        <v>4.3999999999999986</v>
      </c>
      <c r="B26" s="204" t="s">
        <v>45</v>
      </c>
      <c r="C26" s="204" t="s">
        <v>17</v>
      </c>
      <c r="D26" s="125">
        <v>1.5</v>
      </c>
      <c r="E26" s="125">
        <f>D26*E22</f>
        <v>1.5</v>
      </c>
      <c r="F26" s="125"/>
      <c r="G26" s="125"/>
      <c r="H26" s="125"/>
      <c r="I26" s="125"/>
      <c r="J26" s="125"/>
      <c r="K26" s="125"/>
      <c r="L26" s="125"/>
      <c r="M26" s="156"/>
      <c r="N26" s="156"/>
      <c r="O26" s="156"/>
    </row>
    <row r="27" spans="1:18" ht="27">
      <c r="A27" s="304">
        <v>5</v>
      </c>
      <c r="B27" s="305" t="s">
        <v>277</v>
      </c>
      <c r="C27" s="305" t="s">
        <v>22</v>
      </c>
      <c r="D27" s="385"/>
      <c r="E27" s="326">
        <v>4</v>
      </c>
      <c r="F27" s="307"/>
      <c r="G27" s="386"/>
      <c r="H27" s="307"/>
      <c r="I27" s="387"/>
      <c r="J27" s="86"/>
      <c r="K27" s="86"/>
      <c r="L27" s="307"/>
      <c r="M27" s="388"/>
      <c r="N27" s="388"/>
      <c r="O27" s="389"/>
      <c r="P27" s="388"/>
      <c r="Q27" s="390"/>
      <c r="R27" s="311"/>
    </row>
    <row r="28" spans="1:18">
      <c r="A28" s="284">
        <f>A27+0.1</f>
        <v>5.0999999999999996</v>
      </c>
      <c r="B28" s="284" t="s">
        <v>49</v>
      </c>
      <c r="C28" s="284" t="s">
        <v>17</v>
      </c>
      <c r="D28" s="349">
        <v>2.52</v>
      </c>
      <c r="E28" s="86">
        <f>D28*E27</f>
        <v>10.08</v>
      </c>
      <c r="F28" s="86"/>
      <c r="G28" s="23"/>
      <c r="H28" s="23"/>
      <c r="I28" s="23"/>
      <c r="J28" s="86"/>
      <c r="K28" s="23"/>
      <c r="L28" s="23"/>
      <c r="M28" s="116"/>
      <c r="N28" s="116"/>
      <c r="O28" s="391"/>
      <c r="P28" s="116"/>
      <c r="Q28" s="320"/>
      <c r="R28" s="287"/>
    </row>
    <row r="29" spans="1:18" ht="27">
      <c r="A29" s="373">
        <f>A28+0.1</f>
        <v>5.1999999999999993</v>
      </c>
      <c r="B29" s="284" t="s">
        <v>278</v>
      </c>
      <c r="C29" s="284" t="s">
        <v>34</v>
      </c>
      <c r="D29" s="349">
        <v>1.2</v>
      </c>
      <c r="E29" s="86">
        <f>D29*E27</f>
        <v>4.8</v>
      </c>
      <c r="F29" s="23"/>
      <c r="G29" s="23"/>
      <c r="H29" s="23"/>
      <c r="I29" s="23"/>
      <c r="J29" s="23"/>
      <c r="K29" s="23"/>
      <c r="L29" s="23"/>
      <c r="M29" s="116"/>
      <c r="N29" s="116"/>
      <c r="O29" s="391"/>
      <c r="P29" s="116"/>
      <c r="Q29" s="116"/>
      <c r="R29" s="116"/>
    </row>
    <row r="30" spans="1:18">
      <c r="A30" s="373">
        <f>A29+0.1</f>
        <v>5.2999999999999989</v>
      </c>
      <c r="B30" s="284" t="s">
        <v>279</v>
      </c>
      <c r="C30" s="284" t="s">
        <v>34</v>
      </c>
      <c r="D30" s="349">
        <v>1.25</v>
      </c>
      <c r="E30" s="86">
        <f>E27*D30</f>
        <v>5</v>
      </c>
      <c r="F30" s="23"/>
      <c r="G30" s="23"/>
      <c r="H30" s="23"/>
      <c r="I30" s="23"/>
      <c r="J30" s="23"/>
      <c r="K30" s="23"/>
      <c r="L30" s="23"/>
      <c r="M30" s="116"/>
      <c r="N30" s="116"/>
      <c r="O30" s="391"/>
      <c r="P30" s="116"/>
      <c r="Q30" s="116"/>
      <c r="R30" s="116"/>
    </row>
    <row r="31" spans="1:18" ht="27">
      <c r="A31" s="392">
        <f t="shared" ref="A31:A37" si="3">A30+0.1</f>
        <v>5.3999999999999986</v>
      </c>
      <c r="B31" s="301" t="s">
        <v>280</v>
      </c>
      <c r="C31" s="301" t="s">
        <v>87</v>
      </c>
      <c r="D31" s="344" t="s">
        <v>63</v>
      </c>
      <c r="E31" s="86">
        <f>E$27*6</f>
        <v>24</v>
      </c>
      <c r="F31" s="86"/>
      <c r="G31" s="313"/>
      <c r="H31" s="86"/>
      <c r="I31" s="387"/>
      <c r="J31" s="86"/>
      <c r="K31" s="387"/>
      <c r="L31" s="86"/>
      <c r="M31" s="388"/>
      <c r="N31" s="388"/>
      <c r="O31" s="389"/>
      <c r="P31" s="388"/>
      <c r="Q31" s="390"/>
      <c r="R31" s="311"/>
    </row>
    <row r="32" spans="1:18" ht="27">
      <c r="A32" s="392">
        <f>A31+0.1</f>
        <v>5.4999999999999982</v>
      </c>
      <c r="B32" s="301" t="s">
        <v>281</v>
      </c>
      <c r="C32" s="301" t="s">
        <v>87</v>
      </c>
      <c r="D32" s="344" t="s">
        <v>63</v>
      </c>
      <c r="E32" s="86">
        <f>E$27*2.5</f>
        <v>10</v>
      </c>
      <c r="F32" s="86"/>
      <c r="G32" s="313"/>
      <c r="H32" s="86"/>
      <c r="I32" s="387"/>
      <c r="J32" s="86"/>
      <c r="K32" s="387"/>
      <c r="L32" s="86"/>
      <c r="M32" s="388"/>
      <c r="N32" s="388"/>
      <c r="O32" s="389"/>
      <c r="P32" s="388"/>
      <c r="Q32" s="390"/>
      <c r="R32" s="311"/>
    </row>
    <row r="33" spans="1:18" ht="27">
      <c r="A33" s="392">
        <f t="shared" ref="A33" si="4">A32+0.1</f>
        <v>5.5999999999999979</v>
      </c>
      <c r="B33" s="301" t="s">
        <v>286</v>
      </c>
      <c r="C33" s="343" t="s">
        <v>136</v>
      </c>
      <c r="D33" s="344" t="s">
        <v>59</v>
      </c>
      <c r="E33" s="86">
        <f>E$27*2.2</f>
        <v>8.8000000000000007</v>
      </c>
      <c r="F33" s="344"/>
      <c r="G33" s="313"/>
      <c r="H33" s="331"/>
      <c r="I33" s="331"/>
      <c r="J33" s="331"/>
      <c r="K33" s="331"/>
      <c r="L33" s="347"/>
      <c r="M33" s="1"/>
      <c r="N33" s="388"/>
      <c r="O33" s="1"/>
      <c r="P33" s="116"/>
      <c r="Q33" s="320"/>
      <c r="R33" s="287"/>
    </row>
    <row r="34" spans="1:18" ht="27">
      <c r="A34" s="392">
        <f>A32+0.1</f>
        <v>5.5999999999999979</v>
      </c>
      <c r="B34" s="343" t="s">
        <v>282</v>
      </c>
      <c r="C34" s="343" t="s">
        <v>136</v>
      </c>
      <c r="D34" s="344" t="s">
        <v>59</v>
      </c>
      <c r="E34" s="86">
        <f>E$27*3</f>
        <v>12</v>
      </c>
      <c r="F34" s="344"/>
      <c r="G34" s="313"/>
      <c r="H34" s="331"/>
      <c r="I34" s="331"/>
      <c r="J34" s="331"/>
      <c r="K34" s="331"/>
      <c r="L34" s="347"/>
      <c r="M34" s="1"/>
      <c r="N34" s="388"/>
      <c r="O34" s="1"/>
      <c r="P34" s="116"/>
      <c r="Q34" s="320"/>
      <c r="R34" s="287"/>
    </row>
    <row r="35" spans="1:18" ht="27">
      <c r="A35" s="392">
        <f t="shared" si="3"/>
        <v>5.6999999999999975</v>
      </c>
      <c r="B35" s="374" t="s">
        <v>137</v>
      </c>
      <c r="C35" s="374" t="s">
        <v>136</v>
      </c>
      <c r="D35" s="345" t="s">
        <v>63</v>
      </c>
      <c r="E35" s="86">
        <f>E$27*2</f>
        <v>8</v>
      </c>
      <c r="F35" s="345"/>
      <c r="G35" s="313"/>
      <c r="H35" s="330"/>
      <c r="I35" s="330"/>
      <c r="J35" s="330"/>
      <c r="K35" s="330"/>
      <c r="L35" s="136"/>
      <c r="M35" s="332"/>
      <c r="N35" s="388"/>
      <c r="O35" s="332"/>
      <c r="P35" s="116"/>
      <c r="Q35" s="320"/>
      <c r="R35" s="287"/>
    </row>
    <row r="36" spans="1:18" ht="27">
      <c r="A36" s="392">
        <f t="shared" si="3"/>
        <v>5.7999999999999972</v>
      </c>
      <c r="B36" s="343" t="s">
        <v>283</v>
      </c>
      <c r="C36" s="343" t="s">
        <v>21</v>
      </c>
      <c r="D36" s="344" t="s">
        <v>63</v>
      </c>
      <c r="E36" s="86">
        <f>E$27*0.55</f>
        <v>2.2000000000000002</v>
      </c>
      <c r="F36" s="344"/>
      <c r="G36" s="313"/>
      <c r="H36" s="331"/>
      <c r="I36" s="331"/>
      <c r="J36" s="331"/>
      <c r="K36" s="330"/>
      <c r="L36" s="136"/>
      <c r="M36" s="116"/>
      <c r="N36" s="116"/>
      <c r="O36" s="383"/>
      <c r="P36" s="116"/>
      <c r="Q36" s="116"/>
      <c r="R36" s="116"/>
    </row>
    <row r="37" spans="1:18" ht="27">
      <c r="A37" s="392">
        <f t="shared" si="3"/>
        <v>5.8999999999999968</v>
      </c>
      <c r="B37" s="343" t="s">
        <v>226</v>
      </c>
      <c r="C37" s="343" t="s">
        <v>22</v>
      </c>
      <c r="D37" s="344" t="s">
        <v>63</v>
      </c>
      <c r="E37" s="86">
        <f>E$27*11</f>
        <v>44</v>
      </c>
      <c r="F37" s="344"/>
      <c r="G37" s="313"/>
      <c r="H37" s="331"/>
      <c r="I37" s="331"/>
      <c r="J37" s="331"/>
      <c r="K37" s="330"/>
      <c r="L37" s="136"/>
      <c r="M37" s="116"/>
      <c r="N37" s="116"/>
      <c r="O37" s="383"/>
      <c r="P37" s="116"/>
      <c r="Q37" s="116"/>
      <c r="R37" s="116"/>
    </row>
    <row r="38" spans="1:18" ht="27">
      <c r="A38" s="393">
        <v>5.0999999999999996</v>
      </c>
      <c r="B38" s="343" t="s">
        <v>284</v>
      </c>
      <c r="C38" s="343" t="s">
        <v>22</v>
      </c>
      <c r="D38" s="344" t="s">
        <v>63</v>
      </c>
      <c r="E38" s="86">
        <f>E$27*1</f>
        <v>4</v>
      </c>
      <c r="F38" s="344"/>
      <c r="G38" s="313"/>
      <c r="H38" s="331"/>
      <c r="I38" s="331"/>
      <c r="J38" s="331"/>
      <c r="K38" s="330"/>
      <c r="L38" s="136"/>
      <c r="M38" s="116"/>
      <c r="N38" s="116"/>
      <c r="O38" s="348"/>
      <c r="P38" s="116"/>
      <c r="Q38" s="116"/>
      <c r="R38" s="116"/>
    </row>
    <row r="39" spans="1:18" ht="27">
      <c r="A39" s="393">
        <f>A38+0.01</f>
        <v>5.1099999999999994</v>
      </c>
      <c r="B39" s="301" t="s">
        <v>285</v>
      </c>
      <c r="C39" s="301" t="s">
        <v>22</v>
      </c>
      <c r="D39" s="86" t="s">
        <v>63</v>
      </c>
      <c r="E39" s="86">
        <f>E$27*1</f>
        <v>4</v>
      </c>
      <c r="F39" s="86"/>
      <c r="G39" s="313"/>
      <c r="H39" s="86"/>
      <c r="I39" s="387"/>
      <c r="J39" s="86"/>
      <c r="K39" s="387"/>
      <c r="L39" s="86"/>
      <c r="M39" s="388"/>
      <c r="N39" s="388"/>
      <c r="O39" s="389"/>
      <c r="P39" s="388"/>
      <c r="Q39" s="390"/>
      <c r="R39" s="311"/>
    </row>
    <row r="40" spans="1:18">
      <c r="A40" s="393">
        <f>A39+0.01</f>
        <v>5.1199999999999992</v>
      </c>
      <c r="B40" s="394" t="s">
        <v>45</v>
      </c>
      <c r="C40" s="394" t="s">
        <v>17</v>
      </c>
      <c r="D40" s="395">
        <v>0.21</v>
      </c>
      <c r="E40" s="396">
        <f>E27*D40</f>
        <v>0.84</v>
      </c>
      <c r="F40" s="395"/>
      <c r="G40" s="313"/>
      <c r="H40" s="394"/>
      <c r="I40" s="397"/>
      <c r="J40" s="394"/>
      <c r="K40" s="397"/>
      <c r="L40" s="398"/>
      <c r="M40" s="388"/>
      <c r="N40" s="388"/>
      <c r="O40" s="389"/>
      <c r="P40" s="388"/>
      <c r="Q40" s="390"/>
      <c r="R40" s="311"/>
    </row>
    <row r="41" spans="1:18" ht="27">
      <c r="A41" s="15">
        <v>6</v>
      </c>
      <c r="B41" s="202" t="s">
        <v>298</v>
      </c>
      <c r="C41" s="202" t="s">
        <v>27</v>
      </c>
      <c r="D41" s="203"/>
      <c r="E41" s="203">
        <v>8</v>
      </c>
      <c r="F41" s="203"/>
      <c r="G41" s="125"/>
      <c r="H41" s="125"/>
      <c r="I41" s="125"/>
      <c r="J41" s="125"/>
      <c r="K41" s="125"/>
      <c r="L41" s="203"/>
      <c r="M41" s="156"/>
      <c r="N41" s="156"/>
      <c r="O41" s="156"/>
    </row>
    <row r="42" spans="1:18">
      <c r="A42" s="257">
        <f t="shared" ref="A42:A47" si="5">A41+0.1</f>
        <v>6.1</v>
      </c>
      <c r="B42" s="126" t="s">
        <v>49</v>
      </c>
      <c r="C42" s="126" t="s">
        <v>16</v>
      </c>
      <c r="D42" s="207">
        <v>0.9</v>
      </c>
      <c r="E42" s="207">
        <f>E41*D42</f>
        <v>7.2</v>
      </c>
      <c r="F42" s="207"/>
      <c r="G42" s="207"/>
      <c r="H42" s="207"/>
      <c r="I42" s="207"/>
      <c r="J42" s="207"/>
      <c r="K42" s="207"/>
      <c r="L42" s="207"/>
      <c r="M42" s="156"/>
      <c r="N42" s="156"/>
      <c r="O42" s="156"/>
    </row>
    <row r="43" spans="1:18">
      <c r="A43" s="257">
        <f t="shared" si="5"/>
        <v>6.1999999999999993</v>
      </c>
      <c r="B43" s="127" t="s">
        <v>76</v>
      </c>
      <c r="C43" s="127" t="s">
        <v>17</v>
      </c>
      <c r="D43" s="128">
        <f>0.7/100</f>
        <v>6.9999999999999993E-3</v>
      </c>
      <c r="E43" s="128">
        <f>E41*D43</f>
        <v>5.5999999999999994E-2</v>
      </c>
      <c r="F43" s="128"/>
      <c r="G43" s="128"/>
      <c r="H43" s="128"/>
      <c r="I43" s="128"/>
      <c r="J43" s="128"/>
      <c r="K43" s="128"/>
      <c r="L43" s="128"/>
      <c r="M43" s="156"/>
      <c r="N43" s="156"/>
      <c r="O43" s="156"/>
    </row>
    <row r="44" spans="1:18" ht="27">
      <c r="A44" s="257">
        <f t="shared" si="5"/>
        <v>6.2999999999999989</v>
      </c>
      <c r="B44" s="36" t="s">
        <v>116</v>
      </c>
      <c r="C44" s="36" t="s">
        <v>20</v>
      </c>
      <c r="D44" s="125" t="s">
        <v>59</v>
      </c>
      <c r="E44" s="125">
        <v>33</v>
      </c>
      <c r="F44" s="37"/>
      <c r="G44" s="125"/>
      <c r="H44" s="125"/>
      <c r="I44" s="125"/>
      <c r="J44" s="125"/>
      <c r="K44" s="125"/>
      <c r="L44" s="125"/>
      <c r="M44" s="125"/>
      <c r="N44" s="156"/>
      <c r="O44" s="156"/>
    </row>
    <row r="45" spans="1:18" ht="27">
      <c r="A45" s="257">
        <f t="shared" si="5"/>
        <v>6.3999999999999986</v>
      </c>
      <c r="B45" s="36" t="s">
        <v>188</v>
      </c>
      <c r="C45" s="36" t="s">
        <v>20</v>
      </c>
      <c r="D45" s="125" t="s">
        <v>59</v>
      </c>
      <c r="E45" s="125">
        <v>140</v>
      </c>
      <c r="F45" s="37"/>
      <c r="G45" s="125"/>
      <c r="H45" s="125"/>
      <c r="I45" s="125"/>
      <c r="J45" s="125"/>
      <c r="K45" s="125"/>
      <c r="L45" s="125"/>
      <c r="M45" s="156"/>
      <c r="N45" s="156"/>
      <c r="O45" s="156"/>
    </row>
    <row r="46" spans="1:18" ht="27">
      <c r="A46" s="257">
        <f t="shared" si="5"/>
        <v>6.4999999999999982</v>
      </c>
      <c r="B46" s="36" t="s">
        <v>105</v>
      </c>
      <c r="C46" s="36" t="s">
        <v>22</v>
      </c>
      <c r="D46" s="125" t="s">
        <v>59</v>
      </c>
      <c r="E46" s="125">
        <f>E41</f>
        <v>8</v>
      </c>
      <c r="F46" s="38"/>
      <c r="G46" s="125"/>
      <c r="H46" s="125"/>
      <c r="I46" s="125"/>
      <c r="J46" s="125"/>
      <c r="K46" s="125"/>
      <c r="L46" s="125"/>
      <c r="M46" s="156"/>
      <c r="N46" s="156"/>
      <c r="O46" s="156"/>
    </row>
    <row r="47" spans="1:18">
      <c r="A47" s="257">
        <f t="shared" si="5"/>
        <v>6.5999999999999979</v>
      </c>
      <c r="B47" s="39" t="s">
        <v>45</v>
      </c>
      <c r="C47" s="204" t="s">
        <v>17</v>
      </c>
      <c r="D47" s="40">
        <v>0.14000000000000001</v>
      </c>
      <c r="E47" s="40">
        <f>D47*E41</f>
        <v>1.1200000000000001</v>
      </c>
      <c r="F47" s="37"/>
      <c r="G47" s="125"/>
      <c r="H47" s="125"/>
      <c r="I47" s="125"/>
      <c r="J47" s="125"/>
      <c r="K47" s="125"/>
      <c r="L47" s="125"/>
      <c r="M47" s="156"/>
      <c r="N47" s="156"/>
      <c r="O47" s="156"/>
    </row>
    <row r="48" spans="1:18" ht="40.5">
      <c r="A48" s="15">
        <f>A41+1</f>
        <v>7</v>
      </c>
      <c r="B48" s="202" t="s">
        <v>83</v>
      </c>
      <c r="C48" s="202" t="s">
        <v>21</v>
      </c>
      <c r="D48" s="202"/>
      <c r="E48" s="203">
        <f>22.0926*1.1</f>
        <v>24.301860000000001</v>
      </c>
      <c r="F48" s="201"/>
      <c r="G48" s="203"/>
      <c r="H48" s="202"/>
      <c r="I48" s="203"/>
      <c r="J48" s="202"/>
      <c r="K48" s="203"/>
      <c r="L48" s="203"/>
      <c r="M48" s="156"/>
      <c r="N48" s="156"/>
      <c r="O48" s="156"/>
    </row>
    <row r="49" spans="1:15">
      <c r="A49" s="257">
        <f>A48+0.1</f>
        <v>7.1</v>
      </c>
      <c r="B49" s="174" t="s">
        <v>72</v>
      </c>
      <c r="C49" s="174" t="s">
        <v>16</v>
      </c>
      <c r="D49" s="174">
        <v>0.68</v>
      </c>
      <c r="E49" s="163">
        <f>E48*D49</f>
        <v>16.525264800000002</v>
      </c>
      <c r="F49" s="92"/>
      <c r="G49" s="92"/>
      <c r="H49" s="104"/>
      <c r="I49" s="105"/>
      <c r="J49" s="92"/>
      <c r="K49" s="92"/>
      <c r="L49" s="105"/>
      <c r="M49" s="156"/>
      <c r="N49" s="156"/>
      <c r="O49" s="156"/>
    </row>
    <row r="50" spans="1:15">
      <c r="A50" s="257">
        <f>A49+0.1</f>
        <v>7.1999999999999993</v>
      </c>
      <c r="B50" s="127" t="s">
        <v>73</v>
      </c>
      <c r="C50" s="127" t="s">
        <v>17</v>
      </c>
      <c r="D50" s="128">
        <v>2.9999999999999997E-4</v>
      </c>
      <c r="E50" s="128">
        <f>E48*D50</f>
        <v>7.2905579999999999E-3</v>
      </c>
      <c r="F50" s="128"/>
      <c r="G50" s="128"/>
      <c r="H50" s="128"/>
      <c r="I50" s="128"/>
      <c r="J50" s="128"/>
      <c r="K50" s="128"/>
      <c r="L50" s="128"/>
      <c r="M50" s="156"/>
      <c r="N50" s="156"/>
      <c r="O50" s="156"/>
    </row>
    <row r="51" spans="1:15">
      <c r="A51" s="257">
        <f>A50+0.1</f>
        <v>7.2999999999999989</v>
      </c>
      <c r="B51" s="77" t="s">
        <v>74</v>
      </c>
      <c r="C51" s="204" t="s">
        <v>52</v>
      </c>
      <c r="D51" s="77">
        <f>25.3/100</f>
        <v>0.253</v>
      </c>
      <c r="E51" s="125">
        <f>E48*D51</f>
        <v>6.1483705800000008</v>
      </c>
      <c r="F51" s="125"/>
      <c r="G51" s="125"/>
      <c r="H51" s="204"/>
      <c r="I51" s="125"/>
      <c r="J51" s="204"/>
      <c r="K51" s="125"/>
      <c r="L51" s="125"/>
      <c r="M51" s="156"/>
      <c r="N51" s="156"/>
      <c r="O51" s="156"/>
    </row>
    <row r="52" spans="1:15">
      <c r="A52" s="257">
        <f>A51+0.1</f>
        <v>7.3999999999999986</v>
      </c>
      <c r="B52" s="204" t="s">
        <v>75</v>
      </c>
      <c r="C52" s="204" t="s">
        <v>52</v>
      </c>
      <c r="D52" s="77">
        <v>2.7E-2</v>
      </c>
      <c r="E52" s="125">
        <f>E48*D52</f>
        <v>0.65615022000000001</v>
      </c>
      <c r="F52" s="125"/>
      <c r="G52" s="125"/>
      <c r="H52" s="204"/>
      <c r="I52" s="125"/>
      <c r="J52" s="204"/>
      <c r="K52" s="125"/>
      <c r="L52" s="125"/>
      <c r="M52" s="156"/>
      <c r="N52" s="156"/>
      <c r="O52" s="156"/>
    </row>
    <row r="53" spans="1:15">
      <c r="A53" s="257">
        <f>A52+0.1</f>
        <v>7.4999999999999982</v>
      </c>
      <c r="B53" s="204" t="s">
        <v>41</v>
      </c>
      <c r="C53" s="204" t="s">
        <v>17</v>
      </c>
      <c r="D53" s="77">
        <f>0.19/100</f>
        <v>1.9E-3</v>
      </c>
      <c r="E53" s="125">
        <f>D53*E48</f>
        <v>4.6173534000000002E-2</v>
      </c>
      <c r="F53" s="125"/>
      <c r="G53" s="125"/>
      <c r="H53" s="204"/>
      <c r="I53" s="125"/>
      <c r="J53" s="204"/>
      <c r="K53" s="125"/>
      <c r="L53" s="125"/>
      <c r="M53" s="156"/>
      <c r="N53" s="156"/>
      <c r="O53" s="156"/>
    </row>
    <row r="54" spans="1:15" ht="25.5">
      <c r="A54" s="178">
        <f>A48+1</f>
        <v>8</v>
      </c>
      <c r="B54" s="218" t="s">
        <v>38</v>
      </c>
      <c r="C54" s="218" t="s">
        <v>39</v>
      </c>
      <c r="D54" s="21"/>
      <c r="E54" s="21">
        <f>(134*0.5*0.2)</f>
        <v>13.4</v>
      </c>
      <c r="F54" s="21"/>
      <c r="G54" s="85"/>
      <c r="H54" s="204"/>
      <c r="I54" s="204"/>
      <c r="J54" s="204"/>
      <c r="K54" s="204"/>
      <c r="L54" s="21"/>
    </row>
    <row r="55" spans="1:15">
      <c r="A55" s="257">
        <f>A54+0.1</f>
        <v>8.1</v>
      </c>
      <c r="B55" s="174" t="s">
        <v>37</v>
      </c>
      <c r="C55" s="174" t="s">
        <v>16</v>
      </c>
      <c r="D55" s="163">
        <v>3</v>
      </c>
      <c r="E55" s="163">
        <f>D55*E54</f>
        <v>40.200000000000003</v>
      </c>
      <c r="F55" s="204"/>
      <c r="G55" s="85"/>
      <c r="H55" s="163"/>
      <c r="I55" s="163"/>
      <c r="J55" s="204"/>
      <c r="K55" s="204"/>
      <c r="L55" s="102"/>
    </row>
    <row r="56" spans="1:15">
      <c r="A56" s="257">
        <f>A55+0.1</f>
        <v>8.1999999999999993</v>
      </c>
      <c r="B56" s="161" t="s">
        <v>69</v>
      </c>
      <c r="C56" s="161" t="s">
        <v>39</v>
      </c>
      <c r="D56" s="166">
        <v>1.1499999999999999</v>
      </c>
      <c r="E56" s="166">
        <f>D56*E54</f>
        <v>15.409999999999998</v>
      </c>
      <c r="F56" s="166"/>
      <c r="G56" s="166"/>
      <c r="H56" s="204"/>
      <c r="I56" s="204"/>
      <c r="J56" s="204"/>
      <c r="K56" s="204"/>
      <c r="L56" s="125"/>
    </row>
    <row r="57" spans="1:15">
      <c r="A57" s="257">
        <f>A56+0.1</f>
        <v>8.2999999999999989</v>
      </c>
      <c r="B57" s="161" t="s">
        <v>41</v>
      </c>
      <c r="C57" s="161" t="s">
        <v>17</v>
      </c>
      <c r="D57" s="166">
        <v>0.01</v>
      </c>
      <c r="E57" s="166">
        <f>E54*D57</f>
        <v>0.13400000000000001</v>
      </c>
      <c r="F57" s="166"/>
      <c r="G57" s="166"/>
      <c r="H57" s="204"/>
      <c r="I57" s="204"/>
      <c r="J57" s="204"/>
      <c r="K57" s="204"/>
      <c r="L57" s="125"/>
    </row>
    <row r="58" spans="1:15">
      <c r="A58" s="250">
        <f>A54+1</f>
        <v>9</v>
      </c>
      <c r="B58" s="18" t="s">
        <v>106</v>
      </c>
      <c r="C58" s="218" t="s">
        <v>39</v>
      </c>
      <c r="D58" s="87"/>
      <c r="E58" s="115">
        <f>(134*0.5*0.6)</f>
        <v>40.199999999999996</v>
      </c>
      <c r="F58" s="87"/>
      <c r="G58" s="87"/>
      <c r="H58" s="87"/>
      <c r="I58" s="103"/>
      <c r="J58" s="103"/>
      <c r="K58" s="103"/>
      <c r="L58" s="21"/>
    </row>
    <row r="59" spans="1:15">
      <c r="A59" s="257">
        <f>A58+0.1</f>
        <v>9.1</v>
      </c>
      <c r="B59" s="163" t="s">
        <v>30</v>
      </c>
      <c r="C59" s="126" t="s">
        <v>17</v>
      </c>
      <c r="D59" s="207">
        <v>1.21</v>
      </c>
      <c r="E59" s="88">
        <f>D59*E58</f>
        <v>48.641999999999996</v>
      </c>
      <c r="F59" s="126"/>
      <c r="G59" s="89"/>
      <c r="H59" s="163"/>
      <c r="I59" s="102"/>
      <c r="J59" s="126"/>
      <c r="K59" s="126"/>
      <c r="L59" s="207"/>
    </row>
    <row r="60" spans="1:15" ht="27">
      <c r="A60" s="15">
        <f>A58+1</f>
        <v>10</v>
      </c>
      <c r="B60" s="202" t="s">
        <v>36</v>
      </c>
      <c r="C60" s="202" t="s">
        <v>168</v>
      </c>
      <c r="D60" s="203"/>
      <c r="E60" s="203">
        <f>E8-E58</f>
        <v>18.025000000000006</v>
      </c>
      <c r="F60" s="203"/>
      <c r="G60" s="204"/>
      <c r="H60" s="204"/>
      <c r="I60" s="204"/>
      <c r="J60" s="204"/>
      <c r="K60" s="204"/>
      <c r="L60" s="21"/>
    </row>
    <row r="61" spans="1:15">
      <c r="A61" s="252">
        <f>A60+0.1</f>
        <v>10.1</v>
      </c>
      <c r="B61" s="163" t="s">
        <v>30</v>
      </c>
      <c r="C61" s="163" t="s">
        <v>16</v>
      </c>
      <c r="D61" s="83">
        <v>0.87</v>
      </c>
      <c r="E61" s="163">
        <f>E60*D61</f>
        <v>15.681750000000005</v>
      </c>
      <c r="F61" s="127"/>
      <c r="G61" s="127"/>
      <c r="H61" s="163"/>
      <c r="I61" s="163"/>
      <c r="J61" s="163"/>
      <c r="K61" s="163"/>
      <c r="L61" s="163"/>
    </row>
    <row r="62" spans="1:15">
      <c r="A62" s="15">
        <f>A60+1</f>
        <v>11</v>
      </c>
      <c r="B62" s="202" t="s">
        <v>101</v>
      </c>
      <c r="C62" s="202" t="s">
        <v>19</v>
      </c>
      <c r="D62" s="203"/>
      <c r="E62" s="203">
        <f>E60*1.85</f>
        <v>33.346250000000012</v>
      </c>
      <c r="F62" s="203"/>
      <c r="G62" s="204"/>
      <c r="H62" s="204"/>
      <c r="I62" s="204"/>
      <c r="J62" s="204"/>
      <c r="K62" s="204"/>
      <c r="L62" s="21"/>
    </row>
    <row r="63" spans="1:15">
      <c r="A63" s="252">
        <f>A62+0.1</f>
        <v>11.1</v>
      </c>
      <c r="B63" s="173" t="s">
        <v>24</v>
      </c>
      <c r="C63" s="173" t="s">
        <v>19</v>
      </c>
      <c r="D63" s="173">
        <v>1</v>
      </c>
      <c r="E63" s="165">
        <f>E62*D63</f>
        <v>33.346250000000012</v>
      </c>
      <c r="F63" s="207"/>
      <c r="G63" s="207"/>
      <c r="H63" s="165"/>
      <c r="I63" s="165"/>
      <c r="J63" s="165"/>
      <c r="K63" s="165"/>
      <c r="L63" s="165"/>
    </row>
    <row r="64" spans="1:15">
      <c r="A64" s="270"/>
      <c r="B64" s="202" t="s">
        <v>26</v>
      </c>
      <c r="C64" s="202" t="s">
        <v>17</v>
      </c>
      <c r="D64" s="203"/>
      <c r="E64" s="203"/>
      <c r="F64" s="203"/>
      <c r="G64" s="109"/>
      <c r="H64" s="110"/>
      <c r="I64" s="111"/>
      <c r="J64" s="91"/>
      <c r="K64" s="231"/>
      <c r="L64" s="203"/>
      <c r="M64" s="210"/>
      <c r="N64" s="210"/>
    </row>
    <row r="65" spans="1:12">
      <c r="A65" s="252"/>
      <c r="B65" s="204" t="s">
        <v>322</v>
      </c>
      <c r="C65" s="204" t="s">
        <v>17</v>
      </c>
      <c r="D65" s="125"/>
      <c r="E65" s="125"/>
      <c r="F65" s="125"/>
      <c r="G65" s="92"/>
      <c r="H65" s="92"/>
      <c r="I65" s="92"/>
      <c r="J65" s="92"/>
      <c r="K65" s="92"/>
      <c r="L65" s="125"/>
    </row>
    <row r="66" spans="1:12">
      <c r="A66" s="251"/>
      <c r="B66" s="202" t="s">
        <v>26</v>
      </c>
      <c r="C66" s="202" t="s">
        <v>17</v>
      </c>
      <c r="D66" s="203"/>
      <c r="E66" s="203"/>
      <c r="F66" s="203"/>
      <c r="G66" s="110"/>
      <c r="H66" s="110"/>
      <c r="I66" s="110"/>
      <c r="J66" s="110"/>
      <c r="K66" s="110"/>
      <c r="L66" s="203"/>
    </row>
    <row r="67" spans="1:12">
      <c r="A67" s="252"/>
      <c r="B67" s="204" t="s">
        <v>323</v>
      </c>
      <c r="C67" s="204" t="s">
        <v>17</v>
      </c>
      <c r="D67" s="125"/>
      <c r="E67" s="125"/>
      <c r="F67" s="125"/>
      <c r="G67" s="92"/>
      <c r="H67" s="92"/>
      <c r="I67" s="92"/>
      <c r="J67" s="92"/>
      <c r="K67" s="92"/>
      <c r="L67" s="125"/>
    </row>
    <row r="68" spans="1:12">
      <c r="A68" s="251"/>
      <c r="B68" s="202" t="s">
        <v>25</v>
      </c>
      <c r="C68" s="202" t="s">
        <v>17</v>
      </c>
      <c r="D68" s="203"/>
      <c r="E68" s="203"/>
      <c r="F68" s="203"/>
      <c r="G68" s="110"/>
      <c r="H68" s="110"/>
      <c r="I68" s="110"/>
      <c r="J68" s="110"/>
      <c r="K68" s="110"/>
      <c r="L68" s="203"/>
    </row>
    <row r="69" spans="1:12">
      <c r="A69" s="453" t="s">
        <v>190</v>
      </c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1"/>
    </row>
    <row r="70" spans="1:12">
      <c r="A70" s="178">
        <v>1</v>
      </c>
      <c r="B70" s="90" t="s">
        <v>84</v>
      </c>
      <c r="C70" s="218" t="s">
        <v>78</v>
      </c>
      <c r="D70" s="98"/>
      <c r="E70" s="125">
        <v>4</v>
      </c>
      <c r="F70" s="98"/>
      <c r="G70" s="99"/>
      <c r="H70" s="125"/>
      <c r="I70" s="203"/>
      <c r="J70" s="203"/>
      <c r="K70" s="203"/>
      <c r="L70" s="203"/>
    </row>
    <row r="71" spans="1:12">
      <c r="A71" s="257">
        <f>A70+0.1</f>
        <v>1.1000000000000001</v>
      </c>
      <c r="B71" s="207" t="s">
        <v>49</v>
      </c>
      <c r="C71" s="207" t="s">
        <v>17</v>
      </c>
      <c r="D71" s="207">
        <v>2.97</v>
      </c>
      <c r="E71" s="207">
        <f>D71*E70</f>
        <v>11.88</v>
      </c>
      <c r="F71" s="125"/>
      <c r="G71" s="125"/>
      <c r="H71" s="207"/>
      <c r="I71" s="105"/>
      <c r="J71" s="125"/>
      <c r="K71" s="125"/>
      <c r="L71" s="105"/>
    </row>
    <row r="72" spans="1:12">
      <c r="A72" s="257">
        <f t="shared" ref="A72" si="6">A71+0.1</f>
        <v>1.2000000000000002</v>
      </c>
      <c r="B72" s="165" t="s">
        <v>76</v>
      </c>
      <c r="C72" s="165" t="s">
        <v>17</v>
      </c>
      <c r="D72" s="165">
        <v>1.05</v>
      </c>
      <c r="E72" s="165">
        <f>D72*E70</f>
        <v>4.2</v>
      </c>
      <c r="F72" s="125"/>
      <c r="G72" s="125"/>
      <c r="H72" s="125"/>
      <c r="I72" s="125"/>
      <c r="J72" s="165"/>
      <c r="K72" s="165"/>
      <c r="L72" s="165"/>
    </row>
    <row r="73" spans="1:12" ht="40.5">
      <c r="A73" s="257">
        <f>A72+0.1</f>
        <v>1.3000000000000003</v>
      </c>
      <c r="B73" s="204" t="s">
        <v>287</v>
      </c>
      <c r="C73" s="204" t="s">
        <v>78</v>
      </c>
      <c r="D73" s="86" t="s">
        <v>85</v>
      </c>
      <c r="E73" s="302">
        <f>E70</f>
        <v>4</v>
      </c>
      <c r="F73" s="125"/>
      <c r="G73" s="125"/>
      <c r="H73" s="125"/>
      <c r="I73" s="125"/>
      <c r="J73" s="108"/>
      <c r="K73" s="108"/>
      <c r="L73" s="125"/>
    </row>
    <row r="74" spans="1:12">
      <c r="A74" s="257">
        <f>A73+0.1</f>
        <v>1.4000000000000004</v>
      </c>
      <c r="B74" s="204" t="s">
        <v>45</v>
      </c>
      <c r="C74" s="204" t="s">
        <v>17</v>
      </c>
      <c r="D74" s="125">
        <v>2.11</v>
      </c>
      <c r="E74" s="422">
        <f>D74*E70</f>
        <v>8.44</v>
      </c>
      <c r="F74" s="125"/>
      <c r="G74" s="125"/>
      <c r="H74" s="125"/>
      <c r="I74" s="125"/>
      <c r="J74" s="125"/>
      <c r="K74" s="125"/>
      <c r="L74" s="125"/>
    </row>
    <row r="75" spans="1:12" ht="27">
      <c r="A75" s="178">
        <v>2</v>
      </c>
      <c r="B75" s="90" t="s">
        <v>288</v>
      </c>
      <c r="C75" s="218" t="s">
        <v>78</v>
      </c>
      <c r="D75" s="98"/>
      <c r="E75" s="125">
        <v>12</v>
      </c>
      <c r="F75" s="98"/>
      <c r="G75" s="99"/>
      <c r="H75" s="125"/>
      <c r="I75" s="203"/>
      <c r="J75" s="203"/>
      <c r="K75" s="203"/>
      <c r="L75" s="203"/>
    </row>
    <row r="76" spans="1:12">
      <c r="A76" s="257">
        <f>A75+0.1</f>
        <v>2.1</v>
      </c>
      <c r="B76" s="207" t="s">
        <v>49</v>
      </c>
      <c r="C76" s="207" t="s">
        <v>17</v>
      </c>
      <c r="D76" s="207">
        <v>2.97</v>
      </c>
      <c r="E76" s="207">
        <f>D76*E75</f>
        <v>35.64</v>
      </c>
      <c r="F76" s="125"/>
      <c r="G76" s="125"/>
      <c r="H76" s="207"/>
      <c r="I76" s="105"/>
      <c r="J76" s="125"/>
      <c r="K76" s="125"/>
      <c r="L76" s="105"/>
    </row>
    <row r="77" spans="1:12">
      <c r="A77" s="257">
        <f t="shared" ref="A77" si="7">A76+0.1</f>
        <v>2.2000000000000002</v>
      </c>
      <c r="B77" s="165" t="s">
        <v>76</v>
      </c>
      <c r="C77" s="165" t="s">
        <v>17</v>
      </c>
      <c r="D77" s="165">
        <v>1.05</v>
      </c>
      <c r="E77" s="165">
        <f>D77*E75</f>
        <v>12.600000000000001</v>
      </c>
      <c r="F77" s="125"/>
      <c r="G77" s="125"/>
      <c r="H77" s="125"/>
      <c r="I77" s="125"/>
      <c r="J77" s="165"/>
      <c r="K77" s="165"/>
      <c r="L77" s="165"/>
    </row>
    <row r="78" spans="1:12" ht="40.5">
      <c r="A78" s="257">
        <f>A77+0.1</f>
        <v>2.3000000000000003</v>
      </c>
      <c r="B78" s="204" t="s">
        <v>289</v>
      </c>
      <c r="C78" s="204" t="s">
        <v>78</v>
      </c>
      <c r="D78" s="86" t="s">
        <v>85</v>
      </c>
      <c r="E78" s="302">
        <f>E75</f>
        <v>12</v>
      </c>
      <c r="F78" s="125"/>
      <c r="G78" s="125"/>
      <c r="H78" s="125"/>
      <c r="I78" s="125"/>
      <c r="J78" s="108"/>
      <c r="K78" s="108"/>
      <c r="L78" s="125"/>
    </row>
    <row r="79" spans="1:12">
      <c r="A79" s="257">
        <f>A78+0.1</f>
        <v>2.4000000000000004</v>
      </c>
      <c r="B79" s="204" t="s">
        <v>45</v>
      </c>
      <c r="C79" s="204" t="s">
        <v>17</v>
      </c>
      <c r="D79" s="125">
        <v>2.11</v>
      </c>
      <c r="E79" s="422">
        <f>D79*E75</f>
        <v>25.32</v>
      </c>
      <c r="F79" s="125"/>
      <c r="G79" s="125"/>
      <c r="H79" s="125"/>
      <c r="I79" s="125"/>
      <c r="J79" s="125"/>
      <c r="K79" s="125"/>
      <c r="L79" s="125"/>
    </row>
    <row r="80" spans="1:12">
      <c r="A80" s="247">
        <v>3</v>
      </c>
      <c r="B80" s="90" t="s">
        <v>107</v>
      </c>
      <c r="C80" s="218" t="s">
        <v>78</v>
      </c>
      <c r="D80" s="98"/>
      <c r="E80" s="300">
        <v>8</v>
      </c>
      <c r="F80" s="98"/>
      <c r="G80" s="99"/>
      <c r="H80" s="158"/>
      <c r="I80" s="215"/>
      <c r="J80" s="215"/>
      <c r="K80" s="215"/>
      <c r="L80" s="215"/>
    </row>
    <row r="81" spans="1:12">
      <c r="A81" s="257">
        <f>A80+0.1</f>
        <v>3.1</v>
      </c>
      <c r="B81" s="126" t="s">
        <v>49</v>
      </c>
      <c r="C81" s="423" t="s">
        <v>17</v>
      </c>
      <c r="D81" s="424">
        <v>1</v>
      </c>
      <c r="E81" s="424">
        <f>D81*E80</f>
        <v>8</v>
      </c>
      <c r="F81" s="125"/>
      <c r="G81" s="125"/>
      <c r="H81" s="206"/>
      <c r="I81" s="171"/>
      <c r="J81" s="158"/>
      <c r="K81" s="158"/>
      <c r="L81" s="171"/>
    </row>
    <row r="82" spans="1:12">
      <c r="A82" s="257">
        <f>A81+0.1</f>
        <v>3.2</v>
      </c>
      <c r="B82" s="204" t="s">
        <v>119</v>
      </c>
      <c r="C82" s="204" t="s">
        <v>17</v>
      </c>
      <c r="D82" s="86">
        <v>1</v>
      </c>
      <c r="E82" s="302">
        <f>D82*E80</f>
        <v>8</v>
      </c>
      <c r="F82" s="125"/>
      <c r="G82" s="125"/>
      <c r="H82" s="158"/>
      <c r="I82" s="158"/>
      <c r="J82" s="35"/>
      <c r="K82" s="35"/>
      <c r="L82" s="158"/>
    </row>
    <row r="83" spans="1:12">
      <c r="A83" s="247">
        <f>A80+1</f>
        <v>4</v>
      </c>
      <c r="B83" s="90" t="s">
        <v>86</v>
      </c>
      <c r="C83" s="218" t="s">
        <v>87</v>
      </c>
      <c r="D83" s="98"/>
      <c r="E83" s="98">
        <f>E87+E88+E86</f>
        <v>248</v>
      </c>
      <c r="F83" s="99"/>
      <c r="G83" s="125"/>
      <c r="H83" s="215"/>
      <c r="I83" s="215"/>
      <c r="J83" s="215"/>
      <c r="K83" s="215"/>
      <c r="L83" s="215"/>
    </row>
    <row r="84" spans="1:12">
      <c r="A84" s="257">
        <f t="shared" ref="A84:A100" si="8">A83+0.1</f>
        <v>4.0999999999999996</v>
      </c>
      <c r="B84" s="126" t="s">
        <v>49</v>
      </c>
      <c r="C84" s="126" t="s">
        <v>17</v>
      </c>
      <c r="D84" s="88">
        <v>7.0000000000000007E-2</v>
      </c>
      <c r="E84" s="88">
        <f>D84*E83</f>
        <v>17.360000000000003</v>
      </c>
      <c r="F84" s="126"/>
      <c r="G84" s="89"/>
      <c r="H84" s="206"/>
      <c r="I84" s="206"/>
      <c r="J84" s="205"/>
      <c r="K84" s="205"/>
      <c r="L84" s="171"/>
    </row>
    <row r="85" spans="1:12">
      <c r="A85" s="257">
        <f t="shared" si="8"/>
        <v>4.1999999999999993</v>
      </c>
      <c r="B85" s="127" t="s">
        <v>76</v>
      </c>
      <c r="C85" s="127" t="s">
        <v>34</v>
      </c>
      <c r="D85" s="425">
        <v>4.8399999999999999E-2</v>
      </c>
      <c r="E85" s="425">
        <f>D85*E83</f>
        <v>12.0032</v>
      </c>
      <c r="F85" s="127"/>
      <c r="G85" s="426"/>
      <c r="H85" s="41"/>
      <c r="I85" s="117"/>
      <c r="J85" s="7"/>
      <c r="K85" s="7"/>
      <c r="L85" s="7"/>
    </row>
    <row r="86" spans="1:12" ht="25.5">
      <c r="A86" s="257">
        <f t="shared" si="8"/>
        <v>4.2999999999999989</v>
      </c>
      <c r="B86" s="204" t="s">
        <v>306</v>
      </c>
      <c r="C86" s="204" t="s">
        <v>87</v>
      </c>
      <c r="D86" s="166" t="s">
        <v>59</v>
      </c>
      <c r="E86" s="422">
        <v>10</v>
      </c>
      <c r="F86" s="125"/>
      <c r="G86" s="125"/>
      <c r="H86" s="118"/>
      <c r="I86" s="157"/>
      <c r="J86" s="157"/>
      <c r="K86" s="157"/>
      <c r="L86" s="158"/>
    </row>
    <row r="87" spans="1:12" ht="27">
      <c r="A87" s="257">
        <f>A85+0.1</f>
        <v>4.2999999999999989</v>
      </c>
      <c r="B87" s="204" t="s">
        <v>88</v>
      </c>
      <c r="C87" s="204" t="s">
        <v>87</v>
      </c>
      <c r="D87" s="166" t="s">
        <v>59</v>
      </c>
      <c r="E87" s="422">
        <v>150</v>
      </c>
      <c r="F87" s="125"/>
      <c r="G87" s="125"/>
      <c r="H87" s="118"/>
      <c r="I87" s="157"/>
      <c r="J87" s="157"/>
      <c r="K87" s="157"/>
      <c r="L87" s="158"/>
    </row>
    <row r="88" spans="1:12" ht="27">
      <c r="A88" s="257">
        <f t="shared" si="8"/>
        <v>4.3999999999999986</v>
      </c>
      <c r="B88" s="204" t="s">
        <v>89</v>
      </c>
      <c r="C88" s="204" t="s">
        <v>87</v>
      </c>
      <c r="D88" s="166" t="s">
        <v>59</v>
      </c>
      <c r="E88" s="422">
        <v>88</v>
      </c>
      <c r="F88" s="125"/>
      <c r="G88" s="125"/>
      <c r="H88" s="118"/>
      <c r="I88" s="157"/>
      <c r="J88" s="157"/>
      <c r="K88" s="157"/>
      <c r="L88" s="158"/>
    </row>
    <row r="89" spans="1:12" ht="25.5">
      <c r="A89" s="257">
        <f>A88+0.1</f>
        <v>4.4999999999999982</v>
      </c>
      <c r="B89" s="204" t="s">
        <v>90</v>
      </c>
      <c r="C89" s="204" t="s">
        <v>87</v>
      </c>
      <c r="D89" s="166" t="s">
        <v>59</v>
      </c>
      <c r="E89" s="422">
        <v>134</v>
      </c>
      <c r="F89" s="125"/>
      <c r="G89" s="125"/>
      <c r="H89" s="118"/>
      <c r="I89" s="157"/>
      <c r="J89" s="157"/>
      <c r="K89" s="157"/>
      <c r="L89" s="158"/>
    </row>
    <row r="90" spans="1:12" ht="27">
      <c r="A90" s="257">
        <f t="shared" si="8"/>
        <v>4.5999999999999979</v>
      </c>
      <c r="B90" s="157" t="s">
        <v>183</v>
      </c>
      <c r="C90" s="157" t="s">
        <v>87</v>
      </c>
      <c r="D90" s="166" t="s">
        <v>59</v>
      </c>
      <c r="E90" s="222">
        <f>E87</f>
        <v>150</v>
      </c>
      <c r="F90" s="157"/>
      <c r="G90" s="158"/>
      <c r="H90" s="118"/>
      <c r="I90" s="157"/>
      <c r="J90" s="157"/>
      <c r="K90" s="157"/>
      <c r="L90" s="158"/>
    </row>
    <row r="91" spans="1:12">
      <c r="A91" s="257">
        <f t="shared" si="8"/>
        <v>4.6999999999999975</v>
      </c>
      <c r="B91" s="157" t="s">
        <v>45</v>
      </c>
      <c r="C91" s="157" t="s">
        <v>17</v>
      </c>
      <c r="D91" s="42">
        <v>3.5000000000000001E-3</v>
      </c>
      <c r="E91" s="222">
        <f>D91*E83</f>
        <v>0.86799999999999999</v>
      </c>
      <c r="F91" s="158"/>
      <c r="G91" s="158"/>
      <c r="H91" s="118"/>
      <c r="I91" s="157"/>
      <c r="J91" s="157"/>
      <c r="K91" s="157"/>
      <c r="L91" s="158"/>
    </row>
    <row r="92" spans="1:12" ht="27">
      <c r="A92" s="247">
        <f>A83+1</f>
        <v>5</v>
      </c>
      <c r="B92" s="27" t="s">
        <v>91</v>
      </c>
      <c r="C92" s="9" t="s">
        <v>92</v>
      </c>
      <c r="D92" s="28"/>
      <c r="E92" s="233">
        <v>1</v>
      </c>
      <c r="F92" s="30"/>
      <c r="G92" s="158"/>
      <c r="H92" s="215"/>
      <c r="I92" s="215"/>
      <c r="J92" s="215"/>
      <c r="K92" s="215"/>
      <c r="L92" s="215"/>
    </row>
    <row r="93" spans="1:12">
      <c r="A93" s="257">
        <f t="shared" si="8"/>
        <v>5.0999999999999996</v>
      </c>
      <c r="B93" s="205" t="s">
        <v>49</v>
      </c>
      <c r="C93" s="205" t="s">
        <v>16</v>
      </c>
      <c r="D93" s="206">
        <v>25</v>
      </c>
      <c r="E93" s="225">
        <f>D93*E92</f>
        <v>25</v>
      </c>
      <c r="F93" s="205"/>
      <c r="G93" s="16"/>
      <c r="H93" s="206"/>
      <c r="I93" s="206"/>
      <c r="J93" s="205"/>
      <c r="K93" s="205"/>
      <c r="L93" s="206"/>
    </row>
    <row r="94" spans="1:12">
      <c r="A94" s="257">
        <f t="shared" si="8"/>
        <v>5.1999999999999993</v>
      </c>
      <c r="B94" s="117" t="s">
        <v>76</v>
      </c>
      <c r="C94" s="117" t="s">
        <v>34</v>
      </c>
      <c r="D94" s="7">
        <v>0.7</v>
      </c>
      <c r="E94" s="226">
        <f>D94*E92</f>
        <v>0.7</v>
      </c>
      <c r="F94" s="117"/>
      <c r="G94" s="41"/>
      <c r="H94" s="41"/>
      <c r="I94" s="117"/>
      <c r="J94" s="7"/>
      <c r="K94" s="7"/>
      <c r="L94" s="7"/>
    </row>
    <row r="95" spans="1:12" ht="25.5">
      <c r="A95" s="257">
        <f t="shared" si="8"/>
        <v>5.2999999999999989</v>
      </c>
      <c r="B95" s="157" t="s">
        <v>93</v>
      </c>
      <c r="C95" s="157" t="s">
        <v>22</v>
      </c>
      <c r="D95" s="22" t="s">
        <v>59</v>
      </c>
      <c r="E95" s="222">
        <v>1</v>
      </c>
      <c r="F95" s="158"/>
      <c r="G95" s="125"/>
      <c r="H95" s="118"/>
      <c r="I95" s="157"/>
      <c r="J95" s="157"/>
      <c r="K95" s="157"/>
      <c r="L95" s="158"/>
    </row>
    <row r="96" spans="1:12" ht="25.5">
      <c r="A96" s="257">
        <f t="shared" si="8"/>
        <v>5.3999999999999986</v>
      </c>
      <c r="B96" s="157" t="s">
        <v>118</v>
      </c>
      <c r="C96" s="157" t="s">
        <v>22</v>
      </c>
      <c r="D96" s="22" t="s">
        <v>59</v>
      </c>
      <c r="E96" s="222">
        <v>1</v>
      </c>
      <c r="F96" s="157"/>
      <c r="G96" s="125"/>
      <c r="H96" s="118"/>
      <c r="I96" s="157"/>
      <c r="J96" s="157"/>
      <c r="K96" s="157"/>
      <c r="L96" s="158"/>
    </row>
    <row r="97" spans="1:14" ht="25.5">
      <c r="A97" s="257">
        <f t="shared" si="8"/>
        <v>5.4999999999999982</v>
      </c>
      <c r="B97" s="157" t="s">
        <v>117</v>
      </c>
      <c r="C97" s="157" t="s">
        <v>22</v>
      </c>
      <c r="D97" s="22" t="s">
        <v>59</v>
      </c>
      <c r="E97" s="222">
        <v>1</v>
      </c>
      <c r="F97" s="157"/>
      <c r="G97" s="125"/>
      <c r="H97" s="118"/>
      <c r="I97" s="157"/>
      <c r="J97" s="157"/>
      <c r="K97" s="157"/>
      <c r="L97" s="158"/>
    </row>
    <row r="98" spans="1:14" ht="25.5">
      <c r="A98" s="257">
        <f t="shared" si="8"/>
        <v>5.5999999999999979</v>
      </c>
      <c r="B98" s="157" t="s">
        <v>94</v>
      </c>
      <c r="C98" s="157" t="s">
        <v>22</v>
      </c>
      <c r="D98" s="166" t="s">
        <v>59</v>
      </c>
      <c r="E98" s="222">
        <v>1</v>
      </c>
      <c r="F98" s="158"/>
      <c r="G98" s="125"/>
      <c r="H98" s="118"/>
      <c r="I98" s="157"/>
      <c r="J98" s="157"/>
      <c r="K98" s="157"/>
      <c r="L98" s="158"/>
    </row>
    <row r="99" spans="1:14" ht="25.5">
      <c r="A99" s="257">
        <f t="shared" si="8"/>
        <v>5.6999999999999975</v>
      </c>
      <c r="B99" s="157" t="s">
        <v>95</v>
      </c>
      <c r="C99" s="157" t="s">
        <v>22</v>
      </c>
      <c r="D99" s="166" t="s">
        <v>59</v>
      </c>
      <c r="E99" s="222">
        <v>1</v>
      </c>
      <c r="F99" s="158"/>
      <c r="G99" s="125"/>
      <c r="H99" s="118"/>
      <c r="I99" s="157"/>
      <c r="J99" s="157"/>
      <c r="K99" s="157"/>
      <c r="L99" s="158"/>
    </row>
    <row r="100" spans="1:14">
      <c r="A100" s="257">
        <f t="shared" si="8"/>
        <v>5.7999999999999972</v>
      </c>
      <c r="B100" s="204" t="s">
        <v>41</v>
      </c>
      <c r="C100" s="204" t="s">
        <v>17</v>
      </c>
      <c r="D100" s="166">
        <v>10.1</v>
      </c>
      <c r="E100" s="222">
        <f>E92*D100</f>
        <v>10.1</v>
      </c>
      <c r="F100" s="125"/>
      <c r="G100" s="125"/>
      <c r="H100" s="85"/>
      <c r="I100" s="204"/>
      <c r="J100" s="204"/>
      <c r="K100" s="204"/>
      <c r="L100" s="125"/>
    </row>
    <row r="101" spans="1:14">
      <c r="A101" s="258"/>
      <c r="B101" s="216" t="s">
        <v>26</v>
      </c>
      <c r="C101" s="216" t="s">
        <v>17</v>
      </c>
      <c r="D101" s="215"/>
      <c r="E101" s="223"/>
      <c r="F101" s="203"/>
      <c r="G101" s="33"/>
      <c r="H101" s="11"/>
      <c r="I101" s="34"/>
      <c r="J101" s="8"/>
      <c r="K101" s="198"/>
      <c r="L101" s="215"/>
      <c r="M101" s="210"/>
      <c r="N101" s="210"/>
    </row>
    <row r="102" spans="1:14">
      <c r="A102" s="243"/>
      <c r="B102" s="157" t="s">
        <v>326</v>
      </c>
      <c r="C102" s="157" t="s">
        <v>17</v>
      </c>
      <c r="D102" s="158"/>
      <c r="E102" s="221"/>
      <c r="F102" s="125"/>
      <c r="G102" s="159"/>
      <c r="H102" s="159"/>
      <c r="I102" s="159"/>
      <c r="J102" s="159"/>
      <c r="K102" s="159"/>
      <c r="L102" s="158"/>
    </row>
    <row r="103" spans="1:14">
      <c r="A103" s="254"/>
      <c r="B103" s="216" t="s">
        <v>26</v>
      </c>
      <c r="C103" s="216" t="s">
        <v>17</v>
      </c>
      <c r="D103" s="215"/>
      <c r="E103" s="203"/>
      <c r="F103" s="203"/>
      <c r="G103" s="11"/>
      <c r="H103" s="11"/>
      <c r="I103" s="11"/>
      <c r="J103" s="11"/>
      <c r="K103" s="11"/>
      <c r="L103" s="215"/>
    </row>
    <row r="104" spans="1:14">
      <c r="A104" s="243"/>
      <c r="B104" s="157" t="s">
        <v>323</v>
      </c>
      <c r="C104" s="157" t="s">
        <v>17</v>
      </c>
      <c r="D104" s="158"/>
      <c r="E104" s="125"/>
      <c r="F104" s="125"/>
      <c r="G104" s="159"/>
      <c r="H104" s="159"/>
      <c r="I104" s="159"/>
      <c r="J104" s="159"/>
      <c r="K104" s="159"/>
      <c r="L104" s="158"/>
    </row>
    <row r="105" spans="1:14">
      <c r="A105" s="255"/>
      <c r="B105" s="12" t="s">
        <v>25</v>
      </c>
      <c r="C105" s="12" t="s">
        <v>17</v>
      </c>
      <c r="D105" s="13"/>
      <c r="E105" s="13"/>
      <c r="F105" s="13"/>
      <c r="G105" s="14"/>
      <c r="H105" s="14"/>
      <c r="I105" s="14"/>
      <c r="J105" s="14"/>
      <c r="K105" s="14"/>
      <c r="L105" s="13"/>
    </row>
    <row r="106" spans="1:14">
      <c r="A106" s="255"/>
      <c r="B106" s="12" t="s">
        <v>191</v>
      </c>
      <c r="C106" s="12" t="s">
        <v>17</v>
      </c>
      <c r="D106" s="13"/>
      <c r="E106" s="13"/>
      <c r="F106" s="13"/>
      <c r="G106" s="14"/>
      <c r="H106" s="14"/>
      <c r="I106" s="14"/>
      <c r="J106" s="14"/>
      <c r="K106" s="14"/>
      <c r="L106" s="13"/>
    </row>
    <row r="110" spans="1:14">
      <c r="B110" s="287"/>
    </row>
  </sheetData>
  <mergeCells count="13">
    <mergeCell ref="A69:L69"/>
    <mergeCell ref="A2:L2"/>
    <mergeCell ref="L4:L5"/>
    <mergeCell ref="A7:L7"/>
    <mergeCell ref="A1:L1"/>
    <mergeCell ref="A3:C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75" bottom="0.75" header="0.3" footer="0.3"/>
  <pageSetup paperSize="9" scale="8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თავფურელი</vt:lpstr>
      <vt:lpstr>საერთო</vt:lpstr>
      <vt:lpstr>დემონტაჟი</vt:lpstr>
      <vt:lpstr>სტადიონი</vt:lpstr>
      <vt:lpstr>სკვერი</vt:lpstr>
      <vt:lpstr>ელექტროობა</vt:lpstr>
      <vt:lpstr>დემონტაჟი!Print_Area</vt:lpstr>
      <vt:lpstr>ელექტროობა!Print_Area</vt:lpstr>
      <vt:lpstr>თავფურელი!Print_Area</vt:lpstr>
      <vt:lpstr>სკვერი!Print_Area</vt:lpstr>
      <vt:lpstr>სტადიონი!Print_Area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2021-08-27T11:03:09Z</dcterms:modified>
</cp:coreProperties>
</file>