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00" tabRatio="878" activeTab="0"/>
  </bookViews>
  <sheets>
    <sheet name="obieq" sheetId="1" r:id="rId1"/>
    <sheet name="B1" sheetId="2" r:id="rId2"/>
    <sheet name="B2" sheetId="3" r:id="rId3"/>
    <sheet name="B3" sheetId="4" r:id="rId4"/>
    <sheet name="B4" sheetId="5" r:id="rId5"/>
    <sheet name="B5" sheetId="6" r:id="rId6"/>
    <sheet name="B6" sheetId="7" r:id="rId7"/>
  </sheets>
  <definedNames>
    <definedName name="_xlnm.Print_Area" localSheetId="1">'B1'!$A$1:$M$231</definedName>
    <definedName name="_xlnm.Print_Area" localSheetId="2">'B2'!$A$1:$M$157</definedName>
    <definedName name="_xlnm.Print_Area" localSheetId="3">'B3'!$A$1:$M$183</definedName>
    <definedName name="_xlnm.Print_Area" localSheetId="4">'B4'!$A$1:$M$191</definedName>
    <definedName name="_xlnm.Print_Area" localSheetId="6">'B6'!$A$1:$M$32</definedName>
    <definedName name="_xlnm.Print_Area" localSheetId="0">'obieq'!$A$1:$H$25</definedName>
  </definedNames>
  <calcPr fullCalcOnLoad="1" refMode="R1C1"/>
</workbook>
</file>

<file path=xl/sharedStrings.xml><?xml version="1.0" encoding="utf-8"?>
<sst xmlns="http://schemas.openxmlformats.org/spreadsheetml/2006/main" count="1864" uniqueCount="562">
  <si>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</si>
  <si>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</si>
  <si>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</si>
  <si>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</si>
  <si>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</si>
  <si>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</si>
  <si>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</si>
  <si>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</si>
  <si>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</si>
  <si>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</si>
  <si>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</si>
  <si>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</si>
  <si>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</si>
  <si>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</si>
  <si>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manqanebi</t>
  </si>
  <si>
    <t>kac/sT</t>
  </si>
  <si>
    <t xml:space="preserve">masalis transporti </t>
  </si>
  <si>
    <t>masalebi</t>
  </si>
  <si>
    <t>sxva masala</t>
  </si>
  <si>
    <t xml:space="preserve">gegmiuri dagroveba </t>
  </si>
  <si>
    <t>m</t>
  </si>
  <si>
    <t>man/sT</t>
  </si>
  <si>
    <t>r e s u r s e b i</t>
  </si>
  <si>
    <t>c</t>
  </si>
  <si>
    <t>sxva manqanebi</t>
  </si>
  <si>
    <t>10 m3</t>
  </si>
  <si>
    <t xml:space="preserve">zednadebi xarjebi </t>
  </si>
  <si>
    <t>aT.lari</t>
  </si>
  <si>
    <t>saxarjTaRricxvo Rirebuleba</t>
  </si>
  <si>
    <t>m.S. xelfasi</t>
  </si>
  <si>
    <t>proeqt</t>
  </si>
  <si>
    <t>m3</t>
  </si>
  <si>
    <r>
      <t>m</t>
    </r>
    <r>
      <rPr>
        <vertAlign val="superscript"/>
        <sz val="10"/>
        <rFont val="AcadMtavr"/>
        <family val="0"/>
      </rPr>
      <t>3</t>
    </r>
  </si>
  <si>
    <t>sxva masalebi</t>
  </si>
  <si>
    <t>kompl</t>
  </si>
  <si>
    <t>kg</t>
  </si>
  <si>
    <t>wyalsadenis Sida qselis mowyoba</t>
  </si>
  <si>
    <t>cali</t>
  </si>
  <si>
    <r>
      <t>betoni b-20 B(</t>
    </r>
    <r>
      <rPr>
        <sz val="10"/>
        <rFont val="Arial"/>
        <family val="2"/>
      </rPr>
      <t>M-250)</t>
    </r>
  </si>
  <si>
    <t>SromiTi resursebi</t>
  </si>
  <si>
    <t>Sromis danaxarjebi</t>
  </si>
  <si>
    <t xml:space="preserve">sxva manqana </t>
  </si>
  <si>
    <t>eleqtrodi</t>
  </si>
  <si>
    <t>zeTovani saRebavi</t>
  </si>
  <si>
    <t>olifa</t>
  </si>
  <si>
    <t xml:space="preserve">   sul</t>
  </si>
  <si>
    <t>obieqturi xarjTaRricxva</t>
  </si>
  <si>
    <t>lokaluri xarjTaRricxva #6</t>
  </si>
  <si>
    <t xml:space="preserve"> Sifri</t>
  </si>
  <si>
    <t xml:space="preserve"> Tavi I                                    წყალსადენის შიდა დამხარჯი ქსელი                         </t>
  </si>
  <si>
    <t>IV კატეგორიის  გრუნტის დამუშავება  თხრილში ექსკავატორით</t>
  </si>
  <si>
    <t>1-11-16</t>
  </si>
  <si>
    <t xml:space="preserve">eqskavatori </t>
  </si>
  <si>
    <t>IV kategoriis gruntis damuSaveba xeliT</t>
  </si>
  <si>
    <t xml:space="preserve">1-80-4 </t>
  </si>
  <si>
    <t xml:space="preserve"> 23-1-1 </t>
  </si>
  <si>
    <t>resursebi</t>
  </si>
  <si>
    <r>
      <t>m</t>
    </r>
    <r>
      <rPr>
        <vertAlign val="superscript"/>
        <sz val="10"/>
        <rFont val="AcadNusx"/>
        <family val="0"/>
      </rPr>
      <t>3</t>
    </r>
  </si>
  <si>
    <t xml:space="preserve">22-8-3   </t>
  </si>
  <si>
    <r>
      <t xml:space="preserve">polieTilenis milis montaJi d-90 mm-mde hidravlikuri SemowmebiT </t>
    </r>
    <r>
      <rPr>
        <sz val="10"/>
        <rFont val="Calibri"/>
        <family val="2"/>
      </rPr>
      <t>PN-10</t>
    </r>
  </si>
  <si>
    <r>
      <t xml:space="preserve">mili d=90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-10</t>
    </r>
  </si>
  <si>
    <r>
      <t xml:space="preserve">polieTilenis milis montaJi d-75 mm-mde hidravlikuri SemowmebiT </t>
    </r>
    <r>
      <rPr>
        <sz val="10"/>
        <rFont val="Calibri"/>
        <family val="2"/>
      </rPr>
      <t>PN-10</t>
    </r>
  </si>
  <si>
    <t xml:space="preserve">22-8-2   </t>
  </si>
  <si>
    <r>
      <t xml:space="preserve">mili d=75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-10</t>
    </r>
  </si>
  <si>
    <t xml:space="preserve">22-8-1   </t>
  </si>
  <si>
    <r>
      <t xml:space="preserve">polieTilenis milis montaJi d-50 mm-mde hidravlikuri SemowmebiT </t>
    </r>
    <r>
      <rPr>
        <sz val="10"/>
        <rFont val="Calibri"/>
        <family val="2"/>
      </rPr>
      <t>PN-10</t>
    </r>
  </si>
  <si>
    <r>
      <t xml:space="preserve">mili d=50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-10</t>
    </r>
  </si>
  <si>
    <r>
      <t xml:space="preserve">polieTilenis milis montaJi d-40 mm-mde hidravlikuri SemowmebiT </t>
    </r>
    <r>
      <rPr>
        <sz val="10"/>
        <rFont val="Calibri"/>
        <family val="2"/>
      </rPr>
      <t>PN-10</t>
    </r>
  </si>
  <si>
    <t>22-23-2</t>
  </si>
  <si>
    <t>ცალი</t>
  </si>
  <si>
    <t>ელ.ფუზიური საცობების მონტაჟი</t>
  </si>
  <si>
    <t>22-23-1</t>
  </si>
  <si>
    <r>
      <t xml:space="preserve">საცობი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–40</t>
    </r>
  </si>
  <si>
    <t>ქურო პოლიეთ. ელ.ფუზიური მონტაჟი</t>
  </si>
  <si>
    <t>სამკაპების მონტაჟი</t>
  </si>
  <si>
    <t>hidrantis mowyoba  d-80</t>
  </si>
  <si>
    <t xml:space="preserve">22-26-3 </t>
  </si>
  <si>
    <t>hidranti</t>
  </si>
  <si>
    <t>wyali</t>
  </si>
  <si>
    <t>22-20-2</t>
  </si>
  <si>
    <t>gruntis ukumiyra  xeliT</t>
  </si>
  <si>
    <t>1-81-3</t>
  </si>
  <si>
    <t>Tavi I</t>
  </si>
  <si>
    <t>22-30-1</t>
  </si>
  <si>
    <t>betoni saxuravi fila, xufiT</t>
  </si>
  <si>
    <t>rk/b Wis Ziris</t>
  </si>
  <si>
    <t>22-29-3</t>
  </si>
  <si>
    <t xml:space="preserve">polieTilenis miltuCa adaptoris montaJi d-90 </t>
  </si>
  <si>
    <t>miltuCa adaptori d-90</t>
  </si>
  <si>
    <t>22-29-2</t>
  </si>
  <si>
    <t>miltuCi d-90</t>
  </si>
  <si>
    <t>22-25-2 miyenebiT</t>
  </si>
  <si>
    <t>sabazro</t>
  </si>
  <si>
    <t>sul jami</t>
  </si>
  <si>
    <t>gegmiuri dagroveba</t>
  </si>
  <si>
    <t xml:space="preserve">22-8-5  </t>
  </si>
  <si>
    <r>
      <t xml:space="preserve">polieTilenis milis montaJi d-63 mm-mde hidravlikuri SemowmebiT </t>
    </r>
    <r>
      <rPr>
        <sz val="10"/>
        <rFont val="Calibri"/>
        <family val="2"/>
      </rPr>
      <t>PN-10</t>
    </r>
  </si>
  <si>
    <r>
      <t xml:space="preserve">mili d=63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-10</t>
    </r>
  </si>
  <si>
    <t>polieTilenis gadamyvani მონტაჟი</t>
  </si>
  <si>
    <t xml:space="preserve">22-25-2 </t>
  </si>
  <si>
    <t>სარწყავი არხების გადაკვეთაზე საპროექტო წყალსადენებისათვის გარცმის მოწყობა დ-159*4 მმ ფოლადის მილით</t>
  </si>
  <si>
    <t>mili დ-159*4</t>
  </si>
  <si>
    <t>100 m3</t>
  </si>
  <si>
    <t>m2</t>
  </si>
  <si>
    <t>ჯამი</t>
  </si>
  <si>
    <t xml:space="preserve">1-80-7 </t>
  </si>
  <si>
    <t xml:space="preserve">qviSaxreSi </t>
  </si>
  <si>
    <t>1000 m2</t>
  </si>
  <si>
    <t>anakrebi rk/b Wis mowyoba d=1000mm 1 kompl. simaRliT 1,0.m. xufiT</t>
  </si>
  <si>
    <t>miltuCi d-75</t>
  </si>
  <si>
    <t>sn da w
1-11-16</t>
  </si>
  <si>
    <r>
      <t>eqskavatori muxluxa svlaze 0.5 m</t>
    </r>
    <r>
      <rPr>
        <vertAlign val="superscript"/>
        <sz val="10"/>
        <rFont val="AcadMtavr"/>
        <family val="0"/>
      </rPr>
      <t>3</t>
    </r>
  </si>
  <si>
    <t xml:space="preserve">sn da w
1-80-4 </t>
  </si>
  <si>
    <t xml:space="preserve">sn da w
8-3-2 </t>
  </si>
  <si>
    <r>
      <t>m</t>
    </r>
    <r>
      <rPr>
        <b/>
        <vertAlign val="superscript"/>
        <sz val="10"/>
        <rFont val="AcadMtavr"/>
        <family val="0"/>
      </rPr>
      <t>3</t>
    </r>
  </si>
  <si>
    <t>qviSa-RorRi fraqcia 10-20 mm</t>
  </si>
  <si>
    <t>sn da w
1-31-3</t>
  </si>
  <si>
    <t>7-21-8</t>
  </si>
  <si>
    <t>srf: 2,1/27</t>
  </si>
  <si>
    <t>samontaJo detalebi</t>
  </si>
  <si>
    <t>betoni m-100</t>
  </si>
  <si>
    <t>mavTul bade d=2,5 mm ujredi 50X50mm</t>
  </si>
  <si>
    <t>srf: 1,9/10</t>
  </si>
  <si>
    <t>WiSkriT mowyoba</t>
  </si>
  <si>
    <t>7-22-1</t>
  </si>
  <si>
    <t>srf: 4,1/346</t>
  </si>
  <si>
    <t>kuTxovana 50X50X5</t>
  </si>
  <si>
    <t xml:space="preserve"> kutikaris mowyoba</t>
  </si>
  <si>
    <t>7-22-8</t>
  </si>
  <si>
    <t>Robis SeRebva zeTovani saRebaviT</t>
  </si>
  <si>
    <t>15-164-8</t>
  </si>
  <si>
    <r>
      <t xml:space="preserve">polieTilenis milis montaJi d-110 mm-mde hidravlikuri SemowmebiT </t>
    </r>
    <r>
      <rPr>
        <sz val="10"/>
        <rFont val="Calibri"/>
        <family val="2"/>
      </rPr>
      <t>PN-10</t>
    </r>
  </si>
  <si>
    <r>
      <t xml:space="preserve">mili d-110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-10</t>
    </r>
  </si>
  <si>
    <t>საბაზრო</t>
  </si>
  <si>
    <t>milebis gamorecxva da dezinfeqcia d-110 mm</t>
  </si>
  <si>
    <t>22-20-4</t>
  </si>
  <si>
    <t>milebis gamorecxva da dezinfeqcia d-90 mm</t>
  </si>
  <si>
    <t>22-20-3</t>
  </si>
  <si>
    <t>milebis gamorecxva da dezinfeqcia d-63 mm</t>
  </si>
  <si>
    <t>22-20-1</t>
  </si>
  <si>
    <t>milebis gamorecxva da dezinfeqcia d-75 mm</t>
  </si>
  <si>
    <t>milebis gamorecxva da dezinfeqcia d-50 mm</t>
  </si>
  <si>
    <t>milebis gamorecxva da dezinfeqcia d-40 mm</t>
  </si>
  <si>
    <t>masalis transporti garda inertuli masalisa</t>
  </si>
  <si>
    <t>Tujis urduli d=150 mm montaJi pn 10</t>
  </si>
  <si>
    <t>urduli d=150 mm pn-10</t>
  </si>
  <si>
    <t>danarCeni xarjebi</t>
  </si>
  <si>
    <t>m/sT</t>
  </si>
  <si>
    <t>yalibis fari 25 mm</t>
  </si>
  <si>
    <t>xe masala 25-32 mm III xarisxi</t>
  </si>
  <si>
    <t>sul</t>
  </si>
  <si>
    <t xml:space="preserve">tranSeis Sevseba adgilobrivi gruntiT </t>
  </si>
  <si>
    <t>buldozeri 80 cx.Z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</si>
  <si>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</si>
  <si>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jami </t>
  </si>
  <si>
    <t>gauTvaliswinebeli xarjebi</t>
  </si>
  <si>
    <t>sn da w
9-21-1     miyenebiT</t>
  </si>
  <si>
    <t>tn.</t>
  </si>
  <si>
    <t>amwe saavtomobilo svlaze 16t.</t>
  </si>
  <si>
    <t>liTonis samagri detalebi</t>
  </si>
  <si>
    <t>srf 1,10/13</t>
  </si>
  <si>
    <t>rezervuaris SefuTva talRovani moTuTiebuli furclebiT</t>
  </si>
  <si>
    <t>avtoamwe pnevmosvlaze 63 t</t>
  </si>
  <si>
    <t>moTuTiebuli liTonis talRovani furceli sisqiT 0,5 mm</t>
  </si>
  <si>
    <t>samagri detalebi</t>
  </si>
  <si>
    <t>WanWikebi</t>
  </si>
  <si>
    <t>sn da w
9-4-1</t>
  </si>
  <si>
    <r>
      <t>m</t>
    </r>
    <r>
      <rPr>
        <b/>
        <vertAlign val="superscript"/>
        <sz val="10"/>
        <rFont val="AcadNusx"/>
        <family val="0"/>
      </rPr>
      <t>2</t>
    </r>
  </si>
  <si>
    <t>srf: 13/50</t>
  </si>
  <si>
    <r>
      <t>m</t>
    </r>
    <r>
      <rPr>
        <vertAlign val="superscript"/>
        <sz val="10"/>
        <rFont val="AcadNusx"/>
        <family val="0"/>
      </rPr>
      <t>2</t>
    </r>
  </si>
  <si>
    <t>kg.</t>
  </si>
  <si>
    <t>შეასრულა</t>
  </si>
  <si>
    <t>mSeneblobis dasaxeleba:</t>
  </si>
  <si>
    <t xml:space="preserve"> N</t>
  </si>
  <si>
    <r>
      <t>xarjTaRricxvis</t>
    </r>
    <r>
      <rPr>
        <sz val="11"/>
        <rFont val="Academiuri Normaluri"/>
        <family val="0"/>
      </rPr>
      <t xml:space="preserve"> N</t>
    </r>
  </si>
  <si>
    <t xml:space="preserve"> xarjTaRricxvis dasaxeleba</t>
  </si>
  <si>
    <t xml:space="preserve">      saxarjTaRricxvo GRirebuleba ( lari)</t>
  </si>
  <si>
    <t>samSeneblo samuSaoebi</t>
  </si>
  <si>
    <t xml:space="preserve">samont. samuSaoebi </t>
  </si>
  <si>
    <t>mowyobiloba</t>
  </si>
  <si>
    <t>sxvadasxva xarjebi</t>
  </si>
  <si>
    <t>B1</t>
  </si>
  <si>
    <t>B2</t>
  </si>
  <si>
    <t>B3</t>
  </si>
  <si>
    <t>B4</t>
  </si>
  <si>
    <t>B5</t>
  </si>
  <si>
    <t>d. R.Gg. - 18%</t>
  </si>
  <si>
    <t>IV kategoriis gruntis damuSaveba eqskavatoriT adgilze dayriT</t>
  </si>
  <si>
    <r>
      <t>eqskavatori muxluxa svlaze 0.5 m</t>
    </r>
    <r>
      <rPr>
        <vertAlign val="superscript"/>
        <sz val="10"/>
        <rFont val="AcadNusx"/>
        <family val="0"/>
      </rPr>
      <t>3</t>
    </r>
  </si>
  <si>
    <t>srf 13/118</t>
  </si>
  <si>
    <t>qvabulis damuSaveba xeliT IV kategoriis gruntebSi</t>
  </si>
  <si>
    <t>xreSi safuZvlis mowyoba datkepvniT fundametis qveS</t>
  </si>
  <si>
    <t>monoliTuri rk/betonis wertilovani saZirkvelis mowyoba betoniT B-22,5</t>
  </si>
  <si>
    <t xml:space="preserve">sn da w
6-1-7 </t>
  </si>
  <si>
    <t>betoni b-22,5 B(M-300)</t>
  </si>
  <si>
    <t>xe masala 25-32 mm II xarisxi</t>
  </si>
  <si>
    <t>armatura AI</t>
  </si>
  <si>
    <t>armatura AIII</t>
  </si>
  <si>
    <t>rezervuaris SefuTva minabambiT</t>
  </si>
  <si>
    <t xml:space="preserve">sn da w
26-7-3  </t>
  </si>
  <si>
    <t>minabamba sisqiT 5 sm</t>
  </si>
  <si>
    <t>liTonis konstruqciis SeRebva antikoroziuli laqiT</t>
  </si>
  <si>
    <t xml:space="preserve">sn da w
15-166-3  </t>
  </si>
  <si>
    <t>laki antikoroziuli</t>
  </si>
  <si>
    <t>gruntis ukumiyra xeliT</t>
  </si>
  <si>
    <t>zedmeti gruntis mosworeba teritoriaze</t>
  </si>
  <si>
    <t>teritoriis moxreSva fraqciuli RorRiT sisqiT 20 sm</t>
  </si>
  <si>
    <t>avtogreideri 79kvt.</t>
  </si>
  <si>
    <t>sagzao mtkep. TviTm. pnev.svlaze 18t.</t>
  </si>
  <si>
    <t>sagzao mtkepnavi TviTm. gluvi 5t.</t>
  </si>
  <si>
    <t>igive, 10toniani</t>
  </si>
  <si>
    <t>sarwyavi manqana 6000l</t>
  </si>
  <si>
    <t>kub.m.</t>
  </si>
  <si>
    <t>masalis transportireba 16 km-ze</t>
  </si>
  <si>
    <r>
      <rPr>
        <sz val="14"/>
        <rFont val="AcadNusx"/>
        <family val="0"/>
      </rPr>
      <t xml:space="preserve"> Tavi </t>
    </r>
    <r>
      <rPr>
        <sz val="12"/>
        <rFont val="AcadNusx"/>
        <family val="0"/>
      </rPr>
      <t>III</t>
    </r>
    <r>
      <rPr>
        <sz val="14"/>
        <rFont val="AcadNusx"/>
        <family val="0"/>
      </rPr>
      <t xml:space="preserve"> </t>
    </r>
    <r>
      <rPr>
        <sz val="10"/>
        <rFont val="AcadNusx"/>
        <family val="0"/>
      </rPr>
      <t xml:space="preserve">                                   წყალსადენის შიდა დამხარჯი ქსელიs Webi Camket-maregurilebeli armaturiT                         </t>
    </r>
  </si>
  <si>
    <t>foladis urduli d=50 mm montaJi pn 25</t>
  </si>
  <si>
    <t>urduli d=50 mm pn-25</t>
  </si>
  <si>
    <t xml:space="preserve">foladis miltuCis montaJi d-150 </t>
  </si>
  <si>
    <t>miltuCi d-150</t>
  </si>
  <si>
    <t>foladis miltuCis montaJi d-50</t>
  </si>
  <si>
    <t>miltuCi d-50</t>
  </si>
  <si>
    <t>lokaluri xarjTaRricxva #5</t>
  </si>
  <si>
    <t>wvrilmarclovani 0-0,5 mm-mde inertuli masaliT baliSis mowyoba  milebis garSemo</t>
  </si>
  <si>
    <t>wvrilmarclovani 0-0,5 mm-mde inertuli masala</t>
  </si>
  <si>
    <t>Robis mowyoba liTonis badiT. liTonis dgarebze d-57X3.0 dabetonebiT WiSkriT da kutikariT</t>
  </si>
  <si>
    <t>svetebi (mili d-57X3.0mm 1c-2.0 m )</t>
  </si>
  <si>
    <t>svetebi (mili d-57X3,0mm)</t>
  </si>
  <si>
    <t>glinula d-3 mm</t>
  </si>
  <si>
    <t>liTonis kari</t>
  </si>
  <si>
    <t>zedmeti gruntis gatana 10 km-ze</t>
  </si>
  <si>
    <t>polieTilenis miltuCa adaptoris montaJi d-110</t>
  </si>
  <si>
    <t>miltuCa adaptori d-110</t>
  </si>
  <si>
    <t>Tujis urduli d=100 mm montaJi pn 10</t>
  </si>
  <si>
    <t>III kategoriis gruntis damuSaveba xeliT 40*40*60sm (24cali)</t>
  </si>
  <si>
    <t>miltuCa adaptori d-160</t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</si>
  <si>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1"/>
        <rFont val="AcadNusx"/>
        <family val="0"/>
      </rPr>
      <t xml:space="preserve">–160 </t>
    </r>
  </si>
  <si>
    <t>polieTilenis jvaredinis მონტაჟი</t>
  </si>
  <si>
    <t>foladis miltuCebis montaJi</t>
  </si>
  <si>
    <t>miltuCi d-160</t>
  </si>
  <si>
    <t>miltuCi d-110</t>
  </si>
  <si>
    <t>urduli d=100 mm pn-10</t>
  </si>
  <si>
    <t>ზემო მაჩხაანის წყალმომარაგების სისტემების ხარჯთაღრიცხვა</t>
  </si>
  <si>
    <t>მაგისტრალურ მილზე განშტოების და ლითონის W=50 მ3 ავზის მოწყობა</t>
  </si>
  <si>
    <t>სadawneo da V=50 m3 rezervuariebs montaJi</t>
  </si>
  <si>
    <r>
      <t>liTonis V=50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 rezervuaris montaJi</t>
    </r>
  </si>
  <si>
    <r>
      <t>liTonis rezervuari V=50 m</t>
    </r>
    <r>
      <rPr>
        <vertAlign val="superscript"/>
        <sz val="10"/>
        <rFont val="AcadNusx"/>
        <family val="0"/>
      </rPr>
      <t xml:space="preserve">3 </t>
    </r>
    <r>
      <rPr>
        <sz val="10"/>
        <rFont val="AcadNusx"/>
        <family val="0"/>
      </rPr>
      <t xml:space="preserve">sisqiT aranakleb 6 mm sakvebisaTvis vargisi </t>
    </r>
  </si>
  <si>
    <t>milebis gamorecxva da dezinfeqcia d-20 mm</t>
  </si>
  <si>
    <t xml:space="preserve"> sasmeli wylis ახალი რკინაბეტონის rezervuaris მოწყობის</t>
  </si>
  <si>
    <t>xarjTaRricxva</t>
  </si>
  <si>
    <t xml:space="preserve">150 m3-iani rezervuari </t>
  </si>
  <si>
    <t>150 m3-iani rezervuari</t>
  </si>
  <si>
    <t>IV jgufis gruntis damuSaveba ekskavatoriT
4 metramde siRrmis qvabulSi</t>
  </si>
  <si>
    <t>betonis mosamzadebeli fila b-7,5</t>
  </si>
  <si>
    <t>6-1-1</t>
  </si>
  <si>
    <r>
      <t>betoni b-7,5 B(</t>
    </r>
    <r>
      <rPr>
        <sz val="12"/>
        <color indexed="8"/>
        <rFont val="Arial"/>
        <family val="2"/>
      </rPr>
      <t>M</t>
    </r>
    <r>
      <rPr>
        <sz val="12"/>
        <color indexed="8"/>
        <rFont val="AcadMtavr"/>
        <family val="0"/>
      </rPr>
      <t>-100)</t>
    </r>
  </si>
  <si>
    <t>r/b monoliTuri rezervuaris mowyoba mowyoba b-22,5</t>
  </si>
  <si>
    <t>6-26-4</t>
  </si>
  <si>
    <t>armatura a-III klasis</t>
  </si>
  <si>
    <r>
      <t>betoni b-22,5 B(</t>
    </r>
    <r>
      <rPr>
        <sz val="10"/>
        <rFont val="Sylfaen"/>
        <family val="1"/>
      </rPr>
      <t>M</t>
    </r>
    <r>
      <rPr>
        <sz val="12"/>
        <rFont val="Sylfaen"/>
        <family val="1"/>
      </rPr>
      <t>-</t>
    </r>
    <r>
      <rPr>
        <sz val="12"/>
        <rFont val="AcadNusx"/>
        <family val="0"/>
      </rPr>
      <t>300)</t>
    </r>
  </si>
  <si>
    <t xml:space="preserve">cement-qviSis duRabis qanobiani fenis mowyoba rezervuaris ZirSi, saS.sisqiT 5sm </t>
  </si>
  <si>
    <t xml:space="preserve">11-8-1 11-8-2            </t>
  </si>
  <si>
    <t>100 m2</t>
  </si>
  <si>
    <t xml:space="preserve">SromiTi resursebi </t>
  </si>
  <si>
    <t xml:space="preserve">cementis xsnari m-200  </t>
  </si>
  <si>
    <t>cement-qviSis duRabis qanobiani fenis mowyoba gadaxurvis filaze, saS.sisqiT 4sm</t>
  </si>
  <si>
    <t>12-10-1.
12-10-2</t>
  </si>
  <si>
    <t xml:space="preserve">cementis xsnari m-200   </t>
  </si>
  <si>
    <t>rezervuaris kedlebis izolacia cxeli bitumiT 2 fena</t>
  </si>
  <si>
    <t>8-4-7</t>
  </si>
  <si>
    <t>bitumi</t>
  </si>
  <si>
    <t>rezervuaris gadaxurvis filis izolacia rulonuri masaliT 1 fena</t>
  </si>
  <si>
    <t>12-9-6, miyenebiT</t>
  </si>
  <si>
    <t>bitumis mastika</t>
  </si>
  <si>
    <t>rulonuri masala (toli ,,პ-300")</t>
  </si>
  <si>
    <t>srf 4.1/381</t>
  </si>
  <si>
    <t>rezervuaris Siga zedapiris hidroizolacia fskerze da kedlebze hidrosaizolacio cementis xsnaris wasmiT</t>
  </si>
  <si>
    <t>8-4-4</t>
  </si>
  <si>
    <t xml:space="preserve">hidrosaizolacio cementis xsnari (hidrosaizolacio masala cementis 1,2%) </t>
  </si>
  <si>
    <t>∅3X50X50 foladis badiT daarmaturebuli cement-qviSis duRabis damcavi fenis mowyoba gadaxurvaze- 3 sm</t>
  </si>
  <si>
    <t>cementis xsnari მ-200</t>
  </si>
  <si>
    <t xml:space="preserve">∅3X50X50 foladis badiT daarmatureba  gadaxurvaze- </t>
  </si>
  <si>
    <t>bade 50X50X3</t>
  </si>
  <si>
    <t>Tujis luqebis mowyoba 70X70</t>
  </si>
  <si>
    <t>23-23</t>
  </si>
  <si>
    <t>Tujis luqi  70X70</t>
  </si>
  <si>
    <t>srf: 13/141</t>
  </si>
  <si>
    <t>Tujis urduli d=150mm montaJi  pn-10</t>
  </si>
  <si>
    <t>22-24-5 miyenebiT</t>
  </si>
  <si>
    <t>urduli d=150mm pn-10</t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</si>
  <si>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1"/>
        <rFont val="AcadNusx"/>
        <family val="0"/>
      </rPr>
      <t>–160/160/160</t>
    </r>
  </si>
  <si>
    <t>muxli პოლიეთ. ჩამოსხმ მონტაჟი</t>
  </si>
  <si>
    <r>
      <t xml:space="preserve">muxli პოლიეთ. ჩამოსხმ. 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–160 90</t>
    </r>
    <r>
      <rPr>
        <vertAlign val="superscript"/>
        <sz val="11"/>
        <rFont val="AcadNusx"/>
        <family val="0"/>
      </rPr>
      <t>0</t>
    </r>
  </si>
  <si>
    <t xml:space="preserve">polieTilenis miltuCa adaptoris montaJi d-160 </t>
  </si>
  <si>
    <t>foladis miltuCis montaJi d-160</t>
  </si>
  <si>
    <t xml:space="preserve">22-5-5.  </t>
  </si>
  <si>
    <t>რკინაბეტონის ფილა 2,0X2,0(m) (sisqiT 0,15m) Tujis mrgvali xufiT</t>
  </si>
  <si>
    <t>Ziris fila</t>
  </si>
  <si>
    <t>rezervuaris gadaxurvis ტერიტორიის planireba xeliT</t>
  </si>
  <si>
    <t>სნდაწ IV-2-82   48-1-2</t>
  </si>
  <si>
    <t>კვ.მ</t>
  </si>
  <si>
    <t>შრომითი დანახარჯი</t>
  </si>
  <si>
    <t>კაც.სთ</t>
  </si>
  <si>
    <t>gazonis საფარის მოწყობა</t>
  </si>
  <si>
    <t xml:space="preserve">სნდაწ IV-2-82   48-18-6 </t>
  </si>
  <si>
    <t>100 კვ.მ</t>
  </si>
  <si>
    <t>gazonis Tesli</t>
  </si>
  <si>
    <t xml:space="preserve">წყალი </t>
  </si>
  <si>
    <t>კუბ.მ</t>
  </si>
  <si>
    <t>SemoRobva</t>
  </si>
  <si>
    <t>Robis mowyoba liTonis badiT. liTonis dgarebze d-57X3.5 dabetonebiT WiSkriT da kutikariT</t>
  </si>
  <si>
    <t>svetebi (mili d-57X3.5mm 1c-2.2 m )</t>
  </si>
  <si>
    <t>glinula d-6,5 mm</t>
  </si>
  <si>
    <t xml:space="preserve">svetebi (mili d-57X3.5mm </t>
  </si>
  <si>
    <t>lokaluri xarjTaRricxva #4</t>
  </si>
  <si>
    <t>saqloratoros Senobis mowyoba</t>
  </si>
  <si>
    <t>III kategoriis gruntis damuSaveba  xeliT.</t>
  </si>
  <si>
    <t xml:space="preserve">sn da w
1-80-3 </t>
  </si>
  <si>
    <t>betonis momzadebis fena saZirkvlebis qveS m-100, sisqiT 10 sm.</t>
  </si>
  <si>
    <t>sn da w
6-1-1</t>
  </si>
  <si>
    <r>
      <t>betoni b-7,5 B(</t>
    </r>
    <r>
      <rPr>
        <sz val="10"/>
        <rFont val="Arial"/>
        <family val="2"/>
      </rPr>
      <t>M</t>
    </r>
    <r>
      <rPr>
        <sz val="10"/>
        <rFont val="AcadMtavr"/>
        <family val="0"/>
      </rPr>
      <t>-100)</t>
    </r>
  </si>
  <si>
    <r>
      <t xml:space="preserve">monoliTuri rk/betonis lenturi saZirkvelis mowyoba betoniT </t>
    </r>
    <r>
      <rPr>
        <b/>
        <sz val="10"/>
        <rFont val="Calibri"/>
        <family val="2"/>
      </rPr>
      <t>B-15</t>
    </r>
  </si>
  <si>
    <t xml:space="preserve">sn da w
6-1-22 </t>
  </si>
  <si>
    <r>
      <t>betoni b-15 B(</t>
    </r>
    <r>
      <rPr>
        <sz val="10"/>
        <rFont val="Arial"/>
        <family val="2"/>
      </rPr>
      <t>M-200)</t>
    </r>
  </si>
  <si>
    <r>
      <t>m</t>
    </r>
    <r>
      <rPr>
        <vertAlign val="superscript"/>
        <sz val="10"/>
        <rFont val="AcadMtavr"/>
        <family val="0"/>
      </rPr>
      <t>2</t>
    </r>
  </si>
  <si>
    <t>sn da w
1-81-4</t>
  </si>
  <si>
    <t>kedlebis wyoba msubuqi blokiT sisqiT 40 sm</t>
  </si>
  <si>
    <t>sn da w
8-15-2</t>
  </si>
  <si>
    <t>xsnari qviSa-cementis m-100</t>
  </si>
  <si>
    <t>blokebi 40X20X20</t>
  </si>
  <si>
    <t>horizontaluri hidroizolaciis mowyoba sisqiT 30 mm.</t>
  </si>
  <si>
    <t>sn da w
11-8-1,2</t>
  </si>
  <si>
    <r>
      <t>m</t>
    </r>
    <r>
      <rPr>
        <b/>
        <vertAlign val="superscript"/>
        <sz val="10"/>
        <rFont val="AcadMtavr"/>
        <family val="0"/>
      </rPr>
      <t>2</t>
    </r>
  </si>
  <si>
    <t>xsnari cementis m-200</t>
  </si>
  <si>
    <r>
      <t xml:space="preserve">monoliTuri rk/betonis gadaxurvis filis mowyoba betoniT </t>
    </r>
    <r>
      <rPr>
        <b/>
        <sz val="10"/>
        <rFont val="Calibri"/>
        <family val="2"/>
      </rPr>
      <t>B-22,5</t>
    </r>
  </si>
  <si>
    <t>sn da w
6-16-1</t>
  </si>
  <si>
    <r>
      <t>betoni b-22,5 B(</t>
    </r>
    <r>
      <rPr>
        <sz val="10"/>
        <rFont val="Arial"/>
        <family val="2"/>
      </rPr>
      <t>M-300)</t>
    </r>
  </si>
  <si>
    <t>monoliTuri rk/betonis zRudarebis mowyoba</t>
  </si>
  <si>
    <t>sn da w
6-15-9</t>
  </si>
  <si>
    <t>srf/4,1/337</t>
  </si>
  <si>
    <t>saxuravis xis konstruqciis mowyoba</t>
  </si>
  <si>
    <t>lari.</t>
  </si>
  <si>
    <t>toli c -300</t>
  </si>
  <si>
    <t>lursmani</t>
  </si>
  <si>
    <t>mavTuli</t>
  </si>
  <si>
    <t>molartyvis mowyoba</t>
  </si>
  <si>
    <t>sn da w
10-10-1</t>
  </si>
  <si>
    <t>saxuravis mowyoba profilirebuli feniliT</t>
  </si>
  <si>
    <t>profilirebuli Tunuqi sisqiT 0,5 mm</t>
  </si>
  <si>
    <t>srf:1,5/13</t>
  </si>
  <si>
    <t>moTuTiebuli liTonis furceli sisqiT 0,5 mm</t>
  </si>
  <si>
    <t>srf 1,10/17</t>
  </si>
  <si>
    <t>plastmasis wyalSemkrebi Rarebis dayeneba</t>
  </si>
  <si>
    <t>grZ/m</t>
  </si>
  <si>
    <t>plastmasis wyalSemkrebi Rari</t>
  </si>
  <si>
    <t>plastmasis wyalSemkrebi Zabrebis mowyoba samagrebiT</t>
  </si>
  <si>
    <t>plastmasis wyalSemkrebi Zabri samagriT</t>
  </si>
  <si>
    <t>plastmasis wylis CamSvebi milebis mowyoba samagrebiT</t>
  </si>
  <si>
    <t>plastmasis wylis CamSvebi milebi samagriT დ=100 მმ</t>
  </si>
  <si>
    <t>plastmasis muxlebis mowyoba</t>
  </si>
  <si>
    <t>plastmasis muxli დ=100 მმ</t>
  </si>
  <si>
    <t>iatakis betonis filis mowyoba</t>
  </si>
  <si>
    <t>sn da w
11-1-11</t>
  </si>
  <si>
    <t>betoni m-200</t>
  </si>
  <si>
    <t>iatakis moWimva cementis xsnariT sisqiT 30mm</t>
  </si>
  <si>
    <t>liTonis karebis   montaJi</t>
  </si>
  <si>
    <t>sn da w
9-5-2</t>
  </si>
  <si>
    <t>Seminuli metaloplastmasis fanjrebis mowyoba</t>
  </si>
  <si>
    <t>sn da w
9-14-5</t>
  </si>
  <si>
    <t>metaloplastmasis fanjara</t>
  </si>
  <si>
    <t>srf 10,3/3</t>
  </si>
  <si>
    <t>liTonis karebis SeRebva zeTovani saRebaviT  (2 fena)</t>
  </si>
  <si>
    <t>sn da w
15-164-8</t>
  </si>
  <si>
    <t>Sida kedlebisa da Weris Selesva  qvisa_cementis  xsnariT</t>
  </si>
  <si>
    <t>sn da w
15-55-9</t>
  </si>
  <si>
    <t>cementis xsnari mosapirkeTebeli 1:2</t>
  </si>
  <si>
    <t>fasadis maRalxarisxovani  Selesva  cementis xsnariT</t>
  </si>
  <si>
    <t>sn da w
15-52-1</t>
  </si>
  <si>
    <t>Sida kedlebis da Weris SeRebva wyalemulsiis saRebaviT</t>
  </si>
  <si>
    <t>sn da w
15-168-8</t>
  </si>
  <si>
    <t>fiTxi</t>
  </si>
  <si>
    <t>wyalemulsia</t>
  </si>
  <si>
    <t>fasadis  SeRebva fasadis saRebaviT</t>
  </si>
  <si>
    <t>sn da w
15-156-2</t>
  </si>
  <si>
    <t>fasadis saRebavi</t>
  </si>
  <si>
    <t>Senobis garSemo betonis sarinelis mowyoba 1m siganiT</t>
  </si>
  <si>
    <t>maT Soria liTon konstriqciebis</t>
  </si>
  <si>
    <t>liTon konstriqciebis gareSe</t>
  </si>
  <si>
    <t>zednadebi xarjebi liTon konstruqciebis</t>
  </si>
  <si>
    <t>saqloratoros teqnologiuri danadgarebisa da milgayvanilobis mowyoba</t>
  </si>
  <si>
    <t>ficarnagis mowyoba polieTilenis CanebisaTvis</t>
  </si>
  <si>
    <t>sn da w
11-27-2</t>
  </si>
  <si>
    <r>
      <t>m</t>
    </r>
    <r>
      <rPr>
        <b/>
        <vertAlign val="superscript"/>
        <sz val="11"/>
        <rFont val="AcadMtavr"/>
        <family val="0"/>
      </rPr>
      <t>2</t>
    </r>
  </si>
  <si>
    <t>iatakis ficari 25-32 mm 1 xarisxi</t>
  </si>
  <si>
    <t>srf:5/17</t>
  </si>
  <si>
    <t xml:space="preserve">lursmani </t>
  </si>
  <si>
    <t>1a</t>
  </si>
  <si>
    <t>lagebis moWyoba betonze</t>
  </si>
  <si>
    <t>sn da w
11-9-3</t>
  </si>
  <si>
    <t>lagebi</t>
  </si>
  <si>
    <r>
      <t xml:space="preserve">plastmasis avzebis SeZena-montaJi </t>
    </r>
    <r>
      <rPr>
        <b/>
        <sz val="10"/>
        <rFont val="Arial"/>
        <family val="2"/>
      </rPr>
      <t>D</t>
    </r>
    <r>
      <rPr>
        <b/>
        <sz val="10"/>
        <rFont val="AcadMtavr"/>
        <family val="0"/>
      </rPr>
      <t>=750 l</t>
    </r>
  </si>
  <si>
    <r>
      <t xml:space="preserve">plastmasis avzi </t>
    </r>
    <r>
      <rPr>
        <sz val="10"/>
        <rFont val="Arial"/>
        <family val="2"/>
      </rPr>
      <t>D</t>
    </r>
    <r>
      <rPr>
        <sz val="10"/>
        <rFont val="AcadMtavr"/>
        <family val="0"/>
      </rPr>
      <t>=750 l</t>
    </r>
  </si>
  <si>
    <r>
      <t xml:space="preserve">plastmasis avzebis SeZena-montaJi </t>
    </r>
    <r>
      <rPr>
        <b/>
        <sz val="10"/>
        <rFont val="Arial"/>
        <family val="2"/>
      </rPr>
      <t>D</t>
    </r>
    <r>
      <rPr>
        <b/>
        <sz val="10"/>
        <rFont val="AcadMtavr"/>
        <family val="0"/>
      </rPr>
      <t>=500l</t>
    </r>
  </si>
  <si>
    <r>
      <t xml:space="preserve">plastmasis avzi </t>
    </r>
    <r>
      <rPr>
        <sz val="10"/>
        <rFont val="Arial"/>
        <family val="2"/>
      </rPr>
      <t>D</t>
    </r>
    <r>
      <rPr>
        <sz val="10"/>
        <rFont val="AcadMtavr"/>
        <family val="0"/>
      </rPr>
      <t>=500l</t>
    </r>
  </si>
  <si>
    <t>ventilebisa da Zabrebis montaJi</t>
  </si>
  <si>
    <t>sn da w
16-12-1</t>
  </si>
  <si>
    <t xml:space="preserve">viniplastis ventili d=20 mm </t>
  </si>
  <si>
    <t xml:space="preserve">brinjaos ventili  d=15 mm </t>
  </si>
  <si>
    <t>damxarjavi onkanis dayeneba</t>
  </si>
  <si>
    <t>sn da w
16-16-2</t>
  </si>
  <si>
    <t>milgayvaniloba plastmasisis milebiT diametriT 15 mm_mde</t>
  </si>
  <si>
    <t>sn da w
16-24-1</t>
  </si>
  <si>
    <t>viniplastis mili d-15 mm</t>
  </si>
  <si>
    <t>პლასმასის gadamyvani 25X15</t>
  </si>
  <si>
    <t>6a</t>
  </si>
  <si>
    <t>milgayvaniloba plastmasisis milebiT diametriT 20 mm_mde</t>
  </si>
  <si>
    <t>sn da w
16-24-2</t>
  </si>
  <si>
    <t>viniplastis mili d-20 mm</t>
  </si>
  <si>
    <t>saqloratoros tumbodozatoris montaJi</t>
  </si>
  <si>
    <t>tumbodozatori</t>
  </si>
  <si>
    <t>Tboizolaciis mowyoba minbambiT</t>
  </si>
  <si>
    <t>sn da w
26-4-3</t>
  </si>
  <si>
    <r>
      <t>m</t>
    </r>
    <r>
      <rPr>
        <b/>
        <vertAlign val="superscript"/>
        <sz val="11"/>
        <rFont val="AcadMtavr"/>
        <family val="0"/>
      </rPr>
      <t>3</t>
    </r>
  </si>
  <si>
    <t>minabamba</t>
  </si>
  <si>
    <r>
      <t>m</t>
    </r>
    <r>
      <rPr>
        <vertAlign val="superscript"/>
        <sz val="11"/>
        <rFont val="AcadMtavr"/>
        <family val="0"/>
      </rPr>
      <t>2</t>
    </r>
  </si>
  <si>
    <t>moTuTiebuli furclovani foladi sisqiT 3-mm</t>
  </si>
  <si>
    <t>liTonis milebis SeRebva zeTovani saRebaviT  (2 fena)</t>
  </si>
  <si>
    <t>sul 2 saqloratoro</t>
  </si>
  <si>
    <t>rkinabetonis  W=150 მ3 ავზის მოწყობა</t>
  </si>
  <si>
    <t>ლითონის W=50 მ3 ავზის მოწყობა</t>
  </si>
  <si>
    <t xml:space="preserve">2 cali saqloratoros mowyoba </t>
  </si>
  <si>
    <t>2 cali saqloratoros teqnologiis mowyoba</t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</si>
  <si>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–75 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</si>
  <si>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–63 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</si>
  <si>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–50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</si>
  <si>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–110-90 </t>
    </r>
  </si>
  <si>
    <r>
      <t xml:space="preserve">polieTilenis gadamyvani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–75-40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</si>
  <si>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–75X75X75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</si>
  <si>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–75X50X75 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</si>
  <si>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–75X40X75 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</si>
  <si>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–50X50X50 </t>
    </r>
  </si>
  <si>
    <t xml:space="preserve"> Tavi II                                    წყალსადენის შიდა დამხარჯი ქსელიs Webi Camket-maregurilebeli armaturiT                         </t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</si>
  <si>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–90*75*90 მმ 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</si>
  <si>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– 90*63*90 მმ </t>
    </r>
  </si>
  <si>
    <r>
      <t xml:space="preserve">პოლიეთილენის სამკაპი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–63*63*63 მმ 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</si>
  <si>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>–110</t>
    </r>
  </si>
  <si>
    <r>
      <t xml:space="preserve">ქურო პოლიეთ. ელ.ფუზიური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–90 </t>
    </r>
  </si>
  <si>
    <r>
      <t xml:space="preserve">პოლიეთილენის jvaredini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–90*75 მმ</t>
    </r>
  </si>
  <si>
    <r>
      <t xml:space="preserve">პოლიეთილენის jvaredini </t>
    </r>
    <r>
      <rPr>
        <sz val="10"/>
        <rFont val="Calibri"/>
        <family val="2"/>
      </rPr>
      <t>Ø</t>
    </r>
    <r>
      <rPr>
        <sz val="10"/>
        <rFont val="AcadNusx"/>
        <family val="0"/>
      </rPr>
      <t>–50 მმ</t>
    </r>
  </si>
  <si>
    <t>srf 14.1/10</t>
  </si>
  <si>
    <t>srf 14.2/46</t>
  </si>
  <si>
    <r>
      <t xml:space="preserve">mili დ-40 მმ </t>
    </r>
    <r>
      <rPr>
        <sz val="10"/>
        <rFont val="Calibri"/>
        <family val="2"/>
      </rPr>
      <t>PN</t>
    </r>
    <r>
      <rPr>
        <sz val="10"/>
        <rFont val="AcadNusx"/>
        <family val="0"/>
      </rPr>
      <t>-10</t>
    </r>
  </si>
  <si>
    <r>
      <t xml:space="preserve">polieTilenis milis montaJi d-20 mm-mde hidravlikuri SemowmebiT </t>
    </r>
    <r>
      <rPr>
        <sz val="10"/>
        <rFont val="Calibri"/>
        <family val="2"/>
      </rPr>
      <t>PN-16</t>
    </r>
  </si>
  <si>
    <r>
      <t xml:space="preserve">mili d=20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-16</t>
    </r>
  </si>
  <si>
    <t>srf 12/31</t>
  </si>
  <si>
    <t>anakrebi rk/b Wis mowyoba d=1000 mm 2 kompl. simaRliT 1,0.m. xufiT</t>
  </si>
  <si>
    <t xml:space="preserve">rk/b Wa d=1000 mm </t>
  </si>
  <si>
    <t xml:space="preserve">urduli d=80 mm </t>
  </si>
  <si>
    <t>Tujis urduli d=80 mm montaJi pn 10</t>
  </si>
  <si>
    <t>qviSaxreSiT ganaTxaris Sevseba</t>
  </si>
  <si>
    <t>srf. 4.1/243</t>
  </si>
  <si>
    <t>srf 4.1/106</t>
  </si>
  <si>
    <t>srf 4.1/113</t>
  </si>
  <si>
    <t>srf 4.1/143</t>
  </si>
  <si>
    <t>srf/4,1/247</t>
  </si>
  <si>
    <t>srf 4,1/247</t>
  </si>
  <si>
    <t>srf 4.1/351</t>
  </si>
  <si>
    <t>srf 5/62</t>
  </si>
  <si>
    <t>srf 5/22</t>
  </si>
  <si>
    <t>srf 13/46</t>
  </si>
  <si>
    <t>srf 1.10/13</t>
  </si>
  <si>
    <t>srf.4,1/461</t>
  </si>
  <si>
    <t>srf 1.5/5</t>
  </si>
  <si>
    <t>srf 1.10/16</t>
  </si>
  <si>
    <t>srf 4.2/11</t>
  </si>
  <si>
    <t>srf 13/141</t>
  </si>
  <si>
    <t>srf 13/50</t>
  </si>
  <si>
    <t>srf 13/200</t>
  </si>
  <si>
    <t>srf 13/220</t>
  </si>
  <si>
    <t>srf 13/218</t>
  </si>
  <si>
    <t>srf 13/219</t>
  </si>
  <si>
    <t>srf 13/229</t>
  </si>
  <si>
    <t>srf 4.1/247</t>
  </si>
  <si>
    <t>srf 14.1/16</t>
  </si>
  <si>
    <t>srf 4,1/347</t>
  </si>
  <si>
    <t>srf: 1,9/41</t>
  </si>
  <si>
    <t>srf: 1,1/46</t>
  </si>
  <si>
    <t>srf: 1,4/61</t>
  </si>
  <si>
    <t>srf: 4,2/14</t>
  </si>
  <si>
    <t>srf: 4,2/32</t>
  </si>
  <si>
    <t>srf 4,1/351</t>
  </si>
  <si>
    <t>srf:5/62</t>
  </si>
  <si>
    <t>srf:5/23</t>
  </si>
  <si>
    <t>srf:4,1/369</t>
  </si>
  <si>
    <t>srf 4.1/513</t>
  </si>
  <si>
    <t>srf 4.1/514</t>
  </si>
  <si>
    <t>srf 1,9/54</t>
  </si>
  <si>
    <t>srf 4.1/128</t>
  </si>
  <si>
    <t>srf 4.1/369</t>
  </si>
  <si>
    <t>anakrebi rk/b Wis mowyoba d=2000 mm 1-c. simaRliT 1,0.m. xufiT</t>
  </si>
  <si>
    <t xml:space="preserve">rk/b Wa d=2000 mm </t>
  </si>
  <si>
    <t>srf 4,1/108</t>
  </si>
  <si>
    <t>srf 4,1/116</t>
  </si>
  <si>
    <t>srf 4,1/145</t>
  </si>
  <si>
    <t>srf 4,1/335</t>
  </si>
  <si>
    <r>
      <t>srf:1,1/4</t>
    </r>
    <r>
      <rPr>
        <b/>
        <sz val="8"/>
        <rFont val="AcadNusx"/>
        <family val="0"/>
      </rPr>
      <t>6</t>
    </r>
  </si>
  <si>
    <t>srf: 4,1/335</t>
  </si>
  <si>
    <t>srf: 1,461</t>
  </si>
  <si>
    <t xml:space="preserve"> Sedgenilia 1984 w. s.n.w. sabaziso normebiT.  s.r.f. 2020 wlis IV kvartlis donenze</t>
  </si>
  <si>
    <t>srf/4,1/335</t>
  </si>
  <si>
    <t>srf/4,1/349</t>
  </si>
  <si>
    <t>srf 5/15</t>
  </si>
  <si>
    <t>srf4,1/368</t>
  </si>
  <si>
    <t>srf/4,1/36</t>
  </si>
  <si>
    <t>srf/4,1/369</t>
  </si>
  <si>
    <t>srf/4,1/339</t>
  </si>
  <si>
    <t>srf5/15</t>
  </si>
  <si>
    <t>srf 4,1/381</t>
  </si>
  <si>
    <t>srf:1,10/3</t>
  </si>
  <si>
    <t>srf 1,1/43</t>
  </si>
  <si>
    <t>srf 1,10/3</t>
  </si>
  <si>
    <t>srf 4,1/338</t>
  </si>
  <si>
    <t>srf: 4,2/43</t>
  </si>
  <si>
    <t>srf: 4,2/66</t>
  </si>
  <si>
    <t>srf: 4,2/38</t>
  </si>
  <si>
    <t>srf/4,1/376</t>
  </si>
  <si>
    <t>srf 1,9/113</t>
  </si>
  <si>
    <t>srf:1,6/12</t>
  </si>
  <si>
    <t>srf:5/14</t>
  </si>
  <si>
    <t>srf:4,5/34</t>
  </si>
  <si>
    <t>srf:4,5/33</t>
  </si>
  <si>
    <t>plastmasis Zabri d=20 mm</t>
  </si>
  <si>
    <t>srf:2,6/32</t>
  </si>
  <si>
    <t>srf:1,6/8</t>
  </si>
  <si>
    <t>srf 1.1/43</t>
  </si>
  <si>
    <t xml:space="preserve">22-8-3  </t>
  </si>
  <si>
    <t>22-29-1</t>
  </si>
  <si>
    <t xml:space="preserve">22-25-3 </t>
  </si>
  <si>
    <t>22-25-1</t>
  </si>
  <si>
    <t>22-29-5</t>
  </si>
  <si>
    <t>sn da w
10-11</t>
  </si>
  <si>
    <t>B6</t>
  </si>
  <si>
    <t>ჭაბურღილში ტუმბოს და მართვის ფარის მონტაჭი</t>
  </si>
  <si>
    <t>18-8-1      miyenebiT</t>
  </si>
  <si>
    <t>tumbo</t>
  </si>
  <si>
    <t>masalis transporti</t>
  </si>
  <si>
    <t>zednadebi xarjebi montaJis xelfasze</t>
  </si>
  <si>
    <t>gegmiuri dagroveba  (mowyobilobis gareSe)</t>
  </si>
  <si>
    <t>jami Tavi III</t>
  </si>
  <si>
    <t>lokaluri xarjTaRricxva #2</t>
  </si>
  <si>
    <t xml:space="preserve">                Sedgenilia 1984 w. s.n.w. sabaziso normebiT mimdinare fasebSi </t>
  </si>
  <si>
    <t>WaburRilis ტუმბოს მოწყობა</t>
  </si>
  <si>
    <t>ო. ჯაფარიძე</t>
  </si>
  <si>
    <t>ტუმბოს მართვის კარადა ჯსმ-სისტემის მართვით</t>
  </si>
  <si>
    <r>
      <t xml:space="preserve">polieTilenis milis montaJi d-75 mm-mde hidravlikuri SemowmebiT </t>
    </r>
    <r>
      <rPr>
        <sz val="10"/>
        <rFont val="Calibri"/>
        <family val="2"/>
      </rPr>
      <t>PN-16</t>
    </r>
  </si>
  <si>
    <r>
      <t xml:space="preserve">mili d=75 mm </t>
    </r>
    <r>
      <rPr>
        <sz val="10"/>
        <rFont val="Calibri"/>
        <family val="2"/>
      </rPr>
      <t>PN</t>
    </r>
    <r>
      <rPr>
        <sz val="10"/>
        <rFont val="AcadNusx"/>
        <family val="0"/>
      </rPr>
      <t>-16</t>
    </r>
  </si>
  <si>
    <t>lokaluri xarjTaRricxva #1</t>
  </si>
  <si>
    <t>inertuli masalis zidva 15 km. dan</t>
  </si>
  <si>
    <t>foladis milis montaJi d-159X4 mm-mde hidravlikuri SemowmebiT</t>
  </si>
  <si>
    <t>mili  d-159X4</t>
  </si>
  <si>
    <r>
      <t xml:space="preserve">armatura </t>
    </r>
    <r>
      <rPr>
        <sz val="10"/>
        <rFont val="Calibri"/>
        <family val="2"/>
      </rPr>
      <t>AIII</t>
    </r>
  </si>
  <si>
    <r>
      <t xml:space="preserve">armatura </t>
    </r>
    <r>
      <rPr>
        <sz val="10"/>
        <rFont val="Calibri"/>
        <family val="2"/>
      </rPr>
      <t>AI</t>
    </r>
  </si>
  <si>
    <r>
      <t>WaburRilis tumbos SeZena marTvis fariTa da avtomatikiT CaSveba WaburRilSi, el kabeliT qselSi daerTebiT awevis simaRle 220 m.</t>
    </r>
    <r>
      <rPr>
        <b/>
        <sz val="16"/>
        <rFont val="Cambria"/>
        <family val="1"/>
      </rPr>
      <t xml:space="preserve"> Q=10 </t>
    </r>
    <r>
      <rPr>
        <b/>
        <sz val="16"/>
        <rFont val="AcadNusx"/>
        <family val="0"/>
      </rPr>
      <t>m3/sT (tumbos simZlavre dazustdes testuri amotumbvis Semdeg)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</si>
</sst>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.00_р_._-;\-* #,##0.00_р_._-;_-* &quot;-&quot;??_р_._-;_-@_-"/>
    <numFmt numFmtId="181" formatCode="0.000"/>
    <numFmt numFmtId="182" formatCode="0.0000"/>
    <numFmt numFmtId="183" formatCode="0.0"/>
    <numFmt numFmtId="184" formatCode="_-* #,##0.000_р_._-;\-* #,##0.000_р_._-;_-* &quot;-&quot;???_р_._-;_-@_-"/>
    <numFmt numFmtId="185" formatCode="_-* #,##0.00_р_._-;\-* #,##0.00_р_._-;_-* &quot;-&quot;???_р_._-;_-@_-"/>
    <numFmt numFmtId="186" formatCode="0.00000"/>
    <numFmt numFmtId="187" formatCode="_-* #,##0.00\ _L_a_r_i_-;\-* #,##0.00\ _L_a_r_i_-;_-* &quot;-&quot;??\ _L_a_r_i_-;_-@_-"/>
    <numFmt numFmtId="188" formatCode="0.0%"/>
    <numFmt numFmtId="189" formatCode="_-* #,##0.000_р_._-;\-* #,##0.000_р_._-;_-* &quot;-&quot;??_р_._-;_-@_-"/>
    <numFmt numFmtId="190" formatCode="_-* #,##0.0_р_._-;\-* #,##0.0_р_._-;_-* &quot;-&quot;??_р_._-;_-@_-"/>
    <numFmt numFmtId="191" formatCode="#,##0.000"/>
    <numFmt numFmtId="192" formatCode="_(* #,##0_);_(* \(#,##0\);_(* &quot;-&quot;??_);_(@_)"/>
    <numFmt numFmtId="193" formatCode="_-* #,##0.00\ _₽_-;\-* #,##0.00\ _₽_-;_-* &quot;-&quot;??\ _₽_-;_-@_-"/>
    <numFmt numFmtId="194" formatCode="_(* #,##0.0_);_(* \(#,##0.0\);_(* &quot;-&quot;??_);_(@_)"/>
    <numFmt numFmtId="195" formatCode="_(* #,##0.0000_);_(* \(#,##0.0000\);_(* &quot;-&quot;??_);_(@_)"/>
    <numFmt numFmtId="196" formatCode="_(* #,##0.000_);_(* \(#,##0.000\);_(* &quot;-&quot;??_);_(@_)"/>
    <numFmt numFmtId="197" formatCode="_-* #,##0.000\ _₾_-;\-* #,##0.000\ _₾_-;_-* &quot;-&quot;???\ _₾_-;_-@_-"/>
    <numFmt numFmtId="198" formatCode="_-* #,##0_р_._-;\-* #,##0_р_._-;_-* &quot;-&quot;??_р_._-;_-@_-"/>
    <numFmt numFmtId="199" formatCode="_-* #,##0.000_-;\-* #,##0.000_-;_-* &quot;-&quot;???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8"/>
      <name val="AcadMtavr"/>
      <family val="0"/>
    </font>
    <font>
      <sz val="10"/>
      <name val="AcadMtavr"/>
      <family val="0"/>
    </font>
    <font>
      <b/>
      <sz val="10"/>
      <name val="AcadMtavr"/>
      <family val="0"/>
    </font>
    <font>
      <vertAlign val="superscript"/>
      <sz val="10"/>
      <name val="AcadMtavr"/>
      <family val="0"/>
    </font>
    <font>
      <i/>
      <sz val="10"/>
      <name val="AcadMtavr"/>
      <family val="0"/>
    </font>
    <font>
      <b/>
      <i/>
      <sz val="10"/>
      <name val="AcadMtavr"/>
      <family val="0"/>
    </font>
    <font>
      <sz val="9"/>
      <name val="AcadMtavr"/>
      <family val="0"/>
    </font>
    <font>
      <b/>
      <vertAlign val="superscript"/>
      <sz val="10"/>
      <name val="AcadMtavr"/>
      <family val="0"/>
    </font>
    <font>
      <b/>
      <sz val="12"/>
      <name val="AcadMtavr"/>
      <family val="0"/>
    </font>
    <font>
      <b/>
      <sz val="11"/>
      <name val="AcadMtavr"/>
      <family val="0"/>
    </font>
    <font>
      <sz val="10"/>
      <name val="AcadNusx"/>
      <family val="0"/>
    </font>
    <font>
      <b/>
      <sz val="8"/>
      <name val="AcadMtavr"/>
      <family val="0"/>
    </font>
    <font>
      <sz val="11"/>
      <name val="AcadMtavr"/>
      <family val="0"/>
    </font>
    <font>
      <u val="single"/>
      <sz val="9"/>
      <name val="AcadMtavr"/>
      <family val="0"/>
    </font>
    <font>
      <b/>
      <sz val="10"/>
      <name val="Arial"/>
      <family val="2"/>
    </font>
    <font>
      <vertAlign val="superscript"/>
      <sz val="11"/>
      <name val="AcadMtavr"/>
      <family val="0"/>
    </font>
    <font>
      <sz val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2"/>
      <name val="AcadNusx"/>
      <family val="0"/>
    </font>
    <font>
      <sz val="9"/>
      <name val="AcadNusx"/>
      <family val="0"/>
    </font>
    <font>
      <vertAlign val="superscript"/>
      <sz val="10"/>
      <name val="AcadNusx"/>
      <family val="0"/>
    </font>
    <font>
      <sz val="10"/>
      <name val="Calibri"/>
      <family val="2"/>
    </font>
    <font>
      <i/>
      <sz val="10"/>
      <name val="AcadNusx"/>
      <family val="0"/>
    </font>
    <font>
      <b/>
      <sz val="10"/>
      <name val="AcadNusx"/>
      <family val="0"/>
    </font>
    <font>
      <sz val="14"/>
      <name val="AcadNusx"/>
      <family val="0"/>
    </font>
    <font>
      <sz val="10"/>
      <name val="Times New Roman"/>
      <family val="1"/>
    </font>
    <font>
      <b/>
      <sz val="8"/>
      <name val="AcadNusx"/>
      <family val="0"/>
    </font>
    <font>
      <b/>
      <u val="single"/>
      <sz val="10"/>
      <name val="AcadNusx"/>
      <family val="0"/>
    </font>
    <font>
      <i/>
      <sz val="8"/>
      <name val="AcadMtavr"/>
      <family val="0"/>
    </font>
    <font>
      <sz val="10"/>
      <name val="Sylfaen"/>
      <family val="1"/>
    </font>
    <font>
      <b/>
      <vertAlign val="superscript"/>
      <sz val="10"/>
      <name val="AcadNusx"/>
      <family val="0"/>
    </font>
    <font>
      <u val="single"/>
      <sz val="10"/>
      <color indexed="12"/>
      <name val="Arial Cyr"/>
      <family val="0"/>
    </font>
    <font>
      <b/>
      <sz val="16"/>
      <name val="AcadNusx"/>
      <family val="0"/>
    </font>
    <font>
      <sz val="11"/>
      <name val="Academiuri Normaluri"/>
      <family val="0"/>
    </font>
    <font>
      <u val="single"/>
      <sz val="8"/>
      <name val="AcadNusx"/>
      <family val="0"/>
    </font>
    <font>
      <b/>
      <i/>
      <sz val="10"/>
      <name val="AcadNusx"/>
      <family val="0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Arial"/>
      <family val="2"/>
    </font>
    <font>
      <sz val="12"/>
      <color indexed="8"/>
      <name val="AcadMtavr"/>
      <family val="0"/>
    </font>
    <font>
      <sz val="12"/>
      <name val="Sylfaen"/>
      <family val="1"/>
    </font>
    <font>
      <sz val="12"/>
      <name val="AcadMtavr"/>
      <family val="0"/>
    </font>
    <font>
      <i/>
      <sz val="12"/>
      <name val="AcadNusx"/>
      <family val="0"/>
    </font>
    <font>
      <vertAlign val="superscript"/>
      <sz val="11"/>
      <name val="AcadNusx"/>
      <family val="0"/>
    </font>
    <font>
      <b/>
      <u val="single"/>
      <sz val="11"/>
      <name val="AcadNusx"/>
      <family val="0"/>
    </font>
    <font>
      <b/>
      <sz val="11"/>
      <name val="Arial"/>
      <family val="2"/>
    </font>
    <font>
      <b/>
      <sz val="10"/>
      <name val="Calibri"/>
      <family val="2"/>
    </font>
    <font>
      <u val="single"/>
      <sz val="10"/>
      <name val="AcadMtavr"/>
      <family val="0"/>
    </font>
    <font>
      <b/>
      <vertAlign val="superscript"/>
      <sz val="11"/>
      <name val="AcadMtavr"/>
      <family val="0"/>
    </font>
    <font>
      <b/>
      <sz val="9"/>
      <name val="AcadMtavr"/>
      <family val="0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Sylfae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cadNusx"/>
      <family val="0"/>
    </font>
    <font>
      <b/>
      <u val="single"/>
      <sz val="11"/>
      <color indexed="8"/>
      <name val="AcadNusx"/>
      <family val="0"/>
    </font>
    <font>
      <sz val="11"/>
      <color indexed="8"/>
      <name val="AcadNusx"/>
      <family val="0"/>
    </font>
    <font>
      <sz val="10"/>
      <color indexed="10"/>
      <name val="AcadNusx"/>
      <family val="0"/>
    </font>
    <font>
      <sz val="12"/>
      <color indexed="10"/>
      <name val="AcadNusx"/>
      <family val="0"/>
    </font>
    <font>
      <sz val="10"/>
      <color indexed="10"/>
      <name val="AcadMtavr"/>
      <family val="0"/>
    </font>
    <font>
      <sz val="12"/>
      <name val="Arial"/>
      <family val="2"/>
    </font>
    <font>
      <sz val="16"/>
      <name val="AcadNusx"/>
      <family val="0"/>
    </font>
    <font>
      <b/>
      <sz val="16"/>
      <name val="Cambria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Sylfae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Mtavr"/>
      <family val="0"/>
    </font>
    <font>
      <b/>
      <sz val="11"/>
      <color theme="1"/>
      <name val="AcadNusx"/>
      <family val="0"/>
    </font>
    <font>
      <b/>
      <u val="single"/>
      <sz val="11"/>
      <color theme="1"/>
      <name val="AcadNusx"/>
      <family val="0"/>
    </font>
    <font>
      <sz val="11"/>
      <color theme="1"/>
      <name val="AcadNusx"/>
      <family val="0"/>
    </font>
    <font>
      <sz val="10"/>
      <color rgb="FFFF0000"/>
      <name val="AcadNusx"/>
      <family val="0"/>
    </font>
    <font>
      <sz val="12"/>
      <color rgb="FFFF0000"/>
      <name val="AcadNusx"/>
      <family val="0"/>
    </font>
    <font>
      <sz val="10"/>
      <color rgb="FFFF0000"/>
      <name val="AcadMtav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39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9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 wrapText="1"/>
    </xf>
    <xf numFmtId="43" fontId="7" fillId="33" borderId="10" xfId="42" applyFont="1" applyFill="1" applyBorder="1" applyAlignment="1">
      <alignment horizontal="center" vertical="center"/>
    </xf>
    <xf numFmtId="43" fontId="6" fillId="33" borderId="10" xfId="4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1" fontId="18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1" fontId="18" fillId="33" borderId="11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183" fontId="12" fillId="33" borderId="10" xfId="103" applyNumberFormat="1" applyFont="1" applyFill="1" applyBorder="1" applyAlignment="1">
      <alignment horizontal="center" vertical="center" wrapText="1"/>
      <protection/>
    </xf>
    <xf numFmtId="0" fontId="12" fillId="33" borderId="10" xfId="151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 quotePrefix="1">
      <alignment horizontal="center" vertical="center" wrapText="1"/>
    </xf>
    <xf numFmtId="0" fontId="12" fillId="33" borderId="10" xfId="138" applyFont="1" applyFill="1" applyBorder="1" applyAlignment="1">
      <alignment horizontal="center" vertical="center"/>
      <protection/>
    </xf>
    <xf numFmtId="1" fontId="12" fillId="33" borderId="10" xfId="138" applyNumberFormat="1" applyFont="1" applyFill="1" applyBorder="1" applyAlignment="1">
      <alignment horizontal="center" vertical="center"/>
      <protection/>
    </xf>
    <xf numFmtId="183" fontId="12" fillId="33" borderId="10" xfId="82" applyNumberFormat="1" applyFont="1" applyFill="1" applyBorder="1" applyAlignment="1">
      <alignment horizontal="center" vertical="center"/>
      <protection/>
    </xf>
    <xf numFmtId="183" fontId="12" fillId="33" borderId="10" xfId="0" applyNumberFormat="1" applyFont="1" applyFill="1" applyBorder="1" applyAlignment="1">
      <alignment horizontal="center" vertical="center" wrapText="1"/>
    </xf>
    <xf numFmtId="184" fontId="12" fillId="33" borderId="10" xfId="0" applyNumberFormat="1" applyFont="1" applyFill="1" applyBorder="1" applyAlignment="1">
      <alignment horizontal="center" vertical="center"/>
    </xf>
    <xf numFmtId="0" fontId="12" fillId="33" borderId="10" xfId="132" applyFont="1" applyFill="1" applyBorder="1" applyAlignment="1">
      <alignment horizontal="center" vertical="center" wrapText="1"/>
      <protection/>
    </xf>
    <xf numFmtId="0" fontId="12" fillId="33" borderId="10" xfId="92" applyFont="1" applyFill="1" applyBorder="1" applyAlignment="1">
      <alignment horizontal="left" vertical="center" wrapText="1"/>
      <protection/>
    </xf>
    <xf numFmtId="0" fontId="12" fillId="33" borderId="10" xfId="99" applyFont="1" applyFill="1" applyBorder="1" applyAlignment="1">
      <alignment horizontal="left" vertical="center" wrapText="1"/>
      <protection/>
    </xf>
    <xf numFmtId="0" fontId="12" fillId="33" borderId="10" xfId="112" applyFont="1" applyFill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 horizontal="center" vertical="top" wrapText="1"/>
    </xf>
    <xf numFmtId="185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1" fontId="25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 quotePrefix="1">
      <alignment horizontal="center" vertical="top" wrapText="1"/>
    </xf>
    <xf numFmtId="0" fontId="18" fillId="33" borderId="10" xfId="0" applyFont="1" applyFill="1" applyBorder="1" applyAlignment="1" quotePrefix="1">
      <alignment horizontal="center" vertical="center" wrapText="1"/>
    </xf>
    <xf numFmtId="0" fontId="12" fillId="33" borderId="11" xfId="151" applyFont="1" applyFill="1" applyBorder="1" applyAlignment="1">
      <alignment horizontal="center" vertical="center"/>
      <protection/>
    </xf>
    <xf numFmtId="0" fontId="26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181" fontId="12" fillId="33" borderId="11" xfId="0" applyNumberFormat="1" applyFont="1" applyFill="1" applyBorder="1" applyAlignment="1">
      <alignment horizontal="center" vertical="center" wrapText="1"/>
    </xf>
    <xf numFmtId="1" fontId="26" fillId="33" borderId="11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0" fontId="26" fillId="33" borderId="11" xfId="0" applyNumberFormat="1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1" fontId="12" fillId="33" borderId="10" xfId="82" applyNumberFormat="1" applyFont="1" applyFill="1" applyBorder="1" applyAlignment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top" wrapText="1"/>
    </xf>
    <xf numFmtId="0" fontId="28" fillId="33" borderId="0" xfId="0" applyFont="1" applyFill="1" applyBorder="1" applyAlignment="1">
      <alignment/>
    </xf>
    <xf numFmtId="0" fontId="18" fillId="33" borderId="10" xfId="151" applyFont="1" applyFill="1" applyBorder="1" applyAlignment="1">
      <alignment horizontal="center" vertical="center" wrapText="1"/>
      <protection/>
    </xf>
    <xf numFmtId="1" fontId="12" fillId="33" borderId="10" xfId="46" applyNumberFormat="1" applyFont="1" applyFill="1" applyBorder="1" applyAlignment="1">
      <alignment horizontal="center" vertical="center"/>
    </xf>
    <xf numFmtId="43" fontId="12" fillId="33" borderId="10" xfId="46" applyFont="1" applyFill="1" applyBorder="1" applyAlignment="1">
      <alignment horizontal="center" vertical="center"/>
    </xf>
    <xf numFmtId="9" fontId="18" fillId="33" borderId="10" xfId="0" applyNumberFormat="1" applyFont="1" applyFill="1" applyBorder="1" applyAlignment="1">
      <alignment horizontal="center" vertical="center" wrapText="1"/>
    </xf>
    <xf numFmtId="1" fontId="12" fillId="33" borderId="10" xfId="46" applyNumberFormat="1" applyFont="1" applyFill="1" applyBorder="1" applyAlignment="1">
      <alignment horizontal="center" vertical="center" wrapText="1"/>
    </xf>
    <xf numFmtId="43" fontId="12" fillId="33" borderId="10" xfId="46" applyFont="1" applyFill="1" applyBorder="1" applyAlignment="1">
      <alignment horizontal="center" vertical="center" wrapText="1"/>
    </xf>
    <xf numFmtId="1" fontId="12" fillId="33" borderId="0" xfId="0" applyNumberFormat="1" applyFont="1" applyFill="1" applyAlignment="1">
      <alignment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181" fontId="12" fillId="33" borderId="10" xfId="0" applyNumberFormat="1" applyFont="1" applyFill="1" applyBorder="1" applyAlignment="1">
      <alignment horizontal="center" vertical="center"/>
    </xf>
    <xf numFmtId="0" fontId="12" fillId="33" borderId="10" xfId="103" applyFont="1" applyFill="1" applyBorder="1" applyAlignment="1">
      <alignment horizontal="center" vertical="center" wrapText="1"/>
      <protection/>
    </xf>
    <xf numFmtId="0" fontId="12" fillId="33" borderId="10" xfId="103" applyFont="1" applyFill="1" applyBorder="1" applyAlignment="1">
      <alignment vertical="center" wrapText="1"/>
      <protection/>
    </xf>
    <xf numFmtId="0" fontId="12" fillId="33" borderId="10" xfId="103" applyFont="1" applyFill="1" applyBorder="1" applyAlignment="1">
      <alignment horizontal="center" vertical="center"/>
      <protection/>
    </xf>
    <xf numFmtId="0" fontId="18" fillId="33" borderId="10" xfId="103" applyFont="1" applyFill="1" applyBorder="1" applyAlignment="1">
      <alignment horizontal="center" vertical="center"/>
      <protection/>
    </xf>
    <xf numFmtId="0" fontId="12" fillId="33" borderId="10" xfId="152" applyFont="1" applyFill="1" applyBorder="1" applyAlignment="1">
      <alignment horizontal="center" vertical="center"/>
      <protection/>
    </xf>
    <xf numFmtId="0" fontId="1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 quotePrefix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181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top" wrapText="1"/>
    </xf>
    <xf numFmtId="181" fontId="12" fillId="33" borderId="10" xfId="10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182" fontId="12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/>
    </xf>
    <xf numFmtId="181" fontId="26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/>
    </xf>
    <xf numFmtId="2" fontId="12" fillId="33" borderId="10" xfId="138" applyNumberFormat="1" applyFont="1" applyFill="1" applyBorder="1" applyAlignment="1">
      <alignment horizontal="center" vertical="center"/>
      <protection/>
    </xf>
    <xf numFmtId="0" fontId="12" fillId="33" borderId="10" xfId="82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43" fontId="4" fillId="33" borderId="0" xfId="152" applyNumberFormat="1" applyFont="1" applyFill="1" applyAlignment="1">
      <alignment horizontal="center" vertical="center" shrinkToFit="1"/>
      <protection/>
    </xf>
    <xf numFmtId="0" fontId="2" fillId="33" borderId="0" xfId="152" applyFont="1" applyFill="1" applyAlignment="1">
      <alignment horizontal="left" vertical="center" shrinkToFit="1"/>
      <protection/>
    </xf>
    <xf numFmtId="180" fontId="4" fillId="33" borderId="0" xfId="152" applyNumberFormat="1" applyFont="1" applyFill="1" applyAlignment="1">
      <alignment horizontal="center" vertical="center" shrinkToFi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4" fillId="33" borderId="10" xfId="122" applyFont="1" applyFill="1" applyBorder="1" applyAlignment="1">
      <alignment horizontal="left" vertical="center" wrapText="1"/>
      <protection/>
    </xf>
    <xf numFmtId="0" fontId="12" fillId="33" borderId="10" xfId="122" applyFont="1" applyFill="1" applyBorder="1" applyAlignment="1">
      <alignment horizontal="center" vertical="center"/>
      <protection/>
    </xf>
    <xf numFmtId="0" fontId="3" fillId="33" borderId="10" xfId="122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0" xfId="103" applyFont="1" applyFill="1" applyBorder="1" applyAlignment="1">
      <alignment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1" xfId="138" applyFont="1" applyFill="1" applyBorder="1" applyAlignment="1">
      <alignment horizontal="center" vertical="center"/>
      <protection/>
    </xf>
    <xf numFmtId="183" fontId="12" fillId="33" borderId="11" xfId="82" applyNumberFormat="1" applyFont="1" applyFill="1" applyBorder="1" applyAlignment="1">
      <alignment horizontal="center" vertical="center"/>
      <protection/>
    </xf>
    <xf numFmtId="0" fontId="12" fillId="33" borderId="11" xfId="82" applyFont="1" applyFill="1" applyBorder="1" applyAlignment="1">
      <alignment horizontal="center" vertical="center"/>
      <protection/>
    </xf>
    <xf numFmtId="0" fontId="12" fillId="33" borderId="11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vertical="center"/>
    </xf>
    <xf numFmtId="2" fontId="12" fillId="33" borderId="11" xfId="138" applyNumberFormat="1" applyFont="1" applyFill="1" applyBorder="1" applyAlignment="1">
      <alignment horizontal="center" vertical="center"/>
      <protection/>
    </xf>
    <xf numFmtId="2" fontId="26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3" fillId="33" borderId="12" xfId="1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43" fontId="6" fillId="33" borderId="12" xfId="42" applyFont="1" applyFill="1" applyBorder="1" applyAlignment="1">
      <alignment horizontal="center" vertical="center"/>
    </xf>
    <xf numFmtId="0" fontId="4" fillId="33" borderId="10" xfId="152" applyFont="1" applyFill="1" applyBorder="1" applyAlignment="1">
      <alignment horizontal="center" vertical="center"/>
      <protection/>
    </xf>
    <xf numFmtId="0" fontId="3" fillId="33" borderId="10" xfId="152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3" fontId="26" fillId="33" borderId="10" xfId="42" applyFont="1" applyFill="1" applyBorder="1" applyAlignment="1">
      <alignment horizontal="center" vertical="center" wrapText="1"/>
    </xf>
    <xf numFmtId="43" fontId="26" fillId="33" borderId="10" xfId="42" applyFont="1" applyFill="1" applyBorder="1" applyAlignment="1">
      <alignment horizontal="center" vertical="center"/>
    </xf>
    <xf numFmtId="43" fontId="12" fillId="33" borderId="10" xfId="42" applyFont="1" applyFill="1" applyBorder="1" applyAlignment="1">
      <alignment horizontal="center" vertical="center"/>
    </xf>
    <xf numFmtId="43" fontId="12" fillId="33" borderId="10" xfId="42" applyFont="1" applyFill="1" applyBorder="1" applyAlignment="1">
      <alignment horizontal="center" vertical="center" wrapText="1"/>
    </xf>
    <xf numFmtId="0" fontId="18" fillId="33" borderId="0" xfId="152" applyFont="1" applyFill="1" applyAlignment="1">
      <alignment horizontal="center" vertical="center" shrinkToFit="1"/>
      <protection/>
    </xf>
    <xf numFmtId="2" fontId="26" fillId="33" borderId="10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/>
    </xf>
    <xf numFmtId="184" fontId="26" fillId="33" borderId="10" xfId="0" applyNumberFormat="1" applyFont="1" applyFill="1" applyBorder="1" applyAlignment="1">
      <alignment horizontal="center" vertical="center"/>
    </xf>
    <xf numFmtId="43" fontId="3" fillId="33" borderId="10" xfId="42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151" applyFont="1" applyFill="1" applyBorder="1" applyAlignment="1">
      <alignment horizontal="center" vertical="center" shrinkToFit="1"/>
      <protection/>
    </xf>
    <xf numFmtId="43" fontId="4" fillId="33" borderId="10" xfId="42" applyFont="1" applyFill="1" applyBorder="1" applyAlignment="1">
      <alignment horizontal="center" vertical="center" wrapText="1"/>
    </xf>
    <xf numFmtId="0" fontId="21" fillId="0" borderId="0" xfId="152" applyFont="1" applyFill="1" applyBorder="1" applyAlignment="1">
      <alignment vertical="center" wrapText="1" shrinkToFit="1"/>
      <protection/>
    </xf>
    <xf numFmtId="0" fontId="19" fillId="0" borderId="0" xfId="0" applyFont="1" applyFill="1" applyAlignment="1">
      <alignment vertical="center"/>
    </xf>
    <xf numFmtId="0" fontId="21" fillId="0" borderId="0" xfId="122" applyFont="1" applyFill="1">
      <alignment/>
      <protection/>
    </xf>
    <xf numFmtId="0" fontId="19" fillId="0" borderId="0" xfId="122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122" applyFont="1" applyFill="1" applyBorder="1" applyAlignment="1">
      <alignment horizontal="left"/>
      <protection/>
    </xf>
    <xf numFmtId="181" fontId="19" fillId="0" borderId="0" xfId="122" applyNumberFormat="1" applyFont="1" applyFill="1" applyBorder="1">
      <alignment/>
      <protection/>
    </xf>
    <xf numFmtId="0" fontId="19" fillId="0" borderId="0" xfId="122" applyFont="1" applyFill="1">
      <alignment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46" applyNumberFormat="1" applyFont="1" applyFill="1" applyBorder="1" applyAlignment="1">
      <alignment horizontal="center" vertical="center" wrapText="1"/>
    </xf>
    <xf numFmtId="0" fontId="19" fillId="0" borderId="10" xfId="122" applyFont="1" applyFill="1" applyBorder="1" applyAlignment="1">
      <alignment horizontal="center"/>
      <protection/>
    </xf>
    <xf numFmtId="0" fontId="71" fillId="0" borderId="10" xfId="122" applyFont="1" applyFill="1" applyBorder="1" applyAlignment="1">
      <alignment horizontal="center"/>
      <protection/>
    </xf>
    <xf numFmtId="43" fontId="19" fillId="0" borderId="13" xfId="46" applyNumberFormat="1" applyFont="1" applyFill="1" applyBorder="1" applyAlignment="1">
      <alignment horizontal="center"/>
    </xf>
    <xf numFmtId="43" fontId="19" fillId="0" borderId="10" xfId="46" applyNumberFormat="1" applyFont="1" applyFill="1" applyBorder="1" applyAlignment="1">
      <alignment horizontal="center"/>
    </xf>
    <xf numFmtId="43" fontId="19" fillId="0" borderId="10" xfId="46" applyNumberFormat="1" applyFont="1" applyFill="1" applyBorder="1" applyAlignment="1">
      <alignment/>
    </xf>
    <xf numFmtId="43" fontId="19" fillId="0" borderId="14" xfId="46" applyNumberFormat="1" applyFont="1" applyFill="1" applyBorder="1" applyAlignment="1">
      <alignment/>
    </xf>
    <xf numFmtId="0" fontId="19" fillId="0" borderId="10" xfId="122" applyFont="1" applyFill="1" applyBorder="1">
      <alignment/>
      <protection/>
    </xf>
    <xf numFmtId="0" fontId="19" fillId="0" borderId="10" xfId="0" applyFont="1" applyFill="1" applyBorder="1" applyAlignment="1">
      <alignment vertical="center"/>
    </xf>
    <xf numFmtId="43" fontId="19" fillId="0" borderId="10" xfId="46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3" fontId="19" fillId="0" borderId="10" xfId="46" applyNumberFormat="1" applyFont="1" applyFill="1" applyBorder="1" applyAlignment="1">
      <alignment horizontal="center" vertical="center" wrapText="1"/>
    </xf>
    <xf numFmtId="43" fontId="19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198" fontId="19" fillId="0" borderId="0" xfId="46" applyNumberFormat="1" applyFont="1" applyFill="1" applyBorder="1" applyAlignment="1">
      <alignment horizontal="center" vertical="center" wrapText="1"/>
    </xf>
    <xf numFmtId="0" fontId="19" fillId="0" borderId="0" xfId="46" applyNumberFormat="1" applyFont="1" applyFill="1" applyBorder="1" applyAlignment="1">
      <alignment horizontal="center" vertical="center" wrapText="1"/>
    </xf>
    <xf numFmtId="198" fontId="19" fillId="0" borderId="0" xfId="46" applyNumberFormat="1" applyFont="1" applyFill="1" applyBorder="1" applyAlignment="1">
      <alignment vertical="center" wrapText="1"/>
    </xf>
    <xf numFmtId="198" fontId="19" fillId="0" borderId="0" xfId="46" applyNumberFormat="1" applyFont="1" applyFill="1" applyBorder="1" applyAlignment="1">
      <alignment horizontal="left" vertical="center" wrapText="1"/>
    </xf>
    <xf numFmtId="198" fontId="19" fillId="0" borderId="0" xfId="46" applyNumberFormat="1" applyFont="1" applyFill="1" applyBorder="1" applyAlignment="1">
      <alignment vertical="center"/>
    </xf>
    <xf numFmtId="180" fontId="19" fillId="0" borderId="0" xfId="46" applyNumberFormat="1" applyFont="1" applyFill="1" applyBorder="1" applyAlignment="1">
      <alignment horizontal="center" vertical="center" wrapText="1"/>
    </xf>
    <xf numFmtId="180" fontId="19" fillId="0" borderId="0" xfId="46" applyNumberFormat="1" applyFont="1" applyFill="1" applyBorder="1" applyAlignment="1">
      <alignment vertical="center" wrapText="1"/>
    </xf>
    <xf numFmtId="180" fontId="19" fillId="0" borderId="0" xfId="46" applyNumberFormat="1" applyFont="1" applyFill="1" applyBorder="1" applyAlignment="1">
      <alignment horizontal="left" vertical="center" wrapText="1"/>
    </xf>
    <xf numFmtId="180" fontId="19" fillId="0" borderId="0" xfId="46" applyNumberFormat="1" applyFont="1" applyFill="1" applyBorder="1" applyAlignment="1">
      <alignment vertical="center"/>
    </xf>
    <xf numFmtId="10" fontId="19" fillId="0" borderId="0" xfId="0" applyNumberFormat="1" applyFont="1" applyFill="1" applyBorder="1" applyAlignment="1">
      <alignment vertical="center"/>
    </xf>
    <xf numFmtId="9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2" fontId="12" fillId="33" borderId="10" xfId="103" applyNumberFormat="1" applyFont="1" applyFill="1" applyBorder="1" applyAlignment="1">
      <alignment horizontal="center" vertical="center" wrapText="1"/>
      <protection/>
    </xf>
    <xf numFmtId="0" fontId="19" fillId="0" borderId="10" xfId="46" applyNumberFormat="1" applyFont="1" applyFill="1" applyBorder="1" applyAlignment="1">
      <alignment horizontal="center" vertical="center" wrapText="1"/>
    </xf>
    <xf numFmtId="9" fontId="19" fillId="0" borderId="10" xfId="46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/>
    </xf>
    <xf numFmtId="183" fontId="12" fillId="33" borderId="0" xfId="0" applyNumberFormat="1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top" wrapText="1"/>
    </xf>
    <xf numFmtId="185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top" wrapText="1"/>
    </xf>
    <xf numFmtId="0" fontId="26" fillId="33" borderId="10" xfId="0" applyNumberFormat="1" applyFont="1" applyFill="1" applyBorder="1" applyAlignment="1">
      <alignment horizontal="center" vertical="top" wrapText="1"/>
    </xf>
    <xf numFmtId="3" fontId="26" fillId="33" borderId="10" xfId="0" applyNumberFormat="1" applyFont="1" applyFill="1" applyBorder="1" applyAlignment="1">
      <alignment horizontal="center" vertical="top" wrapText="1"/>
    </xf>
    <xf numFmtId="1" fontId="12" fillId="33" borderId="10" xfId="138" applyNumberFormat="1" applyFont="1" applyFill="1" applyBorder="1" applyAlignment="1">
      <alignment vertical="center"/>
      <protection/>
    </xf>
    <xf numFmtId="0" fontId="21" fillId="33" borderId="10" xfId="0" applyFont="1" applyFill="1" applyBorder="1" applyAlignment="1">
      <alignment vertical="center" wrapText="1"/>
    </xf>
    <xf numFmtId="0" fontId="21" fillId="33" borderId="10" xfId="103" applyFont="1" applyFill="1" applyBorder="1" applyAlignment="1">
      <alignment horizontal="center" vertical="center"/>
      <protection/>
    </xf>
    <xf numFmtId="2" fontId="21" fillId="33" borderId="10" xfId="103" applyNumberFormat="1" applyFont="1" applyFill="1" applyBorder="1" applyAlignment="1">
      <alignment horizontal="center" vertical="center" wrapText="1"/>
      <protection/>
    </xf>
    <xf numFmtId="2" fontId="21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1" fontId="12" fillId="33" borderId="10" xfId="101" applyNumberFormat="1" applyFont="1" applyFill="1" applyBorder="1" applyAlignment="1">
      <alignment horizontal="center" vertical="center" wrapText="1"/>
      <protection/>
    </xf>
    <xf numFmtId="1" fontId="12" fillId="33" borderId="10" xfId="136" applyNumberFormat="1" applyFont="1" applyFill="1" applyBorder="1" applyAlignment="1">
      <alignment horizontal="center" vertical="center" wrapText="1"/>
      <protection/>
    </xf>
    <xf numFmtId="192" fontId="12" fillId="33" borderId="10" xfId="42" applyNumberFormat="1" applyFont="1" applyFill="1" applyBorder="1" applyAlignment="1">
      <alignment horizontal="center" vertical="center" wrapText="1"/>
    </xf>
    <xf numFmtId="43" fontId="12" fillId="33" borderId="15" xfId="42" applyFont="1" applyFill="1" applyBorder="1" applyAlignment="1">
      <alignment horizontal="center" vertical="center"/>
    </xf>
    <xf numFmtId="192" fontId="12" fillId="33" borderId="11" xfId="42" applyNumberFormat="1" applyFont="1" applyFill="1" applyBorder="1" applyAlignment="1">
      <alignment horizontal="center" vertical="center"/>
    </xf>
    <xf numFmtId="43" fontId="12" fillId="33" borderId="11" xfId="42" applyFont="1" applyFill="1" applyBorder="1" applyAlignment="1">
      <alignment horizontal="center" vertical="center"/>
    </xf>
    <xf numFmtId="192" fontId="12" fillId="33" borderId="16" xfId="42" applyNumberFormat="1" applyFont="1" applyFill="1" applyBorder="1" applyAlignment="1">
      <alignment horizontal="center" vertical="center"/>
    </xf>
    <xf numFmtId="192" fontId="12" fillId="33" borderId="10" xfId="42" applyNumberFormat="1" applyFont="1" applyFill="1" applyBorder="1" applyAlignment="1">
      <alignment horizontal="center" vertical="center"/>
    </xf>
    <xf numFmtId="43" fontId="12" fillId="33" borderId="0" xfId="42" applyFont="1" applyFill="1" applyAlignment="1">
      <alignment horizontal="center" vertical="center"/>
    </xf>
    <xf numFmtId="192" fontId="26" fillId="33" borderId="17" xfId="42" applyNumberFormat="1" applyFont="1" applyFill="1" applyBorder="1" applyAlignment="1">
      <alignment horizontal="center" vertical="center"/>
    </xf>
    <xf numFmtId="43" fontId="26" fillId="33" borderId="15" xfId="42" applyFont="1" applyFill="1" applyBorder="1" applyAlignment="1">
      <alignment horizontal="center" vertical="center" wrapText="1"/>
    </xf>
    <xf numFmtId="43" fontId="38" fillId="33" borderId="15" xfId="42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37" fillId="0" borderId="14" xfId="46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83" fontId="21" fillId="33" borderId="18" xfId="152" applyNumberFormat="1" applyFont="1" applyFill="1" applyBorder="1" applyAlignment="1">
      <alignment horizontal="center" vertical="center" shrinkToFit="1"/>
      <protection/>
    </xf>
    <xf numFmtId="183" fontId="21" fillId="33" borderId="10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183" fontId="21" fillId="33" borderId="11" xfId="0" applyNumberFormat="1" applyFont="1" applyFill="1" applyBorder="1" applyAlignment="1">
      <alignment horizontal="center" vertical="center"/>
    </xf>
    <xf numFmtId="2" fontId="21" fillId="33" borderId="11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/>
    </xf>
    <xf numFmtId="49" fontId="21" fillId="33" borderId="10" xfId="103" applyNumberFormat="1" applyFont="1" applyFill="1" applyBorder="1" applyAlignment="1">
      <alignment horizontal="center" vertical="center" wrapText="1"/>
      <protection/>
    </xf>
    <xf numFmtId="181" fontId="21" fillId="33" borderId="10" xfId="0" applyNumberFormat="1" applyFont="1" applyFill="1" applyBorder="1" applyAlignment="1">
      <alignment horizontal="center" vertical="center"/>
    </xf>
    <xf numFmtId="0" fontId="21" fillId="33" borderId="10" xfId="103" applyFont="1" applyFill="1" applyBorder="1" applyAlignment="1">
      <alignment vertical="center" wrapText="1"/>
      <protection/>
    </xf>
    <xf numFmtId="184" fontId="21" fillId="33" borderId="10" xfId="0" applyNumberFormat="1" applyFont="1" applyFill="1" applyBorder="1" applyAlignment="1">
      <alignment horizontal="center" vertical="center"/>
    </xf>
    <xf numFmtId="0" fontId="12" fillId="33" borderId="10" xfId="82" applyFont="1" applyFill="1" applyBorder="1" applyAlignment="1">
      <alignment horizontal="center" vertical="center" wrapText="1"/>
      <protection/>
    </xf>
    <xf numFmtId="0" fontId="21" fillId="33" borderId="10" xfId="82" applyFont="1" applyFill="1" applyBorder="1" applyAlignment="1">
      <alignment vertical="center" wrapText="1"/>
      <protection/>
    </xf>
    <xf numFmtId="49" fontId="21" fillId="33" borderId="10" xfId="82" applyNumberFormat="1" applyFont="1" applyFill="1" applyBorder="1" applyAlignment="1">
      <alignment horizontal="center" vertical="center" wrapText="1"/>
      <protection/>
    </xf>
    <xf numFmtId="0" fontId="21" fillId="33" borderId="10" xfId="82" applyFont="1" applyFill="1" applyBorder="1" applyAlignment="1">
      <alignment horizontal="center" vertical="center"/>
      <protection/>
    </xf>
    <xf numFmtId="2" fontId="21" fillId="33" borderId="10" xfId="82" applyNumberFormat="1" applyFont="1" applyFill="1" applyBorder="1" applyAlignment="1">
      <alignment horizontal="center" vertical="center"/>
      <protection/>
    </xf>
    <xf numFmtId="183" fontId="21" fillId="33" borderId="10" xfId="82" applyNumberFormat="1" applyFont="1" applyFill="1" applyBorder="1" applyAlignment="1">
      <alignment horizontal="center" vertical="center"/>
      <protection/>
    </xf>
    <xf numFmtId="0" fontId="21" fillId="33" borderId="10" xfId="82" applyFont="1" applyFill="1" applyBorder="1" applyAlignment="1">
      <alignment horizontal="center" vertical="center" wrapText="1"/>
      <protection/>
    </xf>
    <xf numFmtId="181" fontId="21" fillId="33" borderId="10" xfId="82" applyNumberFormat="1" applyFont="1" applyFill="1" applyBorder="1" applyAlignment="1">
      <alignment horizontal="center" vertical="center"/>
      <protection/>
    </xf>
    <xf numFmtId="0" fontId="101" fillId="33" borderId="10" xfId="0" applyFont="1" applyFill="1" applyBorder="1" applyAlignment="1">
      <alignment horizontal="left" vertical="center" wrapText="1"/>
    </xf>
    <xf numFmtId="2" fontId="21" fillId="33" borderId="10" xfId="82" applyNumberFormat="1" applyFont="1" applyFill="1" applyBorder="1" applyAlignment="1">
      <alignment horizontal="center" vertical="center" wrapText="1"/>
      <protection/>
    </xf>
    <xf numFmtId="183" fontId="21" fillId="33" borderId="10" xfId="82" applyNumberFormat="1" applyFont="1" applyFill="1" applyBorder="1" applyAlignment="1">
      <alignment horizontal="center" vertical="center" wrapText="1"/>
      <protection/>
    </xf>
    <xf numFmtId="182" fontId="21" fillId="33" borderId="10" xfId="0" applyNumberFormat="1" applyFont="1" applyFill="1" applyBorder="1" applyAlignment="1">
      <alignment horizontal="center" vertical="center" wrapText="1"/>
    </xf>
    <xf numFmtId="183" fontId="21" fillId="33" borderId="10" xfId="0" applyNumberFormat="1" applyFont="1" applyFill="1" applyBorder="1" applyAlignment="1">
      <alignment horizontal="center" vertical="center" wrapText="1"/>
    </xf>
    <xf numFmtId="181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/>
    </xf>
    <xf numFmtId="0" fontId="21" fillId="33" borderId="10" xfId="138" applyFont="1" applyFill="1" applyBorder="1" applyAlignment="1">
      <alignment horizontal="center" vertical="center"/>
      <protection/>
    </xf>
    <xf numFmtId="2" fontId="21" fillId="33" borderId="10" xfId="138" applyNumberFormat="1" applyFont="1" applyFill="1" applyBorder="1" applyAlignment="1">
      <alignment horizontal="center" vertical="center"/>
      <protection/>
    </xf>
    <xf numFmtId="181" fontId="21" fillId="33" borderId="10" xfId="103" applyNumberFormat="1" applyFont="1" applyFill="1" applyBorder="1" applyAlignment="1">
      <alignment horizontal="center" vertical="center" wrapText="1"/>
      <protection/>
    </xf>
    <xf numFmtId="0" fontId="22" fillId="33" borderId="10" xfId="152" applyFont="1" applyFill="1" applyBorder="1" applyAlignment="1">
      <alignment horizontal="center" vertical="center"/>
      <protection/>
    </xf>
    <xf numFmtId="0" fontId="21" fillId="33" borderId="10" xfId="0" applyFont="1" applyFill="1" applyBorder="1" applyAlignment="1" quotePrefix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left" vertical="center" wrapText="1"/>
    </xf>
    <xf numFmtId="183" fontId="21" fillId="33" borderId="10" xfId="103" applyNumberFormat="1" applyFont="1" applyFill="1" applyBorder="1" applyAlignment="1">
      <alignment horizontal="center" vertical="center" wrapText="1"/>
      <protection/>
    </xf>
    <xf numFmtId="181" fontId="21" fillId="33" borderId="10" xfId="138" applyNumberFormat="1" applyFont="1" applyFill="1" applyBorder="1" applyAlignment="1">
      <alignment horizontal="center" vertical="center"/>
      <protection/>
    </xf>
    <xf numFmtId="14" fontId="18" fillId="33" borderId="10" xfId="0" applyNumberFormat="1" applyFont="1" applyFill="1" applyBorder="1" applyAlignment="1">
      <alignment horizontal="center" vertical="center" wrapText="1"/>
    </xf>
    <xf numFmtId="0" fontId="4" fillId="33" borderId="10" xfId="103" applyFont="1" applyFill="1" applyBorder="1" applyAlignment="1">
      <alignment horizontal="center" vertical="center"/>
      <protection/>
    </xf>
    <xf numFmtId="0" fontId="13" fillId="33" borderId="10" xfId="103" applyFont="1" applyFill="1" applyBorder="1" applyAlignment="1">
      <alignment horizontal="center" vertical="center"/>
      <protection/>
    </xf>
    <xf numFmtId="1" fontId="21" fillId="33" borderId="10" xfId="0" applyNumberFormat="1" applyFont="1" applyFill="1" applyBorder="1" applyAlignment="1">
      <alignment horizontal="center" vertical="center" wrapText="1"/>
    </xf>
    <xf numFmtId="185" fontId="21" fillId="33" borderId="1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183" fontId="21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 quotePrefix="1">
      <alignment horizontal="center" vertical="top" wrapText="1"/>
    </xf>
    <xf numFmtId="0" fontId="12" fillId="33" borderId="10" xfId="134" applyFont="1" applyFill="1" applyBorder="1" applyAlignment="1">
      <alignment horizontal="center" vertical="center" wrapText="1"/>
      <protection/>
    </xf>
    <xf numFmtId="191" fontId="12" fillId="33" borderId="10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left" vertical="center" wrapText="1"/>
    </xf>
    <xf numFmtId="49" fontId="102" fillId="33" borderId="10" xfId="0" applyNumberFormat="1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/>
    </xf>
    <xf numFmtId="43" fontId="102" fillId="33" borderId="10" xfId="42" applyFont="1" applyFill="1" applyBorder="1" applyAlignment="1">
      <alignment horizontal="center" vertical="center"/>
    </xf>
    <xf numFmtId="194" fontId="102" fillId="33" borderId="10" xfId="42" applyNumberFormat="1" applyFont="1" applyFill="1" applyBorder="1" applyAlignment="1">
      <alignment horizontal="center" vertical="center"/>
    </xf>
    <xf numFmtId="43" fontId="103" fillId="33" borderId="10" xfId="42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left" vertical="center" wrapText="1"/>
    </xf>
    <xf numFmtId="49" fontId="104" fillId="33" borderId="10" xfId="0" applyNumberFormat="1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/>
    </xf>
    <xf numFmtId="195" fontId="104" fillId="33" borderId="10" xfId="42" applyNumberFormat="1" applyFont="1" applyFill="1" applyBorder="1" applyAlignment="1">
      <alignment horizontal="center" vertical="center"/>
    </xf>
    <xf numFmtId="43" fontId="104" fillId="33" borderId="10" xfId="42" applyFont="1" applyFill="1" applyBorder="1" applyAlignment="1">
      <alignment horizontal="center" vertical="center"/>
    </xf>
    <xf numFmtId="43" fontId="19" fillId="33" borderId="10" xfId="42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43" fontId="20" fillId="33" borderId="10" xfId="42" applyFont="1" applyFill="1" applyBorder="1" applyAlignment="1">
      <alignment horizontal="center" vertical="center"/>
    </xf>
    <xf numFmtId="43" fontId="47" fillId="33" borderId="10" xfId="42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81" fontId="19" fillId="33" borderId="10" xfId="0" applyNumberFormat="1" applyFont="1" applyFill="1" applyBorder="1" applyAlignment="1">
      <alignment horizontal="center" vertical="center"/>
    </xf>
    <xf numFmtId="194" fontId="19" fillId="33" borderId="10" xfId="42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183" fontId="19" fillId="33" borderId="10" xfId="0" applyNumberFormat="1" applyFont="1" applyFill="1" applyBorder="1" applyAlignment="1">
      <alignment horizontal="center" vertical="center"/>
    </xf>
    <xf numFmtId="196" fontId="19" fillId="33" borderId="10" xfId="42" applyNumberFormat="1" applyFont="1" applyFill="1" applyBorder="1" applyAlignment="1">
      <alignment horizontal="center" vertical="center"/>
    </xf>
    <xf numFmtId="43" fontId="104" fillId="33" borderId="10" xfId="42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81" fontId="20" fillId="33" borderId="10" xfId="0" applyNumberFormat="1" applyFont="1" applyFill="1" applyBorder="1" applyAlignment="1">
      <alignment horizontal="center" vertical="center"/>
    </xf>
    <xf numFmtId="194" fontId="20" fillId="33" borderId="10" xfId="42" applyNumberFormat="1" applyFont="1" applyFill="1" applyBorder="1" applyAlignment="1">
      <alignment horizontal="center" vertical="center"/>
    </xf>
    <xf numFmtId="43" fontId="48" fillId="33" borderId="10" xfId="42" applyFont="1" applyFill="1" applyBorder="1" applyAlignment="1">
      <alignment horizontal="right" vertical="center"/>
    </xf>
    <xf numFmtId="0" fontId="20" fillId="33" borderId="10" xfId="152" applyFont="1" applyFill="1" applyBorder="1" applyAlignment="1">
      <alignment horizontal="center" vertical="center"/>
      <protection/>
    </xf>
    <xf numFmtId="0" fontId="20" fillId="33" borderId="10" xfId="152" applyFont="1" applyFill="1" applyBorder="1" applyAlignment="1">
      <alignment horizontal="center" vertical="center" wrapText="1"/>
      <protection/>
    </xf>
    <xf numFmtId="1" fontId="20" fillId="33" borderId="10" xfId="47" applyNumberFormat="1" applyFont="1" applyFill="1" applyBorder="1" applyAlignment="1">
      <alignment horizontal="center" vertical="center"/>
    </xf>
    <xf numFmtId="187" fontId="20" fillId="33" borderId="10" xfId="47" applyFont="1" applyFill="1" applyBorder="1" applyAlignment="1">
      <alignment horizontal="center" vertical="center"/>
    </xf>
    <xf numFmtId="0" fontId="21" fillId="33" borderId="10" xfId="152" applyFont="1" applyFill="1" applyBorder="1" applyAlignment="1">
      <alignment horizontal="center" vertical="center" wrapText="1"/>
      <protection/>
    </xf>
    <xf numFmtId="0" fontId="21" fillId="33" borderId="10" xfId="152" applyFont="1" applyFill="1" applyBorder="1" applyAlignment="1">
      <alignment horizontal="center" vertical="center"/>
      <protection/>
    </xf>
    <xf numFmtId="1" fontId="21" fillId="33" borderId="10" xfId="47" applyNumberFormat="1" applyFont="1" applyFill="1" applyBorder="1" applyAlignment="1">
      <alignment horizontal="center" vertical="center"/>
    </xf>
    <xf numFmtId="187" fontId="21" fillId="33" borderId="10" xfId="47" applyFont="1" applyFill="1" applyBorder="1" applyAlignment="1">
      <alignment horizontal="center" vertical="center"/>
    </xf>
    <xf numFmtId="183" fontId="21" fillId="33" borderId="10" xfId="47" applyNumberFormat="1" applyFont="1" applyFill="1" applyBorder="1" applyAlignment="1">
      <alignment horizontal="center" vertical="center"/>
    </xf>
    <xf numFmtId="3" fontId="21" fillId="33" borderId="10" xfId="47" applyNumberFormat="1" applyFont="1" applyFill="1" applyBorder="1" applyAlignment="1">
      <alignment horizontal="center" vertical="center"/>
    </xf>
    <xf numFmtId="9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47" applyNumberFormat="1" applyFont="1" applyFill="1" applyBorder="1" applyAlignment="1">
      <alignment horizontal="center" vertical="center" wrapText="1"/>
    </xf>
    <xf numFmtId="187" fontId="21" fillId="33" borderId="10" xfId="47" applyFont="1" applyFill="1" applyBorder="1" applyAlignment="1">
      <alignment horizontal="center" vertical="center" wrapText="1"/>
    </xf>
    <xf numFmtId="183" fontId="21" fillId="33" borderId="10" xfId="47" applyNumberFormat="1" applyFont="1" applyFill="1" applyBorder="1" applyAlignment="1">
      <alignment horizontal="center" vertical="center" wrapText="1"/>
    </xf>
    <xf numFmtId="3" fontId="21" fillId="33" borderId="10" xfId="47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/>
    </xf>
    <xf numFmtId="0" fontId="4" fillId="33" borderId="0" xfId="152" applyFont="1" applyFill="1" applyAlignment="1">
      <alignment horizontal="center" vertical="center" shrinkToFit="1"/>
      <protection/>
    </xf>
    <xf numFmtId="49" fontId="4" fillId="33" borderId="14" xfId="0" applyNumberFormat="1" applyFont="1" applyFill="1" applyBorder="1" applyAlignment="1">
      <alignment horizontal="center" vertical="center" wrapText="1"/>
    </xf>
    <xf numFmtId="43" fontId="4" fillId="33" borderId="10" xfId="42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43" fontId="4" fillId="33" borderId="10" xfId="42" applyFont="1" applyFill="1" applyBorder="1" applyAlignment="1">
      <alignment horizontal="center" vertical="top" wrapText="1"/>
    </xf>
    <xf numFmtId="43" fontId="3" fillId="33" borderId="10" xfId="42" applyFont="1" applyFill="1" applyBorder="1" applyAlignment="1">
      <alignment horizontal="center" vertical="center" wrapText="1"/>
    </xf>
    <xf numFmtId="43" fontId="3" fillId="33" borderId="10" xfId="42" applyFont="1" applyFill="1" applyBorder="1" applyAlignment="1">
      <alignment horizontal="left" vertical="top" wrapText="1"/>
    </xf>
    <xf numFmtId="43" fontId="6" fillId="33" borderId="10" xfId="42" applyFont="1" applyFill="1" applyBorder="1" applyAlignment="1">
      <alignment horizontal="left" vertical="top" wrapText="1"/>
    </xf>
    <xf numFmtId="43" fontId="3" fillId="33" borderId="10" xfId="42" applyFont="1" applyFill="1" applyBorder="1" applyAlignment="1">
      <alignment horizontal="center" vertical="top" wrapText="1"/>
    </xf>
    <xf numFmtId="0" fontId="4" fillId="33" borderId="10" xfId="122" applyFont="1" applyFill="1" applyBorder="1" applyAlignment="1">
      <alignment vertical="center" wrapText="1"/>
      <protection/>
    </xf>
    <xf numFmtId="0" fontId="4" fillId="33" borderId="19" xfId="152" applyFont="1" applyFill="1" applyBorder="1" applyAlignment="1">
      <alignment horizontal="center" vertical="center"/>
      <protection/>
    </xf>
    <xf numFmtId="0" fontId="4" fillId="33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43" fontId="4" fillId="33" borderId="19" xfId="42" applyFont="1" applyFill="1" applyBorder="1" applyAlignment="1">
      <alignment horizontal="center" vertical="center" wrapText="1"/>
    </xf>
    <xf numFmtId="43" fontId="7" fillId="33" borderId="19" xfId="42" applyFont="1" applyFill="1" applyBorder="1" applyAlignment="1">
      <alignment horizontal="center" vertical="center"/>
    </xf>
    <xf numFmtId="0" fontId="4" fillId="33" borderId="12" xfId="152" applyFont="1" applyFill="1" applyBorder="1" applyAlignment="1">
      <alignment horizontal="center" vertical="center"/>
      <protection/>
    </xf>
    <xf numFmtId="43" fontId="3" fillId="33" borderId="12" xfId="42" applyFont="1" applyFill="1" applyBorder="1" applyAlignment="1">
      <alignment horizontal="center" vertical="center" wrapText="1"/>
    </xf>
    <xf numFmtId="0" fontId="10" fillId="33" borderId="10" xfId="152" applyFont="1" applyFill="1" applyBorder="1" applyAlignment="1">
      <alignment horizontal="center" vertical="center" shrinkToFit="1"/>
      <protection/>
    </xf>
    <xf numFmtId="0" fontId="15" fillId="33" borderId="10" xfId="152" applyFont="1" applyFill="1" applyBorder="1" applyAlignment="1">
      <alignment horizontal="center" vertical="top" shrinkToFit="1"/>
      <protection/>
    </xf>
    <xf numFmtId="0" fontId="2" fillId="33" borderId="10" xfId="152" applyFont="1" applyFill="1" applyBorder="1" applyAlignment="1">
      <alignment horizontal="right" vertical="center" shrinkToFit="1"/>
      <protection/>
    </xf>
    <xf numFmtId="43" fontId="4" fillId="33" borderId="10" xfId="152" applyNumberFormat="1" applyFont="1" applyFill="1" applyBorder="1" applyAlignment="1">
      <alignment horizontal="center" vertical="center" shrinkToFit="1"/>
      <protection/>
    </xf>
    <xf numFmtId="0" fontId="2" fillId="33" borderId="10" xfId="152" applyFont="1" applyFill="1" applyBorder="1" applyAlignment="1">
      <alignment horizontal="left" vertical="center" shrinkToFit="1"/>
      <protection/>
    </xf>
    <xf numFmtId="0" fontId="52" fillId="33" borderId="10" xfId="0" applyFont="1" applyFill="1" applyBorder="1" applyAlignment="1">
      <alignment horizontal="center" vertical="center" wrapText="1"/>
    </xf>
    <xf numFmtId="0" fontId="3" fillId="33" borderId="10" xfId="122" applyFont="1" applyFill="1" applyBorder="1" applyAlignment="1">
      <alignment vertical="center" wrapText="1"/>
      <protection/>
    </xf>
    <xf numFmtId="0" fontId="4" fillId="33" borderId="20" xfId="152" applyFont="1" applyFill="1" applyBorder="1" applyAlignment="1">
      <alignment horizontal="center" vertical="center"/>
      <protection/>
    </xf>
    <xf numFmtId="180" fontId="4" fillId="33" borderId="10" xfId="152" applyNumberFormat="1" applyFont="1" applyFill="1" applyBorder="1" applyAlignment="1">
      <alignment horizontal="center" vertical="center" shrinkToFit="1"/>
      <protection/>
    </xf>
    <xf numFmtId="0" fontId="21" fillId="0" borderId="0" xfId="152" applyFont="1" applyFill="1" applyBorder="1" applyAlignment="1">
      <alignment horizontal="center" vertical="center" wrapText="1" shrinkToFit="1"/>
      <protection/>
    </xf>
    <xf numFmtId="0" fontId="1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1" fillId="33" borderId="0" xfId="152" applyFont="1" applyFill="1" applyAlignment="1">
      <alignment horizontal="center" vertical="center" wrapText="1" shrinkToFit="1"/>
      <protection/>
    </xf>
    <xf numFmtId="0" fontId="21" fillId="33" borderId="18" xfId="152" applyFont="1" applyFill="1" applyBorder="1" applyAlignment="1">
      <alignment horizontal="center" vertical="center" shrinkToFi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151" applyFont="1" applyFill="1" applyBorder="1" applyAlignment="1">
      <alignment horizontal="center" vertical="center" shrinkToFi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49" fontId="12" fillId="33" borderId="10" xfId="103" applyNumberFormat="1" applyFont="1" applyFill="1" applyBorder="1" applyAlignment="1">
      <alignment horizontal="center" vertical="center" wrapText="1"/>
      <protection/>
    </xf>
    <xf numFmtId="0" fontId="32" fillId="33" borderId="10" xfId="103" applyNumberFormat="1" applyFont="1" applyFill="1" applyBorder="1" applyAlignment="1">
      <alignment horizontal="center" vertical="center" wrapText="1"/>
      <protection/>
    </xf>
    <xf numFmtId="0" fontId="26" fillId="33" borderId="10" xfId="103" applyFont="1" applyFill="1" applyBorder="1" applyAlignment="1">
      <alignment horizontal="center" vertical="center"/>
      <protection/>
    </xf>
    <xf numFmtId="2" fontId="26" fillId="33" borderId="10" xfId="103" applyNumberFormat="1" applyFont="1" applyFill="1" applyBorder="1" applyAlignment="1">
      <alignment horizontal="center" vertical="center" wrapText="1"/>
      <protection/>
    </xf>
    <xf numFmtId="0" fontId="53" fillId="33" borderId="10" xfId="103" applyNumberFormat="1" applyFont="1" applyFill="1" applyBorder="1" applyAlignment="1">
      <alignment horizontal="center" vertical="center" wrapText="1"/>
      <protection/>
    </xf>
    <xf numFmtId="0" fontId="12" fillId="33" borderId="10" xfId="151" applyFont="1" applyFill="1" applyBorder="1" applyAlignment="1">
      <alignment horizontal="center" vertical="center" wrapText="1"/>
      <protection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103" applyNumberFormat="1" applyFont="1" applyFill="1" applyBorder="1" applyAlignment="1">
      <alignment horizontal="center" vertical="center" wrapText="1"/>
      <protection/>
    </xf>
    <xf numFmtId="43" fontId="105" fillId="33" borderId="10" xfId="42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 horizontal="left" vertical="center" wrapText="1"/>
    </xf>
    <xf numFmtId="0" fontId="107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/>
    </xf>
    <xf numFmtId="2" fontId="12" fillId="33" borderId="10" xfId="103" applyNumberFormat="1" applyFont="1" applyFill="1" applyBorder="1" applyAlignment="1">
      <alignment horizontal="center" vertical="center"/>
      <protection/>
    </xf>
    <xf numFmtId="0" fontId="32" fillId="33" borderId="10" xfId="103" applyNumberFormat="1" applyFont="1" applyFill="1" applyBorder="1" applyAlignment="1">
      <alignment horizontal="center" vertical="center" wrapText="1"/>
      <protection/>
    </xf>
    <xf numFmtId="2" fontId="12" fillId="33" borderId="10" xfId="94" applyNumberFormat="1" applyFont="1" applyFill="1" applyBorder="1" applyAlignment="1">
      <alignment horizontal="center" vertical="center" wrapText="1"/>
      <protection/>
    </xf>
    <xf numFmtId="2" fontId="12" fillId="33" borderId="10" xfId="110" applyNumberFormat="1" applyFont="1" applyFill="1" applyBorder="1" applyAlignment="1">
      <alignment horizontal="center" vertical="center" wrapText="1"/>
      <protection/>
    </xf>
    <xf numFmtId="2" fontId="12" fillId="33" borderId="10" xfId="84" applyNumberFormat="1" applyFont="1" applyFill="1" applyBorder="1" applyAlignment="1">
      <alignment horizontal="center" vertical="center" wrapText="1"/>
      <protection/>
    </xf>
    <xf numFmtId="49" fontId="26" fillId="33" borderId="10" xfId="0" applyNumberFormat="1" applyFont="1" applyFill="1" applyBorder="1" applyAlignment="1">
      <alignment horizontal="center" vertical="center" wrapText="1"/>
    </xf>
    <xf numFmtId="49" fontId="26" fillId="33" borderId="10" xfId="103" applyNumberFormat="1" applyFont="1" applyFill="1" applyBorder="1" applyAlignment="1">
      <alignment horizontal="center" vertical="center" wrapText="1"/>
      <protection/>
    </xf>
    <xf numFmtId="0" fontId="19" fillId="33" borderId="0" xfId="0" applyFont="1" applyFill="1" applyAlignment="1">
      <alignment vertical="center"/>
    </xf>
    <xf numFmtId="49" fontId="18" fillId="33" borderId="10" xfId="103" applyNumberFormat="1" applyFont="1" applyFill="1" applyBorder="1" applyAlignment="1">
      <alignment horizontal="center" vertical="center" wrapText="1"/>
      <protection/>
    </xf>
    <xf numFmtId="43" fontId="0" fillId="33" borderId="0" xfId="0" applyNumberFormat="1" applyFont="1" applyFill="1" applyAlignment="1">
      <alignment/>
    </xf>
    <xf numFmtId="49" fontId="21" fillId="33" borderId="10" xfId="0" applyNumberFormat="1" applyFont="1" applyFill="1" applyBorder="1" applyAlignment="1">
      <alignment horizontal="center" vertical="center" wrapText="1"/>
    </xf>
    <xf numFmtId="49" fontId="12" fillId="33" borderId="10" xfId="82" applyNumberFormat="1" applyFont="1" applyFill="1" applyBorder="1" applyAlignment="1">
      <alignment horizontal="center" vertical="center" wrapText="1"/>
      <protection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49" fontId="19" fillId="33" borderId="10" xfId="82" applyNumberFormat="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 quotePrefix="1">
      <alignment horizontal="center" vertical="top" wrapText="1"/>
    </xf>
    <xf numFmtId="2" fontId="12" fillId="33" borderId="10" xfId="120" applyNumberFormat="1" applyFont="1" applyFill="1" applyBorder="1" applyAlignment="1">
      <alignment horizontal="center" vertical="center" wrapText="1"/>
      <protection/>
    </xf>
    <xf numFmtId="14" fontId="2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152" applyFont="1" applyFill="1" applyAlignment="1">
      <alignment horizontal="center" vertical="center" shrinkToFit="1"/>
      <protection/>
    </xf>
    <xf numFmtId="0" fontId="19" fillId="33" borderId="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79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49" fontId="13" fillId="33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152" applyFont="1" applyFill="1" applyBorder="1" applyAlignment="1">
      <alignment horizontal="center" vertical="center" wrapText="1" shrinkToFit="1"/>
      <protection/>
    </xf>
    <xf numFmtId="0" fontId="27" fillId="0" borderId="0" xfId="122" applyFont="1" applyFill="1" applyAlignment="1">
      <alignment horizontal="center"/>
      <protection/>
    </xf>
    <xf numFmtId="0" fontId="12" fillId="0" borderId="0" xfId="122" applyFont="1" applyFill="1" applyBorder="1" applyAlignment="1">
      <alignment horizontal="left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0" xfId="151" applyFont="1" applyFill="1" applyBorder="1" applyAlignment="1">
      <alignment horizontal="center" vertical="center" shrinkToFit="1"/>
      <protection/>
    </xf>
    <xf numFmtId="0" fontId="3" fillId="33" borderId="0" xfId="151" applyFont="1" applyFill="1" applyBorder="1" applyAlignment="1">
      <alignment horizontal="center" vertical="center" shrinkToFit="1"/>
      <protection/>
    </xf>
    <xf numFmtId="0" fontId="10" fillId="33" borderId="0" xfId="151" applyFont="1" applyFill="1" applyBorder="1" applyAlignment="1">
      <alignment horizontal="center" vertical="center" shrinkToFit="1"/>
      <protection/>
    </xf>
    <xf numFmtId="0" fontId="14" fillId="33" borderId="0" xfId="151" applyFont="1" applyFill="1" applyBorder="1" applyAlignment="1">
      <alignment horizontal="center" vertical="center" shrinkToFi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192" fontId="26" fillId="33" borderId="11" xfId="42" applyNumberFormat="1" applyFont="1" applyFill="1" applyBorder="1" applyAlignment="1">
      <alignment horizontal="center" vertical="center" wrapText="1"/>
    </xf>
    <xf numFmtId="192" fontId="26" fillId="33" borderId="15" xfId="42" applyNumberFormat="1" applyFont="1" applyFill="1" applyBorder="1" applyAlignment="1">
      <alignment horizontal="center" vertical="center" wrapText="1"/>
    </xf>
    <xf numFmtId="192" fontId="26" fillId="33" borderId="12" xfId="42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0" xfId="152" applyFont="1" applyFill="1" applyAlignment="1">
      <alignment horizontal="center" vertical="center" shrinkToFit="1"/>
      <protection/>
    </xf>
    <xf numFmtId="0" fontId="21" fillId="33" borderId="0" xfId="152" applyFont="1" applyFill="1" applyAlignment="1">
      <alignment horizontal="center" vertical="center" wrapText="1" shrinkToFit="1"/>
      <protection/>
    </xf>
    <xf numFmtId="0" fontId="21" fillId="33" borderId="18" xfId="152" applyFont="1" applyFill="1" applyBorder="1" applyAlignment="1">
      <alignment horizontal="center" vertical="center" shrinkToFit="1"/>
      <protection/>
    </xf>
    <xf numFmtId="0" fontId="21" fillId="33" borderId="21" xfId="152" applyFont="1" applyFill="1" applyBorder="1" applyAlignment="1">
      <alignment horizontal="center" vertical="center" shrinkToFi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/>
    </xf>
    <xf numFmtId="0" fontId="10" fillId="33" borderId="0" xfId="152" applyFont="1" applyFill="1" applyAlignment="1">
      <alignment horizontal="center" vertical="center" shrinkToFit="1"/>
      <protection/>
    </xf>
    <xf numFmtId="0" fontId="11" fillId="33" borderId="0" xfId="152" applyFont="1" applyFill="1" applyAlignment="1">
      <alignment horizontal="center" vertical="center" shrinkToFit="1"/>
      <protection/>
    </xf>
    <xf numFmtId="0" fontId="14" fillId="33" borderId="0" xfId="152" applyFont="1" applyFill="1" applyAlignment="1">
      <alignment horizontal="center" vertical="center" shrinkToFit="1"/>
      <protection/>
    </xf>
    <xf numFmtId="0" fontId="2" fillId="33" borderId="0" xfId="152" applyFont="1" applyFill="1" applyAlignment="1">
      <alignment horizontal="right" vertical="center" shrinkToFit="1"/>
      <protection/>
    </xf>
    <xf numFmtId="0" fontId="15" fillId="33" borderId="0" xfId="152" applyFont="1" applyFill="1" applyAlignment="1">
      <alignment horizontal="center" vertical="top" shrinkToFi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4" fillId="33" borderId="0" xfId="152" applyFont="1" applyFill="1" applyAlignment="1">
      <alignment horizontal="center" vertical="center" shrinkToFit="1"/>
      <protection/>
    </xf>
    <xf numFmtId="0" fontId="78" fillId="0" borderId="0" xfId="0" applyFont="1" applyAlignment="1">
      <alignment horizontal="center" vertical="center" wrapText="1"/>
    </xf>
    <xf numFmtId="0" fontId="78" fillId="33" borderId="0" xfId="0" applyFont="1" applyFill="1" applyAlignment="1">
      <alignment/>
    </xf>
    <xf numFmtId="0" fontId="78" fillId="0" borderId="0" xfId="0" applyFont="1" applyAlignment="1">
      <alignment horizontal="left" vertical="center" wrapText="1"/>
    </xf>
    <xf numFmtId="0" fontId="78" fillId="33" borderId="0" xfId="0" applyFont="1" applyFill="1" applyAlignment="1">
      <alignment horizontal="center"/>
    </xf>
    <xf numFmtId="0" fontId="78" fillId="33" borderId="0" xfId="0" applyFont="1" applyFill="1" applyAlignment="1">
      <alignment wrapText="1"/>
    </xf>
    <xf numFmtId="0" fontId="35" fillId="33" borderId="0" xfId="152" applyFont="1" applyFill="1" applyAlignment="1">
      <alignment horizontal="center" vertical="center" wrapText="1" shrinkToFit="1"/>
      <protection/>
    </xf>
    <xf numFmtId="0" fontId="35" fillId="33" borderId="0" xfId="152" applyFont="1" applyFill="1" applyAlignment="1">
      <alignment horizontal="center" vertical="center" wrapText="1" shrinkToFit="1"/>
      <protection/>
    </xf>
    <xf numFmtId="0" fontId="79" fillId="33" borderId="0" xfId="152" applyFont="1" applyFill="1" applyAlignment="1">
      <alignment horizontal="center" vertical="center" shrinkToFit="1"/>
      <protection/>
    </xf>
    <xf numFmtId="0" fontId="79" fillId="33" borderId="18" xfId="0" applyFont="1" applyFill="1" applyBorder="1" applyAlignment="1">
      <alignment horizontal="right" vertical="center"/>
    </xf>
    <xf numFmtId="0" fontId="79" fillId="33" borderId="0" xfId="152" applyFont="1" applyFill="1" applyAlignment="1">
      <alignment horizontal="center" vertical="center" wrapText="1" shrinkToFit="1"/>
      <protection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2" fontId="79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1" fontId="79" fillId="33" borderId="10" xfId="0" applyNumberFormat="1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vertical="center" wrapText="1"/>
    </xf>
    <xf numFmtId="0" fontId="35" fillId="33" borderId="11" xfId="0" applyFont="1" applyFill="1" applyBorder="1" applyAlignment="1" quotePrefix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180" fontId="35" fillId="33" borderId="10" xfId="42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43" fontId="79" fillId="33" borderId="10" xfId="42" applyFont="1" applyFill="1" applyBorder="1" applyAlignment="1">
      <alignment horizontal="center" vertical="center"/>
    </xf>
    <xf numFmtId="0" fontId="35" fillId="33" borderId="10" xfId="152" applyFont="1" applyFill="1" applyBorder="1" applyAlignment="1">
      <alignment horizontal="center" vertical="center"/>
      <protection/>
    </xf>
    <xf numFmtId="183" fontId="79" fillId="33" borderId="10" xfId="0" applyNumberFormat="1" applyFont="1" applyFill="1" applyBorder="1" applyAlignment="1">
      <alignment horizontal="center" vertical="center" wrapText="1"/>
    </xf>
    <xf numFmtId="2" fontId="79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81" fillId="33" borderId="10" xfId="0" applyFont="1" applyFill="1" applyBorder="1" applyAlignment="1">
      <alignment horizontal="center" vertical="center" wrapText="1"/>
    </xf>
    <xf numFmtId="2" fontId="81" fillId="33" borderId="10" xfId="0" applyNumberFormat="1" applyFont="1" applyFill="1" applyBorder="1" applyAlignment="1">
      <alignment horizontal="center" vertical="center" wrapText="1"/>
    </xf>
    <xf numFmtId="9" fontId="79" fillId="33" borderId="10" xfId="0" applyNumberFormat="1" applyFont="1" applyFill="1" applyBorder="1" applyAlignment="1" quotePrefix="1">
      <alignment horizontal="center" vertical="center" wrapText="1"/>
    </xf>
    <xf numFmtId="9" fontId="79" fillId="33" borderId="10" xfId="0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2" fontId="82" fillId="33" borderId="10" xfId="0" applyNumberFormat="1" applyFont="1" applyFill="1" applyBorder="1" applyAlignment="1">
      <alignment horizontal="center" vertical="center" wrapText="1"/>
    </xf>
    <xf numFmtId="1" fontId="81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 wrapText="1"/>
    </xf>
    <xf numFmtId="9" fontId="79" fillId="33" borderId="10" xfId="0" applyNumberFormat="1" applyFont="1" applyFill="1" applyBorder="1" applyAlignment="1">
      <alignment horizontal="center" vertical="center" wrapText="1"/>
    </xf>
    <xf numFmtId="1" fontId="82" fillId="33" borderId="10" xfId="0" applyNumberFormat="1" applyFont="1" applyFill="1" applyBorder="1" applyAlignment="1">
      <alignment horizontal="center" vertical="center" wrapText="1"/>
    </xf>
    <xf numFmtId="0" fontId="79" fillId="33" borderId="0" xfId="0" applyFont="1" applyFill="1" applyAlignment="1">
      <alignment/>
    </xf>
    <xf numFmtId="0" fontId="79" fillId="33" borderId="0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2" xfId="46"/>
    <cellStyle name="Comma 2 2" xfId="47"/>
    <cellStyle name="Comma 2 3" xfId="48"/>
    <cellStyle name="Comma 2 4" xfId="49"/>
    <cellStyle name="Comma 3" xfId="50"/>
    <cellStyle name="Comma 3 2" xfId="51"/>
    <cellStyle name="Comma 3 2 2" xfId="52"/>
    <cellStyle name="Comma 3 2 3" xfId="53"/>
    <cellStyle name="Comma 3 2 3 2" xfId="54"/>
    <cellStyle name="Comma 3 2 4" xfId="55"/>
    <cellStyle name="Comma 3 3" xfId="56"/>
    <cellStyle name="Comma 3 4" xfId="57"/>
    <cellStyle name="Comma 3 4 2" xfId="58"/>
    <cellStyle name="Comma 3 5" xfId="59"/>
    <cellStyle name="Comma 4" xfId="60"/>
    <cellStyle name="Comma 4 2" xfId="61"/>
    <cellStyle name="Comma 4 3" xfId="62"/>
    <cellStyle name="Comma 5" xfId="63"/>
    <cellStyle name="Comma 5 2" xfId="64"/>
    <cellStyle name="Comma 51 4" xfId="65"/>
    <cellStyle name="Comma 6" xfId="66"/>
    <cellStyle name="Comma 6 2" xfId="67"/>
    <cellStyle name="Comma 7" xfId="68"/>
    <cellStyle name="Comma 8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 2 2" xfId="83"/>
    <cellStyle name="Normal 12" xfId="84"/>
    <cellStyle name="Normal 12 2" xfId="85"/>
    <cellStyle name="Normal 13 3 3" xfId="86"/>
    <cellStyle name="Normal 14" xfId="87"/>
    <cellStyle name="Normal 14 2" xfId="88"/>
    <cellStyle name="Normal 14 3" xfId="89"/>
    <cellStyle name="Normal 14 3 2" xfId="90"/>
    <cellStyle name="Normal 14_axalqalaqis skola " xfId="91"/>
    <cellStyle name="Normal 15" xfId="92"/>
    <cellStyle name="Normal 15 2" xfId="93"/>
    <cellStyle name="Normal 16" xfId="94"/>
    <cellStyle name="Normal 16 2" xfId="95"/>
    <cellStyle name="Normal 16_axalqalaqis skola " xfId="96"/>
    <cellStyle name="Normal 17" xfId="97"/>
    <cellStyle name="Normal 17 2" xfId="98"/>
    <cellStyle name="Normal 18" xfId="99"/>
    <cellStyle name="Normal 18 2" xfId="100"/>
    <cellStyle name="Normal 19" xfId="101"/>
    <cellStyle name="Normal 19 2" xfId="102"/>
    <cellStyle name="Normal 2" xfId="103"/>
    <cellStyle name="Normal 2 10" xfId="104"/>
    <cellStyle name="Normal 2 2" xfId="105"/>
    <cellStyle name="Normal 2 2 2" xfId="106"/>
    <cellStyle name="Normal 2 2_MCXETA yazarma- Copy" xfId="107"/>
    <cellStyle name="Normal 2 3" xfId="108"/>
    <cellStyle name="Normal 2_---SUL--- GORI-HOSPITALI-BOLO" xfId="109"/>
    <cellStyle name="Normal 20" xfId="110"/>
    <cellStyle name="Normal 20 2" xfId="111"/>
    <cellStyle name="Normal 21" xfId="112"/>
    <cellStyle name="Normal 21 2" xfId="113"/>
    <cellStyle name="Normal 22" xfId="114"/>
    <cellStyle name="Normal 22 2" xfId="115"/>
    <cellStyle name="Normal 23" xfId="116"/>
    <cellStyle name="Normal 23 2" xfId="117"/>
    <cellStyle name="Normal 24" xfId="118"/>
    <cellStyle name="Normal 24 2" xfId="119"/>
    <cellStyle name="Normal 25" xfId="120"/>
    <cellStyle name="Normal 25 2" xfId="121"/>
    <cellStyle name="Normal 3" xfId="122"/>
    <cellStyle name="Normal 3 2" xfId="123"/>
    <cellStyle name="Normal 35 2" xfId="124"/>
    <cellStyle name="Normal 36 2 2 2 2 3 2" xfId="125"/>
    <cellStyle name="Normal 38 3" xfId="126"/>
    <cellStyle name="Normal 4" xfId="127"/>
    <cellStyle name="Normal 51" xfId="128"/>
    <cellStyle name="Normal 53" xfId="129"/>
    <cellStyle name="Normal 6" xfId="130"/>
    <cellStyle name="Normal 6 2" xfId="131"/>
    <cellStyle name="Normal 7" xfId="132"/>
    <cellStyle name="Normal 7 2" xfId="133"/>
    <cellStyle name="Normal 7 3" xfId="134"/>
    <cellStyle name="Normal 8" xfId="135"/>
    <cellStyle name="Normal 9" xfId="136"/>
    <cellStyle name="Normal 9 2" xfId="137"/>
    <cellStyle name="Normal_gare wyalsadfenigagarini 2 2" xfId="138"/>
    <cellStyle name="Note" xfId="139"/>
    <cellStyle name="Output" xfId="140"/>
    <cellStyle name="Percent" xfId="141"/>
    <cellStyle name="Style 1" xfId="142"/>
    <cellStyle name="Title" xfId="143"/>
    <cellStyle name="Total" xfId="144"/>
    <cellStyle name="Warning Text" xfId="145"/>
    <cellStyle name="Обычный 2" xfId="146"/>
    <cellStyle name="Обычный 2 2" xfId="147"/>
    <cellStyle name="Обычный 3" xfId="148"/>
    <cellStyle name="Обычный 4 3" xfId="149"/>
    <cellStyle name="Обычный_SAN2008-I" xfId="150"/>
    <cellStyle name="Обычный_Лист1" xfId="151"/>
    <cellStyle name="Обычный_Лист1 2" xfId="152"/>
    <cellStyle name="Финансовый 2" xfId="153"/>
    <cellStyle name="Финансовый 2 2" xfId="154"/>
    <cellStyle name="Финансовый 2 3" xfId="155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</xdr:row>
      <xdr:rowOff>0</xdr:rowOff>
    </xdr:from>
    <xdr:ext cx="76200" cy="533400"/>
    <xdr:sp fLocksText="0">
      <xdr:nvSpPr>
        <xdr:cNvPr id="1" name="Text Box 65"/>
        <xdr:cNvSpPr txBox="1">
          <a:spLocks noChangeArrowheads="1"/>
        </xdr:cNvSpPr>
      </xdr:nvSpPr>
      <xdr:spPr>
        <a:xfrm>
          <a:off x="4486275" y="23526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533400"/>
    <xdr:sp fLocksText="0">
      <xdr:nvSpPr>
        <xdr:cNvPr id="2" name="Text Box 91"/>
        <xdr:cNvSpPr txBox="1">
          <a:spLocks noChangeArrowheads="1"/>
        </xdr:cNvSpPr>
      </xdr:nvSpPr>
      <xdr:spPr>
        <a:xfrm>
          <a:off x="4486275" y="23526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3" name="Text Box 69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4" name="Text Box 70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5" name="Text Box 71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6" name="Text Box 72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7" name="Text Box 73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8" name="Text Box 74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9" name="Text Box 75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10" name="Text Box 76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11" name="Text Box 77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12" name="Text Box 78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13" name="Text Box 79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14" name="Text Box 80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15" name="Text Box 81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16" name="Text Box 82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17" name="Text Box 83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457200"/>
    <xdr:sp fLocksText="0">
      <xdr:nvSpPr>
        <xdr:cNvPr id="18" name="Text Box 84"/>
        <xdr:cNvSpPr txBox="1">
          <a:spLocks noChangeArrowheads="1"/>
        </xdr:cNvSpPr>
      </xdr:nvSpPr>
      <xdr:spPr>
        <a:xfrm>
          <a:off x="4486275" y="10296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19" name="Text Box 69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20" name="Text Box 70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21" name="Text Box 71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22" name="Text Box 72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23" name="Text Box 73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24" name="Text Box 74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25" name="Text Box 75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26" name="Text Box 76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27" name="Text Box 77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28" name="Text Box 78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29" name="Text Box 79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30" name="Text Box 80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31" name="Text Box 81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32" name="Text Box 82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33" name="Text Box 83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323850"/>
    <xdr:sp fLocksText="0">
      <xdr:nvSpPr>
        <xdr:cNvPr id="34" name="Text Box 84"/>
        <xdr:cNvSpPr txBox="1">
          <a:spLocks noChangeArrowheads="1"/>
        </xdr:cNvSpPr>
      </xdr:nvSpPr>
      <xdr:spPr>
        <a:xfrm>
          <a:off x="4486275" y="10296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35" name="Text Box 68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36" name="Text Box 69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37" name="Text Box 70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38" name="Text Box 71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39" name="Text Box 72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40" name="Text Box 73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41" name="Text Box 68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42" name="Text Box 69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43" name="Text Box 70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44" name="Text Box 71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45" name="Text Box 72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46" name="Text Box 73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47" name="Text Box 68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48" name="Text Box 69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49" name="Text Box 70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50" name="Text Box 71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51" name="Text Box 72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52" name="Text Box 73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53" name="Text Box 68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54" name="Text Box 69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55" name="Text Box 70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56" name="Text Box 71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57" name="Text Box 72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58" name="Text Box 73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59" name="Text Box 68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60" name="Text Box 69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61" name="Text Box 70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62" name="Text Box 71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63" name="Text Box 72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64" name="Text Box 73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81000"/>
    <xdr:sp fLocksText="0">
      <xdr:nvSpPr>
        <xdr:cNvPr id="65" name="Text Box 16"/>
        <xdr:cNvSpPr txBox="1">
          <a:spLocks noChangeArrowheads="1"/>
        </xdr:cNvSpPr>
      </xdr:nvSpPr>
      <xdr:spPr>
        <a:xfrm>
          <a:off x="4486275" y="19754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81000"/>
    <xdr:sp fLocksText="0">
      <xdr:nvSpPr>
        <xdr:cNvPr id="66" name="Text Box 17"/>
        <xdr:cNvSpPr txBox="1">
          <a:spLocks noChangeArrowheads="1"/>
        </xdr:cNvSpPr>
      </xdr:nvSpPr>
      <xdr:spPr>
        <a:xfrm>
          <a:off x="4486275" y="19754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81000"/>
    <xdr:sp fLocksText="0">
      <xdr:nvSpPr>
        <xdr:cNvPr id="67" name="Text Box 18"/>
        <xdr:cNvSpPr txBox="1">
          <a:spLocks noChangeArrowheads="1"/>
        </xdr:cNvSpPr>
      </xdr:nvSpPr>
      <xdr:spPr>
        <a:xfrm>
          <a:off x="4486275" y="19754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81000"/>
    <xdr:sp fLocksText="0">
      <xdr:nvSpPr>
        <xdr:cNvPr id="68" name="Text Box 19"/>
        <xdr:cNvSpPr txBox="1">
          <a:spLocks noChangeArrowheads="1"/>
        </xdr:cNvSpPr>
      </xdr:nvSpPr>
      <xdr:spPr>
        <a:xfrm>
          <a:off x="4486275" y="19754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81000"/>
    <xdr:sp fLocksText="0">
      <xdr:nvSpPr>
        <xdr:cNvPr id="69" name="Text Box 20"/>
        <xdr:cNvSpPr txBox="1">
          <a:spLocks noChangeArrowheads="1"/>
        </xdr:cNvSpPr>
      </xdr:nvSpPr>
      <xdr:spPr>
        <a:xfrm>
          <a:off x="4486275" y="19754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81000"/>
    <xdr:sp fLocksText="0">
      <xdr:nvSpPr>
        <xdr:cNvPr id="70" name="Text Box 21"/>
        <xdr:cNvSpPr txBox="1">
          <a:spLocks noChangeArrowheads="1"/>
        </xdr:cNvSpPr>
      </xdr:nvSpPr>
      <xdr:spPr>
        <a:xfrm>
          <a:off x="4486275" y="19754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81000"/>
    <xdr:sp fLocksText="0">
      <xdr:nvSpPr>
        <xdr:cNvPr id="71" name="Text Box 22"/>
        <xdr:cNvSpPr txBox="1">
          <a:spLocks noChangeArrowheads="1"/>
        </xdr:cNvSpPr>
      </xdr:nvSpPr>
      <xdr:spPr>
        <a:xfrm>
          <a:off x="4486275" y="19754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81000"/>
    <xdr:sp fLocksText="0">
      <xdr:nvSpPr>
        <xdr:cNvPr id="72" name="Text Box 23"/>
        <xdr:cNvSpPr txBox="1">
          <a:spLocks noChangeArrowheads="1"/>
        </xdr:cNvSpPr>
      </xdr:nvSpPr>
      <xdr:spPr>
        <a:xfrm>
          <a:off x="4486275" y="19754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90525"/>
    <xdr:sp fLocksText="0">
      <xdr:nvSpPr>
        <xdr:cNvPr id="73" name="Text Box 76"/>
        <xdr:cNvSpPr txBox="1">
          <a:spLocks noChangeArrowheads="1"/>
        </xdr:cNvSpPr>
      </xdr:nvSpPr>
      <xdr:spPr>
        <a:xfrm>
          <a:off x="4486275" y="19754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90525"/>
    <xdr:sp fLocksText="0">
      <xdr:nvSpPr>
        <xdr:cNvPr id="74" name="Text Box 77"/>
        <xdr:cNvSpPr txBox="1">
          <a:spLocks noChangeArrowheads="1"/>
        </xdr:cNvSpPr>
      </xdr:nvSpPr>
      <xdr:spPr>
        <a:xfrm>
          <a:off x="4486275" y="19754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90525"/>
    <xdr:sp fLocksText="0">
      <xdr:nvSpPr>
        <xdr:cNvPr id="75" name="Text Box 78"/>
        <xdr:cNvSpPr txBox="1">
          <a:spLocks noChangeArrowheads="1"/>
        </xdr:cNvSpPr>
      </xdr:nvSpPr>
      <xdr:spPr>
        <a:xfrm>
          <a:off x="4486275" y="19754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76" name="Text Box 68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77" name="Text Box 69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78" name="Text Box 70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79" name="Text Box 71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80" name="Text Box 72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81" name="Text Box 73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82" name="Text Box 68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83" name="Text Box 69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84" name="Text Box 70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85" name="Text Box 71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86" name="Text Box 72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87" name="Text Box 73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88" name="Text Box 68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89" name="Text Box 69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90" name="Text Box 70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91" name="Text Box 71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92" name="Text Box 72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47675"/>
    <xdr:sp fLocksText="0">
      <xdr:nvSpPr>
        <xdr:cNvPr id="93" name="Text Box 73"/>
        <xdr:cNvSpPr txBox="1">
          <a:spLocks noChangeArrowheads="1"/>
        </xdr:cNvSpPr>
      </xdr:nvSpPr>
      <xdr:spPr>
        <a:xfrm>
          <a:off x="4486275" y="19754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94" name="Text Box 16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95" name="Text Box 17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96" name="Text Box 18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97" name="Text Box 19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98" name="Text Box 20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99" name="Text Box 21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100" name="Text Box 22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101" name="Text Box 23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02" name="Text Box 76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03" name="Text Box 77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04" name="Text Box 78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742950"/>
    <xdr:sp fLocksText="0">
      <xdr:nvSpPr>
        <xdr:cNvPr id="105" name="Text Box 68"/>
        <xdr:cNvSpPr txBox="1">
          <a:spLocks noChangeArrowheads="1"/>
        </xdr:cNvSpPr>
      </xdr:nvSpPr>
      <xdr:spPr>
        <a:xfrm>
          <a:off x="4486275" y="19754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742950"/>
    <xdr:sp fLocksText="0">
      <xdr:nvSpPr>
        <xdr:cNvPr id="106" name="Text Box 69"/>
        <xdr:cNvSpPr txBox="1">
          <a:spLocks noChangeArrowheads="1"/>
        </xdr:cNvSpPr>
      </xdr:nvSpPr>
      <xdr:spPr>
        <a:xfrm>
          <a:off x="4486275" y="19754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742950"/>
    <xdr:sp fLocksText="0">
      <xdr:nvSpPr>
        <xdr:cNvPr id="107" name="Text Box 70"/>
        <xdr:cNvSpPr txBox="1">
          <a:spLocks noChangeArrowheads="1"/>
        </xdr:cNvSpPr>
      </xdr:nvSpPr>
      <xdr:spPr>
        <a:xfrm>
          <a:off x="4486275" y="19754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742950"/>
    <xdr:sp fLocksText="0">
      <xdr:nvSpPr>
        <xdr:cNvPr id="108" name="Text Box 71"/>
        <xdr:cNvSpPr txBox="1">
          <a:spLocks noChangeArrowheads="1"/>
        </xdr:cNvSpPr>
      </xdr:nvSpPr>
      <xdr:spPr>
        <a:xfrm>
          <a:off x="4486275" y="19754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742950"/>
    <xdr:sp fLocksText="0">
      <xdr:nvSpPr>
        <xdr:cNvPr id="109" name="Text Box 72"/>
        <xdr:cNvSpPr txBox="1">
          <a:spLocks noChangeArrowheads="1"/>
        </xdr:cNvSpPr>
      </xdr:nvSpPr>
      <xdr:spPr>
        <a:xfrm>
          <a:off x="4486275" y="19754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742950"/>
    <xdr:sp fLocksText="0">
      <xdr:nvSpPr>
        <xdr:cNvPr id="110" name="Text Box 73"/>
        <xdr:cNvSpPr txBox="1">
          <a:spLocks noChangeArrowheads="1"/>
        </xdr:cNvSpPr>
      </xdr:nvSpPr>
      <xdr:spPr>
        <a:xfrm>
          <a:off x="4486275" y="19754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11" name="Text Box 16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12" name="Text Box 17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13" name="Text Box 18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14" name="Text Box 19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15" name="Text Box 20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16" name="Text Box 21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17" name="Text Box 22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18" name="Text Box 23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119" name="Text Box 76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120" name="Text Box 77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121" name="Text Box 78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22" name="Text Box 15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23" name="Text Box 16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24" name="Text Box 17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25" name="Text Box 18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26" name="Text Box 19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27" name="Text Box 20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28" name="Text Box 21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29" name="Text Box 22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30" name="Text Box 1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31" name="Text Box 5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32" name="Text Box 6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33" name="Text Box 7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34" name="Text Box 8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35" name="Text Box 16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36" name="Text Box 19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37" name="Text Box 20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38" name="Text Box 21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39" name="Text Box 22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40" name="Text Box 30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41" name="Text Box 31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42" name="Text Box 32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43" name="Text Box 34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144" name="Text Box 35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45" name="Text Box 68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46" name="Text Box 69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47" name="Text Box 70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48" name="Text Box 71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49" name="Text Box 72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50" name="Text Box 73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51" name="Text Box 68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52" name="Text Box 69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53" name="Text Box 70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54" name="Text Box 71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55" name="Text Box 72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56" name="Text Box 73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57" name="Text Box 68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58" name="Text Box 69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59" name="Text Box 70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60" name="Text Box 71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61" name="Text Box 72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61950"/>
    <xdr:sp fLocksText="0">
      <xdr:nvSpPr>
        <xdr:cNvPr id="162" name="Text Box 73"/>
        <xdr:cNvSpPr txBox="1">
          <a:spLocks noChangeArrowheads="1"/>
        </xdr:cNvSpPr>
      </xdr:nvSpPr>
      <xdr:spPr>
        <a:xfrm>
          <a:off x="4486275" y="19754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63" name="Text Box 68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64" name="Text Box 69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65" name="Text Box 70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66" name="Text Box 71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67" name="Text Box 72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68" name="Text Box 73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69" name="Text Box 68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70" name="Text Box 69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71" name="Text Box 70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72" name="Text Box 71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73" name="Text Box 72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174" name="Text Box 73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42925"/>
    <xdr:sp fLocksText="0">
      <xdr:nvSpPr>
        <xdr:cNvPr id="175" name="Text Box 16"/>
        <xdr:cNvSpPr txBox="1">
          <a:spLocks noChangeArrowheads="1"/>
        </xdr:cNvSpPr>
      </xdr:nvSpPr>
      <xdr:spPr>
        <a:xfrm>
          <a:off x="4486275" y="19754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42925"/>
    <xdr:sp fLocksText="0">
      <xdr:nvSpPr>
        <xdr:cNvPr id="176" name="Text Box 17"/>
        <xdr:cNvSpPr txBox="1">
          <a:spLocks noChangeArrowheads="1"/>
        </xdr:cNvSpPr>
      </xdr:nvSpPr>
      <xdr:spPr>
        <a:xfrm>
          <a:off x="4486275" y="19754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42925"/>
    <xdr:sp fLocksText="0">
      <xdr:nvSpPr>
        <xdr:cNvPr id="177" name="Text Box 18"/>
        <xdr:cNvSpPr txBox="1">
          <a:spLocks noChangeArrowheads="1"/>
        </xdr:cNvSpPr>
      </xdr:nvSpPr>
      <xdr:spPr>
        <a:xfrm>
          <a:off x="4486275" y="19754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42925"/>
    <xdr:sp fLocksText="0">
      <xdr:nvSpPr>
        <xdr:cNvPr id="178" name="Text Box 19"/>
        <xdr:cNvSpPr txBox="1">
          <a:spLocks noChangeArrowheads="1"/>
        </xdr:cNvSpPr>
      </xdr:nvSpPr>
      <xdr:spPr>
        <a:xfrm>
          <a:off x="4486275" y="19754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42925"/>
    <xdr:sp fLocksText="0">
      <xdr:nvSpPr>
        <xdr:cNvPr id="179" name="Text Box 20"/>
        <xdr:cNvSpPr txBox="1">
          <a:spLocks noChangeArrowheads="1"/>
        </xdr:cNvSpPr>
      </xdr:nvSpPr>
      <xdr:spPr>
        <a:xfrm>
          <a:off x="4486275" y="19754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42925"/>
    <xdr:sp fLocksText="0">
      <xdr:nvSpPr>
        <xdr:cNvPr id="180" name="Text Box 21"/>
        <xdr:cNvSpPr txBox="1">
          <a:spLocks noChangeArrowheads="1"/>
        </xdr:cNvSpPr>
      </xdr:nvSpPr>
      <xdr:spPr>
        <a:xfrm>
          <a:off x="4486275" y="19754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42925"/>
    <xdr:sp fLocksText="0">
      <xdr:nvSpPr>
        <xdr:cNvPr id="181" name="Text Box 22"/>
        <xdr:cNvSpPr txBox="1">
          <a:spLocks noChangeArrowheads="1"/>
        </xdr:cNvSpPr>
      </xdr:nvSpPr>
      <xdr:spPr>
        <a:xfrm>
          <a:off x="4486275" y="19754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42925"/>
    <xdr:sp fLocksText="0">
      <xdr:nvSpPr>
        <xdr:cNvPr id="182" name="Text Box 23"/>
        <xdr:cNvSpPr txBox="1">
          <a:spLocks noChangeArrowheads="1"/>
        </xdr:cNvSpPr>
      </xdr:nvSpPr>
      <xdr:spPr>
        <a:xfrm>
          <a:off x="4486275" y="19754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71500"/>
    <xdr:sp fLocksText="0">
      <xdr:nvSpPr>
        <xdr:cNvPr id="183" name="Text Box 76"/>
        <xdr:cNvSpPr txBox="1">
          <a:spLocks noChangeArrowheads="1"/>
        </xdr:cNvSpPr>
      </xdr:nvSpPr>
      <xdr:spPr>
        <a:xfrm>
          <a:off x="4486275" y="197548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71500"/>
    <xdr:sp fLocksText="0">
      <xdr:nvSpPr>
        <xdr:cNvPr id="184" name="Text Box 77"/>
        <xdr:cNvSpPr txBox="1">
          <a:spLocks noChangeArrowheads="1"/>
        </xdr:cNvSpPr>
      </xdr:nvSpPr>
      <xdr:spPr>
        <a:xfrm>
          <a:off x="4486275" y="197548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571500"/>
    <xdr:sp fLocksText="0">
      <xdr:nvSpPr>
        <xdr:cNvPr id="185" name="Text Box 78"/>
        <xdr:cNvSpPr txBox="1">
          <a:spLocks noChangeArrowheads="1"/>
        </xdr:cNvSpPr>
      </xdr:nvSpPr>
      <xdr:spPr>
        <a:xfrm>
          <a:off x="4486275" y="197548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914400"/>
    <xdr:sp fLocksText="0">
      <xdr:nvSpPr>
        <xdr:cNvPr id="186" name="Text Box 68"/>
        <xdr:cNvSpPr txBox="1">
          <a:spLocks noChangeArrowheads="1"/>
        </xdr:cNvSpPr>
      </xdr:nvSpPr>
      <xdr:spPr>
        <a:xfrm>
          <a:off x="4486275" y="197548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914400"/>
    <xdr:sp fLocksText="0">
      <xdr:nvSpPr>
        <xdr:cNvPr id="187" name="Text Box 69"/>
        <xdr:cNvSpPr txBox="1">
          <a:spLocks noChangeArrowheads="1"/>
        </xdr:cNvSpPr>
      </xdr:nvSpPr>
      <xdr:spPr>
        <a:xfrm>
          <a:off x="4486275" y="197548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914400"/>
    <xdr:sp fLocksText="0">
      <xdr:nvSpPr>
        <xdr:cNvPr id="188" name="Text Box 70"/>
        <xdr:cNvSpPr txBox="1">
          <a:spLocks noChangeArrowheads="1"/>
        </xdr:cNvSpPr>
      </xdr:nvSpPr>
      <xdr:spPr>
        <a:xfrm>
          <a:off x="4486275" y="197548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914400"/>
    <xdr:sp fLocksText="0">
      <xdr:nvSpPr>
        <xdr:cNvPr id="189" name="Text Box 71"/>
        <xdr:cNvSpPr txBox="1">
          <a:spLocks noChangeArrowheads="1"/>
        </xdr:cNvSpPr>
      </xdr:nvSpPr>
      <xdr:spPr>
        <a:xfrm>
          <a:off x="4486275" y="197548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914400"/>
    <xdr:sp fLocksText="0">
      <xdr:nvSpPr>
        <xdr:cNvPr id="190" name="Text Box 72"/>
        <xdr:cNvSpPr txBox="1">
          <a:spLocks noChangeArrowheads="1"/>
        </xdr:cNvSpPr>
      </xdr:nvSpPr>
      <xdr:spPr>
        <a:xfrm>
          <a:off x="4486275" y="197548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914400"/>
    <xdr:sp fLocksText="0">
      <xdr:nvSpPr>
        <xdr:cNvPr id="191" name="Text Box 73"/>
        <xdr:cNvSpPr txBox="1">
          <a:spLocks noChangeArrowheads="1"/>
        </xdr:cNvSpPr>
      </xdr:nvSpPr>
      <xdr:spPr>
        <a:xfrm>
          <a:off x="4486275" y="197548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92" name="Text Box 16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93" name="Text Box 17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94" name="Text Box 18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95" name="Text Box 19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96" name="Text Box 20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97" name="Text Box 21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98" name="Text Box 22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38150"/>
    <xdr:sp fLocksText="0">
      <xdr:nvSpPr>
        <xdr:cNvPr id="199" name="Text Box 23"/>
        <xdr:cNvSpPr txBox="1">
          <a:spLocks noChangeArrowheads="1"/>
        </xdr:cNvSpPr>
      </xdr:nvSpPr>
      <xdr:spPr>
        <a:xfrm>
          <a:off x="4486275" y="197548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200" name="Text Box 76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201" name="Text Box 77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57200"/>
    <xdr:sp fLocksText="0">
      <xdr:nvSpPr>
        <xdr:cNvPr id="202" name="Text Box 78"/>
        <xdr:cNvSpPr txBox="1">
          <a:spLocks noChangeArrowheads="1"/>
        </xdr:cNvSpPr>
      </xdr:nvSpPr>
      <xdr:spPr>
        <a:xfrm>
          <a:off x="4486275" y="19754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38125"/>
    <xdr:sp fLocksText="0">
      <xdr:nvSpPr>
        <xdr:cNvPr id="203" name="Text Box 16"/>
        <xdr:cNvSpPr txBox="1">
          <a:spLocks noChangeArrowheads="1"/>
        </xdr:cNvSpPr>
      </xdr:nvSpPr>
      <xdr:spPr>
        <a:xfrm>
          <a:off x="4486275" y="1975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38125"/>
    <xdr:sp fLocksText="0">
      <xdr:nvSpPr>
        <xdr:cNvPr id="204" name="Text Box 17"/>
        <xdr:cNvSpPr txBox="1">
          <a:spLocks noChangeArrowheads="1"/>
        </xdr:cNvSpPr>
      </xdr:nvSpPr>
      <xdr:spPr>
        <a:xfrm>
          <a:off x="4486275" y="1975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38125"/>
    <xdr:sp fLocksText="0">
      <xdr:nvSpPr>
        <xdr:cNvPr id="205" name="Text Box 18"/>
        <xdr:cNvSpPr txBox="1">
          <a:spLocks noChangeArrowheads="1"/>
        </xdr:cNvSpPr>
      </xdr:nvSpPr>
      <xdr:spPr>
        <a:xfrm>
          <a:off x="4486275" y="1975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38125"/>
    <xdr:sp fLocksText="0">
      <xdr:nvSpPr>
        <xdr:cNvPr id="206" name="Text Box 19"/>
        <xdr:cNvSpPr txBox="1">
          <a:spLocks noChangeArrowheads="1"/>
        </xdr:cNvSpPr>
      </xdr:nvSpPr>
      <xdr:spPr>
        <a:xfrm>
          <a:off x="4486275" y="1975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38125"/>
    <xdr:sp fLocksText="0">
      <xdr:nvSpPr>
        <xdr:cNvPr id="207" name="Text Box 20"/>
        <xdr:cNvSpPr txBox="1">
          <a:spLocks noChangeArrowheads="1"/>
        </xdr:cNvSpPr>
      </xdr:nvSpPr>
      <xdr:spPr>
        <a:xfrm>
          <a:off x="4486275" y="1975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38125"/>
    <xdr:sp fLocksText="0">
      <xdr:nvSpPr>
        <xdr:cNvPr id="208" name="Text Box 21"/>
        <xdr:cNvSpPr txBox="1">
          <a:spLocks noChangeArrowheads="1"/>
        </xdr:cNvSpPr>
      </xdr:nvSpPr>
      <xdr:spPr>
        <a:xfrm>
          <a:off x="4486275" y="1975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38125"/>
    <xdr:sp fLocksText="0">
      <xdr:nvSpPr>
        <xdr:cNvPr id="209" name="Text Box 22"/>
        <xdr:cNvSpPr txBox="1">
          <a:spLocks noChangeArrowheads="1"/>
        </xdr:cNvSpPr>
      </xdr:nvSpPr>
      <xdr:spPr>
        <a:xfrm>
          <a:off x="4486275" y="1975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38125"/>
    <xdr:sp fLocksText="0">
      <xdr:nvSpPr>
        <xdr:cNvPr id="210" name="Text Box 23"/>
        <xdr:cNvSpPr txBox="1">
          <a:spLocks noChangeArrowheads="1"/>
        </xdr:cNvSpPr>
      </xdr:nvSpPr>
      <xdr:spPr>
        <a:xfrm>
          <a:off x="4486275" y="1975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66700"/>
    <xdr:sp fLocksText="0">
      <xdr:nvSpPr>
        <xdr:cNvPr id="211" name="Text Box 76"/>
        <xdr:cNvSpPr txBox="1">
          <a:spLocks noChangeArrowheads="1"/>
        </xdr:cNvSpPr>
      </xdr:nvSpPr>
      <xdr:spPr>
        <a:xfrm>
          <a:off x="4486275" y="19754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66700"/>
    <xdr:sp fLocksText="0">
      <xdr:nvSpPr>
        <xdr:cNvPr id="212" name="Text Box 77"/>
        <xdr:cNvSpPr txBox="1">
          <a:spLocks noChangeArrowheads="1"/>
        </xdr:cNvSpPr>
      </xdr:nvSpPr>
      <xdr:spPr>
        <a:xfrm>
          <a:off x="4486275" y="19754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66700"/>
    <xdr:sp fLocksText="0">
      <xdr:nvSpPr>
        <xdr:cNvPr id="213" name="Text Box 78"/>
        <xdr:cNvSpPr txBox="1">
          <a:spLocks noChangeArrowheads="1"/>
        </xdr:cNvSpPr>
      </xdr:nvSpPr>
      <xdr:spPr>
        <a:xfrm>
          <a:off x="4486275" y="19754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14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15" name="Text Box 1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16" name="Text Box 1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17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18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19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20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21" name="Text Box 23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22" name="Text Box 76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23" name="Text Box 77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24" name="Text Box 78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25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26" name="Text Box 1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27" name="Text Box 1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28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29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30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31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32" name="Text Box 23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33" name="Text Box 76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34" name="Text Box 77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35" name="Text Box 78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36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37" name="Text Box 1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38" name="Text Box 1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39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40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41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42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43" name="Text Box 23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44" name="Text Box 76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45" name="Text Box 77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46" name="Text Box 78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19075"/>
    <xdr:sp fLocksText="0">
      <xdr:nvSpPr>
        <xdr:cNvPr id="247" name="Text Box 16"/>
        <xdr:cNvSpPr txBox="1">
          <a:spLocks noChangeArrowheads="1"/>
        </xdr:cNvSpPr>
      </xdr:nvSpPr>
      <xdr:spPr>
        <a:xfrm>
          <a:off x="4486275" y="1975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19075"/>
    <xdr:sp fLocksText="0">
      <xdr:nvSpPr>
        <xdr:cNvPr id="248" name="Text Box 17"/>
        <xdr:cNvSpPr txBox="1">
          <a:spLocks noChangeArrowheads="1"/>
        </xdr:cNvSpPr>
      </xdr:nvSpPr>
      <xdr:spPr>
        <a:xfrm>
          <a:off x="4486275" y="1975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19075"/>
    <xdr:sp fLocksText="0">
      <xdr:nvSpPr>
        <xdr:cNvPr id="249" name="Text Box 18"/>
        <xdr:cNvSpPr txBox="1">
          <a:spLocks noChangeArrowheads="1"/>
        </xdr:cNvSpPr>
      </xdr:nvSpPr>
      <xdr:spPr>
        <a:xfrm>
          <a:off x="4486275" y="1975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19075"/>
    <xdr:sp fLocksText="0">
      <xdr:nvSpPr>
        <xdr:cNvPr id="250" name="Text Box 19"/>
        <xdr:cNvSpPr txBox="1">
          <a:spLocks noChangeArrowheads="1"/>
        </xdr:cNvSpPr>
      </xdr:nvSpPr>
      <xdr:spPr>
        <a:xfrm>
          <a:off x="4486275" y="1975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19075"/>
    <xdr:sp fLocksText="0">
      <xdr:nvSpPr>
        <xdr:cNvPr id="251" name="Text Box 20"/>
        <xdr:cNvSpPr txBox="1">
          <a:spLocks noChangeArrowheads="1"/>
        </xdr:cNvSpPr>
      </xdr:nvSpPr>
      <xdr:spPr>
        <a:xfrm>
          <a:off x="4486275" y="1975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19075"/>
    <xdr:sp fLocksText="0">
      <xdr:nvSpPr>
        <xdr:cNvPr id="252" name="Text Box 21"/>
        <xdr:cNvSpPr txBox="1">
          <a:spLocks noChangeArrowheads="1"/>
        </xdr:cNvSpPr>
      </xdr:nvSpPr>
      <xdr:spPr>
        <a:xfrm>
          <a:off x="4486275" y="1975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19075"/>
    <xdr:sp fLocksText="0">
      <xdr:nvSpPr>
        <xdr:cNvPr id="253" name="Text Box 22"/>
        <xdr:cNvSpPr txBox="1">
          <a:spLocks noChangeArrowheads="1"/>
        </xdr:cNvSpPr>
      </xdr:nvSpPr>
      <xdr:spPr>
        <a:xfrm>
          <a:off x="4486275" y="1975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19075"/>
    <xdr:sp fLocksText="0">
      <xdr:nvSpPr>
        <xdr:cNvPr id="254" name="Text Box 23"/>
        <xdr:cNvSpPr txBox="1">
          <a:spLocks noChangeArrowheads="1"/>
        </xdr:cNvSpPr>
      </xdr:nvSpPr>
      <xdr:spPr>
        <a:xfrm>
          <a:off x="4486275" y="1975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255" name="Text Box 76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256" name="Text Box 77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47650"/>
    <xdr:sp fLocksText="0">
      <xdr:nvSpPr>
        <xdr:cNvPr id="257" name="Text Box 78"/>
        <xdr:cNvSpPr txBox="1">
          <a:spLocks noChangeArrowheads="1"/>
        </xdr:cNvSpPr>
      </xdr:nvSpPr>
      <xdr:spPr>
        <a:xfrm>
          <a:off x="4486275" y="1975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58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59" name="Text Box 1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60" name="Text Box 1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61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62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63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64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265" name="Text Box 23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66" name="Text Box 76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67" name="Text Box 77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71475"/>
    <xdr:sp fLocksText="0">
      <xdr:nvSpPr>
        <xdr:cNvPr id="268" name="Text Box 78"/>
        <xdr:cNvSpPr txBox="1">
          <a:spLocks noChangeArrowheads="1"/>
        </xdr:cNvSpPr>
      </xdr:nvSpPr>
      <xdr:spPr>
        <a:xfrm>
          <a:off x="4486275" y="19754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69" name="Text Box 1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70" name="Text Box 1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71" name="Text Box 17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72" name="Text Box 18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73" name="Text Box 19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74" name="Text Box 2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75" name="Text Box 2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76" name="Text Box 2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77" name="Text Box 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78" name="Text Box 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79" name="Text Box 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80" name="Text Box 7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81" name="Text Box 8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83" name="Text Box 19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84" name="Text Box 2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85" name="Text Box 2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86" name="Text Box 2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87" name="Text Box 3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88" name="Text Box 3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89" name="Text Box 3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90" name="Text Box 34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91" name="Text Box 3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9550"/>
    <xdr:sp fLocksText="0">
      <xdr:nvSpPr>
        <xdr:cNvPr id="292" name="Text Box 65"/>
        <xdr:cNvSpPr txBox="1">
          <a:spLocks noChangeArrowheads="1"/>
        </xdr:cNvSpPr>
      </xdr:nvSpPr>
      <xdr:spPr>
        <a:xfrm>
          <a:off x="4486275" y="1975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9550"/>
    <xdr:sp fLocksText="0">
      <xdr:nvSpPr>
        <xdr:cNvPr id="293" name="Text Box 91"/>
        <xdr:cNvSpPr txBox="1">
          <a:spLocks noChangeArrowheads="1"/>
        </xdr:cNvSpPr>
      </xdr:nvSpPr>
      <xdr:spPr>
        <a:xfrm>
          <a:off x="4486275" y="1975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94" name="Text Box 1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95" name="Text Box 1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96" name="Text Box 17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97" name="Text Box 18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98" name="Text Box 19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299" name="Text Box 2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00" name="Text Box 2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01" name="Text Box 2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02" name="Text Box 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03" name="Text Box 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04" name="Text Box 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05" name="Text Box 7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07" name="Text Box 1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08" name="Text Box 19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09" name="Text Box 2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10" name="Text Box 2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11" name="Text Box 2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12" name="Text Box 3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13" name="Text Box 3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14" name="Text Box 3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15" name="Text Box 34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16" name="Text Box 3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17" name="Text Box 1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18" name="Text Box 1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19" name="Text Box 17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20" name="Text Box 18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21" name="Text Box 19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22" name="Text Box 2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23" name="Text Box 2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24" name="Text Box 2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25" name="Text Box 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26" name="Text Box 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27" name="Text Box 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28" name="Text Box 7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29" name="Text Box 8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30" name="Text Box 1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31" name="Text Box 19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32" name="Text Box 2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33" name="Text Box 2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34" name="Text Box 2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35" name="Text Box 3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36" name="Text Box 3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37" name="Text Box 3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38" name="Text Box 34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39" name="Text Box 3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42900"/>
    <xdr:sp fLocksText="0">
      <xdr:nvSpPr>
        <xdr:cNvPr id="340" name="Text Box 65"/>
        <xdr:cNvSpPr txBox="1">
          <a:spLocks noChangeArrowheads="1"/>
        </xdr:cNvSpPr>
      </xdr:nvSpPr>
      <xdr:spPr>
        <a:xfrm>
          <a:off x="4486275" y="19754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42900"/>
    <xdr:sp fLocksText="0">
      <xdr:nvSpPr>
        <xdr:cNvPr id="341" name="Text Box 91"/>
        <xdr:cNvSpPr txBox="1">
          <a:spLocks noChangeArrowheads="1"/>
        </xdr:cNvSpPr>
      </xdr:nvSpPr>
      <xdr:spPr>
        <a:xfrm>
          <a:off x="4486275" y="19754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42" name="Text Box 1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43" name="Text Box 1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44" name="Text Box 17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45" name="Text Box 18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46" name="Text Box 19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47" name="Text Box 2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48" name="Text Box 2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49" name="Text Box 2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50" name="Text Box 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51" name="Text Box 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52" name="Text Box 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53" name="Text Box 7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54" name="Text Box 8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55" name="Text Box 1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56" name="Text Box 19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57" name="Text Box 2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58" name="Text Box 2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59" name="Text Box 2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60" name="Text Box 3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61" name="Text Box 3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62" name="Text Box 3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63" name="Text Box 34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64" name="Text Box 3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65" name="Text Box 1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66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67" name="Text Box 1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68" name="Text Box 1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69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70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71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72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73" name="Text Box 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74" name="Text Box 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75" name="Text Box 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76" name="Text Box 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77" name="Text Box 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78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79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80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81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82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83" name="Text Box 3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84" name="Text Box 3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85" name="Text Box 3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86" name="Text Box 34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387" name="Text Box 3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88" name="Text Box 1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89" name="Text Box 1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90" name="Text Box 17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91" name="Text Box 18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92" name="Text Box 19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93" name="Text Box 2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94" name="Text Box 2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95" name="Text Box 2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96" name="Text Box 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97" name="Text Box 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98" name="Text Box 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399" name="Text Box 7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00" name="Text Box 8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01" name="Text Box 16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02" name="Text Box 19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03" name="Text Box 2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04" name="Text Box 2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05" name="Text Box 2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06" name="Text Box 30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07" name="Text Box 31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08" name="Text Box 32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09" name="Text Box 34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00025"/>
    <xdr:sp fLocksText="0">
      <xdr:nvSpPr>
        <xdr:cNvPr id="410" name="Text Box 35"/>
        <xdr:cNvSpPr txBox="1">
          <a:spLocks noChangeArrowheads="1"/>
        </xdr:cNvSpPr>
      </xdr:nvSpPr>
      <xdr:spPr>
        <a:xfrm>
          <a:off x="4486275" y="1975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11" name="Text Box 1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12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13" name="Text Box 1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14" name="Text Box 1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15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16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17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18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19" name="Text Box 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20" name="Text Box 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21" name="Text Box 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22" name="Text Box 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23" name="Text Box 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24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25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26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27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28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29" name="Text Box 3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30" name="Text Box 3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31" name="Text Box 3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32" name="Text Box 34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33" name="Text Box 3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34" name="Text Box 6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35" name="Text Box 9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36" name="Text Box 1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37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38" name="Text Box 1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39" name="Text Box 1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40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41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42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43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44" name="Text Box 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45" name="Text Box 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46" name="Text Box 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47" name="Text Box 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48" name="Text Box 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49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50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51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52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53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54" name="Text Box 3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55" name="Text Box 3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56" name="Text Box 3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57" name="Text Box 34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58" name="Text Box 3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59" name="Text Box 1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60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61" name="Text Box 1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62" name="Text Box 1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63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64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65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66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67" name="Text Box 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68" name="Text Box 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69" name="Text Box 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70" name="Text Box 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71" name="Text Box 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72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73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74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75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76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77" name="Text Box 3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78" name="Text Box 3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79" name="Text Box 3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80" name="Text Box 34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481" name="Text Box 3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42900"/>
    <xdr:sp fLocksText="0">
      <xdr:nvSpPr>
        <xdr:cNvPr id="482" name="Text Box 65"/>
        <xdr:cNvSpPr txBox="1">
          <a:spLocks noChangeArrowheads="1"/>
        </xdr:cNvSpPr>
      </xdr:nvSpPr>
      <xdr:spPr>
        <a:xfrm>
          <a:off x="4486275" y="19754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42900"/>
    <xdr:sp fLocksText="0">
      <xdr:nvSpPr>
        <xdr:cNvPr id="483" name="Text Box 91"/>
        <xdr:cNvSpPr txBox="1">
          <a:spLocks noChangeArrowheads="1"/>
        </xdr:cNvSpPr>
      </xdr:nvSpPr>
      <xdr:spPr>
        <a:xfrm>
          <a:off x="4486275" y="19754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42900"/>
    <xdr:sp fLocksText="0">
      <xdr:nvSpPr>
        <xdr:cNvPr id="484" name="Text Box 65"/>
        <xdr:cNvSpPr txBox="1">
          <a:spLocks noChangeArrowheads="1"/>
        </xdr:cNvSpPr>
      </xdr:nvSpPr>
      <xdr:spPr>
        <a:xfrm>
          <a:off x="4486275" y="19754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42900"/>
    <xdr:sp fLocksText="0">
      <xdr:nvSpPr>
        <xdr:cNvPr id="485" name="Text Box 91"/>
        <xdr:cNvSpPr txBox="1">
          <a:spLocks noChangeArrowheads="1"/>
        </xdr:cNvSpPr>
      </xdr:nvSpPr>
      <xdr:spPr>
        <a:xfrm>
          <a:off x="4486275" y="19754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86" name="Text Box 68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87" name="Text Box 69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88" name="Text Box 70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89" name="Text Box 71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90" name="Text Box 72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91" name="Text Box 73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92" name="Text Box 68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93" name="Text Box 69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94" name="Text Box 70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95" name="Text Box 71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96" name="Text Box 72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97" name="Text Box 73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98" name="Text Box 68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499" name="Text Box 69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500" name="Text Box 70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501" name="Text Box 71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502" name="Text Box 72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428625"/>
    <xdr:sp fLocksText="0">
      <xdr:nvSpPr>
        <xdr:cNvPr id="503" name="Text Box 73"/>
        <xdr:cNvSpPr txBox="1">
          <a:spLocks noChangeArrowheads="1"/>
        </xdr:cNvSpPr>
      </xdr:nvSpPr>
      <xdr:spPr>
        <a:xfrm>
          <a:off x="4486275" y="19754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38125"/>
    <xdr:sp fLocksText="0">
      <xdr:nvSpPr>
        <xdr:cNvPr id="504" name="Text Box 65"/>
        <xdr:cNvSpPr txBox="1">
          <a:spLocks noChangeArrowheads="1"/>
        </xdr:cNvSpPr>
      </xdr:nvSpPr>
      <xdr:spPr>
        <a:xfrm>
          <a:off x="4486275" y="1975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238125"/>
    <xdr:sp fLocksText="0">
      <xdr:nvSpPr>
        <xdr:cNvPr id="505" name="Text Box 91"/>
        <xdr:cNvSpPr txBox="1">
          <a:spLocks noChangeArrowheads="1"/>
        </xdr:cNvSpPr>
      </xdr:nvSpPr>
      <xdr:spPr>
        <a:xfrm>
          <a:off x="4486275" y="1975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06" name="Text Box 1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07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08" name="Text Box 1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09" name="Text Box 1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10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11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12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13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14" name="Text Box 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15" name="Text Box 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16" name="Text Box 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17" name="Text Box 7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18" name="Text Box 8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19" name="Text Box 16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20" name="Text Box 19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21" name="Text Box 2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22" name="Text Box 2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23" name="Text Box 2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24" name="Text Box 30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25" name="Text Box 31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26" name="Text Box 32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27" name="Text Box 34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76200" cy="352425"/>
    <xdr:sp fLocksText="0">
      <xdr:nvSpPr>
        <xdr:cNvPr id="528" name="Text Box 35"/>
        <xdr:cNvSpPr txBox="1">
          <a:spLocks noChangeArrowheads="1"/>
        </xdr:cNvSpPr>
      </xdr:nvSpPr>
      <xdr:spPr>
        <a:xfrm>
          <a:off x="4486275" y="197548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28625"/>
    <xdr:sp fLocksText="0">
      <xdr:nvSpPr>
        <xdr:cNvPr id="529" name="Text Box 16"/>
        <xdr:cNvSpPr txBox="1">
          <a:spLocks noChangeArrowheads="1"/>
        </xdr:cNvSpPr>
      </xdr:nvSpPr>
      <xdr:spPr>
        <a:xfrm>
          <a:off x="4486275" y="19269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28625"/>
    <xdr:sp fLocksText="0">
      <xdr:nvSpPr>
        <xdr:cNvPr id="530" name="Text Box 17"/>
        <xdr:cNvSpPr txBox="1">
          <a:spLocks noChangeArrowheads="1"/>
        </xdr:cNvSpPr>
      </xdr:nvSpPr>
      <xdr:spPr>
        <a:xfrm>
          <a:off x="4486275" y="19269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28625"/>
    <xdr:sp fLocksText="0">
      <xdr:nvSpPr>
        <xdr:cNvPr id="531" name="Text Box 18"/>
        <xdr:cNvSpPr txBox="1">
          <a:spLocks noChangeArrowheads="1"/>
        </xdr:cNvSpPr>
      </xdr:nvSpPr>
      <xdr:spPr>
        <a:xfrm>
          <a:off x="4486275" y="19269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28625"/>
    <xdr:sp fLocksText="0">
      <xdr:nvSpPr>
        <xdr:cNvPr id="532" name="Text Box 19"/>
        <xdr:cNvSpPr txBox="1">
          <a:spLocks noChangeArrowheads="1"/>
        </xdr:cNvSpPr>
      </xdr:nvSpPr>
      <xdr:spPr>
        <a:xfrm>
          <a:off x="4486275" y="19269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28625"/>
    <xdr:sp fLocksText="0">
      <xdr:nvSpPr>
        <xdr:cNvPr id="533" name="Text Box 20"/>
        <xdr:cNvSpPr txBox="1">
          <a:spLocks noChangeArrowheads="1"/>
        </xdr:cNvSpPr>
      </xdr:nvSpPr>
      <xdr:spPr>
        <a:xfrm>
          <a:off x="4486275" y="19269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28625"/>
    <xdr:sp fLocksText="0">
      <xdr:nvSpPr>
        <xdr:cNvPr id="534" name="Text Box 21"/>
        <xdr:cNvSpPr txBox="1">
          <a:spLocks noChangeArrowheads="1"/>
        </xdr:cNvSpPr>
      </xdr:nvSpPr>
      <xdr:spPr>
        <a:xfrm>
          <a:off x="4486275" y="19269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28625"/>
    <xdr:sp fLocksText="0">
      <xdr:nvSpPr>
        <xdr:cNvPr id="535" name="Text Box 22"/>
        <xdr:cNvSpPr txBox="1">
          <a:spLocks noChangeArrowheads="1"/>
        </xdr:cNvSpPr>
      </xdr:nvSpPr>
      <xdr:spPr>
        <a:xfrm>
          <a:off x="4486275" y="19269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28625"/>
    <xdr:sp fLocksText="0">
      <xdr:nvSpPr>
        <xdr:cNvPr id="536" name="Text Box 23"/>
        <xdr:cNvSpPr txBox="1">
          <a:spLocks noChangeArrowheads="1"/>
        </xdr:cNvSpPr>
      </xdr:nvSpPr>
      <xdr:spPr>
        <a:xfrm>
          <a:off x="4486275" y="19269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57200"/>
    <xdr:sp fLocksText="0">
      <xdr:nvSpPr>
        <xdr:cNvPr id="537" name="Text Box 76"/>
        <xdr:cNvSpPr txBox="1">
          <a:spLocks noChangeArrowheads="1"/>
        </xdr:cNvSpPr>
      </xdr:nvSpPr>
      <xdr:spPr>
        <a:xfrm>
          <a:off x="4486275" y="19269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57200"/>
    <xdr:sp fLocksText="0">
      <xdr:nvSpPr>
        <xdr:cNvPr id="538" name="Text Box 77"/>
        <xdr:cNvSpPr txBox="1">
          <a:spLocks noChangeArrowheads="1"/>
        </xdr:cNvSpPr>
      </xdr:nvSpPr>
      <xdr:spPr>
        <a:xfrm>
          <a:off x="4486275" y="19269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57200"/>
    <xdr:sp fLocksText="0">
      <xdr:nvSpPr>
        <xdr:cNvPr id="539" name="Text Box 78"/>
        <xdr:cNvSpPr txBox="1">
          <a:spLocks noChangeArrowheads="1"/>
        </xdr:cNvSpPr>
      </xdr:nvSpPr>
      <xdr:spPr>
        <a:xfrm>
          <a:off x="4486275" y="19269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90525"/>
    <xdr:sp fLocksText="0">
      <xdr:nvSpPr>
        <xdr:cNvPr id="540" name="Text Box 16"/>
        <xdr:cNvSpPr txBox="1">
          <a:spLocks noChangeArrowheads="1"/>
        </xdr:cNvSpPr>
      </xdr:nvSpPr>
      <xdr:spPr>
        <a:xfrm>
          <a:off x="4486275" y="1926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90525"/>
    <xdr:sp fLocksText="0">
      <xdr:nvSpPr>
        <xdr:cNvPr id="541" name="Text Box 17"/>
        <xdr:cNvSpPr txBox="1">
          <a:spLocks noChangeArrowheads="1"/>
        </xdr:cNvSpPr>
      </xdr:nvSpPr>
      <xdr:spPr>
        <a:xfrm>
          <a:off x="4486275" y="1926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90525"/>
    <xdr:sp fLocksText="0">
      <xdr:nvSpPr>
        <xdr:cNvPr id="542" name="Text Box 18"/>
        <xdr:cNvSpPr txBox="1">
          <a:spLocks noChangeArrowheads="1"/>
        </xdr:cNvSpPr>
      </xdr:nvSpPr>
      <xdr:spPr>
        <a:xfrm>
          <a:off x="4486275" y="1926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90525"/>
    <xdr:sp fLocksText="0">
      <xdr:nvSpPr>
        <xdr:cNvPr id="543" name="Text Box 19"/>
        <xdr:cNvSpPr txBox="1">
          <a:spLocks noChangeArrowheads="1"/>
        </xdr:cNvSpPr>
      </xdr:nvSpPr>
      <xdr:spPr>
        <a:xfrm>
          <a:off x="4486275" y="1926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90525"/>
    <xdr:sp fLocksText="0">
      <xdr:nvSpPr>
        <xdr:cNvPr id="544" name="Text Box 20"/>
        <xdr:cNvSpPr txBox="1">
          <a:spLocks noChangeArrowheads="1"/>
        </xdr:cNvSpPr>
      </xdr:nvSpPr>
      <xdr:spPr>
        <a:xfrm>
          <a:off x="4486275" y="1926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90525"/>
    <xdr:sp fLocksText="0">
      <xdr:nvSpPr>
        <xdr:cNvPr id="545" name="Text Box 21"/>
        <xdr:cNvSpPr txBox="1">
          <a:spLocks noChangeArrowheads="1"/>
        </xdr:cNvSpPr>
      </xdr:nvSpPr>
      <xdr:spPr>
        <a:xfrm>
          <a:off x="4486275" y="1926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90525"/>
    <xdr:sp fLocksText="0">
      <xdr:nvSpPr>
        <xdr:cNvPr id="546" name="Text Box 22"/>
        <xdr:cNvSpPr txBox="1">
          <a:spLocks noChangeArrowheads="1"/>
        </xdr:cNvSpPr>
      </xdr:nvSpPr>
      <xdr:spPr>
        <a:xfrm>
          <a:off x="4486275" y="1926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90525"/>
    <xdr:sp fLocksText="0">
      <xdr:nvSpPr>
        <xdr:cNvPr id="547" name="Text Box 23"/>
        <xdr:cNvSpPr txBox="1">
          <a:spLocks noChangeArrowheads="1"/>
        </xdr:cNvSpPr>
      </xdr:nvSpPr>
      <xdr:spPr>
        <a:xfrm>
          <a:off x="4486275" y="19269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19100"/>
    <xdr:sp fLocksText="0">
      <xdr:nvSpPr>
        <xdr:cNvPr id="548" name="Text Box 76"/>
        <xdr:cNvSpPr txBox="1">
          <a:spLocks noChangeArrowheads="1"/>
        </xdr:cNvSpPr>
      </xdr:nvSpPr>
      <xdr:spPr>
        <a:xfrm>
          <a:off x="4486275" y="19269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19100"/>
    <xdr:sp fLocksText="0">
      <xdr:nvSpPr>
        <xdr:cNvPr id="549" name="Text Box 77"/>
        <xdr:cNvSpPr txBox="1">
          <a:spLocks noChangeArrowheads="1"/>
        </xdr:cNvSpPr>
      </xdr:nvSpPr>
      <xdr:spPr>
        <a:xfrm>
          <a:off x="4486275" y="19269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19100"/>
    <xdr:sp fLocksText="0">
      <xdr:nvSpPr>
        <xdr:cNvPr id="550" name="Text Box 78"/>
        <xdr:cNvSpPr txBox="1">
          <a:spLocks noChangeArrowheads="1"/>
        </xdr:cNvSpPr>
      </xdr:nvSpPr>
      <xdr:spPr>
        <a:xfrm>
          <a:off x="4486275" y="19269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51" name="Text Box 15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52" name="Text Box 16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53" name="Text Box 17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54" name="Text Box 18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55" name="Text Box 19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56" name="Text Box 20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57" name="Text Box 21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58" name="Text Box 22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59" name="Text Box 1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60" name="Text Box 5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61" name="Text Box 6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62" name="Text Box 7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63" name="Text Box 8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64" name="Text Box 16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65" name="Text Box 19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66" name="Text Box 20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67" name="Text Box 21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68" name="Text Box 22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69" name="Text Box 30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70" name="Text Box 31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71" name="Text Box 32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72" name="Text Box 34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573" name="Text Box 35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74" name="Text Box 68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75" name="Text Box 69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76" name="Text Box 70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77" name="Text Box 71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78" name="Text Box 72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79" name="Text Box 73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80" name="Text Box 68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81" name="Text Box 69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82" name="Text Box 70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83" name="Text Box 71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84" name="Text Box 72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85" name="Text Box 73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86" name="Text Box 68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87" name="Text Box 69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88" name="Text Box 70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89" name="Text Box 71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90" name="Text Box 72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0050"/>
    <xdr:sp fLocksText="0">
      <xdr:nvSpPr>
        <xdr:cNvPr id="591" name="Text Box 73"/>
        <xdr:cNvSpPr txBox="1">
          <a:spLocks noChangeArrowheads="1"/>
        </xdr:cNvSpPr>
      </xdr:nvSpPr>
      <xdr:spPr>
        <a:xfrm>
          <a:off x="4486275" y="192690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38125"/>
    <xdr:sp fLocksText="0">
      <xdr:nvSpPr>
        <xdr:cNvPr id="592" name="Text Box 16"/>
        <xdr:cNvSpPr txBox="1">
          <a:spLocks noChangeArrowheads="1"/>
        </xdr:cNvSpPr>
      </xdr:nvSpPr>
      <xdr:spPr>
        <a:xfrm>
          <a:off x="4486275" y="1926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38125"/>
    <xdr:sp fLocksText="0">
      <xdr:nvSpPr>
        <xdr:cNvPr id="593" name="Text Box 17"/>
        <xdr:cNvSpPr txBox="1">
          <a:spLocks noChangeArrowheads="1"/>
        </xdr:cNvSpPr>
      </xdr:nvSpPr>
      <xdr:spPr>
        <a:xfrm>
          <a:off x="4486275" y="1926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38125"/>
    <xdr:sp fLocksText="0">
      <xdr:nvSpPr>
        <xdr:cNvPr id="594" name="Text Box 18"/>
        <xdr:cNvSpPr txBox="1">
          <a:spLocks noChangeArrowheads="1"/>
        </xdr:cNvSpPr>
      </xdr:nvSpPr>
      <xdr:spPr>
        <a:xfrm>
          <a:off x="4486275" y="1926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38125"/>
    <xdr:sp fLocksText="0">
      <xdr:nvSpPr>
        <xdr:cNvPr id="595" name="Text Box 19"/>
        <xdr:cNvSpPr txBox="1">
          <a:spLocks noChangeArrowheads="1"/>
        </xdr:cNvSpPr>
      </xdr:nvSpPr>
      <xdr:spPr>
        <a:xfrm>
          <a:off x="4486275" y="1926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38125"/>
    <xdr:sp fLocksText="0">
      <xdr:nvSpPr>
        <xdr:cNvPr id="596" name="Text Box 20"/>
        <xdr:cNvSpPr txBox="1">
          <a:spLocks noChangeArrowheads="1"/>
        </xdr:cNvSpPr>
      </xdr:nvSpPr>
      <xdr:spPr>
        <a:xfrm>
          <a:off x="4486275" y="1926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38125"/>
    <xdr:sp fLocksText="0">
      <xdr:nvSpPr>
        <xdr:cNvPr id="597" name="Text Box 21"/>
        <xdr:cNvSpPr txBox="1">
          <a:spLocks noChangeArrowheads="1"/>
        </xdr:cNvSpPr>
      </xdr:nvSpPr>
      <xdr:spPr>
        <a:xfrm>
          <a:off x="4486275" y="1926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38125"/>
    <xdr:sp fLocksText="0">
      <xdr:nvSpPr>
        <xdr:cNvPr id="598" name="Text Box 22"/>
        <xdr:cNvSpPr txBox="1">
          <a:spLocks noChangeArrowheads="1"/>
        </xdr:cNvSpPr>
      </xdr:nvSpPr>
      <xdr:spPr>
        <a:xfrm>
          <a:off x="4486275" y="1926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38125"/>
    <xdr:sp fLocksText="0">
      <xdr:nvSpPr>
        <xdr:cNvPr id="599" name="Text Box 23"/>
        <xdr:cNvSpPr txBox="1">
          <a:spLocks noChangeArrowheads="1"/>
        </xdr:cNvSpPr>
      </xdr:nvSpPr>
      <xdr:spPr>
        <a:xfrm>
          <a:off x="4486275" y="1926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66700"/>
    <xdr:sp fLocksText="0">
      <xdr:nvSpPr>
        <xdr:cNvPr id="600" name="Text Box 76"/>
        <xdr:cNvSpPr txBox="1">
          <a:spLocks noChangeArrowheads="1"/>
        </xdr:cNvSpPr>
      </xdr:nvSpPr>
      <xdr:spPr>
        <a:xfrm>
          <a:off x="4486275" y="19269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66700"/>
    <xdr:sp fLocksText="0">
      <xdr:nvSpPr>
        <xdr:cNvPr id="601" name="Text Box 77"/>
        <xdr:cNvSpPr txBox="1">
          <a:spLocks noChangeArrowheads="1"/>
        </xdr:cNvSpPr>
      </xdr:nvSpPr>
      <xdr:spPr>
        <a:xfrm>
          <a:off x="4486275" y="19269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66700"/>
    <xdr:sp fLocksText="0">
      <xdr:nvSpPr>
        <xdr:cNvPr id="602" name="Text Box 78"/>
        <xdr:cNvSpPr txBox="1">
          <a:spLocks noChangeArrowheads="1"/>
        </xdr:cNvSpPr>
      </xdr:nvSpPr>
      <xdr:spPr>
        <a:xfrm>
          <a:off x="4486275" y="19269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03" name="Text Box 16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04" name="Text Box 17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05" name="Text Box 18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06" name="Text Box 19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07" name="Text Box 20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08" name="Text Box 21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09" name="Text Box 22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10" name="Text Box 23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11" name="Text Box 76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12" name="Text Box 77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13" name="Text Box 78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14" name="Text Box 16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15" name="Text Box 17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16" name="Text Box 18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17" name="Text Box 19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18" name="Text Box 20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19" name="Text Box 21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20" name="Text Box 22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21" name="Text Box 23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22" name="Text Box 76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23" name="Text Box 77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24" name="Text Box 78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25" name="Text Box 16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26" name="Text Box 17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27" name="Text Box 18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28" name="Text Box 19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29" name="Text Box 20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30" name="Text Box 21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31" name="Text Box 22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32" name="Text Box 23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33" name="Text Box 76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34" name="Text Box 77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35" name="Text Box 78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19075"/>
    <xdr:sp fLocksText="0">
      <xdr:nvSpPr>
        <xdr:cNvPr id="636" name="Text Box 16"/>
        <xdr:cNvSpPr txBox="1">
          <a:spLocks noChangeArrowheads="1"/>
        </xdr:cNvSpPr>
      </xdr:nvSpPr>
      <xdr:spPr>
        <a:xfrm>
          <a:off x="4486275" y="1926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19075"/>
    <xdr:sp fLocksText="0">
      <xdr:nvSpPr>
        <xdr:cNvPr id="637" name="Text Box 17"/>
        <xdr:cNvSpPr txBox="1">
          <a:spLocks noChangeArrowheads="1"/>
        </xdr:cNvSpPr>
      </xdr:nvSpPr>
      <xdr:spPr>
        <a:xfrm>
          <a:off x="4486275" y="1926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19075"/>
    <xdr:sp fLocksText="0">
      <xdr:nvSpPr>
        <xdr:cNvPr id="638" name="Text Box 18"/>
        <xdr:cNvSpPr txBox="1">
          <a:spLocks noChangeArrowheads="1"/>
        </xdr:cNvSpPr>
      </xdr:nvSpPr>
      <xdr:spPr>
        <a:xfrm>
          <a:off x="4486275" y="1926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19075"/>
    <xdr:sp fLocksText="0">
      <xdr:nvSpPr>
        <xdr:cNvPr id="639" name="Text Box 19"/>
        <xdr:cNvSpPr txBox="1">
          <a:spLocks noChangeArrowheads="1"/>
        </xdr:cNvSpPr>
      </xdr:nvSpPr>
      <xdr:spPr>
        <a:xfrm>
          <a:off x="4486275" y="1926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19075"/>
    <xdr:sp fLocksText="0">
      <xdr:nvSpPr>
        <xdr:cNvPr id="640" name="Text Box 20"/>
        <xdr:cNvSpPr txBox="1">
          <a:spLocks noChangeArrowheads="1"/>
        </xdr:cNvSpPr>
      </xdr:nvSpPr>
      <xdr:spPr>
        <a:xfrm>
          <a:off x="4486275" y="1926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19075"/>
    <xdr:sp fLocksText="0">
      <xdr:nvSpPr>
        <xdr:cNvPr id="641" name="Text Box 21"/>
        <xdr:cNvSpPr txBox="1">
          <a:spLocks noChangeArrowheads="1"/>
        </xdr:cNvSpPr>
      </xdr:nvSpPr>
      <xdr:spPr>
        <a:xfrm>
          <a:off x="4486275" y="1926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19075"/>
    <xdr:sp fLocksText="0">
      <xdr:nvSpPr>
        <xdr:cNvPr id="642" name="Text Box 22"/>
        <xdr:cNvSpPr txBox="1">
          <a:spLocks noChangeArrowheads="1"/>
        </xdr:cNvSpPr>
      </xdr:nvSpPr>
      <xdr:spPr>
        <a:xfrm>
          <a:off x="4486275" y="1926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19075"/>
    <xdr:sp fLocksText="0">
      <xdr:nvSpPr>
        <xdr:cNvPr id="643" name="Text Box 23"/>
        <xdr:cNvSpPr txBox="1">
          <a:spLocks noChangeArrowheads="1"/>
        </xdr:cNvSpPr>
      </xdr:nvSpPr>
      <xdr:spPr>
        <a:xfrm>
          <a:off x="4486275" y="1926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644" name="Text Box 76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645" name="Text Box 77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47650"/>
    <xdr:sp fLocksText="0">
      <xdr:nvSpPr>
        <xdr:cNvPr id="646" name="Text Box 78"/>
        <xdr:cNvSpPr txBox="1">
          <a:spLocks noChangeArrowheads="1"/>
        </xdr:cNvSpPr>
      </xdr:nvSpPr>
      <xdr:spPr>
        <a:xfrm>
          <a:off x="4486275" y="19269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47" name="Text Box 16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48" name="Text Box 17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49" name="Text Box 18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50" name="Text Box 19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51" name="Text Box 20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52" name="Text Box 21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53" name="Text Box 22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654" name="Text Box 23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55" name="Text Box 76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56" name="Text Box 77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409575"/>
    <xdr:sp fLocksText="0">
      <xdr:nvSpPr>
        <xdr:cNvPr id="657" name="Text Box 78"/>
        <xdr:cNvSpPr txBox="1">
          <a:spLocks noChangeArrowheads="1"/>
        </xdr:cNvSpPr>
      </xdr:nvSpPr>
      <xdr:spPr>
        <a:xfrm>
          <a:off x="4486275" y="19269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58" name="Text Box 1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59" name="Text Box 1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60" name="Text Box 17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61" name="Text Box 18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62" name="Text Box 19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63" name="Text Box 2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64" name="Text Box 2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65" name="Text Box 2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66" name="Text Box 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67" name="Text Box 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68" name="Text Box 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69" name="Text Box 7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70" name="Text Box 8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71" name="Text Box 1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72" name="Text Box 19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73" name="Text Box 2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74" name="Text Box 2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75" name="Text Box 2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76" name="Text Box 3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77" name="Text Box 3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78" name="Text Box 3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79" name="Text Box 34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80" name="Text Box 3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9550"/>
    <xdr:sp fLocksText="0">
      <xdr:nvSpPr>
        <xdr:cNvPr id="681" name="Text Box 65"/>
        <xdr:cNvSpPr txBox="1">
          <a:spLocks noChangeArrowheads="1"/>
        </xdr:cNvSpPr>
      </xdr:nvSpPr>
      <xdr:spPr>
        <a:xfrm>
          <a:off x="4486275" y="19269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9550"/>
    <xdr:sp fLocksText="0">
      <xdr:nvSpPr>
        <xdr:cNvPr id="682" name="Text Box 91"/>
        <xdr:cNvSpPr txBox="1">
          <a:spLocks noChangeArrowheads="1"/>
        </xdr:cNvSpPr>
      </xdr:nvSpPr>
      <xdr:spPr>
        <a:xfrm>
          <a:off x="4486275" y="19269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83" name="Text Box 1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84" name="Text Box 1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85" name="Text Box 17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86" name="Text Box 18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87" name="Text Box 19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88" name="Text Box 2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89" name="Text Box 2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90" name="Text Box 2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91" name="Text Box 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92" name="Text Box 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93" name="Text Box 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94" name="Text Box 7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95" name="Text Box 8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96" name="Text Box 1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97" name="Text Box 19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98" name="Text Box 2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699" name="Text Box 2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00" name="Text Box 2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01" name="Text Box 3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02" name="Text Box 3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03" name="Text Box 3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04" name="Text Box 34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05" name="Text Box 3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06" name="Text Box 1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07" name="Text Box 1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08" name="Text Box 17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09" name="Text Box 18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10" name="Text Box 19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11" name="Text Box 2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12" name="Text Box 2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13" name="Text Box 2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14" name="Text Box 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15" name="Text Box 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16" name="Text Box 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17" name="Text Box 7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18" name="Text Box 8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19" name="Text Box 1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20" name="Text Box 19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21" name="Text Box 2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22" name="Text Box 2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23" name="Text Box 2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24" name="Text Box 3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25" name="Text Box 3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26" name="Text Box 3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27" name="Text Box 34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28" name="Text Box 3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61950"/>
    <xdr:sp fLocksText="0">
      <xdr:nvSpPr>
        <xdr:cNvPr id="729" name="Text Box 65"/>
        <xdr:cNvSpPr txBox="1">
          <a:spLocks noChangeArrowheads="1"/>
        </xdr:cNvSpPr>
      </xdr:nvSpPr>
      <xdr:spPr>
        <a:xfrm>
          <a:off x="4486275" y="19269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61950"/>
    <xdr:sp fLocksText="0">
      <xdr:nvSpPr>
        <xdr:cNvPr id="730" name="Text Box 91"/>
        <xdr:cNvSpPr txBox="1">
          <a:spLocks noChangeArrowheads="1"/>
        </xdr:cNvSpPr>
      </xdr:nvSpPr>
      <xdr:spPr>
        <a:xfrm>
          <a:off x="4486275" y="19269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31" name="Text Box 1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32" name="Text Box 1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33" name="Text Box 17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34" name="Text Box 18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35" name="Text Box 19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36" name="Text Box 2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37" name="Text Box 2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38" name="Text Box 2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40" name="Text Box 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41" name="Text Box 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42" name="Text Box 7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43" name="Text Box 8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44" name="Text Box 1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45" name="Text Box 19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46" name="Text Box 2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47" name="Text Box 2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48" name="Text Box 2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49" name="Text Box 3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50" name="Text Box 3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51" name="Text Box 3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52" name="Text Box 34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53" name="Text Box 3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54" name="Text Box 1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55" name="Text Box 1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56" name="Text Box 17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57" name="Text Box 18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58" name="Text Box 19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59" name="Text Box 2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60" name="Text Box 2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61" name="Text Box 2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62" name="Text Box 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63" name="Text Box 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64" name="Text Box 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65" name="Text Box 7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66" name="Text Box 8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67" name="Text Box 1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68" name="Text Box 19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69" name="Text Box 2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70" name="Text Box 2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71" name="Text Box 2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72" name="Text Box 3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73" name="Text Box 3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74" name="Text Box 3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75" name="Text Box 34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776" name="Text Box 3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77" name="Text Box 1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78" name="Text Box 1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79" name="Text Box 17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80" name="Text Box 18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81" name="Text Box 19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82" name="Text Box 2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83" name="Text Box 2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84" name="Text Box 2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85" name="Text Box 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86" name="Text Box 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87" name="Text Box 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88" name="Text Box 7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89" name="Text Box 8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90" name="Text Box 16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91" name="Text Box 19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92" name="Text Box 2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93" name="Text Box 2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94" name="Text Box 2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95" name="Text Box 30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96" name="Text Box 31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97" name="Text Box 32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98" name="Text Box 34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 fLocksText="0">
      <xdr:nvSpPr>
        <xdr:cNvPr id="799" name="Text Box 35"/>
        <xdr:cNvSpPr txBox="1">
          <a:spLocks noChangeArrowheads="1"/>
        </xdr:cNvSpPr>
      </xdr:nvSpPr>
      <xdr:spPr>
        <a:xfrm>
          <a:off x="4486275" y="1926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00" name="Text Box 1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01" name="Text Box 1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02" name="Text Box 17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03" name="Text Box 18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04" name="Text Box 19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05" name="Text Box 2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06" name="Text Box 2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07" name="Text Box 2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08" name="Text Box 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09" name="Text Box 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10" name="Text Box 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11" name="Text Box 7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12" name="Text Box 8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13" name="Text Box 1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14" name="Text Box 19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15" name="Text Box 2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16" name="Text Box 2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17" name="Text Box 2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18" name="Text Box 3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19" name="Text Box 3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20" name="Text Box 3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21" name="Text Box 34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22" name="Text Box 3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823" name="Text Box 65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81000"/>
    <xdr:sp fLocksText="0">
      <xdr:nvSpPr>
        <xdr:cNvPr id="824" name="Text Box 91"/>
        <xdr:cNvSpPr txBox="1">
          <a:spLocks noChangeArrowheads="1"/>
        </xdr:cNvSpPr>
      </xdr:nvSpPr>
      <xdr:spPr>
        <a:xfrm>
          <a:off x="4486275" y="19269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25" name="Text Box 1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26" name="Text Box 1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27" name="Text Box 17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28" name="Text Box 18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29" name="Text Box 19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30" name="Text Box 2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31" name="Text Box 2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32" name="Text Box 2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33" name="Text Box 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34" name="Text Box 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35" name="Text Box 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36" name="Text Box 7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37" name="Text Box 8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38" name="Text Box 1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39" name="Text Box 19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40" name="Text Box 2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41" name="Text Box 2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42" name="Text Box 2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43" name="Text Box 3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44" name="Text Box 3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45" name="Text Box 3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46" name="Text Box 34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47" name="Text Box 3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48" name="Text Box 1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49" name="Text Box 1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50" name="Text Box 17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51" name="Text Box 18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52" name="Text Box 19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53" name="Text Box 2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54" name="Text Box 2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55" name="Text Box 2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56" name="Text Box 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57" name="Text Box 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58" name="Text Box 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59" name="Text Box 7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60" name="Text Box 8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61" name="Text Box 1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62" name="Text Box 19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63" name="Text Box 2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64" name="Text Box 2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65" name="Text Box 2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66" name="Text Box 3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67" name="Text Box 3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68" name="Text Box 3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69" name="Text Box 34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70" name="Text Box 3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61950"/>
    <xdr:sp fLocksText="0">
      <xdr:nvSpPr>
        <xdr:cNvPr id="871" name="Text Box 65"/>
        <xdr:cNvSpPr txBox="1">
          <a:spLocks noChangeArrowheads="1"/>
        </xdr:cNvSpPr>
      </xdr:nvSpPr>
      <xdr:spPr>
        <a:xfrm>
          <a:off x="4486275" y="19269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61950"/>
    <xdr:sp fLocksText="0">
      <xdr:nvSpPr>
        <xdr:cNvPr id="872" name="Text Box 91"/>
        <xdr:cNvSpPr txBox="1">
          <a:spLocks noChangeArrowheads="1"/>
        </xdr:cNvSpPr>
      </xdr:nvSpPr>
      <xdr:spPr>
        <a:xfrm>
          <a:off x="4486275" y="19269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61950"/>
    <xdr:sp fLocksText="0">
      <xdr:nvSpPr>
        <xdr:cNvPr id="873" name="Text Box 65"/>
        <xdr:cNvSpPr txBox="1">
          <a:spLocks noChangeArrowheads="1"/>
        </xdr:cNvSpPr>
      </xdr:nvSpPr>
      <xdr:spPr>
        <a:xfrm>
          <a:off x="4486275" y="19269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61950"/>
    <xdr:sp fLocksText="0">
      <xdr:nvSpPr>
        <xdr:cNvPr id="874" name="Text Box 91"/>
        <xdr:cNvSpPr txBox="1">
          <a:spLocks noChangeArrowheads="1"/>
        </xdr:cNvSpPr>
      </xdr:nvSpPr>
      <xdr:spPr>
        <a:xfrm>
          <a:off x="4486275" y="19269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38125"/>
    <xdr:sp fLocksText="0">
      <xdr:nvSpPr>
        <xdr:cNvPr id="875" name="Text Box 65"/>
        <xdr:cNvSpPr txBox="1">
          <a:spLocks noChangeArrowheads="1"/>
        </xdr:cNvSpPr>
      </xdr:nvSpPr>
      <xdr:spPr>
        <a:xfrm>
          <a:off x="4486275" y="1926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38125"/>
    <xdr:sp fLocksText="0">
      <xdr:nvSpPr>
        <xdr:cNvPr id="876" name="Text Box 91"/>
        <xdr:cNvSpPr txBox="1">
          <a:spLocks noChangeArrowheads="1"/>
        </xdr:cNvSpPr>
      </xdr:nvSpPr>
      <xdr:spPr>
        <a:xfrm>
          <a:off x="4486275" y="1926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77" name="Text Box 1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78" name="Text Box 1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79" name="Text Box 17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80" name="Text Box 18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81" name="Text Box 19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82" name="Text Box 2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83" name="Text Box 2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84" name="Text Box 2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85" name="Text Box 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86" name="Text Box 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87" name="Text Box 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88" name="Text Box 7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89" name="Text Box 8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90" name="Text Box 16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91" name="Text Box 19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92" name="Text Box 2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93" name="Text Box 2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94" name="Text Box 2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95" name="Text Box 30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96" name="Text Box 31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97" name="Text Box 32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98" name="Text Box 34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371475"/>
    <xdr:sp fLocksText="0">
      <xdr:nvSpPr>
        <xdr:cNvPr id="899" name="Text Box 35"/>
        <xdr:cNvSpPr txBox="1">
          <a:spLocks noChangeArrowheads="1"/>
        </xdr:cNvSpPr>
      </xdr:nvSpPr>
      <xdr:spPr>
        <a:xfrm>
          <a:off x="4486275" y="1926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2"/>
  <sheetViews>
    <sheetView tabSelected="1" view="pageBreakPreview" zoomScaleSheetLayoutView="100" zoomScalePageLayoutView="0" workbookViewId="0" topLeftCell="A1">
      <selection activeCell="B2" sqref="B2:H2"/>
    </sheetView>
  </sheetViews>
  <sheetFormatPr defaultColWidth="9.140625" defaultRowHeight="12.75"/>
  <cols>
    <col min="1" max="1" width="3.421875" style="160" customWidth="1"/>
    <col min="2" max="2" width="7.7109375" style="160" customWidth="1"/>
    <col min="3" max="3" width="52.28125" style="160" customWidth="1"/>
    <col min="4" max="4" width="12.57421875" style="198" customWidth="1"/>
    <col min="5" max="5" width="12.421875" style="199" customWidth="1"/>
    <col min="6" max="6" width="15.7109375" style="200" bestFit="1" customWidth="1"/>
    <col min="7" max="7" width="12.28125" style="201" customWidth="1"/>
    <col min="8" max="8" width="14.421875" style="160" bestFit="1" customWidth="1"/>
    <col min="9" max="16384" width="9.140625" style="160" customWidth="1"/>
  </cols>
  <sheetData>
    <row r="1" spans="1:11" ht="16.5">
      <c r="A1" s="424"/>
      <c r="B1" s="424"/>
      <c r="C1" s="424"/>
      <c r="D1" s="424"/>
      <c r="E1" s="424"/>
      <c r="F1" s="424"/>
      <c r="G1" s="424"/>
      <c r="H1" s="424"/>
      <c r="I1" s="159"/>
      <c r="J1" s="159"/>
      <c r="K1" s="159"/>
    </row>
    <row r="2" spans="1:11" ht="16.5">
      <c r="A2" s="366"/>
      <c r="B2" s="424"/>
      <c r="C2" s="424"/>
      <c r="D2" s="424"/>
      <c r="E2" s="424"/>
      <c r="F2" s="424"/>
      <c r="G2" s="424"/>
      <c r="H2" s="424"/>
      <c r="I2" s="159"/>
      <c r="J2" s="159"/>
      <c r="K2" s="159"/>
    </row>
    <row r="3" spans="2:10" ht="21">
      <c r="B3" s="425" t="s">
        <v>46</v>
      </c>
      <c r="C3" s="425"/>
      <c r="D3" s="425"/>
      <c r="E3" s="425"/>
      <c r="F3" s="425"/>
      <c r="G3" s="425"/>
      <c r="H3" s="425"/>
      <c r="I3" s="161"/>
      <c r="J3" s="161"/>
    </row>
    <row r="4" spans="1:10" ht="15.75">
      <c r="A4" s="17"/>
      <c r="B4" s="426" t="s">
        <v>172</v>
      </c>
      <c r="C4" s="426"/>
      <c r="D4" s="160"/>
      <c r="E4" s="160"/>
      <c r="F4" s="160"/>
      <c r="G4" s="160"/>
      <c r="J4" s="162"/>
    </row>
    <row r="5" spans="1:8" ht="16.5" customHeight="1">
      <c r="A5" s="163"/>
      <c r="B5" s="163"/>
      <c r="C5" s="163"/>
      <c r="D5" s="164"/>
      <c r="E5" s="162"/>
      <c r="F5" s="162"/>
      <c r="G5" s="165"/>
      <c r="H5" s="166"/>
    </row>
    <row r="6" spans="1:8" ht="15.75" customHeight="1">
      <c r="A6" s="427" t="s">
        <v>173</v>
      </c>
      <c r="B6" s="428" t="s">
        <v>174</v>
      </c>
      <c r="C6" s="428" t="s">
        <v>175</v>
      </c>
      <c r="D6" s="427" t="s">
        <v>176</v>
      </c>
      <c r="E6" s="427"/>
      <c r="F6" s="427"/>
      <c r="G6" s="427"/>
      <c r="H6" s="427"/>
    </row>
    <row r="7" spans="1:8" ht="23.25" customHeight="1">
      <c r="A7" s="427"/>
      <c r="B7" s="428"/>
      <c r="C7" s="428"/>
      <c r="D7" s="429" t="s">
        <v>177</v>
      </c>
      <c r="E7" s="431" t="s">
        <v>178</v>
      </c>
      <c r="F7" s="429" t="s">
        <v>179</v>
      </c>
      <c r="G7" s="429" t="s">
        <v>180</v>
      </c>
      <c r="H7" s="427" t="s">
        <v>150</v>
      </c>
    </row>
    <row r="8" spans="1:8" ht="26.25" customHeight="1">
      <c r="A8" s="427"/>
      <c r="B8" s="428"/>
      <c r="C8" s="428"/>
      <c r="D8" s="430"/>
      <c r="E8" s="432"/>
      <c r="F8" s="430"/>
      <c r="G8" s="430"/>
      <c r="H8" s="427"/>
    </row>
    <row r="9" spans="1:8" ht="14.25" customHeight="1">
      <c r="A9" s="167">
        <v>1</v>
      </c>
      <c r="B9" s="168">
        <v>2</v>
      </c>
      <c r="C9" s="167">
        <v>3</v>
      </c>
      <c r="D9" s="168">
        <v>4</v>
      </c>
      <c r="E9" s="169">
        <v>5</v>
      </c>
      <c r="F9" s="168">
        <v>6</v>
      </c>
      <c r="G9" s="168">
        <v>7</v>
      </c>
      <c r="H9" s="170">
        <v>8</v>
      </c>
    </row>
    <row r="10" spans="1:8" ht="14.25" customHeight="1">
      <c r="A10" s="167"/>
      <c r="B10" s="168"/>
      <c r="C10" s="433" t="s">
        <v>241</v>
      </c>
      <c r="D10" s="434"/>
      <c r="E10" s="434"/>
      <c r="F10" s="434"/>
      <c r="G10" s="435"/>
      <c r="H10" s="234"/>
    </row>
    <row r="11" spans="1:255" ht="15.75">
      <c r="A11" s="171">
        <v>1</v>
      </c>
      <c r="B11" s="172" t="s">
        <v>181</v>
      </c>
      <c r="C11" s="18" t="s">
        <v>36</v>
      </c>
      <c r="D11" s="173"/>
      <c r="E11" s="174"/>
      <c r="F11" s="174"/>
      <c r="G11" s="175"/>
      <c r="H11" s="176">
        <f>'B1'!M226</f>
        <v>0</v>
      </c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8"/>
      <c r="IT11" s="178"/>
      <c r="IU11" s="178"/>
    </row>
    <row r="12" spans="1:255" ht="18.75" customHeight="1">
      <c r="A12" s="171">
        <v>2</v>
      </c>
      <c r="B12" s="172" t="s">
        <v>182</v>
      </c>
      <c r="C12" s="18" t="s">
        <v>428</v>
      </c>
      <c r="D12" s="173"/>
      <c r="E12" s="174"/>
      <c r="F12" s="174"/>
      <c r="G12" s="175"/>
      <c r="H12" s="176">
        <f>'B2'!M150</f>
        <v>0</v>
      </c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2"/>
      <c r="IR12" s="162"/>
      <c r="IS12" s="17"/>
      <c r="IT12" s="17"/>
      <c r="IU12" s="17"/>
    </row>
    <row r="13" spans="1:255" ht="18.75" customHeight="1">
      <c r="A13" s="171">
        <v>3</v>
      </c>
      <c r="B13" s="172" t="s">
        <v>183</v>
      </c>
      <c r="C13" s="18" t="s">
        <v>427</v>
      </c>
      <c r="D13" s="173"/>
      <c r="E13" s="174"/>
      <c r="F13" s="174"/>
      <c r="G13" s="175"/>
      <c r="H13" s="176">
        <f>'B3'!M174</f>
        <v>0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2"/>
      <c r="IR13" s="162"/>
      <c r="IS13" s="17"/>
      <c r="IT13" s="17"/>
      <c r="IU13" s="17"/>
    </row>
    <row r="14" spans="1:255" ht="18.75" customHeight="1">
      <c r="A14" s="171">
        <v>4</v>
      </c>
      <c r="B14" s="172" t="s">
        <v>184</v>
      </c>
      <c r="C14" s="18" t="s">
        <v>429</v>
      </c>
      <c r="D14" s="173"/>
      <c r="E14" s="174"/>
      <c r="F14" s="174"/>
      <c r="G14" s="175"/>
      <c r="H14" s="176">
        <f>'B4'!M179</f>
        <v>0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2"/>
      <c r="IR14" s="162"/>
      <c r="IS14" s="17"/>
      <c r="IT14" s="17"/>
      <c r="IU14" s="17"/>
    </row>
    <row r="15" spans="1:255" ht="28.5">
      <c r="A15" s="171">
        <v>5</v>
      </c>
      <c r="B15" s="172" t="s">
        <v>185</v>
      </c>
      <c r="C15" s="18" t="s">
        <v>430</v>
      </c>
      <c r="D15" s="173"/>
      <c r="E15" s="174"/>
      <c r="F15" s="174"/>
      <c r="G15" s="175"/>
      <c r="H15" s="176">
        <f>'B5'!M81</f>
        <v>0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2"/>
      <c r="IR15" s="162"/>
      <c r="IS15" s="17"/>
      <c r="IT15" s="17"/>
      <c r="IU15" s="17"/>
    </row>
    <row r="16" spans="1:255" ht="28.5">
      <c r="A16" s="171"/>
      <c r="B16" s="172" t="s">
        <v>540</v>
      </c>
      <c r="C16" s="18" t="s">
        <v>541</v>
      </c>
      <c r="D16" s="173"/>
      <c r="E16" s="174"/>
      <c r="F16" s="174"/>
      <c r="G16" s="175"/>
      <c r="H16" s="176">
        <f>'B6'!M20</f>
        <v>0</v>
      </c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2"/>
      <c r="IR16" s="162"/>
      <c r="IS16" s="17"/>
      <c r="IT16" s="17"/>
      <c r="IU16" s="17"/>
    </row>
    <row r="17" spans="1:8" ht="15.75">
      <c r="A17" s="178"/>
      <c r="B17" s="178"/>
      <c r="C17" s="178" t="s">
        <v>104</v>
      </c>
      <c r="D17" s="179"/>
      <c r="E17" s="179"/>
      <c r="F17" s="179"/>
      <c r="G17" s="179"/>
      <c r="H17" s="179">
        <f>SUM(H11:H16)</f>
        <v>0</v>
      </c>
    </row>
    <row r="18" spans="1:8" ht="15.75">
      <c r="A18" s="178"/>
      <c r="B18" s="178"/>
      <c r="C18" s="180" t="s">
        <v>155</v>
      </c>
      <c r="D18" s="204">
        <v>0.03</v>
      </c>
      <c r="E18" s="181"/>
      <c r="F18" s="181"/>
      <c r="G18" s="181"/>
      <c r="H18" s="181">
        <f>H17*D18</f>
        <v>0</v>
      </c>
    </row>
    <row r="19" spans="1:8" ht="15.75">
      <c r="A19" s="178"/>
      <c r="B19" s="178"/>
      <c r="C19" s="180" t="s">
        <v>8</v>
      </c>
      <c r="D19" s="203"/>
      <c r="E19" s="181"/>
      <c r="F19" s="181"/>
      <c r="G19" s="181"/>
      <c r="H19" s="181">
        <f>SUM(H17:H18)</f>
        <v>0</v>
      </c>
    </row>
    <row r="20" spans="1:8" ht="18.75" customHeight="1">
      <c r="A20" s="178"/>
      <c r="B20" s="178"/>
      <c r="C20" s="180" t="s">
        <v>186</v>
      </c>
      <c r="D20" s="204">
        <v>0.18</v>
      </c>
      <c r="E20" s="181"/>
      <c r="F20" s="181"/>
      <c r="G20" s="181"/>
      <c r="H20" s="181">
        <f>H19*D20</f>
        <v>0</v>
      </c>
    </row>
    <row r="21" spans="1:9" s="17" customFormat="1" ht="17.25" customHeight="1">
      <c r="A21" s="178"/>
      <c r="B21" s="178"/>
      <c r="C21" s="180" t="s">
        <v>154</v>
      </c>
      <c r="D21" s="203"/>
      <c r="E21" s="181"/>
      <c r="F21" s="181"/>
      <c r="G21" s="181"/>
      <c r="H21" s="181">
        <f>SUM(H19:H20)</f>
        <v>0</v>
      </c>
      <c r="I21" s="182"/>
    </row>
    <row r="22" spans="3:8" s="17" customFormat="1" ht="16.5">
      <c r="C22" s="423"/>
      <c r="D22" s="423"/>
      <c r="E22" s="423"/>
      <c r="F22" s="423"/>
      <c r="G22" s="183"/>
      <c r="H22" s="417"/>
    </row>
    <row r="23" spans="3:10" s="17" customFormat="1" ht="15.75">
      <c r="C23" s="90"/>
      <c r="D23" s="90"/>
      <c r="E23" s="90"/>
      <c r="F23" s="90"/>
      <c r="G23" s="422"/>
      <c r="H23" s="422"/>
      <c r="I23" s="422"/>
      <c r="J23" s="422"/>
    </row>
    <row r="24" s="17" customFormat="1" ht="15.75"/>
    <row r="25" s="17" customFormat="1" ht="15.75"/>
    <row r="26" s="17" customFormat="1" ht="15.75"/>
    <row r="27" s="17" customFormat="1" ht="15.75"/>
    <row r="28" spans="4:7" s="17" customFormat="1" ht="15.75">
      <c r="D28" s="163"/>
      <c r="E28" s="184"/>
      <c r="F28" s="185"/>
      <c r="G28" s="186"/>
    </row>
    <row r="29" spans="4:7" s="17" customFormat="1" ht="15.75">
      <c r="D29" s="163"/>
      <c r="E29" s="184"/>
      <c r="F29" s="185"/>
      <c r="G29" s="186"/>
    </row>
    <row r="30" spans="4:7" s="17" customFormat="1" ht="15.75">
      <c r="D30" s="163"/>
      <c r="E30" s="184"/>
      <c r="F30" s="185"/>
      <c r="G30" s="186"/>
    </row>
    <row r="31" spans="4:7" s="17" customFormat="1" ht="15.75">
      <c r="D31" s="163"/>
      <c r="E31" s="184"/>
      <c r="F31" s="185"/>
      <c r="G31" s="186"/>
    </row>
    <row r="32" spans="4:7" s="17" customFormat="1" ht="15.75">
      <c r="D32" s="163"/>
      <c r="E32" s="184"/>
      <c r="F32" s="185"/>
      <c r="G32" s="186"/>
    </row>
    <row r="33" spans="4:7" s="17" customFormat="1" ht="15.75">
      <c r="D33" s="163"/>
      <c r="E33" s="184"/>
      <c r="F33" s="185"/>
      <c r="G33" s="186"/>
    </row>
    <row r="34" spans="4:7" s="17" customFormat="1" ht="15.75">
      <c r="D34" s="163"/>
      <c r="E34" s="184"/>
      <c r="F34" s="185"/>
      <c r="G34" s="186"/>
    </row>
    <row r="35" spans="4:7" s="17" customFormat="1" ht="15.75">
      <c r="D35" s="163"/>
      <c r="E35" s="184"/>
      <c r="F35" s="185"/>
      <c r="G35" s="186"/>
    </row>
    <row r="36" spans="4:7" s="17" customFormat="1" ht="15.75">
      <c r="D36" s="163"/>
      <c r="E36" s="184"/>
      <c r="F36" s="185"/>
      <c r="G36" s="186"/>
    </row>
    <row r="37" spans="4:7" s="17" customFormat="1" ht="15.75">
      <c r="D37" s="163"/>
      <c r="E37" s="184"/>
      <c r="F37" s="185"/>
      <c r="G37" s="186"/>
    </row>
    <row r="38" spans="4:7" s="17" customFormat="1" ht="15.75">
      <c r="D38" s="163"/>
      <c r="E38" s="184"/>
      <c r="F38" s="185"/>
      <c r="G38" s="186"/>
    </row>
    <row r="39" spans="4:7" s="17" customFormat="1" ht="15.75">
      <c r="D39" s="163"/>
      <c r="E39" s="184"/>
      <c r="F39" s="185"/>
      <c r="G39" s="186"/>
    </row>
    <row r="40" spans="4:8" s="17" customFormat="1" ht="15.75">
      <c r="D40" s="187"/>
      <c r="E40" s="188"/>
      <c r="F40" s="189"/>
      <c r="G40" s="190"/>
      <c r="H40" s="191"/>
    </row>
    <row r="41" spans="4:8" s="17" customFormat="1" ht="15.75">
      <c r="D41" s="192"/>
      <c r="E41" s="188"/>
      <c r="F41" s="193"/>
      <c r="G41" s="194"/>
      <c r="H41" s="195"/>
    </row>
    <row r="42" spans="2:8" s="17" customFormat="1" ht="15.75">
      <c r="B42" s="196"/>
      <c r="D42" s="192"/>
      <c r="E42" s="188"/>
      <c r="F42" s="193"/>
      <c r="G42" s="194"/>
      <c r="H42" s="195"/>
    </row>
    <row r="43" spans="4:8" s="17" customFormat="1" ht="15.75">
      <c r="D43" s="192"/>
      <c r="E43" s="188"/>
      <c r="F43" s="193"/>
      <c r="G43" s="194"/>
      <c r="H43" s="195"/>
    </row>
    <row r="44" spans="2:8" s="17" customFormat="1" ht="15.75">
      <c r="B44" s="196"/>
      <c r="D44" s="192"/>
      <c r="E44" s="188"/>
      <c r="F44" s="193"/>
      <c r="G44" s="194"/>
      <c r="H44" s="195"/>
    </row>
    <row r="45" spans="4:8" s="17" customFormat="1" ht="15.75">
      <c r="D45" s="192"/>
      <c r="E45" s="188"/>
      <c r="F45" s="193"/>
      <c r="G45" s="194"/>
      <c r="H45" s="195"/>
    </row>
    <row r="46" spans="4:8" s="17" customFormat="1" ht="15.75">
      <c r="D46" s="192"/>
      <c r="E46" s="188"/>
      <c r="F46" s="193"/>
      <c r="G46" s="194"/>
      <c r="H46" s="195"/>
    </row>
    <row r="47" spans="4:8" s="17" customFormat="1" ht="15.75">
      <c r="D47" s="192"/>
      <c r="E47" s="188"/>
      <c r="F47" s="193"/>
      <c r="G47" s="194"/>
      <c r="H47" s="195"/>
    </row>
    <row r="48" spans="4:8" s="17" customFormat="1" ht="15.75">
      <c r="D48" s="192"/>
      <c r="E48" s="188"/>
      <c r="F48" s="193"/>
      <c r="G48" s="194"/>
      <c r="H48" s="195"/>
    </row>
    <row r="49" spans="2:8" s="17" customFormat="1" ht="15.75">
      <c r="B49" s="196"/>
      <c r="D49" s="192"/>
      <c r="E49" s="188"/>
      <c r="F49" s="193"/>
      <c r="G49" s="194"/>
      <c r="H49" s="195"/>
    </row>
    <row r="50" spans="2:8" s="17" customFormat="1" ht="15.75">
      <c r="B50" s="196"/>
      <c r="D50" s="192"/>
      <c r="E50" s="188"/>
      <c r="F50" s="193"/>
      <c r="G50" s="194"/>
      <c r="H50" s="195"/>
    </row>
    <row r="51" spans="2:8" s="17" customFormat="1" ht="15.75">
      <c r="B51" s="196"/>
      <c r="D51" s="192"/>
      <c r="E51" s="188"/>
      <c r="F51" s="193"/>
      <c r="G51" s="194"/>
      <c r="H51" s="195"/>
    </row>
    <row r="52" spans="4:8" s="17" customFormat="1" ht="15.75">
      <c r="D52" s="192"/>
      <c r="E52" s="188"/>
      <c r="F52" s="193"/>
      <c r="G52" s="194"/>
      <c r="H52" s="195"/>
    </row>
    <row r="53" spans="4:8" s="17" customFormat="1" ht="15.75">
      <c r="D53" s="192"/>
      <c r="E53" s="188"/>
      <c r="F53" s="193"/>
      <c r="G53" s="194"/>
      <c r="H53" s="195"/>
    </row>
    <row r="54" spans="4:8" s="17" customFormat="1" ht="15.75">
      <c r="D54" s="192"/>
      <c r="E54" s="188"/>
      <c r="F54" s="193"/>
      <c r="G54" s="194"/>
      <c r="H54" s="195"/>
    </row>
    <row r="55" spans="2:8" s="17" customFormat="1" ht="15.75">
      <c r="B55" s="196"/>
      <c r="D55" s="192"/>
      <c r="E55" s="188"/>
      <c r="F55" s="193"/>
      <c r="G55" s="194"/>
      <c r="H55" s="195"/>
    </row>
    <row r="56" spans="4:8" s="17" customFormat="1" ht="15.75">
      <c r="D56" s="192"/>
      <c r="E56" s="188"/>
      <c r="F56" s="193"/>
      <c r="G56" s="194"/>
      <c r="H56" s="195"/>
    </row>
    <row r="57" spans="4:8" s="17" customFormat="1" ht="15.75">
      <c r="D57" s="192"/>
      <c r="E57" s="188"/>
      <c r="F57" s="193"/>
      <c r="G57" s="194"/>
      <c r="H57" s="195"/>
    </row>
    <row r="58" spans="4:8" s="17" customFormat="1" ht="15.75">
      <c r="D58" s="192"/>
      <c r="E58" s="188"/>
      <c r="F58" s="193"/>
      <c r="G58" s="194"/>
      <c r="H58" s="195"/>
    </row>
    <row r="59" spans="4:8" s="17" customFormat="1" ht="15.75">
      <c r="D59" s="192"/>
      <c r="E59" s="188"/>
      <c r="F59" s="193"/>
      <c r="G59" s="194"/>
      <c r="H59" s="195"/>
    </row>
    <row r="60" spans="4:8" s="17" customFormat="1" ht="15.75">
      <c r="D60" s="192"/>
      <c r="E60" s="188"/>
      <c r="F60" s="193"/>
      <c r="G60" s="194"/>
      <c r="H60" s="195"/>
    </row>
    <row r="61" spans="4:8" s="17" customFormat="1" ht="15.75">
      <c r="D61" s="192"/>
      <c r="E61" s="188"/>
      <c r="F61" s="193"/>
      <c r="G61" s="194"/>
      <c r="H61" s="195"/>
    </row>
    <row r="62" spans="2:8" s="17" customFormat="1" ht="15.75">
      <c r="B62" s="197"/>
      <c r="D62" s="192"/>
      <c r="E62" s="188"/>
      <c r="F62" s="193"/>
      <c r="G62" s="194"/>
      <c r="H62" s="195"/>
    </row>
    <row r="63" spans="4:8" s="17" customFormat="1" ht="15.75">
      <c r="D63" s="192"/>
      <c r="E63" s="188"/>
      <c r="F63" s="193"/>
      <c r="G63" s="194"/>
      <c r="H63" s="195"/>
    </row>
    <row r="64" spans="4:8" s="17" customFormat="1" ht="15.75">
      <c r="D64" s="192"/>
      <c r="E64" s="188"/>
      <c r="F64" s="193"/>
      <c r="G64" s="194"/>
      <c r="H64" s="195"/>
    </row>
    <row r="65" spans="4:8" s="17" customFormat="1" ht="15.75">
      <c r="D65" s="192"/>
      <c r="E65" s="188"/>
      <c r="F65" s="193"/>
      <c r="G65" s="194"/>
      <c r="H65" s="195"/>
    </row>
    <row r="66" spans="4:8" s="17" customFormat="1" ht="15.75">
      <c r="D66" s="192"/>
      <c r="E66" s="188"/>
      <c r="F66" s="193"/>
      <c r="G66" s="194"/>
      <c r="H66" s="195"/>
    </row>
    <row r="67" spans="4:8" s="17" customFormat="1" ht="15.75">
      <c r="D67" s="192"/>
      <c r="E67" s="188"/>
      <c r="F67" s="193"/>
      <c r="G67" s="194"/>
      <c r="H67" s="195"/>
    </row>
    <row r="68" spans="4:8" s="17" customFormat="1" ht="15.75">
      <c r="D68" s="192"/>
      <c r="E68" s="188"/>
      <c r="F68" s="193"/>
      <c r="G68" s="194"/>
      <c r="H68" s="195"/>
    </row>
    <row r="69" spans="4:7" s="17" customFormat="1" ht="15.75">
      <c r="D69" s="163"/>
      <c r="E69" s="184"/>
      <c r="F69" s="185"/>
      <c r="G69" s="186"/>
    </row>
    <row r="70" spans="4:7" s="17" customFormat="1" ht="15.75">
      <c r="D70" s="163"/>
      <c r="E70" s="184"/>
      <c r="F70" s="185"/>
      <c r="G70" s="186"/>
    </row>
    <row r="71" spans="4:7" s="17" customFormat="1" ht="15.75">
      <c r="D71" s="163"/>
      <c r="E71" s="184"/>
      <c r="F71" s="185"/>
      <c r="G71" s="186"/>
    </row>
    <row r="72" spans="4:7" s="17" customFormat="1" ht="15.75">
      <c r="D72" s="163"/>
      <c r="E72" s="184"/>
      <c r="F72" s="185"/>
      <c r="G72" s="186"/>
    </row>
    <row r="73" spans="4:7" s="17" customFormat="1" ht="15.75">
      <c r="D73" s="163"/>
      <c r="E73" s="184"/>
      <c r="F73" s="185"/>
      <c r="G73" s="186"/>
    </row>
    <row r="74" spans="4:7" s="17" customFormat="1" ht="15.75">
      <c r="D74" s="163"/>
      <c r="E74" s="184"/>
      <c r="F74" s="185"/>
      <c r="G74" s="186"/>
    </row>
    <row r="75" spans="4:7" s="17" customFormat="1" ht="15.75">
      <c r="D75" s="163"/>
      <c r="E75" s="184"/>
      <c r="F75" s="185"/>
      <c r="G75" s="186"/>
    </row>
    <row r="76" spans="4:7" s="17" customFormat="1" ht="15.75">
      <c r="D76" s="163"/>
      <c r="E76" s="184"/>
      <c r="F76" s="185"/>
      <c r="G76" s="186"/>
    </row>
    <row r="77" spans="4:7" s="17" customFormat="1" ht="15.75">
      <c r="D77" s="163"/>
      <c r="E77" s="184"/>
      <c r="F77" s="185"/>
      <c r="G77" s="186"/>
    </row>
    <row r="78" spans="4:7" s="17" customFormat="1" ht="15.75">
      <c r="D78" s="163"/>
      <c r="E78" s="184"/>
      <c r="F78" s="185"/>
      <c r="G78" s="186"/>
    </row>
    <row r="79" spans="4:7" s="17" customFormat="1" ht="15.75">
      <c r="D79" s="163"/>
      <c r="E79" s="184"/>
      <c r="F79" s="185"/>
      <c r="G79" s="186"/>
    </row>
    <row r="80" spans="4:7" s="17" customFormat="1" ht="15.75">
      <c r="D80" s="163"/>
      <c r="E80" s="184"/>
      <c r="F80" s="185"/>
      <c r="G80" s="186"/>
    </row>
    <row r="81" spans="4:7" s="17" customFormat="1" ht="15.75">
      <c r="D81" s="163"/>
      <c r="E81" s="184"/>
      <c r="F81" s="185"/>
      <c r="G81" s="186"/>
    </row>
    <row r="82" spans="4:7" s="17" customFormat="1" ht="15.75">
      <c r="D82" s="163"/>
      <c r="E82" s="184"/>
      <c r="F82" s="185"/>
      <c r="G82" s="186"/>
    </row>
    <row r="83" spans="4:7" s="17" customFormat="1" ht="15.75">
      <c r="D83" s="163"/>
      <c r="E83" s="184"/>
      <c r="F83" s="185"/>
      <c r="G83" s="186"/>
    </row>
    <row r="84" spans="4:7" s="17" customFormat="1" ht="15.75">
      <c r="D84" s="163"/>
      <c r="E84" s="184"/>
      <c r="F84" s="185"/>
      <c r="G84" s="186"/>
    </row>
    <row r="85" spans="4:7" s="17" customFormat="1" ht="15.75">
      <c r="D85" s="163"/>
      <c r="E85" s="184"/>
      <c r="F85" s="185"/>
      <c r="G85" s="186"/>
    </row>
    <row r="86" spans="4:7" s="17" customFormat="1" ht="15.75">
      <c r="D86" s="163"/>
      <c r="E86" s="184"/>
      <c r="F86" s="185"/>
      <c r="G86" s="186"/>
    </row>
    <row r="87" spans="4:7" s="17" customFormat="1" ht="15.75">
      <c r="D87" s="163"/>
      <c r="E87" s="184"/>
      <c r="F87" s="185"/>
      <c r="G87" s="186"/>
    </row>
    <row r="88" spans="4:7" s="17" customFormat="1" ht="15.75">
      <c r="D88" s="163"/>
      <c r="E88" s="184"/>
      <c r="F88" s="185"/>
      <c r="G88" s="186"/>
    </row>
    <row r="89" spans="4:7" s="17" customFormat="1" ht="15.75">
      <c r="D89" s="163"/>
      <c r="E89" s="184"/>
      <c r="F89" s="185"/>
      <c r="G89" s="186"/>
    </row>
    <row r="90" spans="4:7" s="17" customFormat="1" ht="15.75">
      <c r="D90" s="163"/>
      <c r="E90" s="184"/>
      <c r="F90" s="185"/>
      <c r="G90" s="186"/>
    </row>
    <row r="91" spans="4:7" s="17" customFormat="1" ht="15.75">
      <c r="D91" s="163"/>
      <c r="E91" s="184"/>
      <c r="F91" s="185"/>
      <c r="G91" s="186"/>
    </row>
    <row r="92" spans="4:7" s="17" customFormat="1" ht="15.75">
      <c r="D92" s="163"/>
      <c r="E92" s="184"/>
      <c r="F92" s="185"/>
      <c r="G92" s="186"/>
    </row>
    <row r="93" spans="4:7" s="17" customFormat="1" ht="15.75">
      <c r="D93" s="163"/>
      <c r="E93" s="184"/>
      <c r="F93" s="185"/>
      <c r="G93" s="186"/>
    </row>
    <row r="94" spans="4:7" s="17" customFormat="1" ht="15.75">
      <c r="D94" s="163"/>
      <c r="E94" s="184"/>
      <c r="F94" s="185"/>
      <c r="G94" s="186"/>
    </row>
    <row r="95" spans="4:7" s="17" customFormat="1" ht="15.75">
      <c r="D95" s="163"/>
      <c r="E95" s="184"/>
      <c r="F95" s="185"/>
      <c r="G95" s="186"/>
    </row>
    <row r="96" spans="4:7" s="17" customFormat="1" ht="15.75">
      <c r="D96" s="163"/>
      <c r="E96" s="184"/>
      <c r="F96" s="185"/>
      <c r="G96" s="186"/>
    </row>
    <row r="97" spans="4:7" s="17" customFormat="1" ht="15.75">
      <c r="D97" s="163"/>
      <c r="E97" s="184"/>
      <c r="F97" s="185"/>
      <c r="G97" s="186"/>
    </row>
    <row r="98" spans="4:7" s="17" customFormat="1" ht="15.75">
      <c r="D98" s="163"/>
      <c r="E98" s="184"/>
      <c r="F98" s="185"/>
      <c r="G98" s="186"/>
    </row>
    <row r="99" spans="4:7" s="17" customFormat="1" ht="15.75">
      <c r="D99" s="163"/>
      <c r="E99" s="184"/>
      <c r="F99" s="185"/>
      <c r="G99" s="186"/>
    </row>
    <row r="100" spans="4:7" s="17" customFormat="1" ht="15.75">
      <c r="D100" s="163"/>
      <c r="E100" s="184"/>
      <c r="F100" s="185"/>
      <c r="G100" s="186"/>
    </row>
    <row r="101" spans="4:7" s="17" customFormat="1" ht="15.75">
      <c r="D101" s="163"/>
      <c r="E101" s="184"/>
      <c r="F101" s="185"/>
      <c r="G101" s="186"/>
    </row>
    <row r="102" spans="4:7" s="17" customFormat="1" ht="15.75">
      <c r="D102" s="163"/>
      <c r="E102" s="184"/>
      <c r="F102" s="185"/>
      <c r="G102" s="186"/>
    </row>
    <row r="103" spans="4:7" s="17" customFormat="1" ht="15.75">
      <c r="D103" s="163"/>
      <c r="E103" s="184"/>
      <c r="F103" s="185"/>
      <c r="G103" s="186"/>
    </row>
    <row r="104" spans="4:7" s="17" customFormat="1" ht="15.75">
      <c r="D104" s="163"/>
      <c r="E104" s="184"/>
      <c r="F104" s="185"/>
      <c r="G104" s="186"/>
    </row>
    <row r="105" spans="4:7" s="17" customFormat="1" ht="15.75">
      <c r="D105" s="163"/>
      <c r="E105" s="184"/>
      <c r="F105" s="185"/>
      <c r="G105" s="186"/>
    </row>
    <row r="106" spans="4:7" s="17" customFormat="1" ht="15.75">
      <c r="D106" s="163"/>
      <c r="E106" s="184"/>
      <c r="F106" s="185"/>
      <c r="G106" s="186"/>
    </row>
    <row r="107" spans="4:7" s="17" customFormat="1" ht="15.75">
      <c r="D107" s="163"/>
      <c r="E107" s="184"/>
      <c r="F107" s="185"/>
      <c r="G107" s="186"/>
    </row>
    <row r="108" spans="4:7" s="17" customFormat="1" ht="15.75">
      <c r="D108" s="163"/>
      <c r="E108" s="184"/>
      <c r="F108" s="185"/>
      <c r="G108" s="186"/>
    </row>
    <row r="109" spans="4:7" s="17" customFormat="1" ht="15.75">
      <c r="D109" s="163"/>
      <c r="E109" s="184"/>
      <c r="F109" s="185"/>
      <c r="G109" s="186"/>
    </row>
    <row r="110" spans="4:7" s="17" customFormat="1" ht="15.75">
      <c r="D110" s="163"/>
      <c r="E110" s="184"/>
      <c r="F110" s="185"/>
      <c r="G110" s="186"/>
    </row>
    <row r="111" spans="4:7" s="17" customFormat="1" ht="15.75">
      <c r="D111" s="163"/>
      <c r="E111" s="184"/>
      <c r="F111" s="185"/>
      <c r="G111" s="186"/>
    </row>
    <row r="112" spans="4:7" s="17" customFormat="1" ht="15.75">
      <c r="D112" s="163"/>
      <c r="E112" s="184"/>
      <c r="F112" s="185"/>
      <c r="G112" s="186"/>
    </row>
    <row r="113" spans="4:7" s="17" customFormat="1" ht="15.75">
      <c r="D113" s="163"/>
      <c r="E113" s="184"/>
      <c r="F113" s="185"/>
      <c r="G113" s="186"/>
    </row>
    <row r="114" spans="4:7" s="17" customFormat="1" ht="15.75">
      <c r="D114" s="163"/>
      <c r="E114" s="184"/>
      <c r="F114" s="185"/>
      <c r="G114" s="186"/>
    </row>
    <row r="115" spans="4:7" s="17" customFormat="1" ht="15.75">
      <c r="D115" s="163"/>
      <c r="E115" s="184"/>
      <c r="F115" s="185"/>
      <c r="G115" s="186"/>
    </row>
    <row r="116" spans="4:7" s="17" customFormat="1" ht="15.75">
      <c r="D116" s="163"/>
      <c r="E116" s="184"/>
      <c r="F116" s="185"/>
      <c r="G116" s="186"/>
    </row>
    <row r="117" spans="4:7" s="17" customFormat="1" ht="15.75">
      <c r="D117" s="163"/>
      <c r="E117" s="184"/>
      <c r="F117" s="185"/>
      <c r="G117" s="186"/>
    </row>
    <row r="118" spans="4:7" s="17" customFormat="1" ht="15.75">
      <c r="D118" s="163"/>
      <c r="E118" s="184"/>
      <c r="F118" s="185"/>
      <c r="G118" s="186"/>
    </row>
    <row r="119" spans="4:7" s="17" customFormat="1" ht="15.75">
      <c r="D119" s="163"/>
      <c r="E119" s="184"/>
      <c r="F119" s="185"/>
      <c r="G119" s="186"/>
    </row>
    <row r="120" spans="4:7" s="17" customFormat="1" ht="15.75">
      <c r="D120" s="163"/>
      <c r="E120" s="184"/>
      <c r="F120" s="185"/>
      <c r="G120" s="186"/>
    </row>
    <row r="121" spans="4:7" s="17" customFormat="1" ht="15.75">
      <c r="D121" s="163"/>
      <c r="E121" s="184"/>
      <c r="F121" s="185"/>
      <c r="G121" s="186"/>
    </row>
    <row r="122" spans="4:7" s="17" customFormat="1" ht="15.75">
      <c r="D122" s="163"/>
      <c r="E122" s="184"/>
      <c r="F122" s="185"/>
      <c r="G122" s="186"/>
    </row>
    <row r="123" spans="4:7" s="17" customFormat="1" ht="15.75">
      <c r="D123" s="163"/>
      <c r="E123" s="184"/>
      <c r="F123" s="185"/>
      <c r="G123" s="186"/>
    </row>
    <row r="124" spans="4:7" s="17" customFormat="1" ht="15.75">
      <c r="D124" s="163"/>
      <c r="E124" s="184"/>
      <c r="F124" s="185"/>
      <c r="G124" s="186"/>
    </row>
    <row r="125" spans="4:7" s="17" customFormat="1" ht="15.75">
      <c r="D125" s="163"/>
      <c r="E125" s="184"/>
      <c r="F125" s="185"/>
      <c r="G125" s="186"/>
    </row>
    <row r="126" spans="4:7" s="17" customFormat="1" ht="15.75">
      <c r="D126" s="163"/>
      <c r="E126" s="184"/>
      <c r="F126" s="185"/>
      <c r="G126" s="186"/>
    </row>
    <row r="127" spans="4:7" s="17" customFormat="1" ht="15.75">
      <c r="D127" s="163"/>
      <c r="E127" s="184"/>
      <c r="F127" s="185"/>
      <c r="G127" s="186"/>
    </row>
    <row r="128" spans="4:7" s="17" customFormat="1" ht="15.75">
      <c r="D128" s="163"/>
      <c r="E128" s="184"/>
      <c r="F128" s="185"/>
      <c r="G128" s="186"/>
    </row>
    <row r="129" spans="4:7" s="17" customFormat="1" ht="15.75">
      <c r="D129" s="163"/>
      <c r="E129" s="184"/>
      <c r="F129" s="185"/>
      <c r="G129" s="186"/>
    </row>
    <row r="130" spans="4:7" s="17" customFormat="1" ht="15.75">
      <c r="D130" s="163"/>
      <c r="E130" s="184"/>
      <c r="F130" s="185"/>
      <c r="G130" s="186"/>
    </row>
    <row r="131" spans="4:7" s="17" customFormat="1" ht="15.75">
      <c r="D131" s="163"/>
      <c r="E131" s="184"/>
      <c r="F131" s="185"/>
      <c r="G131" s="186"/>
    </row>
    <row r="132" spans="4:7" s="17" customFormat="1" ht="15.75">
      <c r="D132" s="163"/>
      <c r="E132" s="184"/>
      <c r="F132" s="185"/>
      <c r="G132" s="186"/>
    </row>
    <row r="133" spans="4:7" s="17" customFormat="1" ht="15.75">
      <c r="D133" s="163"/>
      <c r="E133" s="184"/>
      <c r="F133" s="185"/>
      <c r="G133" s="186"/>
    </row>
    <row r="134" spans="4:7" s="17" customFormat="1" ht="15.75">
      <c r="D134" s="163"/>
      <c r="E134" s="184"/>
      <c r="F134" s="185"/>
      <c r="G134" s="186"/>
    </row>
    <row r="135" spans="4:7" s="17" customFormat="1" ht="15.75">
      <c r="D135" s="163"/>
      <c r="E135" s="184"/>
      <c r="F135" s="185"/>
      <c r="G135" s="186"/>
    </row>
    <row r="136" spans="4:7" s="17" customFormat="1" ht="15.75">
      <c r="D136" s="163"/>
      <c r="E136" s="184"/>
      <c r="F136" s="185"/>
      <c r="G136" s="186"/>
    </row>
    <row r="137" spans="4:7" s="17" customFormat="1" ht="15.75">
      <c r="D137" s="163"/>
      <c r="E137" s="184"/>
      <c r="F137" s="185"/>
      <c r="G137" s="186"/>
    </row>
    <row r="138" spans="4:7" s="17" customFormat="1" ht="15.75">
      <c r="D138" s="163"/>
      <c r="E138" s="184"/>
      <c r="F138" s="185"/>
      <c r="G138" s="186"/>
    </row>
    <row r="139" spans="4:7" s="17" customFormat="1" ht="15.75">
      <c r="D139" s="163"/>
      <c r="E139" s="184"/>
      <c r="F139" s="185"/>
      <c r="G139" s="186"/>
    </row>
    <row r="140" spans="4:7" s="17" customFormat="1" ht="15.75">
      <c r="D140" s="163"/>
      <c r="E140" s="184"/>
      <c r="F140" s="185"/>
      <c r="G140" s="186"/>
    </row>
    <row r="141" spans="1:8" ht="15.75">
      <c r="A141" s="17"/>
      <c r="B141" s="17"/>
      <c r="C141" s="17"/>
      <c r="D141" s="163"/>
      <c r="E141" s="184"/>
      <c r="F141" s="185"/>
      <c r="G141" s="186"/>
      <c r="H141" s="17"/>
    </row>
    <row r="142" spans="1:8" ht="15.75">
      <c r="A142" s="17"/>
      <c r="B142" s="17"/>
      <c r="C142" s="17"/>
      <c r="D142" s="163"/>
      <c r="E142" s="184"/>
      <c r="F142" s="185"/>
      <c r="G142" s="186"/>
      <c r="H142" s="17"/>
    </row>
  </sheetData>
  <sheetProtection/>
  <mergeCells count="18">
    <mergeCell ref="I23:J23"/>
    <mergeCell ref="G23:H23"/>
    <mergeCell ref="B2:H2"/>
    <mergeCell ref="D7:D8"/>
    <mergeCell ref="E7:E8"/>
    <mergeCell ref="F7:F8"/>
    <mergeCell ref="G7:G8"/>
    <mergeCell ref="H7:H8"/>
    <mergeCell ref="C10:G10"/>
    <mergeCell ref="C22:D22"/>
    <mergeCell ref="E22:F22"/>
    <mergeCell ref="A1:H1"/>
    <mergeCell ref="B3:H3"/>
    <mergeCell ref="B4:C4"/>
    <mergeCell ref="A6:A8"/>
    <mergeCell ref="B6:B8"/>
    <mergeCell ref="C6:C8"/>
    <mergeCell ref="D6:H6"/>
  </mergeCells>
  <printOptions/>
  <pageMargins left="0.7" right="0.7" top="0.75" bottom="0.75" header="0.3" footer="0.3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230"/>
  <sheetViews>
    <sheetView view="pageBreakPreview" zoomScaleSheetLayoutView="100" zoomScalePageLayoutView="0" workbookViewId="0" topLeftCell="A199">
      <selection activeCell="C236" sqref="C236"/>
    </sheetView>
  </sheetViews>
  <sheetFormatPr defaultColWidth="9.140625" defaultRowHeight="12.75"/>
  <cols>
    <col min="1" max="1" width="3.57421875" style="59" customWidth="1"/>
    <col min="2" max="2" width="53.421875" style="59" customWidth="1"/>
    <col min="3" max="3" width="11.57421875" style="59" customWidth="1"/>
    <col min="4" max="4" width="9.28125" style="59" customWidth="1"/>
    <col min="5" max="5" width="8.421875" style="59" customWidth="1"/>
    <col min="6" max="6" width="9.8515625" style="59" bestFit="1" customWidth="1"/>
    <col min="7" max="7" width="7.28125" style="59" customWidth="1"/>
    <col min="8" max="8" width="10.00390625" style="69" customWidth="1"/>
    <col min="9" max="9" width="6.57421875" style="59" customWidth="1"/>
    <col min="10" max="10" width="8.140625" style="69" bestFit="1" customWidth="1"/>
    <col min="11" max="11" width="7.28125" style="59" customWidth="1"/>
    <col min="12" max="12" width="7.8515625" style="69" customWidth="1"/>
    <col min="13" max="13" width="9.421875" style="69" bestFit="1" customWidth="1"/>
    <col min="14" max="16384" width="9.140625" style="59" customWidth="1"/>
  </cols>
  <sheetData>
    <row r="2" spans="1:12" ht="13.5">
      <c r="A2" s="439" t="e">
        <f>#REF!</f>
        <v>#REF!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13.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13.5">
      <c r="A4" s="440" t="s">
        <v>555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</row>
    <row r="5" spans="1:12" ht="13.5">
      <c r="A5" s="439" t="s">
        <v>36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</row>
    <row r="7" spans="1:13" ht="13.5">
      <c r="A7" s="436" t="s">
        <v>1</v>
      </c>
      <c r="B7" s="436" t="s">
        <v>2</v>
      </c>
      <c r="C7" s="518" t="s">
        <v>48</v>
      </c>
      <c r="D7" s="436" t="s">
        <v>3</v>
      </c>
      <c r="E7" s="436" t="s">
        <v>11</v>
      </c>
      <c r="F7" s="436" t="s">
        <v>4</v>
      </c>
      <c r="G7" s="437" t="s">
        <v>17</v>
      </c>
      <c r="H7" s="437"/>
      <c r="I7" s="437" t="s">
        <v>5</v>
      </c>
      <c r="J7" s="437"/>
      <c r="K7" s="436" t="s">
        <v>6</v>
      </c>
      <c r="L7" s="436"/>
      <c r="M7" s="84" t="s">
        <v>45</v>
      </c>
    </row>
    <row r="8" spans="1:13" ht="13.5">
      <c r="A8" s="436"/>
      <c r="B8" s="436"/>
      <c r="C8" s="519"/>
      <c r="D8" s="436"/>
      <c r="E8" s="436"/>
      <c r="F8" s="436"/>
      <c r="G8" s="376" t="s">
        <v>7</v>
      </c>
      <c r="H8" s="84" t="s">
        <v>8</v>
      </c>
      <c r="I8" s="376" t="s">
        <v>7</v>
      </c>
      <c r="J8" s="84" t="s">
        <v>8</v>
      </c>
      <c r="K8" s="376" t="s">
        <v>7</v>
      </c>
      <c r="L8" s="84" t="s">
        <v>9</v>
      </c>
      <c r="M8" s="84" t="s">
        <v>10</v>
      </c>
    </row>
    <row r="9" spans="1:13" ht="13.5">
      <c r="A9" s="237">
        <v>1</v>
      </c>
      <c r="B9" s="237">
        <v>2</v>
      </c>
      <c r="C9" s="237">
        <v>3</v>
      </c>
      <c r="D9" s="237">
        <v>4</v>
      </c>
      <c r="E9" s="237">
        <v>5</v>
      </c>
      <c r="F9" s="237">
        <v>6</v>
      </c>
      <c r="G9" s="116">
        <v>7</v>
      </c>
      <c r="H9" s="377">
        <v>8</v>
      </c>
      <c r="I9" s="116">
        <v>9</v>
      </c>
      <c r="J9" s="377">
        <v>10</v>
      </c>
      <c r="K9" s="116">
        <v>11</v>
      </c>
      <c r="L9" s="377">
        <v>12</v>
      </c>
      <c r="M9" s="377">
        <v>13</v>
      </c>
    </row>
    <row r="10" spans="1:13" ht="27">
      <c r="A10" s="237"/>
      <c r="B10" s="237" t="s">
        <v>49</v>
      </c>
      <c r="C10" s="237"/>
      <c r="D10" s="237"/>
      <c r="E10" s="237"/>
      <c r="F10" s="237"/>
      <c r="G10" s="116"/>
      <c r="H10" s="377"/>
      <c r="I10" s="116"/>
      <c r="J10" s="377"/>
      <c r="K10" s="116"/>
      <c r="L10" s="377"/>
      <c r="M10" s="377"/>
    </row>
    <row r="11" spans="1:13" s="26" customFormat="1" ht="27">
      <c r="A11" s="375">
        <v>1</v>
      </c>
      <c r="B11" s="25" t="s">
        <v>50</v>
      </c>
      <c r="C11" s="378" t="s">
        <v>51</v>
      </c>
      <c r="D11" s="376" t="s">
        <v>31</v>
      </c>
      <c r="E11" s="376"/>
      <c r="F11" s="70">
        <v>3050</v>
      </c>
      <c r="G11" s="376"/>
      <c r="H11" s="84"/>
      <c r="I11" s="376"/>
      <c r="J11" s="84"/>
      <c r="K11" s="376"/>
      <c r="L11" s="84"/>
      <c r="M11" s="84"/>
    </row>
    <row r="12" spans="1:13" s="26" customFormat="1" ht="13.5">
      <c r="A12" s="375"/>
      <c r="B12" s="72" t="s">
        <v>12</v>
      </c>
      <c r="C12" s="375"/>
      <c r="D12" s="376" t="s">
        <v>15</v>
      </c>
      <c r="E12" s="376">
        <v>0.0215</v>
      </c>
      <c r="F12" s="71">
        <f>F11*E12</f>
        <v>65.57499999999999</v>
      </c>
      <c r="G12" s="376"/>
      <c r="H12" s="84"/>
      <c r="I12" s="376"/>
      <c r="J12" s="84"/>
      <c r="K12" s="376"/>
      <c r="L12" s="84"/>
      <c r="M12" s="87"/>
    </row>
    <row r="13" spans="1:13" s="26" customFormat="1" ht="13.5">
      <c r="A13" s="375"/>
      <c r="B13" s="72" t="s">
        <v>52</v>
      </c>
      <c r="C13" s="375" t="s">
        <v>189</v>
      </c>
      <c r="D13" s="375" t="s">
        <v>21</v>
      </c>
      <c r="E13" s="376">
        <v>0.0482</v>
      </c>
      <c r="F13" s="71">
        <f>E13*F11</f>
        <v>147.01</v>
      </c>
      <c r="G13" s="71"/>
      <c r="H13" s="84"/>
      <c r="I13" s="71"/>
      <c r="J13" s="84"/>
      <c r="K13" s="71"/>
      <c r="L13" s="84"/>
      <c r="M13" s="87"/>
    </row>
    <row r="14" spans="1:13" s="27" customFormat="1" ht="13.5">
      <c r="A14" s="74">
        <v>2</v>
      </c>
      <c r="B14" s="75" t="s">
        <v>53</v>
      </c>
      <c r="C14" s="378" t="s">
        <v>54</v>
      </c>
      <c r="D14" s="76" t="s">
        <v>31</v>
      </c>
      <c r="E14" s="76"/>
      <c r="F14" s="202">
        <v>300</v>
      </c>
      <c r="G14" s="76"/>
      <c r="H14" s="83"/>
      <c r="I14" s="76"/>
      <c r="J14" s="84"/>
      <c r="K14" s="76"/>
      <c r="L14" s="83"/>
      <c r="M14" s="87"/>
    </row>
    <row r="15" spans="1:13" s="26" customFormat="1" ht="13.5">
      <c r="A15" s="375"/>
      <c r="B15" s="72" t="s">
        <v>12</v>
      </c>
      <c r="C15" s="375"/>
      <c r="D15" s="376" t="s">
        <v>15</v>
      </c>
      <c r="E15" s="376">
        <v>2.99</v>
      </c>
      <c r="F15" s="71">
        <f>F14*E15</f>
        <v>897.0000000000001</v>
      </c>
      <c r="G15" s="376"/>
      <c r="H15" s="84"/>
      <c r="I15" s="376"/>
      <c r="J15" s="84"/>
      <c r="K15" s="376"/>
      <c r="L15" s="84"/>
      <c r="M15" s="87"/>
    </row>
    <row r="16" spans="1:13" s="26" customFormat="1" ht="13.5">
      <c r="A16" s="74">
        <v>4</v>
      </c>
      <c r="B16" s="75" t="s">
        <v>229</v>
      </c>
      <c r="C16" s="378" t="s">
        <v>448</v>
      </c>
      <c r="D16" s="76" t="s">
        <v>13</v>
      </c>
      <c r="E16" s="76"/>
      <c r="F16" s="29">
        <f>F11*1.98</f>
        <v>6039</v>
      </c>
      <c r="G16" s="76"/>
      <c r="H16" s="83"/>
      <c r="I16" s="76"/>
      <c r="J16" s="84"/>
      <c r="K16" s="76"/>
      <c r="L16" s="83"/>
      <c r="M16" s="87"/>
    </row>
    <row r="17" spans="1:13" s="27" customFormat="1" ht="27">
      <c r="A17" s="74">
        <v>5</v>
      </c>
      <c r="B17" s="75" t="s">
        <v>222</v>
      </c>
      <c r="C17" s="378" t="s">
        <v>55</v>
      </c>
      <c r="D17" s="76" t="s">
        <v>31</v>
      </c>
      <c r="E17" s="76"/>
      <c r="F17" s="29">
        <v>1220</v>
      </c>
      <c r="G17" s="76"/>
      <c r="H17" s="83"/>
      <c r="I17" s="76"/>
      <c r="J17" s="84"/>
      <c r="K17" s="76"/>
      <c r="L17" s="83"/>
      <c r="M17" s="87"/>
    </row>
    <row r="18" spans="1:13" s="26" customFormat="1" ht="13.5">
      <c r="A18" s="28"/>
      <c r="B18" s="25" t="s">
        <v>39</v>
      </c>
      <c r="C18" s="375"/>
      <c r="D18" s="376" t="s">
        <v>15</v>
      </c>
      <c r="E18" s="375">
        <v>1.8</v>
      </c>
      <c r="F18" s="70">
        <f>E18*F17</f>
        <v>2196</v>
      </c>
      <c r="G18" s="375"/>
      <c r="H18" s="83"/>
      <c r="I18" s="375"/>
      <c r="J18" s="83"/>
      <c r="K18" s="375"/>
      <c r="L18" s="83"/>
      <c r="M18" s="87"/>
    </row>
    <row r="19" spans="1:13" s="26" customFormat="1" ht="13.5">
      <c r="A19" s="30"/>
      <c r="B19" s="375" t="s">
        <v>56</v>
      </c>
      <c r="C19" s="31"/>
      <c r="D19" s="375"/>
      <c r="E19" s="375"/>
      <c r="F19" s="70"/>
      <c r="G19" s="375"/>
      <c r="H19" s="83"/>
      <c r="I19" s="79"/>
      <c r="J19" s="83"/>
      <c r="K19" s="79"/>
      <c r="L19" s="83"/>
      <c r="M19" s="87"/>
    </row>
    <row r="20" spans="1:13" s="26" customFormat="1" ht="15.75">
      <c r="A20" s="30"/>
      <c r="B20" s="25" t="s">
        <v>223</v>
      </c>
      <c r="C20" s="72" t="s">
        <v>133</v>
      </c>
      <c r="D20" s="376" t="s">
        <v>57</v>
      </c>
      <c r="E20" s="375">
        <v>1.1</v>
      </c>
      <c r="F20" s="375">
        <f>E20*F17</f>
        <v>1342</v>
      </c>
      <c r="G20" s="32"/>
      <c r="H20" s="33"/>
      <c r="I20" s="34"/>
      <c r="J20" s="83"/>
      <c r="K20" s="32"/>
      <c r="L20" s="83"/>
      <c r="M20" s="87"/>
    </row>
    <row r="21" spans="1:13" s="26" customFormat="1" ht="14.25" customHeight="1">
      <c r="A21" s="78"/>
      <c r="B21" s="25" t="s">
        <v>556</v>
      </c>
      <c r="C21" s="389" t="s">
        <v>449</v>
      </c>
      <c r="D21" s="376" t="s">
        <v>13</v>
      </c>
      <c r="E21" s="375"/>
      <c r="F21" s="375">
        <f>F20*1.5</f>
        <v>2013</v>
      </c>
      <c r="G21" s="32"/>
      <c r="H21" s="213"/>
      <c r="I21" s="34"/>
      <c r="J21" s="83"/>
      <c r="K21" s="32"/>
      <c r="L21" s="83"/>
      <c r="M21" s="87"/>
    </row>
    <row r="22" spans="1:13" s="26" customFormat="1" ht="40.5">
      <c r="A22" s="74">
        <v>7</v>
      </c>
      <c r="B22" s="75" t="s">
        <v>100</v>
      </c>
      <c r="C22" s="378" t="s">
        <v>95</v>
      </c>
      <c r="D22" s="76" t="s">
        <v>20</v>
      </c>
      <c r="E22" s="76"/>
      <c r="F22" s="29">
        <v>24</v>
      </c>
      <c r="G22" s="76"/>
      <c r="H22" s="33"/>
      <c r="I22" s="76"/>
      <c r="J22" s="84"/>
      <c r="K22" s="76"/>
      <c r="L22" s="84"/>
      <c r="M22" s="87"/>
    </row>
    <row r="23" spans="1:13" s="26" customFormat="1" ht="13.5">
      <c r="A23" s="375"/>
      <c r="B23" s="72" t="s">
        <v>12</v>
      </c>
      <c r="C23" s="375"/>
      <c r="D23" s="376" t="s">
        <v>15</v>
      </c>
      <c r="E23" s="376">
        <v>0.181</v>
      </c>
      <c r="F23" s="71">
        <f>E23*F22</f>
        <v>4.343999999999999</v>
      </c>
      <c r="G23" s="376"/>
      <c r="H23" s="33"/>
      <c r="I23" s="376"/>
      <c r="J23" s="84"/>
      <c r="K23" s="376"/>
      <c r="L23" s="84"/>
      <c r="M23" s="87"/>
    </row>
    <row r="24" spans="1:13" s="26" customFormat="1" ht="13.5">
      <c r="A24" s="375"/>
      <c r="B24" s="72" t="s">
        <v>14</v>
      </c>
      <c r="C24" s="375"/>
      <c r="D24" s="375" t="s">
        <v>0</v>
      </c>
      <c r="E24" s="376">
        <v>0.0921</v>
      </c>
      <c r="F24" s="73">
        <f>E24*F22</f>
        <v>2.2104</v>
      </c>
      <c r="G24" s="376"/>
      <c r="H24" s="33"/>
      <c r="I24" s="376"/>
      <c r="J24" s="84"/>
      <c r="K24" s="376"/>
      <c r="L24" s="84"/>
      <c r="M24" s="87"/>
    </row>
    <row r="25" spans="1:13" s="26" customFormat="1" ht="13.5">
      <c r="A25" s="78"/>
      <c r="B25" s="375" t="s">
        <v>56</v>
      </c>
      <c r="C25" s="31"/>
      <c r="D25" s="375"/>
      <c r="E25" s="375"/>
      <c r="F25" s="70"/>
      <c r="G25" s="375"/>
      <c r="H25" s="33"/>
      <c r="I25" s="376"/>
      <c r="J25" s="84"/>
      <c r="K25" s="79"/>
      <c r="L25" s="84"/>
      <c r="M25" s="87"/>
    </row>
    <row r="26" spans="1:13" s="26" customFormat="1" ht="13.5">
      <c r="A26" s="78"/>
      <c r="B26" s="81" t="s">
        <v>101</v>
      </c>
      <c r="C26" s="31" t="s">
        <v>92</v>
      </c>
      <c r="D26" s="375" t="s">
        <v>20</v>
      </c>
      <c r="E26" s="375">
        <v>1.01</v>
      </c>
      <c r="F26" s="70">
        <v>24</v>
      </c>
      <c r="G26" s="70"/>
      <c r="H26" s="33"/>
      <c r="I26" s="376"/>
      <c r="J26" s="84"/>
      <c r="K26" s="79"/>
      <c r="L26" s="84"/>
      <c r="M26" s="87"/>
    </row>
    <row r="27" spans="1:13" s="26" customFormat="1" ht="13.5">
      <c r="A27" s="78"/>
      <c r="B27" s="72" t="s">
        <v>18</v>
      </c>
      <c r="C27" s="31"/>
      <c r="D27" s="375" t="s">
        <v>0</v>
      </c>
      <c r="E27" s="375">
        <v>0.00516</v>
      </c>
      <c r="F27" s="82">
        <v>3.8183999999999996</v>
      </c>
      <c r="G27" s="375"/>
      <c r="H27" s="33"/>
      <c r="I27" s="376"/>
      <c r="J27" s="84"/>
      <c r="K27" s="79"/>
      <c r="L27" s="84"/>
      <c r="M27" s="87"/>
    </row>
    <row r="28" spans="1:14" s="26" customFormat="1" ht="27">
      <c r="A28" s="74">
        <v>8</v>
      </c>
      <c r="B28" s="75" t="s">
        <v>131</v>
      </c>
      <c r="C28" s="378" t="s">
        <v>534</v>
      </c>
      <c r="D28" s="76" t="s">
        <v>20</v>
      </c>
      <c r="E28" s="76"/>
      <c r="F28" s="29">
        <v>760</v>
      </c>
      <c r="G28" s="76"/>
      <c r="H28" s="83"/>
      <c r="I28" s="76"/>
      <c r="J28" s="84"/>
      <c r="K28" s="76"/>
      <c r="L28" s="83"/>
      <c r="M28" s="87"/>
      <c r="N28" s="207"/>
    </row>
    <row r="29" spans="1:13" s="26" customFormat="1" ht="13.5">
      <c r="A29" s="375"/>
      <c r="B29" s="72" t="s">
        <v>12</v>
      </c>
      <c r="C29" s="375"/>
      <c r="D29" s="376" t="s">
        <v>15</v>
      </c>
      <c r="E29" s="376">
        <v>0.119</v>
      </c>
      <c r="F29" s="71">
        <f>F28*E29</f>
        <v>90.44</v>
      </c>
      <c r="G29" s="376"/>
      <c r="H29" s="84"/>
      <c r="I29" s="376"/>
      <c r="J29" s="84"/>
      <c r="K29" s="376"/>
      <c r="L29" s="84"/>
      <c r="M29" s="87"/>
    </row>
    <row r="30" spans="1:13" s="26" customFormat="1" ht="13.5">
      <c r="A30" s="375"/>
      <c r="B30" s="72" t="s">
        <v>14</v>
      </c>
      <c r="C30" s="375"/>
      <c r="D30" s="375" t="s">
        <v>0</v>
      </c>
      <c r="E30" s="376">
        <v>0.0675</v>
      </c>
      <c r="F30" s="73">
        <f>E30*F28</f>
        <v>51.300000000000004</v>
      </c>
      <c r="G30" s="376"/>
      <c r="H30" s="84"/>
      <c r="I30" s="376"/>
      <c r="J30" s="84"/>
      <c r="K30" s="376"/>
      <c r="L30" s="84"/>
      <c r="M30" s="87"/>
    </row>
    <row r="31" spans="1:13" s="26" customFormat="1" ht="13.5">
      <c r="A31" s="78"/>
      <c r="B31" s="375" t="s">
        <v>56</v>
      </c>
      <c r="C31" s="31"/>
      <c r="D31" s="375"/>
      <c r="E31" s="375"/>
      <c r="F31" s="70"/>
      <c r="G31" s="375"/>
      <c r="H31" s="83"/>
      <c r="I31" s="376"/>
      <c r="J31" s="83"/>
      <c r="K31" s="79"/>
      <c r="L31" s="83"/>
      <c r="M31" s="87"/>
    </row>
    <row r="32" spans="1:13" s="26" customFormat="1" ht="13.5">
      <c r="A32" s="78"/>
      <c r="B32" s="81" t="s">
        <v>132</v>
      </c>
      <c r="C32" s="31" t="s">
        <v>92</v>
      </c>
      <c r="D32" s="375" t="s">
        <v>20</v>
      </c>
      <c r="E32" s="375">
        <v>1.01</v>
      </c>
      <c r="F32" s="70">
        <f>E32*F28</f>
        <v>767.6</v>
      </c>
      <c r="G32" s="70"/>
      <c r="H32" s="83"/>
      <c r="I32" s="376"/>
      <c r="J32" s="83"/>
      <c r="K32" s="79"/>
      <c r="L32" s="83"/>
      <c r="M32" s="87"/>
    </row>
    <row r="33" spans="1:13" s="26" customFormat="1" ht="13.5">
      <c r="A33" s="78"/>
      <c r="B33" s="72" t="s">
        <v>18</v>
      </c>
      <c r="C33" s="31"/>
      <c r="D33" s="375" t="s">
        <v>0</v>
      </c>
      <c r="E33" s="375">
        <v>0.00216</v>
      </c>
      <c r="F33" s="82">
        <f>E33*F28</f>
        <v>1.6416</v>
      </c>
      <c r="G33" s="375"/>
      <c r="H33" s="83"/>
      <c r="I33" s="376"/>
      <c r="J33" s="83"/>
      <c r="K33" s="79"/>
      <c r="L33" s="83"/>
      <c r="M33" s="87"/>
    </row>
    <row r="34" spans="1:13" s="26" customFormat="1" ht="15">
      <c r="A34" s="78">
        <v>9</v>
      </c>
      <c r="B34" s="72" t="s">
        <v>134</v>
      </c>
      <c r="C34" s="379" t="s">
        <v>135</v>
      </c>
      <c r="D34" s="93" t="s">
        <v>20</v>
      </c>
      <c r="E34" s="380"/>
      <c r="F34" s="381">
        <f>F28</f>
        <v>760</v>
      </c>
      <c r="G34" s="380"/>
      <c r="H34" s="147"/>
      <c r="I34" s="380"/>
      <c r="J34" s="95"/>
      <c r="K34" s="380"/>
      <c r="L34" s="147"/>
      <c r="M34" s="381"/>
    </row>
    <row r="35" spans="1:13" s="26" customFormat="1" ht="15">
      <c r="A35" s="78"/>
      <c r="B35" s="72" t="s">
        <v>12</v>
      </c>
      <c r="C35" s="379"/>
      <c r="D35" s="376" t="s">
        <v>15</v>
      </c>
      <c r="E35" s="76">
        <f>64.9/1000</f>
        <v>0.0649</v>
      </c>
      <c r="F35" s="202">
        <f>F34*E35</f>
        <v>49.324</v>
      </c>
      <c r="G35" s="76"/>
      <c r="H35" s="70"/>
      <c r="I35" s="376"/>
      <c r="J35" s="71"/>
      <c r="K35" s="76"/>
      <c r="L35" s="70"/>
      <c r="M35" s="71"/>
    </row>
    <row r="36" spans="1:13" s="26" customFormat="1" ht="15">
      <c r="A36" s="78"/>
      <c r="B36" s="375" t="s">
        <v>56</v>
      </c>
      <c r="C36" s="379"/>
      <c r="D36" s="375"/>
      <c r="E36" s="76"/>
      <c r="F36" s="202"/>
      <c r="G36" s="76"/>
      <c r="H36" s="70"/>
      <c r="I36" s="76"/>
      <c r="J36" s="71"/>
      <c r="K36" s="76"/>
      <c r="L36" s="70"/>
      <c r="M36" s="202"/>
    </row>
    <row r="37" spans="1:13" s="26" customFormat="1" ht="13.5">
      <c r="A37" s="78"/>
      <c r="B37" s="81" t="s">
        <v>78</v>
      </c>
      <c r="C37" s="385" t="s">
        <v>92</v>
      </c>
      <c r="D37" s="375" t="s">
        <v>31</v>
      </c>
      <c r="E37" s="76">
        <f>148/1000</f>
        <v>0.148</v>
      </c>
      <c r="F37" s="202">
        <f>F34*E37</f>
        <v>112.47999999999999</v>
      </c>
      <c r="G37" s="390"/>
      <c r="H37" s="70"/>
      <c r="I37" s="76"/>
      <c r="J37" s="71"/>
      <c r="K37" s="76"/>
      <c r="L37" s="70"/>
      <c r="M37" s="71"/>
    </row>
    <row r="38" spans="1:13" s="26" customFormat="1" ht="15">
      <c r="A38" s="78"/>
      <c r="B38" s="72" t="s">
        <v>18</v>
      </c>
      <c r="C38" s="382"/>
      <c r="D38" s="375" t="s">
        <v>0</v>
      </c>
      <c r="E38" s="76">
        <f>0.25/1000</f>
        <v>0.00025</v>
      </c>
      <c r="F38" s="202">
        <f>F34*E38</f>
        <v>0.19</v>
      </c>
      <c r="G38" s="76"/>
      <c r="H38" s="70"/>
      <c r="I38" s="76"/>
      <c r="J38" s="71"/>
      <c r="K38" s="76"/>
      <c r="L38" s="70"/>
      <c r="M38" s="71"/>
    </row>
    <row r="39" spans="1:13" s="27" customFormat="1" ht="27">
      <c r="A39" s="74">
        <v>10</v>
      </c>
      <c r="B39" s="75" t="s">
        <v>59</v>
      </c>
      <c r="C39" s="378" t="s">
        <v>58</v>
      </c>
      <c r="D39" s="76" t="s">
        <v>20</v>
      </c>
      <c r="E39" s="76"/>
      <c r="F39" s="29">
        <v>1047</v>
      </c>
      <c r="G39" s="76"/>
      <c r="H39" s="83"/>
      <c r="I39" s="76"/>
      <c r="J39" s="84"/>
      <c r="K39" s="76"/>
      <c r="L39" s="83"/>
      <c r="M39" s="87"/>
    </row>
    <row r="40" spans="1:13" s="27" customFormat="1" ht="13.5">
      <c r="A40" s="375"/>
      <c r="B40" s="72" t="s">
        <v>12</v>
      </c>
      <c r="C40" s="375"/>
      <c r="D40" s="376" t="s">
        <v>15</v>
      </c>
      <c r="E40" s="376">
        <v>0.119</v>
      </c>
      <c r="F40" s="71">
        <f>F39*E40</f>
        <v>124.59299999999999</v>
      </c>
      <c r="G40" s="376"/>
      <c r="H40" s="84"/>
      <c r="I40" s="376"/>
      <c r="J40" s="84"/>
      <c r="K40" s="376"/>
      <c r="L40" s="84"/>
      <c r="M40" s="87"/>
    </row>
    <row r="41" spans="1:13" s="27" customFormat="1" ht="13.5">
      <c r="A41" s="375"/>
      <c r="B41" s="72" t="s">
        <v>14</v>
      </c>
      <c r="C41" s="375"/>
      <c r="D41" s="375" t="s">
        <v>0</v>
      </c>
      <c r="E41" s="376">
        <v>0.0675</v>
      </c>
      <c r="F41" s="73">
        <f>E41*F39</f>
        <v>70.6725</v>
      </c>
      <c r="G41" s="376"/>
      <c r="H41" s="84"/>
      <c r="I41" s="376"/>
      <c r="J41" s="84"/>
      <c r="K41" s="376"/>
      <c r="L41" s="84"/>
      <c r="M41" s="87"/>
    </row>
    <row r="42" spans="1:13" s="26" customFormat="1" ht="13.5">
      <c r="A42" s="30"/>
      <c r="B42" s="375" t="s">
        <v>56</v>
      </c>
      <c r="C42" s="31"/>
      <c r="D42" s="375"/>
      <c r="E42" s="375"/>
      <c r="F42" s="70"/>
      <c r="G42" s="375"/>
      <c r="H42" s="83"/>
      <c r="I42" s="376"/>
      <c r="J42" s="83"/>
      <c r="K42" s="79"/>
      <c r="L42" s="83"/>
      <c r="M42" s="87"/>
    </row>
    <row r="43" spans="1:13" s="26" customFormat="1" ht="13.5">
      <c r="A43" s="30"/>
      <c r="B43" s="81" t="s">
        <v>60</v>
      </c>
      <c r="C43" s="31" t="s">
        <v>92</v>
      </c>
      <c r="D43" s="375" t="s">
        <v>20</v>
      </c>
      <c r="E43" s="375">
        <v>1.01</v>
      </c>
      <c r="F43" s="70">
        <f>E43*F39</f>
        <v>1057.47</v>
      </c>
      <c r="G43" s="70"/>
      <c r="H43" s="83"/>
      <c r="I43" s="376"/>
      <c r="J43" s="83"/>
      <c r="K43" s="79"/>
      <c r="L43" s="83"/>
      <c r="M43" s="87"/>
    </row>
    <row r="44" spans="1:13" s="26" customFormat="1" ht="13.5">
      <c r="A44" s="30"/>
      <c r="B44" s="72" t="s">
        <v>18</v>
      </c>
      <c r="C44" s="31"/>
      <c r="D44" s="375" t="s">
        <v>0</v>
      </c>
      <c r="E44" s="375">
        <v>0.00216</v>
      </c>
      <c r="F44" s="82">
        <f>E44*F39</f>
        <v>2.26152</v>
      </c>
      <c r="G44" s="375"/>
      <c r="H44" s="83"/>
      <c r="I44" s="376"/>
      <c r="J44" s="83"/>
      <c r="K44" s="79"/>
      <c r="L44" s="83"/>
      <c r="M44" s="87"/>
    </row>
    <row r="45" spans="1:13" s="26" customFormat="1" ht="15">
      <c r="A45" s="78">
        <v>11</v>
      </c>
      <c r="B45" s="72" t="s">
        <v>136</v>
      </c>
      <c r="C45" s="379" t="s">
        <v>137</v>
      </c>
      <c r="D45" s="93" t="s">
        <v>20</v>
      </c>
      <c r="E45" s="380"/>
      <c r="F45" s="381">
        <f>F39</f>
        <v>1047</v>
      </c>
      <c r="G45" s="380"/>
      <c r="H45" s="147"/>
      <c r="I45" s="380"/>
      <c r="J45" s="95"/>
      <c r="K45" s="380"/>
      <c r="L45" s="147"/>
      <c r="M45" s="381"/>
    </row>
    <row r="46" spans="1:13" s="26" customFormat="1" ht="15">
      <c r="A46" s="78"/>
      <c r="B46" s="72" t="s">
        <v>12</v>
      </c>
      <c r="C46" s="379"/>
      <c r="D46" s="376" t="s">
        <v>15</v>
      </c>
      <c r="E46" s="76">
        <f>56.7/1000</f>
        <v>0.0567</v>
      </c>
      <c r="F46" s="202">
        <f>F45*E46</f>
        <v>59.3649</v>
      </c>
      <c r="G46" s="76"/>
      <c r="H46" s="70"/>
      <c r="I46" s="376"/>
      <c r="J46" s="71"/>
      <c r="K46" s="76"/>
      <c r="L46" s="70"/>
      <c r="M46" s="71"/>
    </row>
    <row r="47" spans="1:13" s="26" customFormat="1" ht="15">
      <c r="A47" s="78"/>
      <c r="B47" s="375" t="s">
        <v>56</v>
      </c>
      <c r="C47" s="379"/>
      <c r="D47" s="375"/>
      <c r="E47" s="76"/>
      <c r="F47" s="202"/>
      <c r="G47" s="76"/>
      <c r="H47" s="70"/>
      <c r="I47" s="76"/>
      <c r="J47" s="71"/>
      <c r="K47" s="76"/>
      <c r="L47" s="70"/>
      <c r="M47" s="202"/>
    </row>
    <row r="48" spans="1:13" s="26" customFormat="1" ht="13.5">
      <c r="A48" s="78"/>
      <c r="B48" s="81" t="s">
        <v>78</v>
      </c>
      <c r="C48" s="385" t="s">
        <v>92</v>
      </c>
      <c r="D48" s="375" t="s">
        <v>31</v>
      </c>
      <c r="E48" s="76">
        <f>94/1000</f>
        <v>0.094</v>
      </c>
      <c r="F48" s="202">
        <f>F45*E48</f>
        <v>98.418</v>
      </c>
      <c r="G48" s="390"/>
      <c r="H48" s="70"/>
      <c r="I48" s="76"/>
      <c r="J48" s="71"/>
      <c r="K48" s="76"/>
      <c r="L48" s="70"/>
      <c r="M48" s="71"/>
    </row>
    <row r="49" spans="1:13" s="26" customFormat="1" ht="15">
      <c r="A49" s="78"/>
      <c r="B49" s="72" t="s">
        <v>18</v>
      </c>
      <c r="C49" s="382"/>
      <c r="D49" s="375" t="s">
        <v>0</v>
      </c>
      <c r="E49" s="76">
        <f>0.16/1000</f>
        <v>0.00016</v>
      </c>
      <c r="F49" s="202">
        <f>F45*E49</f>
        <v>0.16752</v>
      </c>
      <c r="G49" s="76"/>
      <c r="H49" s="70"/>
      <c r="I49" s="76"/>
      <c r="J49" s="71"/>
      <c r="K49" s="76"/>
      <c r="L49" s="70"/>
      <c r="M49" s="71"/>
    </row>
    <row r="50" spans="1:13" s="27" customFormat="1" ht="27">
      <c r="A50" s="74">
        <v>12</v>
      </c>
      <c r="B50" s="75" t="s">
        <v>61</v>
      </c>
      <c r="C50" s="378" t="s">
        <v>62</v>
      </c>
      <c r="D50" s="76" t="s">
        <v>20</v>
      </c>
      <c r="E50" s="76"/>
      <c r="F50" s="29">
        <v>2060</v>
      </c>
      <c r="G50" s="76"/>
      <c r="H50" s="83"/>
      <c r="I50" s="76"/>
      <c r="J50" s="84"/>
      <c r="K50" s="76"/>
      <c r="L50" s="83"/>
      <c r="M50" s="87"/>
    </row>
    <row r="51" spans="1:13" s="27" customFormat="1" ht="13.5">
      <c r="A51" s="375"/>
      <c r="B51" s="72" t="s">
        <v>12</v>
      </c>
      <c r="C51" s="375"/>
      <c r="D51" s="376" t="s">
        <v>15</v>
      </c>
      <c r="E51" s="376">
        <v>0.105</v>
      </c>
      <c r="F51" s="71">
        <f>F50*E51</f>
        <v>216.29999999999998</v>
      </c>
      <c r="G51" s="376"/>
      <c r="H51" s="84"/>
      <c r="I51" s="376"/>
      <c r="J51" s="84"/>
      <c r="K51" s="376"/>
      <c r="L51" s="84"/>
      <c r="M51" s="87"/>
    </row>
    <row r="52" spans="1:13" s="27" customFormat="1" ht="13.5">
      <c r="A52" s="375"/>
      <c r="B52" s="72" t="s">
        <v>14</v>
      </c>
      <c r="C52" s="375"/>
      <c r="D52" s="375" t="s">
        <v>0</v>
      </c>
      <c r="E52" s="376">
        <v>0.0538</v>
      </c>
      <c r="F52" s="73">
        <f>E52*F50</f>
        <v>110.828</v>
      </c>
      <c r="G52" s="376"/>
      <c r="H52" s="84"/>
      <c r="I52" s="376"/>
      <c r="J52" s="84"/>
      <c r="K52" s="376"/>
      <c r="L52" s="84"/>
      <c r="M52" s="87"/>
    </row>
    <row r="53" spans="1:13" s="26" customFormat="1" ht="13.5">
      <c r="A53" s="30"/>
      <c r="B53" s="375" t="s">
        <v>56</v>
      </c>
      <c r="C53" s="31"/>
      <c r="D53" s="375"/>
      <c r="E53" s="375"/>
      <c r="F53" s="70"/>
      <c r="G53" s="375"/>
      <c r="H53" s="83"/>
      <c r="I53" s="376"/>
      <c r="J53" s="83"/>
      <c r="K53" s="79"/>
      <c r="L53" s="83"/>
      <c r="M53" s="87"/>
    </row>
    <row r="54" spans="1:13" s="26" customFormat="1" ht="13.5">
      <c r="A54" s="30"/>
      <c r="B54" s="81" t="s">
        <v>63</v>
      </c>
      <c r="C54" s="31" t="s">
        <v>92</v>
      </c>
      <c r="D54" s="375" t="s">
        <v>20</v>
      </c>
      <c r="E54" s="375">
        <v>1.01</v>
      </c>
      <c r="F54" s="70">
        <f>E54*F50</f>
        <v>2080.6</v>
      </c>
      <c r="G54" s="70"/>
      <c r="H54" s="83"/>
      <c r="I54" s="376"/>
      <c r="J54" s="83"/>
      <c r="K54" s="79"/>
      <c r="L54" s="83"/>
      <c r="M54" s="87"/>
    </row>
    <row r="55" spans="1:13" s="26" customFormat="1" ht="13.5">
      <c r="A55" s="30"/>
      <c r="B55" s="72" t="s">
        <v>18</v>
      </c>
      <c r="C55" s="31"/>
      <c r="D55" s="375" t="s">
        <v>0</v>
      </c>
      <c r="E55" s="375">
        <v>0.0012</v>
      </c>
      <c r="F55" s="82">
        <f>E55*F50</f>
        <v>2.472</v>
      </c>
      <c r="G55" s="375"/>
      <c r="H55" s="83"/>
      <c r="I55" s="376"/>
      <c r="J55" s="83"/>
      <c r="K55" s="79"/>
      <c r="L55" s="83"/>
      <c r="M55" s="87"/>
    </row>
    <row r="56" spans="1:13" s="26" customFormat="1" ht="27">
      <c r="A56" s="74">
        <v>12</v>
      </c>
      <c r="B56" s="75" t="s">
        <v>553</v>
      </c>
      <c r="C56" s="378" t="s">
        <v>62</v>
      </c>
      <c r="D56" s="76" t="s">
        <v>20</v>
      </c>
      <c r="E56" s="76"/>
      <c r="F56" s="29">
        <v>1795</v>
      </c>
      <c r="G56" s="76"/>
      <c r="H56" s="83"/>
      <c r="I56" s="76"/>
      <c r="J56" s="84"/>
      <c r="K56" s="76"/>
      <c r="L56" s="83"/>
      <c r="M56" s="87"/>
    </row>
    <row r="57" spans="1:13" s="26" customFormat="1" ht="13.5">
      <c r="A57" s="375"/>
      <c r="B57" s="72" t="s">
        <v>12</v>
      </c>
      <c r="C57" s="375"/>
      <c r="D57" s="376" t="s">
        <v>15</v>
      </c>
      <c r="E57" s="376">
        <v>0.105</v>
      </c>
      <c r="F57" s="71">
        <f>F56*E57</f>
        <v>188.475</v>
      </c>
      <c r="G57" s="376"/>
      <c r="H57" s="84"/>
      <c r="I57" s="376"/>
      <c r="J57" s="84"/>
      <c r="K57" s="376"/>
      <c r="L57" s="84"/>
      <c r="M57" s="87"/>
    </row>
    <row r="58" spans="1:13" s="26" customFormat="1" ht="13.5">
      <c r="A58" s="375"/>
      <c r="B58" s="72" t="s">
        <v>14</v>
      </c>
      <c r="C58" s="375"/>
      <c r="D58" s="375" t="s">
        <v>0</v>
      </c>
      <c r="E58" s="376">
        <v>0.0538</v>
      </c>
      <c r="F58" s="73">
        <f>E58*F56</f>
        <v>96.571</v>
      </c>
      <c r="G58" s="376"/>
      <c r="H58" s="84"/>
      <c r="I58" s="376"/>
      <c r="J58" s="84"/>
      <c r="K58" s="376"/>
      <c r="L58" s="84"/>
      <c r="M58" s="87"/>
    </row>
    <row r="59" spans="1:13" s="26" customFormat="1" ht="13.5">
      <c r="A59" s="30"/>
      <c r="B59" s="375" t="s">
        <v>56</v>
      </c>
      <c r="C59" s="31"/>
      <c r="D59" s="375"/>
      <c r="E59" s="375"/>
      <c r="F59" s="70"/>
      <c r="G59" s="375"/>
      <c r="H59" s="83"/>
      <c r="I59" s="376"/>
      <c r="J59" s="83"/>
      <c r="K59" s="79"/>
      <c r="L59" s="83"/>
      <c r="M59" s="87"/>
    </row>
    <row r="60" spans="1:13" s="26" customFormat="1" ht="13.5">
      <c r="A60" s="30"/>
      <c r="B60" s="81" t="s">
        <v>554</v>
      </c>
      <c r="C60" s="31" t="s">
        <v>92</v>
      </c>
      <c r="D60" s="375" t="s">
        <v>20</v>
      </c>
      <c r="E60" s="375">
        <v>1.01</v>
      </c>
      <c r="F60" s="70">
        <f>E60*F56</f>
        <v>1812.95</v>
      </c>
      <c r="G60" s="70"/>
      <c r="H60" s="83"/>
      <c r="I60" s="376"/>
      <c r="J60" s="83"/>
      <c r="K60" s="79"/>
      <c r="L60" s="83"/>
      <c r="M60" s="87"/>
    </row>
    <row r="61" spans="1:13" s="26" customFormat="1" ht="13.5">
      <c r="A61" s="30"/>
      <c r="B61" s="72" t="s">
        <v>18</v>
      </c>
      <c r="C61" s="31"/>
      <c r="D61" s="375" t="s">
        <v>0</v>
      </c>
      <c r="E61" s="375">
        <v>0.0012</v>
      </c>
      <c r="F61" s="82">
        <f>E61*F56</f>
        <v>2.154</v>
      </c>
      <c r="G61" s="375"/>
      <c r="H61" s="83"/>
      <c r="I61" s="376"/>
      <c r="J61" s="83"/>
      <c r="K61" s="79"/>
      <c r="L61" s="83"/>
      <c r="M61" s="87"/>
    </row>
    <row r="62" spans="1:13" s="26" customFormat="1" ht="15">
      <c r="A62" s="78">
        <v>13</v>
      </c>
      <c r="B62" s="72" t="s">
        <v>140</v>
      </c>
      <c r="C62" s="391" t="s">
        <v>79</v>
      </c>
      <c r="D62" s="93" t="s">
        <v>20</v>
      </c>
      <c r="E62" s="380"/>
      <c r="F62" s="381">
        <f>F50+F56</f>
        <v>3855</v>
      </c>
      <c r="G62" s="380"/>
      <c r="H62" s="147"/>
      <c r="I62" s="380"/>
      <c r="J62" s="95"/>
      <c r="K62" s="380"/>
      <c r="L62" s="147"/>
      <c r="M62" s="381"/>
    </row>
    <row r="63" spans="1:13" s="26" customFormat="1" ht="15">
      <c r="A63" s="78"/>
      <c r="B63" s="72" t="s">
        <v>12</v>
      </c>
      <c r="C63" s="379"/>
      <c r="D63" s="376" t="s">
        <v>15</v>
      </c>
      <c r="E63" s="76">
        <f>56.7/1000</f>
        <v>0.0567</v>
      </c>
      <c r="F63" s="202">
        <f>F62*E63</f>
        <v>218.5785</v>
      </c>
      <c r="G63" s="76"/>
      <c r="H63" s="70"/>
      <c r="I63" s="376"/>
      <c r="J63" s="71"/>
      <c r="K63" s="76"/>
      <c r="L63" s="70"/>
      <c r="M63" s="71"/>
    </row>
    <row r="64" spans="1:13" s="26" customFormat="1" ht="15">
      <c r="A64" s="78"/>
      <c r="B64" s="375" t="s">
        <v>56</v>
      </c>
      <c r="C64" s="379"/>
      <c r="D64" s="375"/>
      <c r="E64" s="76"/>
      <c r="F64" s="202"/>
      <c r="G64" s="76"/>
      <c r="H64" s="70"/>
      <c r="I64" s="76"/>
      <c r="J64" s="71"/>
      <c r="K64" s="76"/>
      <c r="L64" s="70"/>
      <c r="M64" s="202"/>
    </row>
    <row r="65" spans="1:13" s="26" customFormat="1" ht="13.5">
      <c r="A65" s="78"/>
      <c r="B65" s="81" t="s">
        <v>78</v>
      </c>
      <c r="C65" s="385" t="s">
        <v>92</v>
      </c>
      <c r="D65" s="375" t="s">
        <v>31</v>
      </c>
      <c r="E65" s="76">
        <f>57/1000</f>
        <v>0.057</v>
      </c>
      <c r="F65" s="202">
        <f>F62*E65</f>
        <v>219.735</v>
      </c>
      <c r="G65" s="390"/>
      <c r="H65" s="70"/>
      <c r="I65" s="76"/>
      <c r="J65" s="71"/>
      <c r="K65" s="76"/>
      <c r="L65" s="70"/>
      <c r="M65" s="71"/>
    </row>
    <row r="66" spans="1:13" s="26" customFormat="1" ht="15">
      <c r="A66" s="78"/>
      <c r="B66" s="72" t="s">
        <v>18</v>
      </c>
      <c r="C66" s="382"/>
      <c r="D66" s="375" t="s">
        <v>0</v>
      </c>
      <c r="E66" s="76">
        <f>0.1/1000</f>
        <v>0.0001</v>
      </c>
      <c r="F66" s="202">
        <f>F62*E66</f>
        <v>0.3855</v>
      </c>
      <c r="G66" s="76"/>
      <c r="H66" s="70"/>
      <c r="I66" s="76"/>
      <c r="J66" s="71"/>
      <c r="K66" s="76"/>
      <c r="L66" s="70"/>
      <c r="M66" s="71"/>
    </row>
    <row r="67" spans="1:13" s="26" customFormat="1" ht="27">
      <c r="A67" s="74">
        <v>14</v>
      </c>
      <c r="B67" s="75" t="s">
        <v>96</v>
      </c>
      <c r="C67" s="378" t="s">
        <v>64</v>
      </c>
      <c r="D67" s="76" t="s">
        <v>20</v>
      </c>
      <c r="E67" s="76"/>
      <c r="F67" s="29">
        <v>314</v>
      </c>
      <c r="G67" s="76"/>
      <c r="H67" s="83"/>
      <c r="I67" s="76"/>
      <c r="J67" s="84"/>
      <c r="K67" s="76"/>
      <c r="L67" s="83"/>
      <c r="M67" s="87"/>
    </row>
    <row r="68" spans="1:13" s="26" customFormat="1" ht="13.5">
      <c r="A68" s="375"/>
      <c r="B68" s="72" t="s">
        <v>12</v>
      </c>
      <c r="C68" s="375"/>
      <c r="D68" s="376" t="s">
        <v>15</v>
      </c>
      <c r="E68" s="376">
        <v>0.0959</v>
      </c>
      <c r="F68" s="71">
        <f>F67*E68</f>
        <v>30.1126</v>
      </c>
      <c r="G68" s="376"/>
      <c r="H68" s="84"/>
      <c r="I68" s="376"/>
      <c r="J68" s="84"/>
      <c r="K68" s="376"/>
      <c r="L68" s="84"/>
      <c r="M68" s="87"/>
    </row>
    <row r="69" spans="1:13" s="26" customFormat="1" ht="13.5">
      <c r="A69" s="375"/>
      <c r="B69" s="72" t="s">
        <v>14</v>
      </c>
      <c r="C69" s="375"/>
      <c r="D69" s="375" t="s">
        <v>0</v>
      </c>
      <c r="E69" s="376">
        <v>0.0452</v>
      </c>
      <c r="F69" s="73">
        <f>E69*F67</f>
        <v>14.192799999999998</v>
      </c>
      <c r="G69" s="376"/>
      <c r="H69" s="84"/>
      <c r="I69" s="376"/>
      <c r="J69" s="84"/>
      <c r="K69" s="376"/>
      <c r="L69" s="84"/>
      <c r="M69" s="87"/>
    </row>
    <row r="70" spans="1:13" s="26" customFormat="1" ht="13.5">
      <c r="A70" s="30"/>
      <c r="B70" s="375" t="s">
        <v>56</v>
      </c>
      <c r="C70" s="31"/>
      <c r="D70" s="375"/>
      <c r="E70" s="375"/>
      <c r="F70" s="70"/>
      <c r="G70" s="375"/>
      <c r="H70" s="83"/>
      <c r="I70" s="376"/>
      <c r="J70" s="83"/>
      <c r="K70" s="79"/>
      <c r="L70" s="83"/>
      <c r="M70" s="87"/>
    </row>
    <row r="71" spans="1:13" s="26" customFormat="1" ht="13.5">
      <c r="A71" s="30"/>
      <c r="B71" s="81" t="s">
        <v>97</v>
      </c>
      <c r="C71" s="31" t="s">
        <v>92</v>
      </c>
      <c r="D71" s="375" t="s">
        <v>20</v>
      </c>
      <c r="E71" s="375">
        <v>1.01</v>
      </c>
      <c r="F71" s="70">
        <f>E71*F67</f>
        <v>317.14</v>
      </c>
      <c r="G71" s="70"/>
      <c r="H71" s="83"/>
      <c r="I71" s="376"/>
      <c r="J71" s="83"/>
      <c r="K71" s="79"/>
      <c r="L71" s="83"/>
      <c r="M71" s="87"/>
    </row>
    <row r="72" spans="1:13" s="26" customFormat="1" ht="13.5">
      <c r="A72" s="30"/>
      <c r="B72" s="72" t="s">
        <v>18</v>
      </c>
      <c r="C72" s="31"/>
      <c r="D72" s="375" t="s">
        <v>0</v>
      </c>
      <c r="E72" s="375">
        <v>0.0006</v>
      </c>
      <c r="F72" s="82">
        <f>E72*F67</f>
        <v>0.18839999999999998</v>
      </c>
      <c r="G72" s="375"/>
      <c r="H72" s="83"/>
      <c r="I72" s="376"/>
      <c r="J72" s="83"/>
      <c r="K72" s="79"/>
      <c r="L72" s="83"/>
      <c r="M72" s="87"/>
    </row>
    <row r="73" spans="1:13" s="26" customFormat="1" ht="23.25" customHeight="1">
      <c r="A73" s="78">
        <v>15</v>
      </c>
      <c r="B73" s="72" t="s">
        <v>138</v>
      </c>
      <c r="C73" s="379" t="s">
        <v>139</v>
      </c>
      <c r="D73" s="93" t="s">
        <v>20</v>
      </c>
      <c r="E73" s="380"/>
      <c r="F73" s="381">
        <f>F67</f>
        <v>314</v>
      </c>
      <c r="G73" s="380"/>
      <c r="H73" s="147"/>
      <c r="I73" s="380"/>
      <c r="J73" s="95"/>
      <c r="K73" s="380"/>
      <c r="L73" s="147"/>
      <c r="M73" s="381"/>
    </row>
    <row r="74" spans="1:13" s="26" customFormat="1" ht="15">
      <c r="A74" s="78"/>
      <c r="B74" s="72" t="s">
        <v>12</v>
      </c>
      <c r="C74" s="379"/>
      <c r="D74" s="376" t="s">
        <v>15</v>
      </c>
      <c r="E74" s="76">
        <f>56.7/1000</f>
        <v>0.0567</v>
      </c>
      <c r="F74" s="202">
        <f>F73*E74</f>
        <v>17.8038</v>
      </c>
      <c r="G74" s="76"/>
      <c r="H74" s="70"/>
      <c r="I74" s="376"/>
      <c r="J74" s="71"/>
      <c r="K74" s="76"/>
      <c r="L74" s="70"/>
      <c r="M74" s="71"/>
    </row>
    <row r="75" spans="1:13" s="26" customFormat="1" ht="15">
      <c r="A75" s="78"/>
      <c r="B75" s="375" t="s">
        <v>56</v>
      </c>
      <c r="C75" s="379"/>
      <c r="D75" s="375"/>
      <c r="E75" s="76"/>
      <c r="F75" s="202"/>
      <c r="G75" s="76"/>
      <c r="H75" s="70"/>
      <c r="I75" s="76"/>
      <c r="J75" s="71"/>
      <c r="K75" s="76"/>
      <c r="L75" s="70"/>
      <c r="M75" s="202"/>
    </row>
    <row r="76" spans="1:13" s="26" customFormat="1" ht="13.5">
      <c r="A76" s="78"/>
      <c r="B76" s="81" t="s">
        <v>78</v>
      </c>
      <c r="C76" s="385" t="s">
        <v>92</v>
      </c>
      <c r="D76" s="375" t="s">
        <v>31</v>
      </c>
      <c r="E76" s="76">
        <f>31.1/1000</f>
        <v>0.031100000000000003</v>
      </c>
      <c r="F76" s="202">
        <f>F73*E76</f>
        <v>9.765400000000001</v>
      </c>
      <c r="G76" s="390"/>
      <c r="H76" s="70"/>
      <c r="I76" s="76"/>
      <c r="J76" s="71"/>
      <c r="K76" s="76"/>
      <c r="L76" s="70"/>
      <c r="M76" s="71"/>
    </row>
    <row r="77" spans="1:13" s="26" customFormat="1" ht="15">
      <c r="A77" s="78"/>
      <c r="B77" s="72" t="s">
        <v>18</v>
      </c>
      <c r="C77" s="382"/>
      <c r="D77" s="375" t="s">
        <v>0</v>
      </c>
      <c r="E77" s="76">
        <f>0.06/1000</f>
        <v>5.9999999999999995E-05</v>
      </c>
      <c r="F77" s="202">
        <f>F73*E77</f>
        <v>0.01884</v>
      </c>
      <c r="G77" s="76"/>
      <c r="H77" s="70"/>
      <c r="I77" s="76"/>
      <c r="J77" s="71"/>
      <c r="K77" s="76"/>
      <c r="L77" s="70"/>
      <c r="M77" s="71"/>
    </row>
    <row r="78" spans="1:13" s="27" customFormat="1" ht="27">
      <c r="A78" s="74">
        <v>16</v>
      </c>
      <c r="B78" s="75" t="s">
        <v>65</v>
      </c>
      <c r="C78" s="378" t="s">
        <v>64</v>
      </c>
      <c r="D78" s="76" t="s">
        <v>20</v>
      </c>
      <c r="E78" s="76"/>
      <c r="F78" s="29">
        <v>492</v>
      </c>
      <c r="G78" s="76"/>
      <c r="H78" s="83"/>
      <c r="I78" s="76"/>
      <c r="J78" s="84"/>
      <c r="K78" s="76"/>
      <c r="L78" s="83"/>
      <c r="M78" s="87"/>
    </row>
    <row r="79" spans="1:13" s="27" customFormat="1" ht="13.5">
      <c r="A79" s="375"/>
      <c r="B79" s="72" t="s">
        <v>12</v>
      </c>
      <c r="C79" s="375"/>
      <c r="D79" s="376" t="s">
        <v>15</v>
      </c>
      <c r="E79" s="376">
        <v>0.0959</v>
      </c>
      <c r="F79" s="71">
        <f>F78*E79</f>
        <v>47.1828</v>
      </c>
      <c r="G79" s="376"/>
      <c r="H79" s="84"/>
      <c r="I79" s="376"/>
      <c r="J79" s="84"/>
      <c r="K79" s="376"/>
      <c r="L79" s="84"/>
      <c r="M79" s="87"/>
    </row>
    <row r="80" spans="1:13" s="27" customFormat="1" ht="13.5">
      <c r="A80" s="375"/>
      <c r="B80" s="72" t="s">
        <v>14</v>
      </c>
      <c r="C80" s="375"/>
      <c r="D80" s="375" t="s">
        <v>0</v>
      </c>
      <c r="E80" s="376">
        <v>0.0452</v>
      </c>
      <c r="F80" s="73">
        <f>E80*F78</f>
        <v>22.2384</v>
      </c>
      <c r="G80" s="376"/>
      <c r="H80" s="84"/>
      <c r="I80" s="376"/>
      <c r="J80" s="84"/>
      <c r="K80" s="376"/>
      <c r="L80" s="84"/>
      <c r="M80" s="87"/>
    </row>
    <row r="81" spans="1:13" s="26" customFormat="1" ht="13.5">
      <c r="A81" s="30"/>
      <c r="B81" s="375" t="s">
        <v>56</v>
      </c>
      <c r="C81" s="31"/>
      <c r="D81" s="375"/>
      <c r="E81" s="375"/>
      <c r="F81" s="70"/>
      <c r="G81" s="375"/>
      <c r="H81" s="83"/>
      <c r="I81" s="376"/>
      <c r="J81" s="83"/>
      <c r="K81" s="79"/>
      <c r="L81" s="83"/>
      <c r="M81" s="87"/>
    </row>
    <row r="82" spans="1:13" s="26" customFormat="1" ht="13.5">
      <c r="A82" s="30"/>
      <c r="B82" s="81" t="s">
        <v>66</v>
      </c>
      <c r="C82" s="31" t="s">
        <v>92</v>
      </c>
      <c r="D82" s="375" t="s">
        <v>20</v>
      </c>
      <c r="E82" s="375">
        <v>1.01</v>
      </c>
      <c r="F82" s="70">
        <f>E82*F78</f>
        <v>496.92</v>
      </c>
      <c r="G82" s="70"/>
      <c r="H82" s="83"/>
      <c r="I82" s="376"/>
      <c r="J82" s="83"/>
      <c r="K82" s="79"/>
      <c r="L82" s="83"/>
      <c r="M82" s="87"/>
    </row>
    <row r="83" spans="1:13" s="26" customFormat="1" ht="13.5">
      <c r="A83" s="30"/>
      <c r="B83" s="72" t="s">
        <v>18</v>
      </c>
      <c r="C83" s="31"/>
      <c r="D83" s="375" t="s">
        <v>0</v>
      </c>
      <c r="E83" s="375">
        <v>0.0006</v>
      </c>
      <c r="F83" s="82">
        <f>E83*F78</f>
        <v>0.29519999999999996</v>
      </c>
      <c r="G83" s="375"/>
      <c r="H83" s="83"/>
      <c r="I83" s="376"/>
      <c r="J83" s="83"/>
      <c r="K83" s="79"/>
      <c r="L83" s="83"/>
      <c r="M83" s="87"/>
    </row>
    <row r="84" spans="1:13" s="26" customFormat="1" ht="17.25" customHeight="1">
      <c r="A84" s="78">
        <v>17</v>
      </c>
      <c r="B84" s="72" t="s">
        <v>141</v>
      </c>
      <c r="C84" s="379" t="s">
        <v>139</v>
      </c>
      <c r="D84" s="93" t="s">
        <v>20</v>
      </c>
      <c r="E84" s="380"/>
      <c r="F84" s="381">
        <f>F78</f>
        <v>492</v>
      </c>
      <c r="G84" s="380"/>
      <c r="H84" s="147"/>
      <c r="I84" s="380"/>
      <c r="J84" s="95"/>
      <c r="K84" s="380"/>
      <c r="L84" s="147"/>
      <c r="M84" s="381"/>
    </row>
    <row r="85" spans="1:13" s="26" customFormat="1" ht="15">
      <c r="A85" s="78"/>
      <c r="B85" s="72" t="s">
        <v>12</v>
      </c>
      <c r="C85" s="379"/>
      <c r="D85" s="376" t="s">
        <v>15</v>
      </c>
      <c r="E85" s="76">
        <f>56.7/1000</f>
        <v>0.0567</v>
      </c>
      <c r="F85" s="202">
        <f>F84*E85</f>
        <v>27.8964</v>
      </c>
      <c r="G85" s="76"/>
      <c r="H85" s="70"/>
      <c r="I85" s="376"/>
      <c r="J85" s="71"/>
      <c r="K85" s="76"/>
      <c r="L85" s="70"/>
      <c r="M85" s="71"/>
    </row>
    <row r="86" spans="1:13" s="26" customFormat="1" ht="15">
      <c r="A86" s="78"/>
      <c r="B86" s="375" t="s">
        <v>56</v>
      </c>
      <c r="C86" s="379"/>
      <c r="D86" s="375"/>
      <c r="E86" s="76"/>
      <c r="F86" s="202"/>
      <c r="G86" s="76"/>
      <c r="H86" s="70"/>
      <c r="I86" s="76"/>
      <c r="J86" s="71"/>
      <c r="K86" s="76"/>
      <c r="L86" s="70"/>
      <c r="M86" s="202"/>
    </row>
    <row r="87" spans="1:13" s="26" customFormat="1" ht="13.5">
      <c r="A87" s="78"/>
      <c r="B87" s="81" t="s">
        <v>78</v>
      </c>
      <c r="C87" s="385" t="s">
        <v>92</v>
      </c>
      <c r="D87" s="375" t="s">
        <v>31</v>
      </c>
      <c r="E87" s="76">
        <f>31.1/1000</f>
        <v>0.031100000000000003</v>
      </c>
      <c r="F87" s="202">
        <f>F84*E87</f>
        <v>15.301200000000001</v>
      </c>
      <c r="G87" s="390"/>
      <c r="H87" s="70"/>
      <c r="I87" s="76"/>
      <c r="J87" s="71"/>
      <c r="K87" s="76"/>
      <c r="L87" s="70"/>
      <c r="M87" s="71"/>
    </row>
    <row r="88" spans="1:13" s="26" customFormat="1" ht="15">
      <c r="A88" s="78"/>
      <c r="B88" s="72" t="s">
        <v>18</v>
      </c>
      <c r="C88" s="382"/>
      <c r="D88" s="375" t="s">
        <v>0</v>
      </c>
      <c r="E88" s="76">
        <f>0.06/1000</f>
        <v>5.9999999999999995E-05</v>
      </c>
      <c r="F88" s="202">
        <f>F84*E88</f>
        <v>0.029519999999999998</v>
      </c>
      <c r="G88" s="76"/>
      <c r="H88" s="70"/>
      <c r="I88" s="76"/>
      <c r="J88" s="71"/>
      <c r="K88" s="76"/>
      <c r="L88" s="70"/>
      <c r="M88" s="71"/>
    </row>
    <row r="89" spans="1:13" s="27" customFormat="1" ht="27">
      <c r="A89" s="74">
        <v>18</v>
      </c>
      <c r="B89" s="75" t="s">
        <v>67</v>
      </c>
      <c r="C89" s="378" t="s">
        <v>64</v>
      </c>
      <c r="D89" s="76" t="s">
        <v>20</v>
      </c>
      <c r="E89" s="76"/>
      <c r="F89" s="29">
        <v>608</v>
      </c>
      <c r="G89" s="76"/>
      <c r="H89" s="83"/>
      <c r="I89" s="76"/>
      <c r="J89" s="84"/>
      <c r="K89" s="76"/>
      <c r="L89" s="83"/>
      <c r="M89" s="87"/>
    </row>
    <row r="90" spans="1:13" s="27" customFormat="1" ht="13.5">
      <c r="A90" s="375"/>
      <c r="B90" s="72" t="s">
        <v>12</v>
      </c>
      <c r="C90" s="375"/>
      <c r="D90" s="376" t="s">
        <v>15</v>
      </c>
      <c r="E90" s="376">
        <v>0.0959</v>
      </c>
      <c r="F90" s="71">
        <f>F89*E90</f>
        <v>58.3072</v>
      </c>
      <c r="G90" s="376"/>
      <c r="H90" s="84"/>
      <c r="I90" s="376"/>
      <c r="J90" s="84"/>
      <c r="K90" s="376"/>
      <c r="L90" s="84"/>
      <c r="M90" s="87"/>
    </row>
    <row r="91" spans="1:13" s="27" customFormat="1" ht="13.5">
      <c r="A91" s="375"/>
      <c r="B91" s="72" t="s">
        <v>14</v>
      </c>
      <c r="C91" s="375"/>
      <c r="D91" s="375" t="s">
        <v>0</v>
      </c>
      <c r="E91" s="376">
        <v>0.0452</v>
      </c>
      <c r="F91" s="73">
        <f>E91*F89</f>
        <v>27.481599999999997</v>
      </c>
      <c r="G91" s="376"/>
      <c r="H91" s="84"/>
      <c r="I91" s="376"/>
      <c r="J91" s="84"/>
      <c r="K91" s="376"/>
      <c r="L91" s="84"/>
      <c r="M91" s="87"/>
    </row>
    <row r="92" spans="1:13" s="26" customFormat="1" ht="13.5">
      <c r="A92" s="30"/>
      <c r="B92" s="375" t="s">
        <v>56</v>
      </c>
      <c r="C92" s="31"/>
      <c r="D92" s="375"/>
      <c r="E92" s="375"/>
      <c r="F92" s="70"/>
      <c r="G92" s="375"/>
      <c r="H92" s="83"/>
      <c r="I92" s="376"/>
      <c r="J92" s="83"/>
      <c r="K92" s="79"/>
      <c r="L92" s="83"/>
      <c r="M92" s="87"/>
    </row>
    <row r="93" spans="1:13" s="26" customFormat="1" ht="13.5">
      <c r="A93" s="30"/>
      <c r="B93" s="81" t="s">
        <v>450</v>
      </c>
      <c r="C93" s="31" t="s">
        <v>92</v>
      </c>
      <c r="D93" s="375" t="s">
        <v>20</v>
      </c>
      <c r="E93" s="375">
        <v>1.01</v>
      </c>
      <c r="F93" s="70">
        <f>E93*F89</f>
        <v>614.08</v>
      </c>
      <c r="G93" s="70"/>
      <c r="H93" s="83"/>
      <c r="I93" s="376"/>
      <c r="J93" s="83"/>
      <c r="K93" s="79"/>
      <c r="L93" s="83"/>
      <c r="M93" s="87"/>
    </row>
    <row r="94" spans="1:13" s="26" customFormat="1" ht="13.5">
      <c r="A94" s="30"/>
      <c r="B94" s="72" t="s">
        <v>18</v>
      </c>
      <c r="C94" s="31"/>
      <c r="D94" s="375" t="s">
        <v>0</v>
      </c>
      <c r="E94" s="375">
        <v>0.0006</v>
      </c>
      <c r="F94" s="82">
        <f>E94*F89</f>
        <v>0.36479999999999996</v>
      </c>
      <c r="G94" s="375"/>
      <c r="H94" s="83"/>
      <c r="I94" s="376"/>
      <c r="J94" s="83"/>
      <c r="K94" s="79"/>
      <c r="L94" s="83"/>
      <c r="M94" s="87"/>
    </row>
    <row r="95" spans="1:13" s="26" customFormat="1" ht="18.75" customHeight="1">
      <c r="A95" s="78">
        <v>19</v>
      </c>
      <c r="B95" s="72" t="s">
        <v>142</v>
      </c>
      <c r="C95" s="379" t="s">
        <v>139</v>
      </c>
      <c r="D95" s="93" t="s">
        <v>20</v>
      </c>
      <c r="E95" s="380"/>
      <c r="F95" s="381">
        <f>F89</f>
        <v>608</v>
      </c>
      <c r="G95" s="380"/>
      <c r="H95" s="147"/>
      <c r="I95" s="380"/>
      <c r="J95" s="95"/>
      <c r="K95" s="380"/>
      <c r="L95" s="147"/>
      <c r="M95" s="381"/>
    </row>
    <row r="96" spans="1:13" s="26" customFormat="1" ht="15">
      <c r="A96" s="78"/>
      <c r="B96" s="72" t="s">
        <v>12</v>
      </c>
      <c r="C96" s="379"/>
      <c r="D96" s="376" t="s">
        <v>15</v>
      </c>
      <c r="E96" s="76">
        <f>56.7/1000</f>
        <v>0.0567</v>
      </c>
      <c r="F96" s="202">
        <f>F95*E96</f>
        <v>34.4736</v>
      </c>
      <c r="G96" s="76"/>
      <c r="H96" s="70"/>
      <c r="I96" s="376"/>
      <c r="J96" s="71"/>
      <c r="K96" s="76"/>
      <c r="L96" s="70"/>
      <c r="M96" s="71"/>
    </row>
    <row r="97" spans="1:13" s="26" customFormat="1" ht="15">
      <c r="A97" s="78"/>
      <c r="B97" s="375" t="s">
        <v>56</v>
      </c>
      <c r="C97" s="379"/>
      <c r="D97" s="375"/>
      <c r="E97" s="76"/>
      <c r="F97" s="202"/>
      <c r="G97" s="76"/>
      <c r="H97" s="70"/>
      <c r="I97" s="76"/>
      <c r="J97" s="71"/>
      <c r="K97" s="76"/>
      <c r="L97" s="70"/>
      <c r="M97" s="202"/>
    </row>
    <row r="98" spans="1:13" s="26" customFormat="1" ht="13.5">
      <c r="A98" s="78"/>
      <c r="B98" s="81" t="s">
        <v>78</v>
      </c>
      <c r="C98" s="385" t="s">
        <v>92</v>
      </c>
      <c r="D98" s="375" t="s">
        <v>31</v>
      </c>
      <c r="E98" s="76">
        <f>31.1/1000</f>
        <v>0.031100000000000003</v>
      </c>
      <c r="F98" s="202">
        <f>F95*E98</f>
        <v>18.908800000000003</v>
      </c>
      <c r="G98" s="390"/>
      <c r="H98" s="70"/>
      <c r="I98" s="76"/>
      <c r="J98" s="71"/>
      <c r="K98" s="76"/>
      <c r="L98" s="70"/>
      <c r="M98" s="71"/>
    </row>
    <row r="99" spans="1:13" s="26" customFormat="1" ht="15">
      <c r="A99" s="78"/>
      <c r="B99" s="72" t="s">
        <v>18</v>
      </c>
      <c r="C99" s="382"/>
      <c r="D99" s="375" t="s">
        <v>0</v>
      </c>
      <c r="E99" s="76">
        <f>0.06/1000</f>
        <v>5.9999999999999995E-05</v>
      </c>
      <c r="F99" s="202">
        <f>F95*E99</f>
        <v>0.03648</v>
      </c>
      <c r="G99" s="76"/>
      <c r="H99" s="70"/>
      <c r="I99" s="76"/>
      <c r="J99" s="71"/>
      <c r="K99" s="76"/>
      <c r="L99" s="70"/>
      <c r="M99" s="71"/>
    </row>
    <row r="100" spans="1:13" s="26" customFormat="1" ht="27">
      <c r="A100" s="74">
        <v>20</v>
      </c>
      <c r="B100" s="75" t="s">
        <v>451</v>
      </c>
      <c r="C100" s="378" t="s">
        <v>64</v>
      </c>
      <c r="D100" s="76" t="s">
        <v>20</v>
      </c>
      <c r="E100" s="76"/>
      <c r="F100" s="29">
        <v>550</v>
      </c>
      <c r="G100" s="76"/>
      <c r="H100" s="83"/>
      <c r="I100" s="76"/>
      <c r="J100" s="84"/>
      <c r="K100" s="76"/>
      <c r="L100" s="83"/>
      <c r="M100" s="87"/>
    </row>
    <row r="101" spans="1:13" s="26" customFormat="1" ht="13.5">
      <c r="A101" s="375"/>
      <c r="B101" s="72" t="s">
        <v>12</v>
      </c>
      <c r="C101" s="375"/>
      <c r="D101" s="376" t="s">
        <v>15</v>
      </c>
      <c r="E101" s="376">
        <v>0.0959</v>
      </c>
      <c r="F101" s="71">
        <f>F100*E101</f>
        <v>52.745</v>
      </c>
      <c r="G101" s="376"/>
      <c r="H101" s="84"/>
      <c r="I101" s="376"/>
      <c r="J101" s="84"/>
      <c r="K101" s="376"/>
      <c r="L101" s="84"/>
      <c r="M101" s="87"/>
    </row>
    <row r="102" spans="1:13" s="26" customFormat="1" ht="13.5">
      <c r="A102" s="375"/>
      <c r="B102" s="72" t="s">
        <v>14</v>
      </c>
      <c r="C102" s="375"/>
      <c r="D102" s="375" t="s">
        <v>0</v>
      </c>
      <c r="E102" s="376">
        <v>0.0452</v>
      </c>
      <c r="F102" s="73">
        <f>E102*F100</f>
        <v>24.86</v>
      </c>
      <c r="G102" s="376"/>
      <c r="H102" s="84"/>
      <c r="I102" s="376"/>
      <c r="J102" s="84"/>
      <c r="K102" s="376"/>
      <c r="L102" s="84"/>
      <c r="M102" s="87"/>
    </row>
    <row r="103" spans="1:13" s="26" customFormat="1" ht="13.5">
      <c r="A103" s="78"/>
      <c r="B103" s="375" t="s">
        <v>56</v>
      </c>
      <c r="C103" s="31"/>
      <c r="D103" s="375"/>
      <c r="E103" s="375"/>
      <c r="F103" s="70"/>
      <c r="G103" s="375"/>
      <c r="H103" s="83"/>
      <c r="I103" s="376"/>
      <c r="J103" s="83"/>
      <c r="K103" s="79"/>
      <c r="L103" s="83"/>
      <c r="M103" s="87"/>
    </row>
    <row r="104" spans="1:13" s="26" customFormat="1" ht="13.5">
      <c r="A104" s="78"/>
      <c r="B104" s="81" t="s">
        <v>452</v>
      </c>
      <c r="C104" s="31" t="s">
        <v>92</v>
      </c>
      <c r="D104" s="375" t="s">
        <v>20</v>
      </c>
      <c r="E104" s="375">
        <v>1.01</v>
      </c>
      <c r="F104" s="70">
        <f>E104*F100</f>
        <v>555.5</v>
      </c>
      <c r="G104" s="70"/>
      <c r="H104" s="83"/>
      <c r="I104" s="376"/>
      <c r="J104" s="83"/>
      <c r="K104" s="79"/>
      <c r="L104" s="83"/>
      <c r="M104" s="87"/>
    </row>
    <row r="105" spans="1:13" s="26" customFormat="1" ht="13.5">
      <c r="A105" s="78"/>
      <c r="B105" s="72" t="s">
        <v>18</v>
      </c>
      <c r="C105" s="31"/>
      <c r="D105" s="375" t="s">
        <v>0</v>
      </c>
      <c r="E105" s="375">
        <v>0.0006</v>
      </c>
      <c r="F105" s="82">
        <f>E105*F100</f>
        <v>0.32999999999999996</v>
      </c>
      <c r="G105" s="375"/>
      <c r="H105" s="83"/>
      <c r="I105" s="376"/>
      <c r="J105" s="83"/>
      <c r="K105" s="79"/>
      <c r="L105" s="83"/>
      <c r="M105" s="87"/>
    </row>
    <row r="106" spans="1:13" s="26" customFormat="1" ht="15">
      <c r="A106" s="78">
        <v>21</v>
      </c>
      <c r="B106" s="72" t="s">
        <v>246</v>
      </c>
      <c r="C106" s="379" t="s">
        <v>139</v>
      </c>
      <c r="D106" s="93" t="s">
        <v>20</v>
      </c>
      <c r="E106" s="380"/>
      <c r="F106" s="381">
        <f>F100</f>
        <v>550</v>
      </c>
      <c r="G106" s="380"/>
      <c r="H106" s="147"/>
      <c r="I106" s="380"/>
      <c r="J106" s="95"/>
      <c r="K106" s="380"/>
      <c r="L106" s="147"/>
      <c r="M106" s="381"/>
    </row>
    <row r="107" spans="1:13" s="26" customFormat="1" ht="15">
      <c r="A107" s="78"/>
      <c r="B107" s="72" t="s">
        <v>12</v>
      </c>
      <c r="C107" s="379"/>
      <c r="D107" s="376" t="s">
        <v>15</v>
      </c>
      <c r="E107" s="76">
        <f>56.7/1000</f>
        <v>0.0567</v>
      </c>
      <c r="F107" s="202">
        <f>F106*E107</f>
        <v>31.185</v>
      </c>
      <c r="G107" s="76"/>
      <c r="H107" s="70"/>
      <c r="I107" s="376"/>
      <c r="J107" s="71"/>
      <c r="K107" s="76"/>
      <c r="L107" s="70"/>
      <c r="M107" s="71"/>
    </row>
    <row r="108" spans="1:13" s="26" customFormat="1" ht="15">
      <c r="A108" s="78"/>
      <c r="B108" s="375" t="s">
        <v>56</v>
      </c>
      <c r="C108" s="379"/>
      <c r="D108" s="375"/>
      <c r="E108" s="76"/>
      <c r="F108" s="202"/>
      <c r="G108" s="76"/>
      <c r="H108" s="70"/>
      <c r="I108" s="76"/>
      <c r="J108" s="71"/>
      <c r="K108" s="76"/>
      <c r="L108" s="70"/>
      <c r="M108" s="202"/>
    </row>
    <row r="109" spans="1:13" s="26" customFormat="1" ht="13.5">
      <c r="A109" s="78"/>
      <c r="B109" s="81" t="s">
        <v>78</v>
      </c>
      <c r="C109" s="385" t="s">
        <v>92</v>
      </c>
      <c r="D109" s="375" t="s">
        <v>31</v>
      </c>
      <c r="E109" s="76">
        <f>31.1/1000</f>
        <v>0.031100000000000003</v>
      </c>
      <c r="F109" s="202">
        <f>F106*E109</f>
        <v>17.105</v>
      </c>
      <c r="G109" s="390"/>
      <c r="H109" s="70"/>
      <c r="I109" s="76"/>
      <c r="J109" s="71"/>
      <c r="K109" s="76"/>
      <c r="L109" s="70"/>
      <c r="M109" s="71"/>
    </row>
    <row r="110" spans="1:13" s="26" customFormat="1" ht="15">
      <c r="A110" s="78"/>
      <c r="B110" s="72" t="s">
        <v>18</v>
      </c>
      <c r="C110" s="382"/>
      <c r="D110" s="375" t="s">
        <v>0</v>
      </c>
      <c r="E110" s="76">
        <f>0.06/1000</f>
        <v>5.9999999999999995E-05</v>
      </c>
      <c r="F110" s="202">
        <f>F106*E110</f>
        <v>0.032999999999999995</v>
      </c>
      <c r="G110" s="76"/>
      <c r="H110" s="70"/>
      <c r="I110" s="76"/>
      <c r="J110" s="71"/>
      <c r="K110" s="76"/>
      <c r="L110" s="70"/>
      <c r="M110" s="71"/>
    </row>
    <row r="111" spans="1:13" s="27" customFormat="1" ht="13.5">
      <c r="A111" s="375">
        <v>23</v>
      </c>
      <c r="B111" s="72" t="s">
        <v>70</v>
      </c>
      <c r="C111" s="28" t="s">
        <v>71</v>
      </c>
      <c r="D111" s="376" t="s">
        <v>23</v>
      </c>
      <c r="E111" s="376"/>
      <c r="F111" s="35">
        <f>SUM(F115:F115)</f>
        <v>2</v>
      </c>
      <c r="G111" s="36"/>
      <c r="H111" s="84"/>
      <c r="I111" s="376"/>
      <c r="J111" s="84"/>
      <c r="K111" s="376"/>
      <c r="L111" s="84"/>
      <c r="M111" s="87"/>
    </row>
    <row r="112" spans="1:13" s="27" customFormat="1" ht="13.5">
      <c r="A112" s="375"/>
      <c r="B112" s="72" t="s">
        <v>12</v>
      </c>
      <c r="C112" s="375"/>
      <c r="D112" s="376" t="s">
        <v>15</v>
      </c>
      <c r="E112" s="376">
        <v>0.389</v>
      </c>
      <c r="F112" s="71">
        <f>F111*E112</f>
        <v>0.778</v>
      </c>
      <c r="G112" s="376"/>
      <c r="H112" s="84"/>
      <c r="I112" s="376"/>
      <c r="J112" s="84"/>
      <c r="K112" s="376"/>
      <c r="L112" s="84"/>
      <c r="M112" s="87"/>
    </row>
    <row r="113" spans="1:13" s="27" customFormat="1" ht="13.5">
      <c r="A113" s="375"/>
      <c r="B113" s="72" t="s">
        <v>14</v>
      </c>
      <c r="C113" s="375"/>
      <c r="D113" s="375" t="s">
        <v>0</v>
      </c>
      <c r="E113" s="376">
        <v>0.151</v>
      </c>
      <c r="F113" s="73">
        <f>E113*F111</f>
        <v>0.302</v>
      </c>
      <c r="G113" s="376"/>
      <c r="H113" s="84"/>
      <c r="I113" s="376"/>
      <c r="J113" s="84"/>
      <c r="K113" s="376"/>
      <c r="L113" s="84"/>
      <c r="M113" s="87"/>
    </row>
    <row r="114" spans="1:13" s="26" customFormat="1" ht="13.5">
      <c r="A114" s="30"/>
      <c r="B114" s="375" t="s">
        <v>56</v>
      </c>
      <c r="C114" s="31"/>
      <c r="D114" s="375"/>
      <c r="E114" s="375"/>
      <c r="F114" s="70"/>
      <c r="G114" s="375"/>
      <c r="H114" s="83"/>
      <c r="I114" s="376"/>
      <c r="J114" s="83"/>
      <c r="K114" s="79"/>
      <c r="L114" s="83"/>
      <c r="M114" s="87"/>
    </row>
    <row r="115" spans="1:13" s="26" customFormat="1" ht="13.5">
      <c r="A115" s="30"/>
      <c r="B115" s="38" t="s">
        <v>72</v>
      </c>
      <c r="C115" s="31" t="s">
        <v>92</v>
      </c>
      <c r="D115" s="375" t="s">
        <v>23</v>
      </c>
      <c r="E115" s="375"/>
      <c r="F115" s="70">
        <v>2</v>
      </c>
      <c r="G115" s="392"/>
      <c r="H115" s="83"/>
      <c r="I115" s="376"/>
      <c r="J115" s="83"/>
      <c r="K115" s="79"/>
      <c r="L115" s="83"/>
      <c r="M115" s="87"/>
    </row>
    <row r="116" spans="1:13" s="26" customFormat="1" ht="13.5">
      <c r="A116" s="30"/>
      <c r="B116" s="72" t="s">
        <v>18</v>
      </c>
      <c r="C116" s="31"/>
      <c r="D116" s="375" t="s">
        <v>0</v>
      </c>
      <c r="E116" s="375">
        <v>0.024</v>
      </c>
      <c r="F116" s="82">
        <f>E116*F111</f>
        <v>0.048</v>
      </c>
      <c r="G116" s="375"/>
      <c r="H116" s="83"/>
      <c r="I116" s="376"/>
      <c r="J116" s="83"/>
      <c r="K116" s="79"/>
      <c r="L116" s="83"/>
      <c r="M116" s="87"/>
    </row>
    <row r="117" spans="1:13" s="27" customFormat="1" ht="13.5">
      <c r="A117" s="375">
        <v>20</v>
      </c>
      <c r="B117" s="72" t="s">
        <v>73</v>
      </c>
      <c r="C117" s="28" t="s">
        <v>71</v>
      </c>
      <c r="D117" s="376" t="s">
        <v>23</v>
      </c>
      <c r="E117" s="376"/>
      <c r="F117" s="35">
        <f>SUM(F121:F123)</f>
        <v>24</v>
      </c>
      <c r="G117" s="36"/>
      <c r="H117" s="84"/>
      <c r="I117" s="376"/>
      <c r="J117" s="84"/>
      <c r="K117" s="376"/>
      <c r="L117" s="84"/>
      <c r="M117" s="87"/>
    </row>
    <row r="118" spans="1:13" s="27" customFormat="1" ht="13.5">
      <c r="A118" s="375"/>
      <c r="B118" s="72" t="s">
        <v>12</v>
      </c>
      <c r="C118" s="375"/>
      <c r="D118" s="376" t="s">
        <v>15</v>
      </c>
      <c r="E118" s="376">
        <v>0.389</v>
      </c>
      <c r="F118" s="71">
        <f>F117*E118</f>
        <v>9.336</v>
      </c>
      <c r="G118" s="376"/>
      <c r="H118" s="84"/>
      <c r="I118" s="376"/>
      <c r="J118" s="84"/>
      <c r="K118" s="376"/>
      <c r="L118" s="84"/>
      <c r="M118" s="87"/>
    </row>
    <row r="119" spans="1:13" s="27" customFormat="1" ht="13.5">
      <c r="A119" s="375"/>
      <c r="B119" s="72" t="s">
        <v>14</v>
      </c>
      <c r="C119" s="375"/>
      <c r="D119" s="375" t="s">
        <v>0</v>
      </c>
      <c r="E119" s="376">
        <v>0.151</v>
      </c>
      <c r="F119" s="73">
        <f>E119*F117</f>
        <v>3.6239999999999997</v>
      </c>
      <c r="G119" s="376"/>
      <c r="H119" s="84"/>
      <c r="I119" s="376"/>
      <c r="J119" s="84"/>
      <c r="K119" s="376"/>
      <c r="L119" s="84"/>
      <c r="M119" s="87"/>
    </row>
    <row r="120" spans="1:13" s="26" customFormat="1" ht="13.5">
      <c r="A120" s="30"/>
      <c r="B120" s="375" t="s">
        <v>56</v>
      </c>
      <c r="C120" s="31"/>
      <c r="D120" s="375"/>
      <c r="E120" s="375"/>
      <c r="F120" s="70"/>
      <c r="G120" s="375"/>
      <c r="H120" s="83"/>
      <c r="I120" s="376"/>
      <c r="J120" s="83"/>
      <c r="K120" s="79"/>
      <c r="L120" s="83"/>
      <c r="M120" s="87"/>
    </row>
    <row r="121" spans="1:13" s="26" customFormat="1" ht="13.5">
      <c r="A121" s="30"/>
      <c r="B121" s="39" t="s">
        <v>431</v>
      </c>
      <c r="C121" s="31" t="s">
        <v>92</v>
      </c>
      <c r="D121" s="375" t="s">
        <v>23</v>
      </c>
      <c r="E121" s="375"/>
      <c r="F121" s="220">
        <v>9</v>
      </c>
      <c r="G121" s="393"/>
      <c r="H121" s="83"/>
      <c r="I121" s="376"/>
      <c r="J121" s="83"/>
      <c r="K121" s="79"/>
      <c r="L121" s="83"/>
      <c r="M121" s="87"/>
    </row>
    <row r="122" spans="1:13" s="26" customFormat="1" ht="13.5">
      <c r="A122" s="30"/>
      <c r="B122" s="39" t="s">
        <v>432</v>
      </c>
      <c r="C122" s="31" t="s">
        <v>92</v>
      </c>
      <c r="D122" s="375" t="s">
        <v>23</v>
      </c>
      <c r="E122" s="375"/>
      <c r="F122" s="220">
        <v>6</v>
      </c>
      <c r="G122" s="393"/>
      <c r="H122" s="83"/>
      <c r="I122" s="376"/>
      <c r="J122" s="83"/>
      <c r="K122" s="79"/>
      <c r="L122" s="83"/>
      <c r="M122" s="87"/>
    </row>
    <row r="123" spans="1:13" s="26" customFormat="1" ht="13.5">
      <c r="A123" s="30"/>
      <c r="B123" s="39" t="s">
        <v>433</v>
      </c>
      <c r="C123" s="31" t="s">
        <v>92</v>
      </c>
      <c r="D123" s="375" t="s">
        <v>23</v>
      </c>
      <c r="E123" s="375"/>
      <c r="F123" s="220">
        <v>9</v>
      </c>
      <c r="G123" s="393"/>
      <c r="H123" s="83"/>
      <c r="I123" s="376"/>
      <c r="J123" s="83"/>
      <c r="K123" s="79"/>
      <c r="L123" s="83"/>
      <c r="M123" s="87"/>
    </row>
    <row r="124" spans="1:13" s="26" customFormat="1" ht="13.5">
      <c r="A124" s="30"/>
      <c r="B124" s="72" t="s">
        <v>18</v>
      </c>
      <c r="C124" s="31"/>
      <c r="D124" s="375" t="s">
        <v>0</v>
      </c>
      <c r="E124" s="375">
        <v>0.024</v>
      </c>
      <c r="F124" s="82">
        <f>E124*F117</f>
        <v>0.5760000000000001</v>
      </c>
      <c r="G124" s="375"/>
      <c r="H124" s="83"/>
      <c r="I124" s="376"/>
      <c r="J124" s="83"/>
      <c r="K124" s="79"/>
      <c r="L124" s="83"/>
      <c r="M124" s="87"/>
    </row>
    <row r="125" spans="1:13" s="26" customFormat="1" ht="13.5">
      <c r="A125" s="375">
        <v>24</v>
      </c>
      <c r="B125" s="72" t="s">
        <v>98</v>
      </c>
      <c r="C125" s="28" t="s">
        <v>71</v>
      </c>
      <c r="D125" s="376" t="s">
        <v>23</v>
      </c>
      <c r="E125" s="376"/>
      <c r="F125" s="35">
        <f>SUM(F129:F130)</f>
        <v>4</v>
      </c>
      <c r="G125" s="36"/>
      <c r="H125" s="84"/>
      <c r="I125" s="376"/>
      <c r="J125" s="84"/>
      <c r="K125" s="376"/>
      <c r="L125" s="84"/>
      <c r="M125" s="87"/>
    </row>
    <row r="126" spans="1:13" s="26" customFormat="1" ht="13.5">
      <c r="A126" s="375"/>
      <c r="B126" s="72" t="s">
        <v>12</v>
      </c>
      <c r="C126" s="375"/>
      <c r="D126" s="376" t="s">
        <v>15</v>
      </c>
      <c r="E126" s="376">
        <v>0.389</v>
      </c>
      <c r="F126" s="71">
        <f>F125*E126</f>
        <v>1.556</v>
      </c>
      <c r="G126" s="376"/>
      <c r="H126" s="84"/>
      <c r="I126" s="376"/>
      <c r="J126" s="84"/>
      <c r="K126" s="376"/>
      <c r="L126" s="84"/>
      <c r="M126" s="87"/>
    </row>
    <row r="127" spans="1:13" s="26" customFormat="1" ht="13.5">
      <c r="A127" s="375"/>
      <c r="B127" s="72" t="s">
        <v>14</v>
      </c>
      <c r="C127" s="375"/>
      <c r="D127" s="375" t="s">
        <v>0</v>
      </c>
      <c r="E127" s="376">
        <v>0.151</v>
      </c>
      <c r="F127" s="73">
        <f>E127*F125</f>
        <v>0.604</v>
      </c>
      <c r="G127" s="376"/>
      <c r="H127" s="84"/>
      <c r="I127" s="376"/>
      <c r="J127" s="84"/>
      <c r="K127" s="376"/>
      <c r="L127" s="84"/>
      <c r="M127" s="87"/>
    </row>
    <row r="128" spans="1:13" s="26" customFormat="1" ht="13.5">
      <c r="A128" s="30"/>
      <c r="B128" s="375" t="s">
        <v>56</v>
      </c>
      <c r="C128" s="31"/>
      <c r="D128" s="375"/>
      <c r="E128" s="375"/>
      <c r="F128" s="70"/>
      <c r="G128" s="375"/>
      <c r="H128" s="83"/>
      <c r="I128" s="376"/>
      <c r="J128" s="83"/>
      <c r="K128" s="79"/>
      <c r="L128" s="83"/>
      <c r="M128" s="87"/>
    </row>
    <row r="129" spans="1:13" s="26" customFormat="1" ht="13.5">
      <c r="A129" s="30"/>
      <c r="B129" s="39" t="s">
        <v>434</v>
      </c>
      <c r="C129" s="31" t="s">
        <v>92</v>
      </c>
      <c r="D129" s="375" t="s">
        <v>23</v>
      </c>
      <c r="E129" s="375"/>
      <c r="F129" s="220">
        <v>2</v>
      </c>
      <c r="G129" s="393"/>
      <c r="H129" s="83"/>
      <c r="I129" s="376"/>
      <c r="J129" s="83"/>
      <c r="K129" s="79"/>
      <c r="L129" s="83"/>
      <c r="M129" s="87"/>
    </row>
    <row r="130" spans="1:13" s="26" customFormat="1" ht="13.5">
      <c r="A130" s="30"/>
      <c r="B130" s="39" t="s">
        <v>435</v>
      </c>
      <c r="C130" s="31" t="s">
        <v>92</v>
      </c>
      <c r="D130" s="375" t="s">
        <v>23</v>
      </c>
      <c r="E130" s="375"/>
      <c r="F130" s="220">
        <v>2</v>
      </c>
      <c r="G130" s="393"/>
      <c r="H130" s="83"/>
      <c r="I130" s="376"/>
      <c r="J130" s="83"/>
      <c r="K130" s="79"/>
      <c r="L130" s="83"/>
      <c r="M130" s="87"/>
    </row>
    <row r="131" spans="1:13" s="26" customFormat="1" ht="13.5">
      <c r="A131" s="30"/>
      <c r="B131" s="72" t="s">
        <v>18</v>
      </c>
      <c r="C131" s="31"/>
      <c r="D131" s="375" t="s">
        <v>0</v>
      </c>
      <c r="E131" s="375">
        <v>0.024</v>
      </c>
      <c r="F131" s="82">
        <f>E131*F125</f>
        <v>0.096</v>
      </c>
      <c r="G131" s="375"/>
      <c r="H131" s="83"/>
      <c r="I131" s="376"/>
      <c r="J131" s="83"/>
      <c r="K131" s="79"/>
      <c r="L131" s="83"/>
      <c r="M131" s="87"/>
    </row>
    <row r="132" spans="1:13" s="26" customFormat="1" ht="13.5">
      <c r="A132" s="375">
        <v>25</v>
      </c>
      <c r="B132" s="72" t="s">
        <v>74</v>
      </c>
      <c r="C132" s="28" t="s">
        <v>68</v>
      </c>
      <c r="D132" s="376" t="s">
        <v>23</v>
      </c>
      <c r="E132" s="376"/>
      <c r="F132" s="35">
        <f>SUM(F136:F139)</f>
        <v>4</v>
      </c>
      <c r="G132" s="36"/>
      <c r="H132" s="84"/>
      <c r="I132" s="376"/>
      <c r="J132" s="84"/>
      <c r="K132" s="376"/>
      <c r="L132" s="84"/>
      <c r="M132" s="87"/>
    </row>
    <row r="133" spans="1:13" s="26" customFormat="1" ht="13.5">
      <c r="A133" s="375"/>
      <c r="B133" s="72" t="s">
        <v>12</v>
      </c>
      <c r="C133" s="375"/>
      <c r="D133" s="376" t="s">
        <v>15</v>
      </c>
      <c r="E133" s="376">
        <v>0.584</v>
      </c>
      <c r="F133" s="71">
        <f>F132*E133</f>
        <v>2.336</v>
      </c>
      <c r="G133" s="376"/>
      <c r="H133" s="84"/>
      <c r="I133" s="376"/>
      <c r="J133" s="84"/>
      <c r="K133" s="376"/>
      <c r="L133" s="84"/>
      <c r="M133" s="87"/>
    </row>
    <row r="134" spans="1:13" s="26" customFormat="1" ht="13.5">
      <c r="A134" s="375"/>
      <c r="B134" s="72" t="s">
        <v>14</v>
      </c>
      <c r="C134" s="375"/>
      <c r="D134" s="375" t="s">
        <v>0</v>
      </c>
      <c r="E134" s="376">
        <v>0.151</v>
      </c>
      <c r="F134" s="73">
        <f>E134*F132</f>
        <v>0.604</v>
      </c>
      <c r="G134" s="376"/>
      <c r="H134" s="84"/>
      <c r="I134" s="376"/>
      <c r="J134" s="84"/>
      <c r="K134" s="376"/>
      <c r="L134" s="84"/>
      <c r="M134" s="87"/>
    </row>
    <row r="135" spans="1:13" s="26" customFormat="1" ht="13.5">
      <c r="A135" s="30"/>
      <c r="B135" s="375" t="s">
        <v>56</v>
      </c>
      <c r="C135" s="31"/>
      <c r="D135" s="375"/>
      <c r="E135" s="375"/>
      <c r="F135" s="70"/>
      <c r="G135" s="375"/>
      <c r="H135" s="83"/>
      <c r="I135" s="376"/>
      <c r="J135" s="83"/>
      <c r="K135" s="79"/>
      <c r="L135" s="83"/>
      <c r="M135" s="87"/>
    </row>
    <row r="136" spans="1:13" s="26" customFormat="1" ht="13.5">
      <c r="A136" s="30"/>
      <c r="B136" s="40" t="s">
        <v>436</v>
      </c>
      <c r="C136" s="31" t="s">
        <v>92</v>
      </c>
      <c r="D136" s="37" t="s">
        <v>69</v>
      </c>
      <c r="E136" s="375"/>
      <c r="F136" s="221">
        <v>1</v>
      </c>
      <c r="G136" s="394"/>
      <c r="H136" s="83"/>
      <c r="I136" s="376"/>
      <c r="J136" s="83"/>
      <c r="K136" s="79"/>
      <c r="L136" s="83"/>
      <c r="M136" s="87"/>
    </row>
    <row r="137" spans="1:13" s="26" customFormat="1" ht="13.5">
      <c r="A137" s="30"/>
      <c r="B137" s="40" t="s">
        <v>437</v>
      </c>
      <c r="C137" s="31" t="s">
        <v>92</v>
      </c>
      <c r="D137" s="37" t="s">
        <v>69</v>
      </c>
      <c r="E137" s="375"/>
      <c r="F137" s="221">
        <v>1</v>
      </c>
      <c r="G137" s="394"/>
      <c r="H137" s="83"/>
      <c r="I137" s="376"/>
      <c r="J137" s="83"/>
      <c r="K137" s="79"/>
      <c r="L137" s="83"/>
      <c r="M137" s="87"/>
    </row>
    <row r="138" spans="1:13" s="26" customFormat="1" ht="13.5">
      <c r="A138" s="30"/>
      <c r="B138" s="40" t="s">
        <v>438</v>
      </c>
      <c r="C138" s="31" t="s">
        <v>92</v>
      </c>
      <c r="D138" s="37" t="s">
        <v>69</v>
      </c>
      <c r="E138" s="375"/>
      <c r="F138" s="221">
        <v>1</v>
      </c>
      <c r="G138" s="394"/>
      <c r="H138" s="83"/>
      <c r="I138" s="376"/>
      <c r="J138" s="83"/>
      <c r="K138" s="79"/>
      <c r="L138" s="83"/>
      <c r="M138" s="87"/>
    </row>
    <row r="139" spans="1:13" s="26" customFormat="1" ht="13.5">
      <c r="A139" s="30"/>
      <c r="B139" s="40" t="s">
        <v>439</v>
      </c>
      <c r="C139" s="31" t="s">
        <v>92</v>
      </c>
      <c r="D139" s="37" t="s">
        <v>69</v>
      </c>
      <c r="E139" s="375"/>
      <c r="F139" s="221">
        <v>1</v>
      </c>
      <c r="G139" s="394"/>
      <c r="H139" s="83"/>
      <c r="I139" s="376"/>
      <c r="J139" s="83"/>
      <c r="K139" s="79"/>
      <c r="L139" s="83"/>
      <c r="M139" s="87"/>
    </row>
    <row r="140" spans="1:13" s="26" customFormat="1" ht="13.5">
      <c r="A140" s="30"/>
      <c r="B140" s="72" t="s">
        <v>18</v>
      </c>
      <c r="C140" s="31"/>
      <c r="D140" s="375" t="s">
        <v>0</v>
      </c>
      <c r="E140" s="375">
        <v>0.024</v>
      </c>
      <c r="F140" s="82">
        <f>E140*F132</f>
        <v>0.096</v>
      </c>
      <c r="G140" s="375"/>
      <c r="H140" s="83"/>
      <c r="I140" s="376"/>
      <c r="J140" s="83"/>
      <c r="K140" s="79"/>
      <c r="L140" s="83"/>
      <c r="M140" s="87"/>
    </row>
    <row r="141" spans="1:13" s="205" customFormat="1" ht="15.75" customHeight="1">
      <c r="A141" s="208">
        <v>26</v>
      </c>
      <c r="B141" s="92" t="s">
        <v>75</v>
      </c>
      <c r="C141" s="395" t="s">
        <v>76</v>
      </c>
      <c r="D141" s="233" t="s">
        <v>34</v>
      </c>
      <c r="E141" s="233"/>
      <c r="F141" s="151">
        <v>1</v>
      </c>
      <c r="G141" s="209"/>
      <c r="H141" s="210"/>
      <c r="I141" s="211"/>
      <c r="J141" s="210"/>
      <c r="K141" s="211"/>
      <c r="L141" s="210"/>
      <c r="M141" s="212"/>
    </row>
    <row r="142" spans="1:13" s="26" customFormat="1" ht="13.5">
      <c r="A142" s="41"/>
      <c r="B142" s="46" t="s">
        <v>40</v>
      </c>
      <c r="C142" s="28"/>
      <c r="D142" s="41" t="s">
        <v>15</v>
      </c>
      <c r="E142" s="375">
        <v>1.78</v>
      </c>
      <c r="F142" s="88">
        <f>F141*E142</f>
        <v>1.78</v>
      </c>
      <c r="G142" s="47"/>
      <c r="H142" s="48"/>
      <c r="I142" s="44"/>
      <c r="J142" s="43"/>
      <c r="K142" s="44"/>
      <c r="L142" s="43"/>
      <c r="M142" s="45"/>
    </row>
    <row r="143" spans="1:13" s="26" customFormat="1" ht="13.5">
      <c r="A143" s="41"/>
      <c r="B143" s="46" t="s">
        <v>41</v>
      </c>
      <c r="C143" s="49"/>
      <c r="D143" s="41" t="s">
        <v>0</v>
      </c>
      <c r="E143" s="375">
        <v>0.12</v>
      </c>
      <c r="F143" s="88">
        <f>F141*E143</f>
        <v>0.12</v>
      </c>
      <c r="G143" s="41"/>
      <c r="H143" s="43"/>
      <c r="I143" s="44"/>
      <c r="J143" s="43"/>
      <c r="K143" s="44"/>
      <c r="L143" s="43"/>
      <c r="M143" s="45"/>
    </row>
    <row r="144" spans="1:13" s="26" customFormat="1" ht="13.5">
      <c r="A144" s="41"/>
      <c r="B144" s="375" t="s">
        <v>56</v>
      </c>
      <c r="C144" s="49"/>
      <c r="D144" s="41"/>
      <c r="E144" s="375"/>
      <c r="F144" s="41"/>
      <c r="G144" s="41"/>
      <c r="H144" s="43"/>
      <c r="I144" s="44"/>
      <c r="J144" s="43"/>
      <c r="K144" s="44"/>
      <c r="L144" s="43"/>
      <c r="M144" s="45"/>
    </row>
    <row r="145" spans="1:13" s="26" customFormat="1" ht="13.5">
      <c r="A145" s="41"/>
      <c r="B145" s="46" t="s">
        <v>77</v>
      </c>
      <c r="C145" s="49" t="s">
        <v>453</v>
      </c>
      <c r="D145" s="41" t="s">
        <v>34</v>
      </c>
      <c r="E145" s="375">
        <v>1</v>
      </c>
      <c r="F145" s="41">
        <f>F141*E145</f>
        <v>1</v>
      </c>
      <c r="G145" s="41"/>
      <c r="H145" s="43"/>
      <c r="I145" s="44"/>
      <c r="J145" s="43"/>
      <c r="K145" s="44"/>
      <c r="L145" s="43"/>
      <c r="M145" s="45"/>
    </row>
    <row r="146" spans="1:13" s="26" customFormat="1" ht="13.5">
      <c r="A146" s="41"/>
      <c r="B146" s="46" t="s">
        <v>18</v>
      </c>
      <c r="C146" s="49"/>
      <c r="D146" s="41" t="s">
        <v>0</v>
      </c>
      <c r="E146" s="375">
        <v>1.13</v>
      </c>
      <c r="F146" s="41">
        <f>F141*E146</f>
        <v>1.13</v>
      </c>
      <c r="G146" s="41"/>
      <c r="H146" s="43"/>
      <c r="I146" s="44"/>
      <c r="J146" s="43"/>
      <c r="K146" s="44"/>
      <c r="L146" s="43"/>
      <c r="M146" s="45"/>
    </row>
    <row r="147" spans="1:13" s="26" customFormat="1" ht="13.5">
      <c r="A147" s="74">
        <v>27</v>
      </c>
      <c r="B147" s="75" t="s">
        <v>80</v>
      </c>
      <c r="C147" s="378" t="s">
        <v>81</v>
      </c>
      <c r="D147" s="76" t="s">
        <v>31</v>
      </c>
      <c r="E147" s="76"/>
      <c r="F147" s="29">
        <v>550</v>
      </c>
      <c r="G147" s="76"/>
      <c r="H147" s="83"/>
      <c r="I147" s="76"/>
      <c r="J147" s="84"/>
      <c r="K147" s="76"/>
      <c r="L147" s="83"/>
      <c r="M147" s="87"/>
    </row>
    <row r="148" spans="1:13" s="26" customFormat="1" ht="13.5">
      <c r="A148" s="375"/>
      <c r="B148" s="72" t="s">
        <v>12</v>
      </c>
      <c r="C148" s="375"/>
      <c r="D148" s="376" t="s">
        <v>15</v>
      </c>
      <c r="E148" s="376">
        <v>1.21</v>
      </c>
      <c r="F148" s="71">
        <f>F147*E148</f>
        <v>665.5</v>
      </c>
      <c r="G148" s="376"/>
      <c r="H148" s="84"/>
      <c r="I148" s="376"/>
      <c r="J148" s="84"/>
      <c r="K148" s="376"/>
      <c r="L148" s="84"/>
      <c r="M148" s="87"/>
    </row>
    <row r="149" spans="1:13" s="26" customFormat="1" ht="13.5">
      <c r="A149" s="74">
        <v>28</v>
      </c>
      <c r="B149" s="75" t="s">
        <v>458</v>
      </c>
      <c r="C149" s="378" t="s">
        <v>55</v>
      </c>
      <c r="D149" s="76" t="s">
        <v>31</v>
      </c>
      <c r="E149" s="76"/>
      <c r="F149" s="29">
        <f>F11-F17</f>
        <v>1830</v>
      </c>
      <c r="G149" s="76"/>
      <c r="H149" s="83"/>
      <c r="I149" s="76"/>
      <c r="J149" s="84"/>
      <c r="K149" s="76"/>
      <c r="L149" s="83"/>
      <c r="M149" s="87"/>
    </row>
    <row r="150" spans="1:13" s="26" customFormat="1" ht="13.5">
      <c r="A150" s="28"/>
      <c r="B150" s="25" t="s">
        <v>39</v>
      </c>
      <c r="C150" s="375"/>
      <c r="D150" s="376" t="s">
        <v>15</v>
      </c>
      <c r="E150" s="375">
        <v>1.8</v>
      </c>
      <c r="F150" s="70">
        <f>E150*F149</f>
        <v>3294</v>
      </c>
      <c r="G150" s="375"/>
      <c r="H150" s="83"/>
      <c r="I150" s="375"/>
      <c r="J150" s="83"/>
      <c r="K150" s="375"/>
      <c r="L150" s="83"/>
      <c r="M150" s="87"/>
    </row>
    <row r="151" spans="1:13" s="26" customFormat="1" ht="13.5">
      <c r="A151" s="78"/>
      <c r="B151" s="375" t="s">
        <v>56</v>
      </c>
      <c r="C151" s="31"/>
      <c r="D151" s="375"/>
      <c r="E151" s="375"/>
      <c r="F151" s="70"/>
      <c r="G151" s="375"/>
      <c r="H151" s="83"/>
      <c r="I151" s="79"/>
      <c r="J151" s="83"/>
      <c r="K151" s="79"/>
      <c r="L151" s="83"/>
      <c r="M151" s="87"/>
    </row>
    <row r="152" spans="1:13" s="26" customFormat="1" ht="15.75">
      <c r="A152" s="78"/>
      <c r="B152" s="25" t="s">
        <v>106</v>
      </c>
      <c r="C152" s="389" t="s">
        <v>459</v>
      </c>
      <c r="D152" s="376" t="s">
        <v>57</v>
      </c>
      <c r="E152" s="375">
        <v>1.1</v>
      </c>
      <c r="F152" s="375">
        <f>E152*F149</f>
        <v>2013.0000000000002</v>
      </c>
      <c r="G152" s="32"/>
      <c r="H152" s="33"/>
      <c r="I152" s="34"/>
      <c r="J152" s="83"/>
      <c r="K152" s="32"/>
      <c r="L152" s="83"/>
      <c r="M152" s="87"/>
    </row>
    <row r="153" spans="1:13" s="26" customFormat="1" ht="13.5">
      <c r="A153" s="78"/>
      <c r="B153" s="25" t="s">
        <v>556</v>
      </c>
      <c r="C153" s="389" t="s">
        <v>449</v>
      </c>
      <c r="D153" s="376" t="s">
        <v>13</v>
      </c>
      <c r="E153" s="375"/>
      <c r="F153" s="375">
        <f>F152*1.6</f>
        <v>3220.8000000000006</v>
      </c>
      <c r="G153" s="32"/>
      <c r="H153" s="213"/>
      <c r="I153" s="34"/>
      <c r="J153" s="83"/>
      <c r="K153" s="32"/>
      <c r="L153" s="83"/>
      <c r="M153" s="87"/>
    </row>
    <row r="154" spans="1:13" s="26" customFormat="1" ht="13.5">
      <c r="A154" s="51"/>
      <c r="B154" s="52" t="s">
        <v>82</v>
      </c>
      <c r="C154" s="53"/>
      <c r="D154" s="237"/>
      <c r="E154" s="237"/>
      <c r="F154" s="54"/>
      <c r="G154" s="237"/>
      <c r="H154" s="55"/>
      <c r="I154" s="56"/>
      <c r="J154" s="55"/>
      <c r="K154" s="57"/>
      <c r="L154" s="55"/>
      <c r="M154" s="58"/>
    </row>
    <row r="155" spans="1:20" s="26" customFormat="1" ht="40.5">
      <c r="A155" s="51"/>
      <c r="B155" s="237" t="s">
        <v>440</v>
      </c>
      <c r="C155" s="237"/>
      <c r="D155" s="237"/>
      <c r="E155" s="237"/>
      <c r="F155" s="237"/>
      <c r="G155" s="116"/>
      <c r="H155" s="377"/>
      <c r="I155" s="116"/>
      <c r="J155" s="377"/>
      <c r="K155" s="116"/>
      <c r="L155" s="377"/>
      <c r="M155" s="377"/>
      <c r="N155" s="59"/>
      <c r="O155" s="59"/>
      <c r="P155" s="59"/>
      <c r="Q155" s="59"/>
      <c r="R155" s="59"/>
      <c r="S155" s="59"/>
      <c r="T155" s="59"/>
    </row>
    <row r="156" spans="1:20" s="27" customFormat="1" ht="27">
      <c r="A156" s="74">
        <v>1</v>
      </c>
      <c r="B156" s="75" t="s">
        <v>454</v>
      </c>
      <c r="C156" s="378" t="s">
        <v>83</v>
      </c>
      <c r="D156" s="76" t="s">
        <v>25</v>
      </c>
      <c r="E156" s="76"/>
      <c r="F156" s="89">
        <f>(0.35*1+0.24+0.24)/10*2</f>
        <v>0.16599999999999998</v>
      </c>
      <c r="G156" s="76"/>
      <c r="H156" s="83"/>
      <c r="I156" s="76"/>
      <c r="J156" s="84"/>
      <c r="K156" s="76"/>
      <c r="L156" s="83"/>
      <c r="M156" s="84"/>
      <c r="N156" s="59"/>
      <c r="O156" s="59"/>
      <c r="P156" s="59"/>
      <c r="Q156" s="59"/>
      <c r="R156" s="59"/>
      <c r="S156" s="59"/>
      <c r="T156" s="59"/>
    </row>
    <row r="157" spans="1:20" s="26" customFormat="1" ht="13.5">
      <c r="A157" s="30"/>
      <c r="B157" s="25" t="s">
        <v>39</v>
      </c>
      <c r="C157" s="375"/>
      <c r="D157" s="376" t="s">
        <v>15</v>
      </c>
      <c r="E157" s="71">
        <v>106</v>
      </c>
      <c r="F157" s="71">
        <f>F156*E157</f>
        <v>17.595999999999997</v>
      </c>
      <c r="G157" s="375"/>
      <c r="H157" s="83"/>
      <c r="I157" s="375"/>
      <c r="J157" s="83"/>
      <c r="K157" s="375"/>
      <c r="L157" s="83"/>
      <c r="M157" s="83"/>
      <c r="N157" s="59"/>
      <c r="O157" s="59"/>
      <c r="P157" s="59"/>
      <c r="Q157" s="59"/>
      <c r="R157" s="59"/>
      <c r="S157" s="59"/>
      <c r="T157" s="59"/>
    </row>
    <row r="158" spans="1:20" s="26" customFormat="1" ht="13.5">
      <c r="A158" s="28"/>
      <c r="B158" s="25" t="s">
        <v>24</v>
      </c>
      <c r="C158" s="375"/>
      <c r="D158" s="376" t="s">
        <v>0</v>
      </c>
      <c r="E158" s="375">
        <v>71.4</v>
      </c>
      <c r="F158" s="70">
        <f>E158*F156</f>
        <v>11.8524</v>
      </c>
      <c r="G158" s="375"/>
      <c r="H158" s="83"/>
      <c r="I158" s="375"/>
      <c r="J158" s="83"/>
      <c r="K158" s="375"/>
      <c r="L158" s="83"/>
      <c r="M158" s="83"/>
      <c r="N158" s="59"/>
      <c r="O158" s="59"/>
      <c r="P158" s="59"/>
      <c r="Q158" s="59"/>
      <c r="R158" s="59"/>
      <c r="S158" s="59"/>
      <c r="T158" s="59"/>
    </row>
    <row r="159" spans="1:20" s="26" customFormat="1" ht="13.5">
      <c r="A159" s="375"/>
      <c r="B159" s="375" t="s">
        <v>22</v>
      </c>
      <c r="C159" s="375"/>
      <c r="D159" s="375"/>
      <c r="E159" s="82"/>
      <c r="F159" s="70"/>
      <c r="G159" s="376"/>
      <c r="H159" s="84"/>
      <c r="I159" s="376"/>
      <c r="J159" s="84"/>
      <c r="K159" s="376"/>
      <c r="L159" s="84"/>
      <c r="M159" s="83"/>
      <c r="N159" s="59"/>
      <c r="O159" s="59"/>
      <c r="P159" s="59"/>
      <c r="Q159" s="59"/>
      <c r="R159" s="59"/>
      <c r="S159" s="59"/>
      <c r="T159" s="59"/>
    </row>
    <row r="160" spans="1:20" s="26" customFormat="1" ht="13.5">
      <c r="A160" s="30"/>
      <c r="B160" s="25" t="s">
        <v>455</v>
      </c>
      <c r="C160" s="376" t="s">
        <v>460</v>
      </c>
      <c r="D160" s="376" t="s">
        <v>23</v>
      </c>
      <c r="E160" s="71"/>
      <c r="F160" s="71">
        <v>2</v>
      </c>
      <c r="G160" s="32"/>
      <c r="H160" s="33"/>
      <c r="I160" s="34"/>
      <c r="J160" s="60"/>
      <c r="K160" s="32"/>
      <c r="L160" s="33"/>
      <c r="M160" s="83"/>
      <c r="N160" s="59"/>
      <c r="O160" s="59"/>
      <c r="P160" s="59"/>
      <c r="Q160" s="59"/>
      <c r="R160" s="59"/>
      <c r="S160" s="59"/>
      <c r="T160" s="59"/>
    </row>
    <row r="161" spans="1:20" s="26" customFormat="1" ht="13.5">
      <c r="A161" s="30"/>
      <c r="B161" s="25" t="s">
        <v>84</v>
      </c>
      <c r="C161" s="376" t="s">
        <v>461</v>
      </c>
      <c r="D161" s="376" t="s">
        <v>23</v>
      </c>
      <c r="E161" s="71"/>
      <c r="F161" s="71">
        <v>2</v>
      </c>
      <c r="G161" s="32"/>
      <c r="H161" s="33"/>
      <c r="I161" s="34"/>
      <c r="J161" s="60"/>
      <c r="K161" s="32"/>
      <c r="L161" s="33"/>
      <c r="M161" s="83"/>
      <c r="N161" s="59"/>
      <c r="O161" s="59"/>
      <c r="P161" s="59"/>
      <c r="Q161" s="59"/>
      <c r="R161" s="59"/>
      <c r="S161" s="59"/>
      <c r="T161" s="59"/>
    </row>
    <row r="162" spans="1:20" s="26" customFormat="1" ht="13.5">
      <c r="A162" s="30"/>
      <c r="B162" s="25" t="s">
        <v>85</v>
      </c>
      <c r="C162" s="376" t="s">
        <v>462</v>
      </c>
      <c r="D162" s="376" t="s">
        <v>23</v>
      </c>
      <c r="E162" s="71"/>
      <c r="F162" s="71">
        <v>2</v>
      </c>
      <c r="G162" s="32"/>
      <c r="H162" s="33"/>
      <c r="I162" s="34"/>
      <c r="J162" s="60"/>
      <c r="K162" s="32"/>
      <c r="L162" s="33"/>
      <c r="M162" s="83"/>
      <c r="N162" s="59"/>
      <c r="O162" s="59"/>
      <c r="P162" s="59"/>
      <c r="Q162" s="59"/>
      <c r="R162" s="59"/>
      <c r="S162" s="59"/>
      <c r="T162" s="59"/>
    </row>
    <row r="163" spans="1:20" s="26" customFormat="1" ht="13.5">
      <c r="A163" s="30"/>
      <c r="B163" s="72" t="s">
        <v>18</v>
      </c>
      <c r="C163" s="376"/>
      <c r="D163" s="376" t="s">
        <v>0</v>
      </c>
      <c r="E163" s="71">
        <v>66.1</v>
      </c>
      <c r="F163" s="71">
        <f>F156*E163</f>
        <v>10.972599999999998</v>
      </c>
      <c r="G163" s="32"/>
      <c r="H163" s="33"/>
      <c r="I163" s="34"/>
      <c r="J163" s="60"/>
      <c r="K163" s="32"/>
      <c r="L163" s="33"/>
      <c r="M163" s="83"/>
      <c r="N163" s="59"/>
      <c r="O163" s="59"/>
      <c r="P163" s="59"/>
      <c r="Q163" s="59"/>
      <c r="R163" s="59"/>
      <c r="S163" s="59"/>
      <c r="T163" s="59"/>
    </row>
    <row r="164" spans="1:20" s="205" customFormat="1" ht="18.75" customHeight="1">
      <c r="A164" s="233">
        <v>4</v>
      </c>
      <c r="B164" s="92" t="s">
        <v>230</v>
      </c>
      <c r="C164" s="395" t="s">
        <v>86</v>
      </c>
      <c r="D164" s="93" t="s">
        <v>23</v>
      </c>
      <c r="E164" s="93"/>
      <c r="F164" s="147">
        <v>2</v>
      </c>
      <c r="G164" s="149"/>
      <c r="H164" s="148"/>
      <c r="I164" s="93"/>
      <c r="J164" s="148"/>
      <c r="K164" s="93"/>
      <c r="L164" s="148"/>
      <c r="M164" s="148"/>
      <c r="N164" s="154"/>
      <c r="O164" s="154"/>
      <c r="P164" s="154"/>
      <c r="Q164" s="154"/>
      <c r="R164" s="154"/>
      <c r="S164" s="154"/>
      <c r="T164" s="154"/>
    </row>
    <row r="165" spans="1:20" s="26" customFormat="1" ht="13.5">
      <c r="A165" s="375"/>
      <c r="B165" s="72" t="s">
        <v>12</v>
      </c>
      <c r="C165" s="375"/>
      <c r="D165" s="376" t="s">
        <v>15</v>
      </c>
      <c r="E165" s="376">
        <v>0.62</v>
      </c>
      <c r="F165" s="71">
        <f>F164*E165</f>
        <v>1.24</v>
      </c>
      <c r="G165" s="376"/>
      <c r="H165" s="84"/>
      <c r="I165" s="376"/>
      <c r="J165" s="84"/>
      <c r="K165" s="376"/>
      <c r="L165" s="84"/>
      <c r="M165" s="84"/>
      <c r="N165" s="59"/>
      <c r="O165" s="59"/>
      <c r="P165" s="59"/>
      <c r="Q165" s="59"/>
      <c r="R165" s="59"/>
      <c r="S165" s="59"/>
      <c r="T165" s="59"/>
    </row>
    <row r="166" spans="1:20" s="26" customFormat="1" ht="13.5">
      <c r="A166" s="375"/>
      <c r="B166" s="72" t="s">
        <v>14</v>
      </c>
      <c r="C166" s="375"/>
      <c r="D166" s="375" t="s">
        <v>0</v>
      </c>
      <c r="E166" s="376">
        <v>0.41</v>
      </c>
      <c r="F166" s="73">
        <f>E166*F164</f>
        <v>0.82</v>
      </c>
      <c r="G166" s="376"/>
      <c r="H166" s="84"/>
      <c r="I166" s="376"/>
      <c r="J166" s="84"/>
      <c r="K166" s="376"/>
      <c r="L166" s="84"/>
      <c r="M166" s="84"/>
      <c r="N166" s="59"/>
      <c r="O166" s="59"/>
      <c r="P166" s="59"/>
      <c r="Q166" s="59"/>
      <c r="R166" s="59"/>
      <c r="S166" s="59"/>
      <c r="T166" s="59"/>
    </row>
    <row r="167" spans="1:20" s="26" customFormat="1" ht="13.5">
      <c r="A167" s="78"/>
      <c r="B167" s="375" t="s">
        <v>56</v>
      </c>
      <c r="C167" s="31"/>
      <c r="D167" s="375"/>
      <c r="E167" s="375"/>
      <c r="F167" s="70"/>
      <c r="G167" s="375"/>
      <c r="H167" s="83"/>
      <c r="I167" s="376"/>
      <c r="J167" s="83"/>
      <c r="K167" s="79"/>
      <c r="L167" s="83"/>
      <c r="M167" s="83"/>
      <c r="N167" s="59"/>
      <c r="O167" s="59"/>
      <c r="P167" s="59"/>
      <c r="Q167" s="59"/>
      <c r="R167" s="59"/>
      <c r="S167" s="59"/>
      <c r="T167" s="59"/>
    </row>
    <row r="168" spans="1:20" s="26" customFormat="1" ht="13.5" customHeight="1">
      <c r="A168" s="78"/>
      <c r="B168" s="81" t="s">
        <v>231</v>
      </c>
      <c r="C168" s="31" t="s">
        <v>92</v>
      </c>
      <c r="D168" s="375" t="s">
        <v>23</v>
      </c>
      <c r="E168" s="375">
        <v>1</v>
      </c>
      <c r="F168" s="70">
        <f>E168*F164</f>
        <v>2</v>
      </c>
      <c r="G168" s="70"/>
      <c r="H168" s="83"/>
      <c r="I168" s="376"/>
      <c r="J168" s="83"/>
      <c r="K168" s="79"/>
      <c r="L168" s="83"/>
      <c r="M168" s="83"/>
      <c r="N168" s="59"/>
      <c r="O168" s="59"/>
      <c r="P168" s="59"/>
      <c r="Q168" s="59"/>
      <c r="R168" s="59"/>
      <c r="S168" s="59"/>
      <c r="T168" s="59"/>
    </row>
    <row r="169" spans="1:20" s="26" customFormat="1" ht="13.5">
      <c r="A169" s="78"/>
      <c r="B169" s="72" t="s">
        <v>18</v>
      </c>
      <c r="C169" s="31"/>
      <c r="D169" s="375" t="s">
        <v>0</v>
      </c>
      <c r="E169" s="375">
        <v>0.04</v>
      </c>
      <c r="F169" s="70">
        <f>E169*F164</f>
        <v>0.08</v>
      </c>
      <c r="G169" s="375"/>
      <c r="H169" s="83"/>
      <c r="I169" s="376"/>
      <c r="J169" s="83"/>
      <c r="K169" s="79"/>
      <c r="L169" s="83"/>
      <c r="M169" s="83"/>
      <c r="N169" s="59"/>
      <c r="O169" s="59"/>
      <c r="P169" s="59"/>
      <c r="Q169" s="59"/>
      <c r="R169" s="59"/>
      <c r="S169" s="59"/>
      <c r="T169" s="59"/>
    </row>
    <row r="170" spans="1:20" s="26" customFormat="1" ht="13.5">
      <c r="A170" s="375">
        <v>5</v>
      </c>
      <c r="B170" s="72" t="s">
        <v>87</v>
      </c>
      <c r="C170" s="28" t="s">
        <v>89</v>
      </c>
      <c r="D170" s="376" t="s">
        <v>23</v>
      </c>
      <c r="E170" s="376"/>
      <c r="F170" s="70">
        <v>2</v>
      </c>
      <c r="G170" s="36"/>
      <c r="H170" s="84"/>
      <c r="I170" s="376"/>
      <c r="J170" s="84"/>
      <c r="K170" s="376"/>
      <c r="L170" s="84"/>
      <c r="M170" s="84"/>
      <c r="N170" s="59"/>
      <c r="O170" s="59"/>
      <c r="P170" s="59"/>
      <c r="Q170" s="59"/>
      <c r="R170" s="59"/>
      <c r="S170" s="59"/>
      <c r="T170" s="59"/>
    </row>
    <row r="171" spans="1:20" s="26" customFormat="1" ht="13.5">
      <c r="A171" s="375"/>
      <c r="B171" s="72" t="s">
        <v>12</v>
      </c>
      <c r="C171" s="375"/>
      <c r="D171" s="376" t="s">
        <v>15</v>
      </c>
      <c r="E171" s="376">
        <v>0.48</v>
      </c>
      <c r="F171" s="71">
        <f>F170*E171</f>
        <v>0.96</v>
      </c>
      <c r="G171" s="376"/>
      <c r="H171" s="84"/>
      <c r="I171" s="376"/>
      <c r="J171" s="84"/>
      <c r="K171" s="376"/>
      <c r="L171" s="84"/>
      <c r="M171" s="84"/>
      <c r="N171" s="59"/>
      <c r="O171" s="59"/>
      <c r="P171" s="59"/>
      <c r="Q171" s="59"/>
      <c r="R171" s="59"/>
      <c r="S171" s="59"/>
      <c r="T171" s="59"/>
    </row>
    <row r="172" spans="1:20" s="26" customFormat="1" ht="13.5">
      <c r="A172" s="375"/>
      <c r="B172" s="72" t="s">
        <v>14</v>
      </c>
      <c r="C172" s="375"/>
      <c r="D172" s="375" t="s">
        <v>0</v>
      </c>
      <c r="E172" s="376">
        <v>0.31</v>
      </c>
      <c r="F172" s="73">
        <f>E172*F170</f>
        <v>0.62</v>
      </c>
      <c r="G172" s="376"/>
      <c r="H172" s="84"/>
      <c r="I172" s="376"/>
      <c r="J172" s="84"/>
      <c r="K172" s="376"/>
      <c r="L172" s="84"/>
      <c r="M172" s="84"/>
      <c r="N172" s="59"/>
      <c r="O172" s="59"/>
      <c r="P172" s="59"/>
      <c r="Q172" s="59"/>
      <c r="R172" s="59"/>
      <c r="S172" s="59"/>
      <c r="T172" s="59"/>
    </row>
    <row r="173" spans="1:20" s="26" customFormat="1" ht="13.5">
      <c r="A173" s="30"/>
      <c r="B173" s="375" t="s">
        <v>56</v>
      </c>
      <c r="C173" s="31"/>
      <c r="D173" s="375"/>
      <c r="E173" s="375"/>
      <c r="F173" s="70"/>
      <c r="G173" s="375"/>
      <c r="H173" s="83"/>
      <c r="I173" s="376"/>
      <c r="J173" s="83"/>
      <c r="K173" s="79"/>
      <c r="L173" s="83"/>
      <c r="M173" s="83"/>
      <c r="N173" s="59"/>
      <c r="O173" s="59"/>
      <c r="P173" s="59"/>
      <c r="Q173" s="59"/>
      <c r="R173" s="59"/>
      <c r="S173" s="59"/>
      <c r="T173" s="59"/>
    </row>
    <row r="174" spans="1:20" s="26" customFormat="1" ht="13.5">
      <c r="A174" s="30"/>
      <c r="B174" s="81" t="s">
        <v>88</v>
      </c>
      <c r="C174" s="31" t="s">
        <v>92</v>
      </c>
      <c r="D174" s="375" t="s">
        <v>23</v>
      </c>
      <c r="E174" s="375">
        <v>1</v>
      </c>
      <c r="F174" s="70">
        <f>E174*F170</f>
        <v>2</v>
      </c>
      <c r="G174" s="70"/>
      <c r="H174" s="83"/>
      <c r="I174" s="376"/>
      <c r="J174" s="83"/>
      <c r="K174" s="79"/>
      <c r="L174" s="83"/>
      <c r="M174" s="83"/>
      <c r="N174" s="59"/>
      <c r="O174" s="59"/>
      <c r="P174" s="59"/>
      <c r="Q174" s="59"/>
      <c r="R174" s="59"/>
      <c r="S174" s="59"/>
      <c r="T174" s="59"/>
    </row>
    <row r="175" spans="1:20" s="26" customFormat="1" ht="13.5">
      <c r="A175" s="30"/>
      <c r="B175" s="72" t="s">
        <v>18</v>
      </c>
      <c r="C175" s="31"/>
      <c r="D175" s="375" t="s">
        <v>0</v>
      </c>
      <c r="E175" s="375">
        <v>0.02</v>
      </c>
      <c r="F175" s="70">
        <f>E175*F170</f>
        <v>0.04</v>
      </c>
      <c r="G175" s="375"/>
      <c r="H175" s="83"/>
      <c r="I175" s="376"/>
      <c r="J175" s="83"/>
      <c r="K175" s="79"/>
      <c r="L175" s="83"/>
      <c r="M175" s="83"/>
      <c r="N175" s="59"/>
      <c r="O175" s="59"/>
      <c r="P175" s="59"/>
      <c r="Q175" s="59"/>
      <c r="R175" s="59"/>
      <c r="S175" s="59"/>
      <c r="T175" s="59"/>
    </row>
    <row r="176" spans="1:20" s="26" customFormat="1" ht="13.5">
      <c r="A176" s="375">
        <v>9</v>
      </c>
      <c r="B176" s="72" t="s">
        <v>74</v>
      </c>
      <c r="C176" s="28" t="s">
        <v>68</v>
      </c>
      <c r="D176" s="376" t="s">
        <v>23</v>
      </c>
      <c r="E176" s="376"/>
      <c r="F176" s="35">
        <f>SUM(F180:F182)</f>
        <v>3</v>
      </c>
      <c r="G176" s="36"/>
      <c r="H176" s="84"/>
      <c r="I176" s="376"/>
      <c r="J176" s="84"/>
      <c r="K176" s="376"/>
      <c r="L176" s="84"/>
      <c r="M176" s="87"/>
      <c r="N176" s="59"/>
      <c r="O176" s="59"/>
      <c r="P176" s="59"/>
      <c r="Q176" s="59"/>
      <c r="R176" s="59"/>
      <c r="S176" s="59"/>
      <c r="T176" s="59"/>
    </row>
    <row r="177" spans="1:20" s="26" customFormat="1" ht="13.5">
      <c r="A177" s="375"/>
      <c r="B177" s="72" t="s">
        <v>12</v>
      </c>
      <c r="C177" s="375"/>
      <c r="D177" s="376" t="s">
        <v>15</v>
      </c>
      <c r="E177" s="376">
        <v>0.584</v>
      </c>
      <c r="F177" s="71">
        <f>F176*E177</f>
        <v>1.7519999999999998</v>
      </c>
      <c r="G177" s="376"/>
      <c r="H177" s="84"/>
      <c r="I177" s="376"/>
      <c r="J177" s="84"/>
      <c r="K177" s="376"/>
      <c r="L177" s="84"/>
      <c r="M177" s="87"/>
      <c r="N177" s="59"/>
      <c r="O177" s="59"/>
      <c r="P177" s="59"/>
      <c r="Q177" s="59"/>
      <c r="R177" s="59"/>
      <c r="S177" s="59"/>
      <c r="T177" s="59"/>
    </row>
    <row r="178" spans="1:20" s="26" customFormat="1" ht="13.5">
      <c r="A178" s="375"/>
      <c r="B178" s="72" t="s">
        <v>14</v>
      </c>
      <c r="C178" s="375"/>
      <c r="D178" s="375" t="s">
        <v>0</v>
      </c>
      <c r="E178" s="376">
        <v>0.151</v>
      </c>
      <c r="F178" s="73">
        <f>E178*F176</f>
        <v>0.45299999999999996</v>
      </c>
      <c r="G178" s="376"/>
      <c r="H178" s="84"/>
      <c r="I178" s="376"/>
      <c r="J178" s="84"/>
      <c r="K178" s="376"/>
      <c r="L178" s="84"/>
      <c r="M178" s="87"/>
      <c r="N178" s="59"/>
      <c r="O178" s="59"/>
      <c r="P178" s="59"/>
      <c r="Q178" s="59"/>
      <c r="R178" s="59"/>
      <c r="S178" s="59"/>
      <c r="T178" s="59"/>
    </row>
    <row r="179" spans="1:20" s="26" customFormat="1" ht="13.5">
      <c r="A179" s="30"/>
      <c r="B179" s="375" t="s">
        <v>56</v>
      </c>
      <c r="C179" s="31"/>
      <c r="D179" s="375"/>
      <c r="E179" s="375"/>
      <c r="F179" s="70"/>
      <c r="G179" s="375"/>
      <c r="H179" s="83"/>
      <c r="I179" s="376"/>
      <c r="J179" s="83"/>
      <c r="K179" s="79"/>
      <c r="L179" s="83"/>
      <c r="M179" s="87"/>
      <c r="N179" s="59"/>
      <c r="O179" s="59"/>
      <c r="P179" s="59"/>
      <c r="Q179" s="59"/>
      <c r="R179" s="59"/>
      <c r="S179" s="59"/>
      <c r="T179" s="59"/>
    </row>
    <row r="180" spans="1:20" s="26" customFormat="1" ht="13.5">
      <c r="A180" s="30"/>
      <c r="B180" s="40" t="s">
        <v>441</v>
      </c>
      <c r="C180" s="31" t="s">
        <v>92</v>
      </c>
      <c r="D180" s="37" t="s">
        <v>69</v>
      </c>
      <c r="E180" s="375"/>
      <c r="F180" s="221">
        <v>1</v>
      </c>
      <c r="G180" s="394"/>
      <c r="H180" s="83"/>
      <c r="I180" s="376"/>
      <c r="J180" s="83"/>
      <c r="K180" s="79"/>
      <c r="L180" s="83"/>
      <c r="M180" s="87"/>
      <c r="N180" s="59"/>
      <c r="O180" s="59"/>
      <c r="P180" s="59"/>
      <c r="Q180" s="59"/>
      <c r="R180" s="59"/>
      <c r="S180" s="59"/>
      <c r="T180" s="59"/>
    </row>
    <row r="181" spans="1:20" s="26" customFormat="1" ht="13.5">
      <c r="A181" s="30"/>
      <c r="B181" s="40" t="s">
        <v>442</v>
      </c>
      <c r="C181" s="31" t="s">
        <v>92</v>
      </c>
      <c r="D181" s="37" t="s">
        <v>69</v>
      </c>
      <c r="E181" s="375"/>
      <c r="F181" s="221">
        <v>1</v>
      </c>
      <c r="G181" s="394"/>
      <c r="H181" s="83"/>
      <c r="I181" s="376"/>
      <c r="J181" s="83"/>
      <c r="K181" s="79"/>
      <c r="L181" s="83"/>
      <c r="M181" s="87"/>
      <c r="N181" s="59"/>
      <c r="O181" s="59"/>
      <c r="P181" s="59"/>
      <c r="Q181" s="59"/>
      <c r="R181" s="59"/>
      <c r="S181" s="59"/>
      <c r="T181" s="59"/>
    </row>
    <row r="182" spans="1:20" s="26" customFormat="1" ht="13.5">
      <c r="A182" s="30"/>
      <c r="B182" s="40" t="s">
        <v>443</v>
      </c>
      <c r="C182" s="31" t="s">
        <v>92</v>
      </c>
      <c r="D182" s="37" t="s">
        <v>69</v>
      </c>
      <c r="E182" s="375"/>
      <c r="F182" s="221">
        <v>1</v>
      </c>
      <c r="G182" s="394"/>
      <c r="H182" s="83"/>
      <c r="I182" s="376"/>
      <c r="J182" s="83"/>
      <c r="K182" s="79"/>
      <c r="L182" s="83"/>
      <c r="M182" s="87"/>
      <c r="N182" s="59"/>
      <c r="O182" s="59"/>
      <c r="P182" s="59"/>
      <c r="Q182" s="59"/>
      <c r="R182" s="59"/>
      <c r="S182" s="59"/>
      <c r="T182" s="59"/>
    </row>
    <row r="183" spans="1:20" s="26" customFormat="1" ht="13.5">
      <c r="A183" s="30"/>
      <c r="B183" s="72" t="s">
        <v>18</v>
      </c>
      <c r="C183" s="31"/>
      <c r="D183" s="375" t="s">
        <v>0</v>
      </c>
      <c r="E183" s="375">
        <v>0.024</v>
      </c>
      <c r="F183" s="82">
        <f>E183*F176</f>
        <v>0.07200000000000001</v>
      </c>
      <c r="G183" s="375"/>
      <c r="H183" s="83"/>
      <c r="I183" s="376"/>
      <c r="J183" s="83"/>
      <c r="K183" s="79"/>
      <c r="L183" s="83"/>
      <c r="M183" s="87"/>
      <c r="N183" s="59"/>
      <c r="O183" s="59"/>
      <c r="P183" s="59"/>
      <c r="Q183" s="59"/>
      <c r="R183" s="59"/>
      <c r="S183" s="59"/>
      <c r="T183" s="59"/>
    </row>
    <row r="184" spans="1:20" s="26" customFormat="1" ht="13.5">
      <c r="A184" s="375">
        <v>10</v>
      </c>
      <c r="B184" s="72" t="s">
        <v>73</v>
      </c>
      <c r="C184" s="28" t="s">
        <v>71</v>
      </c>
      <c r="D184" s="376" t="s">
        <v>23</v>
      </c>
      <c r="E184" s="376"/>
      <c r="F184" s="35">
        <f>SUM(F188:F190)</f>
        <v>36</v>
      </c>
      <c r="G184" s="36"/>
      <c r="H184" s="84"/>
      <c r="I184" s="376"/>
      <c r="J184" s="84"/>
      <c r="K184" s="376"/>
      <c r="L184" s="84"/>
      <c r="M184" s="87"/>
      <c r="N184" s="59"/>
      <c r="O184" s="59"/>
      <c r="P184" s="59"/>
      <c r="Q184" s="59"/>
      <c r="R184" s="59"/>
      <c r="S184" s="59"/>
      <c r="T184" s="59"/>
    </row>
    <row r="185" spans="1:20" s="26" customFormat="1" ht="13.5">
      <c r="A185" s="375"/>
      <c r="B185" s="72" t="s">
        <v>12</v>
      </c>
      <c r="C185" s="375"/>
      <c r="D185" s="376" t="s">
        <v>15</v>
      </c>
      <c r="E185" s="376">
        <v>0.389</v>
      </c>
      <c r="F185" s="71">
        <f>F184*E185</f>
        <v>14.004000000000001</v>
      </c>
      <c r="G185" s="376"/>
      <c r="H185" s="84"/>
      <c r="I185" s="376"/>
      <c r="J185" s="84"/>
      <c r="K185" s="376"/>
      <c r="L185" s="84"/>
      <c r="M185" s="87"/>
      <c r="N185" s="59"/>
      <c r="O185" s="59"/>
      <c r="P185" s="59"/>
      <c r="Q185" s="59"/>
      <c r="R185" s="59"/>
      <c r="S185" s="59"/>
      <c r="T185" s="59"/>
    </row>
    <row r="186" spans="1:20" s="26" customFormat="1" ht="13.5">
      <c r="A186" s="375"/>
      <c r="B186" s="72" t="s">
        <v>14</v>
      </c>
      <c r="C186" s="375"/>
      <c r="D186" s="375" t="s">
        <v>0</v>
      </c>
      <c r="E186" s="376">
        <v>0.151</v>
      </c>
      <c r="F186" s="73">
        <f>E186*F184</f>
        <v>5.436</v>
      </c>
      <c r="G186" s="376"/>
      <c r="H186" s="84"/>
      <c r="I186" s="376"/>
      <c r="J186" s="84"/>
      <c r="K186" s="376"/>
      <c r="L186" s="84"/>
      <c r="M186" s="87"/>
      <c r="N186" s="59"/>
      <c r="O186" s="59"/>
      <c r="P186" s="59"/>
      <c r="Q186" s="59"/>
      <c r="R186" s="59"/>
      <c r="S186" s="59"/>
      <c r="T186" s="59"/>
    </row>
    <row r="187" spans="1:20" s="26" customFormat="1" ht="13.5">
      <c r="A187" s="30"/>
      <c r="B187" s="375" t="s">
        <v>56</v>
      </c>
      <c r="C187" s="31"/>
      <c r="D187" s="375"/>
      <c r="E187" s="375"/>
      <c r="F187" s="70"/>
      <c r="G187" s="375"/>
      <c r="H187" s="83"/>
      <c r="I187" s="376"/>
      <c r="J187" s="83"/>
      <c r="K187" s="79"/>
      <c r="L187" s="83"/>
      <c r="M187" s="87"/>
      <c r="N187" s="59"/>
      <c r="O187" s="59"/>
      <c r="P187" s="59"/>
      <c r="Q187" s="59"/>
      <c r="R187" s="59"/>
      <c r="S187" s="59"/>
      <c r="T187" s="59"/>
    </row>
    <row r="188" spans="1:20" s="26" customFormat="1" ht="13.5">
      <c r="A188" s="30"/>
      <c r="B188" s="39" t="s">
        <v>444</v>
      </c>
      <c r="C188" s="31" t="s">
        <v>92</v>
      </c>
      <c r="D188" s="375" t="s">
        <v>23</v>
      </c>
      <c r="E188" s="375"/>
      <c r="F188" s="220">
        <v>7</v>
      </c>
      <c r="G188" s="393"/>
      <c r="H188" s="83"/>
      <c r="I188" s="376"/>
      <c r="J188" s="83"/>
      <c r="K188" s="79"/>
      <c r="L188" s="83"/>
      <c r="M188" s="87"/>
      <c r="N188" s="59"/>
      <c r="O188" s="59"/>
      <c r="P188" s="59"/>
      <c r="Q188" s="59"/>
      <c r="R188" s="59"/>
      <c r="S188" s="59"/>
      <c r="T188" s="59"/>
    </row>
    <row r="189" spans="1:20" s="26" customFormat="1" ht="13.5">
      <c r="A189" s="30"/>
      <c r="B189" s="39" t="s">
        <v>445</v>
      </c>
      <c r="C189" s="31" t="s">
        <v>92</v>
      </c>
      <c r="D189" s="375" t="s">
        <v>23</v>
      </c>
      <c r="E189" s="375"/>
      <c r="F189" s="220">
        <v>15</v>
      </c>
      <c r="G189" s="393"/>
      <c r="H189" s="83"/>
      <c r="I189" s="376"/>
      <c r="J189" s="83"/>
      <c r="K189" s="79"/>
      <c r="L189" s="83"/>
      <c r="M189" s="87"/>
      <c r="N189" s="59"/>
      <c r="O189" s="59"/>
      <c r="P189" s="59"/>
      <c r="Q189" s="59"/>
      <c r="R189" s="59"/>
      <c r="S189" s="59"/>
      <c r="T189" s="59"/>
    </row>
    <row r="190" spans="1:20" s="26" customFormat="1" ht="13.5">
      <c r="A190" s="30"/>
      <c r="B190" s="39" t="s">
        <v>431</v>
      </c>
      <c r="C190" s="31" t="s">
        <v>92</v>
      </c>
      <c r="D190" s="375" t="s">
        <v>23</v>
      </c>
      <c r="E190" s="375"/>
      <c r="F190" s="220">
        <v>14</v>
      </c>
      <c r="G190" s="393"/>
      <c r="H190" s="83"/>
      <c r="I190" s="376"/>
      <c r="J190" s="83"/>
      <c r="K190" s="79"/>
      <c r="L190" s="83"/>
      <c r="M190" s="87"/>
      <c r="N190" s="59"/>
      <c r="O190" s="59"/>
      <c r="P190" s="59"/>
      <c r="Q190" s="59"/>
      <c r="R190" s="59"/>
      <c r="S190" s="59"/>
      <c r="T190" s="59"/>
    </row>
    <row r="191" spans="1:20" s="26" customFormat="1" ht="13.5">
      <c r="A191" s="30"/>
      <c r="B191" s="72" t="s">
        <v>18</v>
      </c>
      <c r="C191" s="31"/>
      <c r="D191" s="375" t="s">
        <v>0</v>
      </c>
      <c r="E191" s="375">
        <v>0.024</v>
      </c>
      <c r="F191" s="82">
        <f>E191*F184</f>
        <v>0.864</v>
      </c>
      <c r="G191" s="375"/>
      <c r="H191" s="83"/>
      <c r="I191" s="376"/>
      <c r="J191" s="83"/>
      <c r="K191" s="79"/>
      <c r="L191" s="83"/>
      <c r="M191" s="87"/>
      <c r="N191" s="59"/>
      <c r="O191" s="59"/>
      <c r="P191" s="59"/>
      <c r="Q191" s="59"/>
      <c r="R191" s="59"/>
      <c r="S191" s="59"/>
      <c r="T191" s="59"/>
    </row>
    <row r="192" spans="1:20" s="26" customFormat="1" ht="13.5">
      <c r="A192" s="375">
        <v>11</v>
      </c>
      <c r="B192" s="72" t="s">
        <v>236</v>
      </c>
      <c r="C192" s="28" t="s">
        <v>68</v>
      </c>
      <c r="D192" s="376" t="s">
        <v>23</v>
      </c>
      <c r="E192" s="376"/>
      <c r="F192" s="35">
        <v>2</v>
      </c>
      <c r="G192" s="36"/>
      <c r="H192" s="84"/>
      <c r="I192" s="376"/>
      <c r="J192" s="84"/>
      <c r="K192" s="376"/>
      <c r="L192" s="84"/>
      <c r="M192" s="87"/>
      <c r="N192" s="59"/>
      <c r="O192" s="59"/>
      <c r="P192" s="59"/>
      <c r="Q192" s="59"/>
      <c r="R192" s="59"/>
      <c r="S192" s="59"/>
      <c r="T192" s="59"/>
    </row>
    <row r="193" spans="1:20" s="26" customFormat="1" ht="13.5">
      <c r="A193" s="375"/>
      <c r="B193" s="72" t="s">
        <v>12</v>
      </c>
      <c r="C193" s="375"/>
      <c r="D193" s="376" t="s">
        <v>15</v>
      </c>
      <c r="E193" s="376">
        <v>0.584</v>
      </c>
      <c r="F193" s="71">
        <f>F192*E193</f>
        <v>1.168</v>
      </c>
      <c r="G193" s="376"/>
      <c r="H193" s="84"/>
      <c r="I193" s="376"/>
      <c r="J193" s="84"/>
      <c r="K193" s="376"/>
      <c r="L193" s="84"/>
      <c r="M193" s="87"/>
      <c r="N193" s="59"/>
      <c r="O193" s="59"/>
      <c r="P193" s="59"/>
      <c r="Q193" s="59"/>
      <c r="R193" s="59"/>
      <c r="S193" s="59"/>
      <c r="T193" s="59"/>
    </row>
    <row r="194" spans="1:20" s="26" customFormat="1" ht="13.5">
      <c r="A194" s="375"/>
      <c r="B194" s="72" t="s">
        <v>14</v>
      </c>
      <c r="C194" s="375"/>
      <c r="D194" s="375" t="s">
        <v>0</v>
      </c>
      <c r="E194" s="376">
        <v>0.151</v>
      </c>
      <c r="F194" s="73">
        <f>E194*F192</f>
        <v>0.302</v>
      </c>
      <c r="G194" s="376"/>
      <c r="H194" s="84"/>
      <c r="I194" s="376"/>
      <c r="J194" s="84"/>
      <c r="K194" s="376"/>
      <c r="L194" s="84"/>
      <c r="M194" s="87"/>
      <c r="N194" s="59"/>
      <c r="O194" s="59"/>
      <c r="P194" s="59"/>
      <c r="Q194" s="59"/>
      <c r="R194" s="59"/>
      <c r="S194" s="59"/>
      <c r="T194" s="59"/>
    </row>
    <row r="195" spans="1:20" s="26" customFormat="1" ht="13.5">
      <c r="A195" s="30"/>
      <c r="B195" s="375" t="s">
        <v>56</v>
      </c>
      <c r="C195" s="31"/>
      <c r="D195" s="375"/>
      <c r="E195" s="375"/>
      <c r="F195" s="70"/>
      <c r="G195" s="375"/>
      <c r="H195" s="83"/>
      <c r="I195" s="376"/>
      <c r="J195" s="83"/>
      <c r="K195" s="79"/>
      <c r="L195" s="83"/>
      <c r="M195" s="87"/>
      <c r="N195" s="59"/>
      <c r="O195" s="59"/>
      <c r="P195" s="59"/>
      <c r="Q195" s="59"/>
      <c r="R195" s="59"/>
      <c r="S195" s="59"/>
      <c r="T195" s="59"/>
    </row>
    <row r="196" spans="1:20" s="26" customFormat="1" ht="13.5">
      <c r="A196" s="30"/>
      <c r="B196" s="40" t="s">
        <v>446</v>
      </c>
      <c r="C196" s="31" t="s">
        <v>92</v>
      </c>
      <c r="D196" s="37" t="s">
        <v>69</v>
      </c>
      <c r="E196" s="375"/>
      <c r="F196" s="221">
        <v>1</v>
      </c>
      <c r="G196" s="394"/>
      <c r="H196" s="83"/>
      <c r="I196" s="376"/>
      <c r="J196" s="83"/>
      <c r="K196" s="79"/>
      <c r="L196" s="83"/>
      <c r="M196" s="87"/>
      <c r="N196" s="59"/>
      <c r="O196" s="59"/>
      <c r="P196" s="59"/>
      <c r="Q196" s="59"/>
      <c r="R196" s="59"/>
      <c r="S196" s="59"/>
      <c r="T196" s="59"/>
    </row>
    <row r="197" spans="1:20" s="26" customFormat="1" ht="13.5">
      <c r="A197" s="30"/>
      <c r="B197" s="40" t="s">
        <v>447</v>
      </c>
      <c r="C197" s="31" t="s">
        <v>92</v>
      </c>
      <c r="D197" s="37" t="s">
        <v>69</v>
      </c>
      <c r="E197" s="375"/>
      <c r="F197" s="221">
        <v>1</v>
      </c>
      <c r="G197" s="394"/>
      <c r="H197" s="83"/>
      <c r="I197" s="376"/>
      <c r="J197" s="83"/>
      <c r="K197" s="79"/>
      <c r="L197" s="83"/>
      <c r="M197" s="87"/>
      <c r="N197" s="59"/>
      <c r="O197" s="59"/>
      <c r="P197" s="59"/>
      <c r="Q197" s="59"/>
      <c r="R197" s="59"/>
      <c r="S197" s="59"/>
      <c r="T197" s="59"/>
    </row>
    <row r="198" spans="1:20" s="26" customFormat="1" ht="13.5">
      <c r="A198" s="375">
        <v>12</v>
      </c>
      <c r="B198" s="72" t="s">
        <v>237</v>
      </c>
      <c r="C198" s="28" t="s">
        <v>535</v>
      </c>
      <c r="D198" s="376" t="s">
        <v>23</v>
      </c>
      <c r="E198" s="376"/>
      <c r="F198" s="70">
        <v>2</v>
      </c>
      <c r="G198" s="36"/>
      <c r="H198" s="84"/>
      <c r="I198" s="376"/>
      <c r="J198" s="84"/>
      <c r="K198" s="376"/>
      <c r="L198" s="84"/>
      <c r="M198" s="87"/>
      <c r="N198" s="59"/>
      <c r="O198" s="59"/>
      <c r="P198" s="59"/>
      <c r="Q198" s="59"/>
      <c r="R198" s="59"/>
      <c r="S198" s="59"/>
      <c r="T198" s="59"/>
    </row>
    <row r="199" spans="1:20" s="26" customFormat="1" ht="13.5">
      <c r="A199" s="375"/>
      <c r="B199" s="72" t="s">
        <v>12</v>
      </c>
      <c r="C199" s="375"/>
      <c r="D199" s="376" t="s">
        <v>15</v>
      </c>
      <c r="E199" s="376">
        <v>0.35</v>
      </c>
      <c r="F199" s="71">
        <f>F198*E199</f>
        <v>0.7</v>
      </c>
      <c r="G199" s="376"/>
      <c r="H199" s="84"/>
      <c r="I199" s="376"/>
      <c r="J199" s="84"/>
      <c r="K199" s="376"/>
      <c r="L199" s="84"/>
      <c r="M199" s="87"/>
      <c r="N199" s="59"/>
      <c r="O199" s="59"/>
      <c r="P199" s="59"/>
      <c r="Q199" s="59"/>
      <c r="R199" s="59"/>
      <c r="S199" s="59"/>
      <c r="T199" s="59"/>
    </row>
    <row r="200" spans="1:20" s="26" customFormat="1" ht="13.5">
      <c r="A200" s="375"/>
      <c r="B200" s="72" t="s">
        <v>14</v>
      </c>
      <c r="C200" s="375"/>
      <c r="D200" s="375" t="s">
        <v>0</v>
      </c>
      <c r="E200" s="376">
        <v>0.23</v>
      </c>
      <c r="F200" s="73">
        <f>E200*F198</f>
        <v>0.46</v>
      </c>
      <c r="G200" s="376"/>
      <c r="H200" s="84"/>
      <c r="I200" s="376"/>
      <c r="J200" s="84"/>
      <c r="K200" s="376"/>
      <c r="L200" s="84"/>
      <c r="M200" s="87"/>
      <c r="N200" s="59"/>
      <c r="O200" s="59"/>
      <c r="P200" s="59"/>
      <c r="Q200" s="59"/>
      <c r="R200" s="59"/>
      <c r="S200" s="59"/>
      <c r="T200" s="59"/>
    </row>
    <row r="201" spans="1:20" s="26" customFormat="1" ht="13.5">
      <c r="A201" s="78"/>
      <c r="B201" s="375" t="s">
        <v>56</v>
      </c>
      <c r="C201" s="31"/>
      <c r="D201" s="375"/>
      <c r="E201" s="375"/>
      <c r="F201" s="70"/>
      <c r="G201" s="375"/>
      <c r="H201" s="83"/>
      <c r="I201" s="376"/>
      <c r="J201" s="83"/>
      <c r="K201" s="79"/>
      <c r="L201" s="83"/>
      <c r="M201" s="87"/>
      <c r="N201" s="59"/>
      <c r="O201" s="59"/>
      <c r="P201" s="59"/>
      <c r="Q201" s="59"/>
      <c r="R201" s="59"/>
      <c r="S201" s="59"/>
      <c r="T201" s="59"/>
    </row>
    <row r="202" spans="1:20" s="26" customFormat="1" ht="11.25" customHeight="1">
      <c r="A202" s="78"/>
      <c r="B202" s="81" t="s">
        <v>238</v>
      </c>
      <c r="C202" s="31" t="s">
        <v>92</v>
      </c>
      <c r="D202" s="375" t="s">
        <v>23</v>
      </c>
      <c r="E202" s="375"/>
      <c r="F202" s="375">
        <v>2</v>
      </c>
      <c r="G202" s="70"/>
      <c r="H202" s="83"/>
      <c r="I202" s="376"/>
      <c r="J202" s="83"/>
      <c r="K202" s="79"/>
      <c r="L202" s="83"/>
      <c r="M202" s="87"/>
      <c r="N202" s="59"/>
      <c r="O202" s="59"/>
      <c r="P202" s="59"/>
      <c r="Q202" s="59"/>
      <c r="R202" s="59"/>
      <c r="S202" s="59"/>
      <c r="T202" s="59"/>
    </row>
    <row r="203" spans="1:20" s="26" customFormat="1" ht="13.5">
      <c r="A203" s="78"/>
      <c r="B203" s="81" t="s">
        <v>239</v>
      </c>
      <c r="C203" s="31" t="s">
        <v>92</v>
      </c>
      <c r="D203" s="375" t="s">
        <v>23</v>
      </c>
      <c r="E203" s="375"/>
      <c r="F203" s="375">
        <v>4</v>
      </c>
      <c r="G203" s="70"/>
      <c r="H203" s="83"/>
      <c r="I203" s="376"/>
      <c r="J203" s="83"/>
      <c r="K203" s="79"/>
      <c r="L203" s="83"/>
      <c r="M203" s="87"/>
      <c r="N203" s="59"/>
      <c r="O203" s="59"/>
      <c r="P203" s="59"/>
      <c r="Q203" s="59"/>
      <c r="R203" s="59"/>
      <c r="S203" s="59"/>
      <c r="T203" s="59"/>
    </row>
    <row r="204" spans="1:20" s="26" customFormat="1" ht="13.5">
      <c r="A204" s="78"/>
      <c r="B204" s="81" t="s">
        <v>90</v>
      </c>
      <c r="C204" s="31" t="s">
        <v>92</v>
      </c>
      <c r="D204" s="375" t="s">
        <v>23</v>
      </c>
      <c r="E204" s="375"/>
      <c r="F204" s="375">
        <v>6</v>
      </c>
      <c r="G204" s="70"/>
      <c r="H204" s="83"/>
      <c r="I204" s="376"/>
      <c r="J204" s="83"/>
      <c r="K204" s="79"/>
      <c r="L204" s="83"/>
      <c r="M204" s="87"/>
      <c r="N204" s="59"/>
      <c r="O204" s="59"/>
      <c r="P204" s="59"/>
      <c r="Q204" s="59"/>
      <c r="R204" s="59"/>
      <c r="S204" s="59"/>
      <c r="T204" s="59"/>
    </row>
    <row r="205" spans="1:20" s="26" customFormat="1" ht="13.5">
      <c r="A205" s="78"/>
      <c r="B205" s="81" t="s">
        <v>109</v>
      </c>
      <c r="C205" s="31" t="s">
        <v>92</v>
      </c>
      <c r="D205" s="375" t="s">
        <v>23</v>
      </c>
      <c r="E205" s="375"/>
      <c r="F205" s="375">
        <v>10</v>
      </c>
      <c r="G205" s="70"/>
      <c r="H205" s="83"/>
      <c r="I205" s="376"/>
      <c r="J205" s="83"/>
      <c r="K205" s="79"/>
      <c r="L205" s="83"/>
      <c r="M205" s="87"/>
      <c r="N205" s="59"/>
      <c r="O205" s="59"/>
      <c r="P205" s="59"/>
      <c r="Q205" s="59"/>
      <c r="R205" s="59"/>
      <c r="S205" s="59"/>
      <c r="T205" s="59"/>
    </row>
    <row r="206" spans="1:20" s="26" customFormat="1" ht="13.5">
      <c r="A206" s="78"/>
      <c r="B206" s="72" t="s">
        <v>18</v>
      </c>
      <c r="C206" s="31"/>
      <c r="D206" s="375" t="s">
        <v>0</v>
      </c>
      <c r="E206" s="375">
        <v>0.01</v>
      </c>
      <c r="F206" s="70">
        <f>E206*F198</f>
        <v>0.02</v>
      </c>
      <c r="G206" s="375"/>
      <c r="H206" s="83"/>
      <c r="I206" s="376"/>
      <c r="J206" s="83"/>
      <c r="K206" s="79"/>
      <c r="L206" s="83"/>
      <c r="M206" s="83"/>
      <c r="N206" s="59"/>
      <c r="O206" s="59"/>
      <c r="P206" s="59"/>
      <c r="Q206" s="59"/>
      <c r="R206" s="59"/>
      <c r="S206" s="59"/>
      <c r="T206" s="59"/>
    </row>
    <row r="207" spans="1:255" s="206" customFormat="1" ht="13.5">
      <c r="A207" s="208">
        <v>14</v>
      </c>
      <c r="B207" s="92" t="s">
        <v>232</v>
      </c>
      <c r="C207" s="396" t="s">
        <v>99</v>
      </c>
      <c r="D207" s="233" t="s">
        <v>23</v>
      </c>
      <c r="E207" s="233"/>
      <c r="F207" s="151">
        <v>2</v>
      </c>
      <c r="G207" s="209"/>
      <c r="H207" s="210"/>
      <c r="I207" s="211"/>
      <c r="J207" s="210"/>
      <c r="K207" s="211"/>
      <c r="L207" s="210"/>
      <c r="M207" s="210"/>
      <c r="N207" s="154"/>
      <c r="O207" s="154"/>
      <c r="P207" s="154"/>
      <c r="Q207" s="154"/>
      <c r="R207" s="154"/>
      <c r="S207" s="154"/>
      <c r="T207" s="154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05"/>
      <c r="BO207" s="205"/>
      <c r="BP207" s="205"/>
      <c r="BQ207" s="205"/>
      <c r="BR207" s="205"/>
      <c r="BS207" s="205"/>
      <c r="BT207" s="205"/>
      <c r="BU207" s="205"/>
      <c r="BV207" s="205"/>
      <c r="BW207" s="205"/>
      <c r="BX207" s="205"/>
      <c r="BY207" s="205"/>
      <c r="BZ207" s="205"/>
      <c r="CA207" s="205"/>
      <c r="CB207" s="205"/>
      <c r="CC207" s="205"/>
      <c r="CD207" s="205"/>
      <c r="CE207" s="205"/>
      <c r="CF207" s="205"/>
      <c r="CG207" s="205"/>
      <c r="CH207" s="205"/>
      <c r="CI207" s="205"/>
      <c r="CJ207" s="205"/>
      <c r="CK207" s="205"/>
      <c r="CL207" s="205"/>
      <c r="CM207" s="205"/>
      <c r="CN207" s="205"/>
      <c r="CO207" s="205"/>
      <c r="CP207" s="205"/>
      <c r="CQ207" s="205"/>
      <c r="CR207" s="205"/>
      <c r="CS207" s="205"/>
      <c r="CT207" s="205"/>
      <c r="CU207" s="205"/>
      <c r="CV207" s="205"/>
      <c r="CW207" s="205"/>
      <c r="CX207" s="205"/>
      <c r="CY207" s="205"/>
      <c r="CZ207" s="205"/>
      <c r="DA207" s="205"/>
      <c r="DB207" s="205"/>
      <c r="DC207" s="205"/>
      <c r="DD207" s="205"/>
      <c r="DE207" s="205"/>
      <c r="DF207" s="205"/>
      <c r="DG207" s="205"/>
      <c r="DH207" s="205"/>
      <c r="DI207" s="205"/>
      <c r="DJ207" s="205"/>
      <c r="DK207" s="205"/>
      <c r="DL207" s="205"/>
      <c r="DM207" s="205"/>
      <c r="DN207" s="205"/>
      <c r="DO207" s="205"/>
      <c r="DP207" s="205"/>
      <c r="DQ207" s="205"/>
      <c r="DR207" s="205"/>
      <c r="DS207" s="205"/>
      <c r="DT207" s="205"/>
      <c r="DU207" s="205"/>
      <c r="DV207" s="205"/>
      <c r="DW207" s="205"/>
      <c r="DX207" s="205"/>
      <c r="DY207" s="205"/>
      <c r="DZ207" s="205"/>
      <c r="EA207" s="205"/>
      <c r="EB207" s="205"/>
      <c r="EC207" s="205"/>
      <c r="ED207" s="205"/>
      <c r="EE207" s="205"/>
      <c r="EF207" s="205"/>
      <c r="EG207" s="205"/>
      <c r="EH207" s="205"/>
      <c r="EI207" s="205"/>
      <c r="EJ207" s="205"/>
      <c r="EK207" s="205"/>
      <c r="EL207" s="205"/>
      <c r="EM207" s="205"/>
      <c r="EN207" s="205"/>
      <c r="EO207" s="205"/>
      <c r="EP207" s="205"/>
      <c r="EQ207" s="205"/>
      <c r="ER207" s="205"/>
      <c r="ES207" s="205"/>
      <c r="ET207" s="205"/>
      <c r="EU207" s="205"/>
      <c r="EV207" s="205"/>
      <c r="EW207" s="205"/>
      <c r="EX207" s="205"/>
      <c r="EY207" s="205"/>
      <c r="EZ207" s="205"/>
      <c r="FA207" s="205"/>
      <c r="FB207" s="205"/>
      <c r="FC207" s="205"/>
      <c r="FD207" s="205"/>
      <c r="FE207" s="205"/>
      <c r="FF207" s="205"/>
      <c r="FG207" s="205"/>
      <c r="FH207" s="205"/>
      <c r="FI207" s="205"/>
      <c r="FJ207" s="205"/>
      <c r="FK207" s="205"/>
      <c r="FL207" s="205"/>
      <c r="FM207" s="205"/>
      <c r="FN207" s="205"/>
      <c r="FO207" s="205"/>
      <c r="FP207" s="205"/>
      <c r="FQ207" s="205"/>
      <c r="FR207" s="205"/>
      <c r="FS207" s="205"/>
      <c r="FT207" s="205"/>
      <c r="FU207" s="205"/>
      <c r="FV207" s="205"/>
      <c r="FW207" s="205"/>
      <c r="FX207" s="205"/>
      <c r="FY207" s="205"/>
      <c r="FZ207" s="205"/>
      <c r="GA207" s="205"/>
      <c r="GB207" s="205"/>
      <c r="GC207" s="205"/>
      <c r="GD207" s="205"/>
      <c r="GE207" s="205"/>
      <c r="GF207" s="205"/>
      <c r="GG207" s="205"/>
      <c r="GH207" s="205"/>
      <c r="GI207" s="205"/>
      <c r="GJ207" s="205"/>
      <c r="GK207" s="205"/>
      <c r="GL207" s="205"/>
      <c r="GM207" s="205"/>
      <c r="GN207" s="205"/>
      <c r="GO207" s="205"/>
      <c r="GP207" s="205"/>
      <c r="GQ207" s="205"/>
      <c r="GR207" s="205"/>
      <c r="GS207" s="205"/>
      <c r="GT207" s="205"/>
      <c r="GU207" s="205"/>
      <c r="GV207" s="205"/>
      <c r="GW207" s="205"/>
      <c r="GX207" s="205"/>
      <c r="GY207" s="205"/>
      <c r="GZ207" s="205"/>
      <c r="HA207" s="205"/>
      <c r="HB207" s="205"/>
      <c r="HC207" s="205"/>
      <c r="HD207" s="205"/>
      <c r="HE207" s="205"/>
      <c r="HF207" s="205"/>
      <c r="HG207" s="205"/>
      <c r="HH207" s="205"/>
      <c r="HI207" s="205"/>
      <c r="HJ207" s="205"/>
      <c r="HK207" s="205"/>
      <c r="HL207" s="205"/>
      <c r="HM207" s="205"/>
      <c r="HN207" s="205"/>
      <c r="HO207" s="205"/>
      <c r="HP207" s="205"/>
      <c r="HQ207" s="205"/>
      <c r="HR207" s="205"/>
      <c r="HS207" s="205"/>
      <c r="HT207" s="205"/>
      <c r="HU207" s="205"/>
      <c r="HV207" s="205"/>
      <c r="HW207" s="205"/>
      <c r="HX207" s="205"/>
      <c r="HY207" s="205"/>
      <c r="HZ207" s="205"/>
      <c r="IA207" s="205"/>
      <c r="IB207" s="205"/>
      <c r="IC207" s="205"/>
      <c r="ID207" s="205"/>
      <c r="IE207" s="205"/>
      <c r="IF207" s="205"/>
      <c r="IG207" s="205"/>
      <c r="IH207" s="205"/>
      <c r="II207" s="205"/>
      <c r="IJ207" s="205"/>
      <c r="IK207" s="205"/>
      <c r="IL207" s="205"/>
      <c r="IM207" s="205"/>
      <c r="IN207" s="205"/>
      <c r="IO207" s="205"/>
      <c r="IP207" s="205"/>
      <c r="IQ207" s="205"/>
      <c r="IR207" s="205"/>
      <c r="IS207" s="205"/>
      <c r="IT207" s="205"/>
      <c r="IU207" s="205"/>
    </row>
    <row r="208" spans="1:255" s="62" customFormat="1" ht="13.5">
      <c r="A208" s="41"/>
      <c r="B208" s="46" t="s">
        <v>40</v>
      </c>
      <c r="C208" s="61"/>
      <c r="D208" s="41" t="s">
        <v>15</v>
      </c>
      <c r="E208" s="375">
        <v>2.29</v>
      </c>
      <c r="F208" s="88">
        <f>F207*E208</f>
        <v>4.58</v>
      </c>
      <c r="G208" s="47"/>
      <c r="H208" s="48"/>
      <c r="I208" s="44"/>
      <c r="J208" s="43"/>
      <c r="K208" s="44"/>
      <c r="L208" s="43"/>
      <c r="M208" s="43"/>
      <c r="N208" s="59"/>
      <c r="O208" s="59"/>
      <c r="P208" s="59"/>
      <c r="Q208" s="59"/>
      <c r="R208" s="59"/>
      <c r="S208" s="59"/>
      <c r="T208" s="59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</row>
    <row r="209" spans="1:255" s="62" customFormat="1" ht="13.5">
      <c r="A209" s="41"/>
      <c r="B209" s="46" t="s">
        <v>41</v>
      </c>
      <c r="C209" s="49"/>
      <c r="D209" s="41" t="s">
        <v>0</v>
      </c>
      <c r="E209" s="375">
        <v>0.09</v>
      </c>
      <c r="F209" s="88">
        <f>F207*E209</f>
        <v>0.18</v>
      </c>
      <c r="G209" s="41"/>
      <c r="H209" s="43"/>
      <c r="I209" s="44"/>
      <c r="J209" s="43"/>
      <c r="K209" s="44"/>
      <c r="L209" s="43"/>
      <c r="M209" s="43"/>
      <c r="N209" s="59"/>
      <c r="O209" s="59"/>
      <c r="P209" s="59"/>
      <c r="Q209" s="59"/>
      <c r="R209" s="59"/>
      <c r="S209" s="59"/>
      <c r="T209" s="59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</row>
    <row r="210" spans="1:255" s="62" customFormat="1" ht="13.5">
      <c r="A210" s="41"/>
      <c r="B210" s="375" t="s">
        <v>56</v>
      </c>
      <c r="C210" s="49"/>
      <c r="D210" s="41"/>
      <c r="E210" s="375"/>
      <c r="F210" s="41"/>
      <c r="G210" s="41"/>
      <c r="H210" s="43"/>
      <c r="I210" s="44"/>
      <c r="J210" s="43"/>
      <c r="K210" s="44"/>
      <c r="L210" s="43"/>
      <c r="M210" s="43"/>
      <c r="N210" s="59"/>
      <c r="O210" s="59"/>
      <c r="P210" s="59"/>
      <c r="Q210" s="59"/>
      <c r="R210" s="59"/>
      <c r="S210" s="59"/>
      <c r="T210" s="59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</row>
    <row r="211" spans="1:255" s="62" customFormat="1" ht="13.5">
      <c r="A211" s="41"/>
      <c r="B211" s="46" t="s">
        <v>240</v>
      </c>
      <c r="C211" s="49" t="s">
        <v>92</v>
      </c>
      <c r="D211" s="41" t="s">
        <v>23</v>
      </c>
      <c r="E211" s="375">
        <v>1</v>
      </c>
      <c r="F211" s="41">
        <f>F207*E211</f>
        <v>2</v>
      </c>
      <c r="G211" s="41"/>
      <c r="H211" s="43"/>
      <c r="I211" s="44"/>
      <c r="J211" s="43"/>
      <c r="K211" s="44"/>
      <c r="L211" s="43"/>
      <c r="M211" s="43"/>
      <c r="N211" s="59"/>
      <c r="O211" s="59"/>
      <c r="P211" s="59"/>
      <c r="Q211" s="59"/>
      <c r="R211" s="59"/>
      <c r="S211" s="59"/>
      <c r="T211" s="59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</row>
    <row r="212" spans="1:255" s="62" customFormat="1" ht="13.5">
      <c r="A212" s="41"/>
      <c r="B212" s="46" t="s">
        <v>18</v>
      </c>
      <c r="C212" s="49"/>
      <c r="D212" s="41" t="s">
        <v>0</v>
      </c>
      <c r="E212" s="375">
        <v>0.68</v>
      </c>
      <c r="F212" s="41">
        <f>F207*E212</f>
        <v>1.36</v>
      </c>
      <c r="G212" s="41"/>
      <c r="H212" s="43"/>
      <c r="I212" s="44"/>
      <c r="J212" s="43"/>
      <c r="K212" s="44"/>
      <c r="L212" s="43"/>
      <c r="M212" s="43"/>
      <c r="N212" s="59"/>
      <c r="O212" s="59"/>
      <c r="P212" s="59"/>
      <c r="Q212" s="59"/>
      <c r="R212" s="59"/>
      <c r="S212" s="59"/>
      <c r="T212" s="59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</row>
    <row r="213" spans="1:20" s="62" customFormat="1" ht="27">
      <c r="A213" s="41">
        <v>15</v>
      </c>
      <c r="B213" s="72" t="s">
        <v>457</v>
      </c>
      <c r="C213" s="378" t="s">
        <v>91</v>
      </c>
      <c r="D213" s="375" t="s">
        <v>23</v>
      </c>
      <c r="E213" s="375"/>
      <c r="F213" s="83">
        <v>2</v>
      </c>
      <c r="G213" s="42"/>
      <c r="H213" s="43"/>
      <c r="I213" s="44"/>
      <c r="J213" s="43"/>
      <c r="K213" s="44"/>
      <c r="L213" s="43"/>
      <c r="M213" s="43"/>
      <c r="N213" s="59"/>
      <c r="O213" s="59"/>
      <c r="P213" s="59"/>
      <c r="Q213" s="59"/>
      <c r="R213" s="59"/>
      <c r="S213" s="59"/>
      <c r="T213" s="59"/>
    </row>
    <row r="214" spans="1:20" s="62" customFormat="1" ht="13.5">
      <c r="A214" s="41"/>
      <c r="B214" s="46" t="s">
        <v>40</v>
      </c>
      <c r="C214" s="61"/>
      <c r="D214" s="41" t="s">
        <v>15</v>
      </c>
      <c r="E214" s="375">
        <v>2.29</v>
      </c>
      <c r="F214" s="88">
        <f>F213*E214</f>
        <v>4.58</v>
      </c>
      <c r="G214" s="47"/>
      <c r="H214" s="48"/>
      <c r="I214" s="44"/>
      <c r="J214" s="43"/>
      <c r="K214" s="44"/>
      <c r="L214" s="43"/>
      <c r="M214" s="43"/>
      <c r="N214" s="59"/>
      <c r="O214" s="59"/>
      <c r="P214" s="59"/>
      <c r="Q214" s="59"/>
      <c r="R214" s="59"/>
      <c r="S214" s="59"/>
      <c r="T214" s="59"/>
    </row>
    <row r="215" spans="1:20" s="62" customFormat="1" ht="13.5">
      <c r="A215" s="41"/>
      <c r="B215" s="46" t="s">
        <v>41</v>
      </c>
      <c r="C215" s="49"/>
      <c r="D215" s="41" t="s">
        <v>0</v>
      </c>
      <c r="E215" s="375">
        <v>0.09</v>
      </c>
      <c r="F215" s="88">
        <f>F213*E215</f>
        <v>0.18</v>
      </c>
      <c r="G215" s="41"/>
      <c r="H215" s="43"/>
      <c r="I215" s="44"/>
      <c r="J215" s="43"/>
      <c r="K215" s="44"/>
      <c r="L215" s="43"/>
      <c r="M215" s="43"/>
      <c r="N215" s="59"/>
      <c r="O215" s="59"/>
      <c r="P215" s="59"/>
      <c r="Q215" s="59"/>
      <c r="R215" s="59"/>
      <c r="S215" s="59"/>
      <c r="T215" s="59"/>
    </row>
    <row r="216" spans="1:20" s="62" customFormat="1" ht="13.5">
      <c r="A216" s="41"/>
      <c r="B216" s="375" t="s">
        <v>56</v>
      </c>
      <c r="C216" s="49"/>
      <c r="D216" s="41"/>
      <c r="E216" s="375"/>
      <c r="F216" s="41"/>
      <c r="G216" s="41"/>
      <c r="H216" s="43"/>
      <c r="I216" s="44"/>
      <c r="J216" s="43"/>
      <c r="K216" s="44"/>
      <c r="L216" s="43"/>
      <c r="M216" s="43"/>
      <c r="N216" s="59"/>
      <c r="O216" s="59"/>
      <c r="P216" s="59"/>
      <c r="Q216" s="59"/>
      <c r="R216" s="59"/>
      <c r="S216" s="59"/>
      <c r="T216" s="59"/>
    </row>
    <row r="217" spans="1:20" s="62" customFormat="1" ht="13.5">
      <c r="A217" s="41"/>
      <c r="B217" s="46" t="s">
        <v>456</v>
      </c>
      <c r="C217" s="49" t="s">
        <v>92</v>
      </c>
      <c r="D217" s="41" t="s">
        <v>23</v>
      </c>
      <c r="E217" s="375">
        <v>1</v>
      </c>
      <c r="F217" s="41">
        <f>F213*E217</f>
        <v>2</v>
      </c>
      <c r="G217" s="41"/>
      <c r="H217" s="43"/>
      <c r="I217" s="44"/>
      <c r="J217" s="43"/>
      <c r="K217" s="44"/>
      <c r="L217" s="43"/>
      <c r="M217" s="43"/>
      <c r="N217" s="59"/>
      <c r="O217" s="59"/>
      <c r="P217" s="59"/>
      <c r="Q217" s="59"/>
      <c r="R217" s="59"/>
      <c r="S217" s="59"/>
      <c r="T217" s="59"/>
    </row>
    <row r="218" spans="1:20" s="62" customFormat="1" ht="13.5">
      <c r="A218" s="41"/>
      <c r="B218" s="46" t="s">
        <v>18</v>
      </c>
      <c r="C218" s="49"/>
      <c r="D218" s="41" t="s">
        <v>0</v>
      </c>
      <c r="E218" s="375">
        <v>0.68</v>
      </c>
      <c r="F218" s="41">
        <f>F213*E218</f>
        <v>1.36</v>
      </c>
      <c r="G218" s="41"/>
      <c r="H218" s="43"/>
      <c r="I218" s="44"/>
      <c r="J218" s="43"/>
      <c r="K218" s="44"/>
      <c r="L218" s="43"/>
      <c r="M218" s="43"/>
      <c r="N218" s="59"/>
      <c r="O218" s="59"/>
      <c r="P218" s="59"/>
      <c r="Q218" s="59"/>
      <c r="R218" s="59"/>
      <c r="S218" s="59"/>
      <c r="T218" s="59"/>
    </row>
    <row r="219" spans="1:255" ht="13.5">
      <c r="A219" s="30"/>
      <c r="B219" s="25" t="s">
        <v>8</v>
      </c>
      <c r="C219" s="383"/>
      <c r="D219" s="30"/>
      <c r="E219" s="30"/>
      <c r="F219" s="30"/>
      <c r="G219" s="30"/>
      <c r="H219" s="64"/>
      <c r="I219" s="65"/>
      <c r="J219" s="64"/>
      <c r="K219" s="65"/>
      <c r="L219" s="64"/>
      <c r="M219" s="64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</row>
    <row r="220" spans="1:255" ht="13.5">
      <c r="A220" s="30"/>
      <c r="B220" s="25" t="s">
        <v>93</v>
      </c>
      <c r="C220" s="383"/>
      <c r="D220" s="30"/>
      <c r="E220" s="30"/>
      <c r="F220" s="30"/>
      <c r="G220" s="30"/>
      <c r="H220" s="64"/>
      <c r="I220" s="65"/>
      <c r="J220" s="64"/>
      <c r="K220" s="65"/>
      <c r="L220" s="64"/>
      <c r="M220" s="64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</row>
    <row r="221" spans="1:255" ht="13.5">
      <c r="A221" s="30"/>
      <c r="B221" s="72" t="s">
        <v>143</v>
      </c>
      <c r="C221" s="384">
        <v>0.04</v>
      </c>
      <c r="D221" s="375"/>
      <c r="E221" s="375"/>
      <c r="F221" s="375"/>
      <c r="G221" s="375"/>
      <c r="H221" s="67"/>
      <c r="I221" s="68"/>
      <c r="J221" s="67"/>
      <c r="K221" s="68"/>
      <c r="L221" s="67"/>
      <c r="M221" s="67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</row>
    <row r="222" spans="1:255" ht="13.5">
      <c r="A222" s="30"/>
      <c r="B222" s="25" t="s">
        <v>8</v>
      </c>
      <c r="C222" s="384"/>
      <c r="D222" s="375"/>
      <c r="E222" s="375"/>
      <c r="F222" s="79"/>
      <c r="G222" s="375"/>
      <c r="H222" s="67"/>
      <c r="I222" s="68"/>
      <c r="J222" s="67"/>
      <c r="K222" s="68"/>
      <c r="L222" s="67"/>
      <c r="M222" s="67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</row>
    <row r="223" spans="1:255" ht="13.5">
      <c r="A223" s="30"/>
      <c r="B223" s="25" t="s">
        <v>26</v>
      </c>
      <c r="C223" s="384">
        <v>0.1</v>
      </c>
      <c r="D223" s="375"/>
      <c r="E223" s="375"/>
      <c r="F223" s="375"/>
      <c r="G223" s="375"/>
      <c r="H223" s="67"/>
      <c r="I223" s="68"/>
      <c r="J223" s="67"/>
      <c r="K223" s="68"/>
      <c r="L223" s="67"/>
      <c r="M223" s="67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</row>
    <row r="224" spans="1:255" ht="13.5">
      <c r="A224" s="30"/>
      <c r="B224" s="25" t="s">
        <v>8</v>
      </c>
      <c r="C224" s="375"/>
      <c r="D224" s="375"/>
      <c r="E224" s="375"/>
      <c r="F224" s="79"/>
      <c r="G224" s="375"/>
      <c r="H224" s="67"/>
      <c r="I224" s="68"/>
      <c r="J224" s="67"/>
      <c r="K224" s="68"/>
      <c r="L224" s="67"/>
      <c r="M224" s="67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</row>
    <row r="225" spans="1:255" ht="13.5">
      <c r="A225" s="30"/>
      <c r="B225" s="25" t="s">
        <v>94</v>
      </c>
      <c r="C225" s="384">
        <v>0.08</v>
      </c>
      <c r="D225" s="375"/>
      <c r="E225" s="375"/>
      <c r="F225" s="79"/>
      <c r="G225" s="375"/>
      <c r="H225" s="67"/>
      <c r="I225" s="68"/>
      <c r="J225" s="67"/>
      <c r="K225" s="68"/>
      <c r="L225" s="67"/>
      <c r="M225" s="67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</row>
    <row r="226" spans="1:255" ht="13.5">
      <c r="A226" s="30"/>
      <c r="B226" s="25" t="s">
        <v>8</v>
      </c>
      <c r="C226" s="384"/>
      <c r="D226" s="375"/>
      <c r="E226" s="375"/>
      <c r="F226" s="79"/>
      <c r="G226" s="375"/>
      <c r="H226" s="67"/>
      <c r="I226" s="68"/>
      <c r="J226" s="67"/>
      <c r="K226" s="68"/>
      <c r="L226" s="67"/>
      <c r="M226" s="67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</row>
    <row r="227" spans="3:10" ht="13.5">
      <c r="C227" s="517"/>
      <c r="D227" s="517"/>
      <c r="I227" s="438"/>
      <c r="J227" s="438"/>
    </row>
    <row r="230" spans="2:9" ht="13.5">
      <c r="B230" s="90"/>
      <c r="C230" s="90"/>
      <c r="D230" s="90"/>
      <c r="E230" s="90"/>
      <c r="F230" s="90"/>
      <c r="G230" s="90"/>
      <c r="H230" s="422"/>
      <c r="I230" s="422"/>
    </row>
  </sheetData>
  <sheetProtection/>
  <mergeCells count="15">
    <mergeCell ref="H230:I230"/>
    <mergeCell ref="A2:L2"/>
    <mergeCell ref="A4:L4"/>
    <mergeCell ref="A5:L5"/>
    <mergeCell ref="A7:A8"/>
    <mergeCell ref="B7:B8"/>
    <mergeCell ref="C7:C8"/>
    <mergeCell ref="D7:D8"/>
    <mergeCell ref="C227:D227"/>
    <mergeCell ref="E7:E8"/>
    <mergeCell ref="F7:F8"/>
    <mergeCell ref="G7:H7"/>
    <mergeCell ref="I7:J7"/>
    <mergeCell ref="K7:L7"/>
    <mergeCell ref="I227:J22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3"/>
  <sheetViews>
    <sheetView view="pageBreakPreview" zoomScaleSheetLayoutView="100" zoomScalePageLayoutView="0" workbookViewId="0" topLeftCell="A1">
      <selection activeCell="C2" sqref="C1:C16384"/>
    </sheetView>
  </sheetViews>
  <sheetFormatPr defaultColWidth="9.140625" defaultRowHeight="12.75"/>
  <cols>
    <col min="1" max="1" width="4.8515625" style="59" customWidth="1"/>
    <col min="2" max="2" width="50.28125" style="59" customWidth="1"/>
    <col min="3" max="3" width="11.421875" style="20" customWidth="1"/>
    <col min="4" max="4" width="9.28125" style="59" customWidth="1"/>
    <col min="5" max="5" width="8.421875" style="59" customWidth="1"/>
    <col min="6" max="6" width="8.28125" style="59" customWidth="1"/>
    <col min="7" max="7" width="9.421875" style="59" bestFit="1" customWidth="1"/>
    <col min="8" max="8" width="11.28125" style="69" bestFit="1" customWidth="1"/>
    <col min="9" max="9" width="6.57421875" style="59" customWidth="1"/>
    <col min="10" max="10" width="10.28125" style="69" bestFit="1" customWidth="1"/>
    <col min="11" max="11" width="7.28125" style="59" customWidth="1"/>
    <col min="12" max="12" width="7.8515625" style="69" customWidth="1"/>
    <col min="13" max="13" width="11.421875" style="69" bestFit="1" customWidth="1"/>
    <col min="14" max="14" width="10.57421875" style="59" customWidth="1"/>
    <col min="15" max="16384" width="9.140625" style="59" customWidth="1"/>
  </cols>
  <sheetData>
    <row r="1" spans="1:12" ht="15">
      <c r="A1" s="441" t="e">
        <f>#REF!</f>
        <v>#REF!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ht="14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4.25">
      <c r="A3" s="442" t="s">
        <v>548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2" ht="15">
      <c r="A4" s="441" t="s">
        <v>242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6" spans="1:13" s="20" customFormat="1" ht="11.25">
      <c r="A6" s="443" t="s">
        <v>1</v>
      </c>
      <c r="B6" s="443" t="s">
        <v>2</v>
      </c>
      <c r="C6" s="515" t="s">
        <v>48</v>
      </c>
      <c r="D6" s="443" t="s">
        <v>3</v>
      </c>
      <c r="E6" s="443" t="s">
        <v>11</v>
      </c>
      <c r="F6" s="443" t="s">
        <v>4</v>
      </c>
      <c r="G6" s="444" t="s">
        <v>17</v>
      </c>
      <c r="H6" s="444"/>
      <c r="I6" s="444" t="s">
        <v>5</v>
      </c>
      <c r="J6" s="444"/>
      <c r="K6" s="443" t="s">
        <v>6</v>
      </c>
      <c r="L6" s="443"/>
      <c r="M6" s="21" t="s">
        <v>45</v>
      </c>
    </row>
    <row r="7" spans="1:13" s="20" customFormat="1" ht="11.25">
      <c r="A7" s="443"/>
      <c r="B7" s="443"/>
      <c r="C7" s="516"/>
      <c r="D7" s="443"/>
      <c r="E7" s="443"/>
      <c r="F7" s="443"/>
      <c r="G7" s="412" t="s">
        <v>7</v>
      </c>
      <c r="H7" s="21" t="s">
        <v>8</v>
      </c>
      <c r="I7" s="412" t="s">
        <v>7</v>
      </c>
      <c r="J7" s="21" t="s">
        <v>8</v>
      </c>
      <c r="K7" s="412" t="s">
        <v>7</v>
      </c>
      <c r="L7" s="21" t="s">
        <v>9</v>
      </c>
      <c r="M7" s="21" t="s">
        <v>10</v>
      </c>
    </row>
    <row r="8" spans="1:13" s="20" customFormat="1" ht="11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3">
        <v>7</v>
      </c>
      <c r="H8" s="24">
        <v>8</v>
      </c>
      <c r="I8" s="23">
        <v>9</v>
      </c>
      <c r="J8" s="24">
        <v>10</v>
      </c>
      <c r="K8" s="23">
        <v>11</v>
      </c>
      <c r="L8" s="24">
        <v>12</v>
      </c>
      <c r="M8" s="24">
        <v>13</v>
      </c>
    </row>
    <row r="9" spans="1:13" s="26" customFormat="1" ht="13.5">
      <c r="A9" s="51"/>
      <c r="B9" s="448" t="s">
        <v>243</v>
      </c>
      <c r="C9" s="449"/>
      <c r="D9" s="449"/>
      <c r="E9" s="449"/>
      <c r="F9" s="450"/>
      <c r="G9" s="237"/>
      <c r="H9" s="55"/>
      <c r="I9" s="56"/>
      <c r="J9" s="55"/>
      <c r="K9" s="57"/>
      <c r="L9" s="55"/>
      <c r="M9" s="58"/>
    </row>
    <row r="10" spans="1:13" s="26" customFormat="1" ht="27">
      <c r="A10" s="445">
        <v>1</v>
      </c>
      <c r="B10" s="142" t="s">
        <v>187</v>
      </c>
      <c r="C10" s="142" t="s">
        <v>110</v>
      </c>
      <c r="D10" s="142" t="s">
        <v>153</v>
      </c>
      <c r="E10" s="145"/>
      <c r="F10" s="142">
        <v>6</v>
      </c>
      <c r="G10" s="144"/>
      <c r="H10" s="144"/>
      <c r="I10" s="144"/>
      <c r="J10" s="144"/>
      <c r="K10" s="144"/>
      <c r="L10" s="144"/>
      <c r="M10" s="144"/>
    </row>
    <row r="11" spans="1:13" s="26" customFormat="1" ht="13.5">
      <c r="A11" s="446"/>
      <c r="B11" s="145" t="s">
        <v>12</v>
      </c>
      <c r="C11" s="145"/>
      <c r="D11" s="144" t="s">
        <v>15</v>
      </c>
      <c r="E11" s="145">
        <f>21.5/1000</f>
        <v>0.0215</v>
      </c>
      <c r="F11" s="145">
        <f>E11*F10</f>
        <v>0.129</v>
      </c>
      <c r="G11" s="144"/>
      <c r="H11" s="144"/>
      <c r="I11" s="144"/>
      <c r="J11" s="144"/>
      <c r="K11" s="144"/>
      <c r="L11" s="144"/>
      <c r="M11" s="144"/>
    </row>
    <row r="12" spans="1:13" s="26" customFormat="1" ht="13.5">
      <c r="A12" s="447"/>
      <c r="B12" s="145" t="s">
        <v>188</v>
      </c>
      <c r="C12" s="145" t="s">
        <v>189</v>
      </c>
      <c r="D12" s="145" t="s">
        <v>21</v>
      </c>
      <c r="E12" s="145">
        <f>48.2/1000</f>
        <v>0.0482</v>
      </c>
      <c r="F12" s="145">
        <f>E12*F10</f>
        <v>0.2892</v>
      </c>
      <c r="G12" s="144"/>
      <c r="H12" s="144"/>
      <c r="I12" s="144"/>
      <c r="J12" s="144"/>
      <c r="K12" s="144"/>
      <c r="L12" s="144"/>
      <c r="M12" s="144"/>
    </row>
    <row r="13" spans="1:13" s="26" customFormat="1" ht="27">
      <c r="A13" s="445">
        <v>2</v>
      </c>
      <c r="B13" s="142" t="s">
        <v>190</v>
      </c>
      <c r="C13" s="142" t="s">
        <v>112</v>
      </c>
      <c r="D13" s="142" t="s">
        <v>57</v>
      </c>
      <c r="E13" s="144"/>
      <c r="F13" s="142">
        <v>0.5</v>
      </c>
      <c r="G13" s="144"/>
      <c r="H13" s="144"/>
      <c r="I13" s="144"/>
      <c r="J13" s="144"/>
      <c r="K13" s="144"/>
      <c r="L13" s="144"/>
      <c r="M13" s="144"/>
    </row>
    <row r="14" spans="1:13" s="26" customFormat="1" ht="13.5">
      <c r="A14" s="447"/>
      <c r="B14" s="145" t="s">
        <v>12</v>
      </c>
      <c r="C14" s="145"/>
      <c r="D14" s="144" t="s">
        <v>15</v>
      </c>
      <c r="E14" s="144">
        <v>2.99</v>
      </c>
      <c r="F14" s="145">
        <f>E14*F13</f>
        <v>1.495</v>
      </c>
      <c r="G14" s="144"/>
      <c r="H14" s="144"/>
      <c r="I14" s="144"/>
      <c r="J14" s="144"/>
      <c r="K14" s="144"/>
      <c r="L14" s="144"/>
      <c r="M14" s="144"/>
    </row>
    <row r="15" spans="1:13" s="26" customFormat="1" ht="27">
      <c r="A15" s="445">
        <v>3</v>
      </c>
      <c r="B15" s="142" t="s">
        <v>191</v>
      </c>
      <c r="C15" s="142" t="s">
        <v>113</v>
      </c>
      <c r="D15" s="142" t="s">
        <v>153</v>
      </c>
      <c r="E15" s="145"/>
      <c r="F15" s="142">
        <v>1.6</v>
      </c>
      <c r="G15" s="144"/>
      <c r="H15" s="144"/>
      <c r="I15" s="144"/>
      <c r="J15" s="144"/>
      <c r="K15" s="144"/>
      <c r="L15" s="144"/>
      <c r="M15" s="144"/>
    </row>
    <row r="16" spans="1:13" s="26" customFormat="1" ht="13.5">
      <c r="A16" s="446"/>
      <c r="B16" s="145" t="s">
        <v>12</v>
      </c>
      <c r="C16" s="145"/>
      <c r="D16" s="144" t="s">
        <v>15</v>
      </c>
      <c r="E16" s="145">
        <v>0.89</v>
      </c>
      <c r="F16" s="145">
        <f>E16*F15</f>
        <v>1.4240000000000002</v>
      </c>
      <c r="G16" s="144"/>
      <c r="H16" s="144"/>
      <c r="I16" s="144"/>
      <c r="J16" s="144"/>
      <c r="K16" s="144"/>
      <c r="L16" s="144"/>
      <c r="M16" s="144"/>
    </row>
    <row r="17" spans="1:13" s="26" customFormat="1" ht="13.5">
      <c r="A17" s="446"/>
      <c r="B17" s="145" t="s">
        <v>24</v>
      </c>
      <c r="C17" s="145"/>
      <c r="D17" s="145" t="s">
        <v>21</v>
      </c>
      <c r="E17" s="145">
        <v>0.37</v>
      </c>
      <c r="F17" s="145">
        <f>E17*F15</f>
        <v>0.592</v>
      </c>
      <c r="G17" s="144"/>
      <c r="H17" s="144"/>
      <c r="I17" s="144"/>
      <c r="J17" s="144"/>
      <c r="K17" s="144"/>
      <c r="L17" s="144"/>
      <c r="M17" s="144"/>
    </row>
    <row r="18" spans="1:13" s="26" customFormat="1" ht="13.5">
      <c r="A18" s="446"/>
      <c r="B18" s="145" t="s">
        <v>22</v>
      </c>
      <c r="C18" s="145"/>
      <c r="D18" s="145"/>
      <c r="E18" s="145"/>
      <c r="F18" s="145"/>
      <c r="G18" s="144"/>
      <c r="H18" s="144"/>
      <c r="I18" s="144"/>
      <c r="J18" s="144"/>
      <c r="K18" s="144"/>
      <c r="L18" s="144"/>
      <c r="M18" s="144"/>
    </row>
    <row r="19" spans="1:13" s="26" customFormat="1" ht="27" customHeight="1">
      <c r="A19" s="446"/>
      <c r="B19" s="145" t="s">
        <v>115</v>
      </c>
      <c r="C19" s="145" t="s">
        <v>464</v>
      </c>
      <c r="D19" s="145" t="s">
        <v>57</v>
      </c>
      <c r="E19" s="145">
        <v>1.15</v>
      </c>
      <c r="F19" s="145">
        <f>E19*F15</f>
        <v>1.8399999999999999</v>
      </c>
      <c r="G19" s="144"/>
      <c r="H19" s="144"/>
      <c r="I19" s="144"/>
      <c r="J19" s="144"/>
      <c r="K19" s="144"/>
      <c r="L19" s="144"/>
      <c r="M19" s="144"/>
    </row>
    <row r="20" spans="1:13" s="26" customFormat="1" ht="13.5">
      <c r="A20" s="447"/>
      <c r="B20" s="145" t="s">
        <v>18</v>
      </c>
      <c r="C20" s="145"/>
      <c r="D20" s="145" t="s">
        <v>0</v>
      </c>
      <c r="E20" s="145">
        <v>0.02</v>
      </c>
      <c r="F20" s="145">
        <f>E20*F15</f>
        <v>0.032</v>
      </c>
      <c r="G20" s="144"/>
      <c r="H20" s="144"/>
      <c r="I20" s="144"/>
      <c r="J20" s="144"/>
      <c r="K20" s="144"/>
      <c r="L20" s="144"/>
      <c r="M20" s="144"/>
    </row>
    <row r="21" spans="1:13" s="26" customFormat="1" ht="27">
      <c r="A21" s="445">
        <v>4</v>
      </c>
      <c r="B21" s="142" t="s">
        <v>192</v>
      </c>
      <c r="C21" s="142" t="s">
        <v>193</v>
      </c>
      <c r="D21" s="142" t="s">
        <v>153</v>
      </c>
      <c r="E21" s="145"/>
      <c r="F21" s="145">
        <v>6.8</v>
      </c>
      <c r="G21" s="144"/>
      <c r="H21" s="144"/>
      <c r="I21" s="144"/>
      <c r="J21" s="144"/>
      <c r="K21" s="144"/>
      <c r="L21" s="144"/>
      <c r="M21" s="144"/>
    </row>
    <row r="22" spans="1:13" s="26" customFormat="1" ht="13.5">
      <c r="A22" s="446"/>
      <c r="B22" s="145" t="s">
        <v>12</v>
      </c>
      <c r="C22" s="145"/>
      <c r="D22" s="144" t="s">
        <v>15</v>
      </c>
      <c r="E22" s="145">
        <v>4.1</v>
      </c>
      <c r="F22" s="145">
        <f>E22*F21</f>
        <v>27.879999999999995</v>
      </c>
      <c r="G22" s="144"/>
      <c r="H22" s="144"/>
      <c r="I22" s="144"/>
      <c r="J22" s="144"/>
      <c r="K22" s="144"/>
      <c r="L22" s="144"/>
      <c r="M22" s="144"/>
    </row>
    <row r="23" spans="1:13" s="26" customFormat="1" ht="13.5">
      <c r="A23" s="446"/>
      <c r="B23" s="145" t="s">
        <v>24</v>
      </c>
      <c r="C23" s="145"/>
      <c r="D23" s="145" t="s">
        <v>0</v>
      </c>
      <c r="E23" s="145">
        <v>1.12</v>
      </c>
      <c r="F23" s="145">
        <f>E23*F21</f>
        <v>7.6160000000000005</v>
      </c>
      <c r="G23" s="144"/>
      <c r="H23" s="144"/>
      <c r="I23" s="144"/>
      <c r="J23" s="144"/>
      <c r="K23" s="144"/>
      <c r="L23" s="144"/>
      <c r="M23" s="144"/>
    </row>
    <row r="24" spans="1:13" s="26" customFormat="1" ht="13.5">
      <c r="A24" s="446"/>
      <c r="B24" s="145" t="s">
        <v>22</v>
      </c>
      <c r="C24" s="145"/>
      <c r="D24" s="145"/>
      <c r="E24" s="145"/>
      <c r="F24" s="145"/>
      <c r="G24" s="144"/>
      <c r="H24" s="144"/>
      <c r="I24" s="144"/>
      <c r="J24" s="144"/>
      <c r="K24" s="144"/>
      <c r="L24" s="144"/>
      <c r="M24" s="144"/>
    </row>
    <row r="25" spans="1:13" s="26" customFormat="1" ht="27">
      <c r="A25" s="446"/>
      <c r="B25" s="145" t="s">
        <v>194</v>
      </c>
      <c r="C25" s="145" t="s">
        <v>465</v>
      </c>
      <c r="D25" s="145" t="s">
        <v>57</v>
      </c>
      <c r="E25" s="145">
        <f>101.5/100</f>
        <v>1.015</v>
      </c>
      <c r="F25" s="145">
        <f>E25*F21</f>
        <v>6.901999999999999</v>
      </c>
      <c r="G25" s="144"/>
      <c r="H25" s="144"/>
      <c r="I25" s="144"/>
      <c r="J25" s="144"/>
      <c r="K25" s="144"/>
      <c r="L25" s="144"/>
      <c r="M25" s="144"/>
    </row>
    <row r="26" spans="1:13" s="26" customFormat="1" ht="13.5">
      <c r="A26" s="446"/>
      <c r="B26" s="145" t="s">
        <v>148</v>
      </c>
      <c r="C26" s="145" t="s">
        <v>466</v>
      </c>
      <c r="D26" s="145" t="s">
        <v>169</v>
      </c>
      <c r="E26" s="145">
        <f>88.1/100</f>
        <v>0.8809999999999999</v>
      </c>
      <c r="F26" s="145">
        <f>E26*F21</f>
        <v>5.990799999999999</v>
      </c>
      <c r="G26" s="144"/>
      <c r="H26" s="144"/>
      <c r="I26" s="144"/>
      <c r="J26" s="144"/>
      <c r="K26" s="144"/>
      <c r="L26" s="144"/>
      <c r="M26" s="144"/>
    </row>
    <row r="27" spans="1:13" s="26" customFormat="1" ht="13.5">
      <c r="A27" s="446"/>
      <c r="B27" s="145" t="s">
        <v>195</v>
      </c>
      <c r="C27" s="145" t="s">
        <v>467</v>
      </c>
      <c r="D27" s="145" t="s">
        <v>57</v>
      </c>
      <c r="E27" s="145">
        <v>0.0084</v>
      </c>
      <c r="F27" s="145">
        <f>E27*F21</f>
        <v>0.05712</v>
      </c>
      <c r="G27" s="144"/>
      <c r="H27" s="144"/>
      <c r="I27" s="144"/>
      <c r="J27" s="144"/>
      <c r="K27" s="144"/>
      <c r="L27" s="144"/>
      <c r="M27" s="144"/>
    </row>
    <row r="28" spans="1:13" s="26" customFormat="1" ht="13.5">
      <c r="A28" s="446"/>
      <c r="B28" s="386" t="s">
        <v>196</v>
      </c>
      <c r="C28" s="145" t="s">
        <v>92</v>
      </c>
      <c r="D28" s="145" t="s">
        <v>157</v>
      </c>
      <c r="E28" s="145" t="s">
        <v>30</v>
      </c>
      <c r="F28" s="145">
        <v>0.12</v>
      </c>
      <c r="G28" s="144"/>
      <c r="H28" s="144"/>
      <c r="I28" s="144"/>
      <c r="J28" s="144"/>
      <c r="K28" s="144"/>
      <c r="L28" s="144"/>
      <c r="M28" s="144"/>
    </row>
    <row r="29" spans="1:13" s="26" customFormat="1" ht="13.5">
      <c r="A29" s="446"/>
      <c r="B29" s="386" t="s">
        <v>197</v>
      </c>
      <c r="C29" s="145" t="s">
        <v>92</v>
      </c>
      <c r="D29" s="145" t="s">
        <v>157</v>
      </c>
      <c r="E29" s="145" t="s">
        <v>30</v>
      </c>
      <c r="F29" s="145">
        <v>2.45</v>
      </c>
      <c r="G29" s="144"/>
      <c r="H29" s="144"/>
      <c r="I29" s="144"/>
      <c r="J29" s="144"/>
      <c r="K29" s="144"/>
      <c r="L29" s="144"/>
      <c r="M29" s="144"/>
    </row>
    <row r="30" spans="1:13" s="26" customFormat="1" ht="13.5">
      <c r="A30" s="447"/>
      <c r="B30" s="145" t="s">
        <v>33</v>
      </c>
      <c r="C30" s="145"/>
      <c r="D30" s="145" t="s">
        <v>0</v>
      </c>
      <c r="E30" s="145">
        <f>26/100</f>
        <v>0.26</v>
      </c>
      <c r="F30" s="145">
        <f>E30*F21</f>
        <v>1.768</v>
      </c>
      <c r="G30" s="144"/>
      <c r="H30" s="144"/>
      <c r="I30" s="144"/>
      <c r="J30" s="144"/>
      <c r="K30" s="144"/>
      <c r="L30" s="144"/>
      <c r="M30" s="144"/>
    </row>
    <row r="31" spans="1:13" s="26" customFormat="1" ht="40.5">
      <c r="A31" s="445">
        <v>5</v>
      </c>
      <c r="B31" s="142" t="s">
        <v>244</v>
      </c>
      <c r="C31" s="142" t="s">
        <v>156</v>
      </c>
      <c r="D31" s="142" t="s">
        <v>157</v>
      </c>
      <c r="E31" s="145"/>
      <c r="F31" s="142">
        <v>2.5</v>
      </c>
      <c r="G31" s="144"/>
      <c r="H31" s="144"/>
      <c r="I31" s="144"/>
      <c r="J31" s="144"/>
      <c r="K31" s="144"/>
      <c r="L31" s="144"/>
      <c r="M31" s="144"/>
    </row>
    <row r="32" spans="1:13" s="26" customFormat="1" ht="13.5">
      <c r="A32" s="446"/>
      <c r="B32" s="145" t="s">
        <v>12</v>
      </c>
      <c r="C32" s="145"/>
      <c r="D32" s="144" t="s">
        <v>15</v>
      </c>
      <c r="E32" s="145">
        <v>16.5</v>
      </c>
      <c r="F32" s="145">
        <f>E32*F31</f>
        <v>41.25</v>
      </c>
      <c r="G32" s="144"/>
      <c r="H32" s="144"/>
      <c r="I32" s="144"/>
      <c r="J32" s="144"/>
      <c r="K32" s="144"/>
      <c r="L32" s="144"/>
      <c r="M32" s="144"/>
    </row>
    <row r="33" spans="1:13" s="26" customFormat="1" ht="13.5">
      <c r="A33" s="446"/>
      <c r="B33" s="145" t="s">
        <v>158</v>
      </c>
      <c r="C33" s="145" t="s">
        <v>468</v>
      </c>
      <c r="D33" s="145" t="s">
        <v>21</v>
      </c>
      <c r="E33" s="145">
        <v>1.69</v>
      </c>
      <c r="F33" s="145">
        <f>E33*F31</f>
        <v>4.225</v>
      </c>
      <c r="G33" s="144"/>
      <c r="H33" s="144"/>
      <c r="I33" s="144"/>
      <c r="J33" s="144"/>
      <c r="K33" s="144"/>
      <c r="L33" s="144"/>
      <c r="M33" s="144"/>
    </row>
    <row r="34" spans="1:13" s="26" customFormat="1" ht="13.5">
      <c r="A34" s="446"/>
      <c r="B34" s="145" t="s">
        <v>24</v>
      </c>
      <c r="C34" s="145"/>
      <c r="D34" s="145" t="s">
        <v>21</v>
      </c>
      <c r="E34" s="145">
        <v>14.4</v>
      </c>
      <c r="F34" s="145">
        <f>E34*F31</f>
        <v>36</v>
      </c>
      <c r="G34" s="144"/>
      <c r="H34" s="144"/>
      <c r="I34" s="144"/>
      <c r="J34" s="144"/>
      <c r="K34" s="144"/>
      <c r="L34" s="144"/>
      <c r="M34" s="144"/>
    </row>
    <row r="35" spans="1:13" s="26" customFormat="1" ht="13.5">
      <c r="A35" s="446"/>
      <c r="B35" s="145" t="s">
        <v>22</v>
      </c>
      <c r="C35" s="145"/>
      <c r="D35" s="145"/>
      <c r="E35" s="145"/>
      <c r="F35" s="145"/>
      <c r="G35" s="144"/>
      <c r="H35" s="144"/>
      <c r="I35" s="144"/>
      <c r="J35" s="144"/>
      <c r="K35" s="144"/>
      <c r="L35" s="144"/>
      <c r="M35" s="144"/>
    </row>
    <row r="36" spans="1:13" s="26" customFormat="1" ht="27">
      <c r="A36" s="446"/>
      <c r="B36" s="145" t="s">
        <v>245</v>
      </c>
      <c r="C36" s="145"/>
      <c r="D36" s="145" t="s">
        <v>23</v>
      </c>
      <c r="E36" s="145" t="s">
        <v>30</v>
      </c>
      <c r="F36" s="145">
        <v>1</v>
      </c>
      <c r="G36" s="144"/>
      <c r="H36" s="144"/>
      <c r="I36" s="144"/>
      <c r="J36" s="144"/>
      <c r="K36" s="144"/>
      <c r="L36" s="144"/>
      <c r="M36" s="144"/>
    </row>
    <row r="37" spans="1:13" s="26" customFormat="1" ht="13.5">
      <c r="A37" s="446"/>
      <c r="B37" s="145" t="s">
        <v>159</v>
      </c>
      <c r="C37" s="145" t="s">
        <v>92</v>
      </c>
      <c r="D37" s="145" t="s">
        <v>35</v>
      </c>
      <c r="E37" s="145">
        <v>35.6</v>
      </c>
      <c r="F37" s="145">
        <f>E37*F31</f>
        <v>89</v>
      </c>
      <c r="G37" s="144"/>
      <c r="H37" s="144"/>
      <c r="I37" s="144"/>
      <c r="J37" s="144"/>
      <c r="K37" s="144"/>
      <c r="L37" s="144"/>
      <c r="M37" s="144"/>
    </row>
    <row r="38" spans="1:13" s="26" customFormat="1" ht="13.5">
      <c r="A38" s="446"/>
      <c r="B38" s="145" t="s">
        <v>42</v>
      </c>
      <c r="C38" s="145" t="s">
        <v>469</v>
      </c>
      <c r="D38" s="145" t="s">
        <v>35</v>
      </c>
      <c r="E38" s="145">
        <v>3</v>
      </c>
      <c r="F38" s="145">
        <f>E38*F31</f>
        <v>7.5</v>
      </c>
      <c r="G38" s="144"/>
      <c r="H38" s="144"/>
      <c r="I38" s="144"/>
      <c r="J38" s="144"/>
      <c r="K38" s="144"/>
      <c r="L38" s="144"/>
      <c r="M38" s="144"/>
    </row>
    <row r="39" spans="1:13" s="26" customFormat="1" ht="13.5">
      <c r="A39" s="447"/>
      <c r="B39" s="145" t="s">
        <v>18</v>
      </c>
      <c r="C39" s="145"/>
      <c r="D39" s="145" t="s">
        <v>0</v>
      </c>
      <c r="E39" s="145">
        <v>5.3</v>
      </c>
      <c r="F39" s="145">
        <f>E39*F31</f>
        <v>13.25</v>
      </c>
      <c r="G39" s="144"/>
      <c r="H39" s="144"/>
      <c r="I39" s="144"/>
      <c r="J39" s="144"/>
      <c r="K39" s="144"/>
      <c r="L39" s="144"/>
      <c r="M39" s="144"/>
    </row>
    <row r="40" spans="1:13" s="26" customFormat="1" ht="27">
      <c r="A40" s="445">
        <v>6</v>
      </c>
      <c r="B40" s="142" t="s">
        <v>198</v>
      </c>
      <c r="C40" s="142" t="s">
        <v>199</v>
      </c>
      <c r="D40" s="142" t="s">
        <v>153</v>
      </c>
      <c r="E40" s="143"/>
      <c r="F40" s="142">
        <v>6.98</v>
      </c>
      <c r="G40" s="143"/>
      <c r="H40" s="143"/>
      <c r="I40" s="143"/>
      <c r="J40" s="143"/>
      <c r="K40" s="143"/>
      <c r="L40" s="143"/>
      <c r="M40" s="143"/>
    </row>
    <row r="41" spans="1:13" s="26" customFormat="1" ht="13.5">
      <c r="A41" s="446"/>
      <c r="B41" s="145" t="s">
        <v>12</v>
      </c>
      <c r="C41" s="145"/>
      <c r="D41" s="144" t="s">
        <v>15</v>
      </c>
      <c r="E41" s="144">
        <v>13.6</v>
      </c>
      <c r="F41" s="144">
        <f>F40*E41</f>
        <v>94.928</v>
      </c>
      <c r="G41" s="144"/>
      <c r="H41" s="144"/>
      <c r="I41" s="144"/>
      <c r="J41" s="144"/>
      <c r="K41" s="144"/>
      <c r="L41" s="144"/>
      <c r="M41" s="144"/>
    </row>
    <row r="42" spans="1:13" s="26" customFormat="1" ht="13.5">
      <c r="A42" s="446"/>
      <c r="B42" s="145" t="s">
        <v>14</v>
      </c>
      <c r="C42" s="145"/>
      <c r="D42" s="145" t="s">
        <v>0</v>
      </c>
      <c r="E42" s="144">
        <v>0.14</v>
      </c>
      <c r="F42" s="144">
        <f>E42*F40</f>
        <v>0.9772000000000002</v>
      </c>
      <c r="G42" s="144"/>
      <c r="H42" s="144"/>
      <c r="I42" s="144"/>
      <c r="J42" s="144"/>
      <c r="K42" s="144"/>
      <c r="L42" s="144"/>
      <c r="M42" s="144"/>
    </row>
    <row r="43" spans="1:13" s="26" customFormat="1" ht="13.5">
      <c r="A43" s="446"/>
      <c r="B43" s="145" t="s">
        <v>22</v>
      </c>
      <c r="C43" s="145"/>
      <c r="D43" s="145"/>
      <c r="E43" s="145"/>
      <c r="F43" s="145"/>
      <c r="G43" s="145"/>
      <c r="H43" s="145"/>
      <c r="I43" s="144"/>
      <c r="J43" s="145"/>
      <c r="K43" s="145"/>
      <c r="L43" s="145"/>
      <c r="M43" s="145"/>
    </row>
    <row r="44" spans="1:13" s="26" customFormat="1" ht="13.5">
      <c r="A44" s="446"/>
      <c r="B44" s="145" t="s">
        <v>200</v>
      </c>
      <c r="C44" s="145" t="s">
        <v>470</v>
      </c>
      <c r="D44" s="145" t="s">
        <v>169</v>
      </c>
      <c r="E44" s="145" t="s">
        <v>30</v>
      </c>
      <c r="F44" s="145">
        <v>180</v>
      </c>
      <c r="G44" s="145"/>
      <c r="H44" s="145"/>
      <c r="I44" s="144"/>
      <c r="J44" s="145"/>
      <c r="K44" s="145"/>
      <c r="L44" s="145"/>
      <c r="M44" s="145"/>
    </row>
    <row r="45" spans="1:13" s="26" customFormat="1" ht="13.5">
      <c r="A45" s="447"/>
      <c r="B45" s="145" t="s">
        <v>18</v>
      </c>
      <c r="C45" s="145"/>
      <c r="D45" s="145" t="s">
        <v>0</v>
      </c>
      <c r="E45" s="145">
        <v>0.53</v>
      </c>
      <c r="F45" s="145">
        <f>E45*F40</f>
        <v>3.6994000000000002</v>
      </c>
      <c r="G45" s="145"/>
      <c r="H45" s="145"/>
      <c r="I45" s="144"/>
      <c r="J45" s="145"/>
      <c r="K45" s="145"/>
      <c r="L45" s="145"/>
      <c r="M45" s="145"/>
    </row>
    <row r="46" spans="1:13" s="26" customFormat="1" ht="27">
      <c r="A46" s="445">
        <v>7</v>
      </c>
      <c r="B46" s="142" t="s">
        <v>161</v>
      </c>
      <c r="C46" s="142" t="s">
        <v>166</v>
      </c>
      <c r="D46" s="142" t="s">
        <v>167</v>
      </c>
      <c r="E46" s="145"/>
      <c r="F46" s="142">
        <v>45</v>
      </c>
      <c r="G46" s="144"/>
      <c r="H46" s="144"/>
      <c r="I46" s="144"/>
      <c r="J46" s="144"/>
      <c r="K46" s="144"/>
      <c r="L46" s="144"/>
      <c r="M46" s="144"/>
    </row>
    <row r="47" spans="1:13" s="26" customFormat="1" ht="13.5">
      <c r="A47" s="446"/>
      <c r="B47" s="145" t="s">
        <v>12</v>
      </c>
      <c r="C47" s="145"/>
      <c r="D47" s="145" t="s">
        <v>15</v>
      </c>
      <c r="E47" s="145">
        <f>31.4/100</f>
        <v>0.314</v>
      </c>
      <c r="F47" s="145">
        <f>E47*F46</f>
        <v>14.13</v>
      </c>
      <c r="G47" s="144"/>
      <c r="H47" s="144"/>
      <c r="I47" s="144"/>
      <c r="J47" s="144"/>
      <c r="K47" s="144"/>
      <c r="L47" s="144"/>
      <c r="M47" s="144"/>
    </row>
    <row r="48" spans="1:13" s="26" customFormat="1" ht="13.5">
      <c r="A48" s="446"/>
      <c r="B48" s="145" t="s">
        <v>162</v>
      </c>
      <c r="C48" s="145" t="s">
        <v>475</v>
      </c>
      <c r="D48" s="145" t="s">
        <v>21</v>
      </c>
      <c r="E48" s="145">
        <v>0.0213</v>
      </c>
      <c r="F48" s="145">
        <f>E48*F46</f>
        <v>0.9585</v>
      </c>
      <c r="G48" s="144"/>
      <c r="H48" s="144"/>
      <c r="I48" s="144"/>
      <c r="J48" s="144"/>
      <c r="K48" s="144"/>
      <c r="L48" s="144"/>
      <c r="M48" s="144"/>
    </row>
    <row r="49" spans="1:13" s="26" customFormat="1" ht="13.5">
      <c r="A49" s="446"/>
      <c r="B49" s="145" t="s">
        <v>24</v>
      </c>
      <c r="C49" s="145"/>
      <c r="D49" s="145" t="s">
        <v>0</v>
      </c>
      <c r="E49" s="145">
        <f>0.34/100</f>
        <v>0.0034000000000000002</v>
      </c>
      <c r="F49" s="145">
        <f>F46*E49</f>
        <v>0.15300000000000002</v>
      </c>
      <c r="G49" s="144"/>
      <c r="H49" s="144"/>
      <c r="I49" s="144"/>
      <c r="J49" s="144"/>
      <c r="K49" s="144"/>
      <c r="L49" s="144"/>
      <c r="M49" s="144"/>
    </row>
    <row r="50" spans="1:13" s="26" customFormat="1" ht="13.5">
      <c r="A50" s="446"/>
      <c r="B50" s="145" t="s">
        <v>22</v>
      </c>
      <c r="C50" s="145"/>
      <c r="D50" s="145"/>
      <c r="E50" s="145"/>
      <c r="F50" s="145"/>
      <c r="G50" s="144"/>
      <c r="H50" s="144"/>
      <c r="I50" s="144"/>
      <c r="J50" s="144"/>
      <c r="K50" s="144"/>
      <c r="L50" s="144"/>
      <c r="M50" s="144"/>
    </row>
    <row r="51" spans="1:13" s="26" customFormat="1" ht="27">
      <c r="A51" s="446"/>
      <c r="B51" s="145" t="s">
        <v>163</v>
      </c>
      <c r="C51" s="145" t="s">
        <v>471</v>
      </c>
      <c r="D51" s="145" t="s">
        <v>169</v>
      </c>
      <c r="E51" s="145" t="s">
        <v>30</v>
      </c>
      <c r="F51" s="145">
        <v>93.5</v>
      </c>
      <c r="G51" s="144"/>
      <c r="H51" s="144"/>
      <c r="I51" s="144"/>
      <c r="J51" s="144"/>
      <c r="K51" s="144"/>
      <c r="L51" s="144"/>
      <c r="M51" s="144"/>
    </row>
    <row r="52" spans="1:13" s="26" customFormat="1" ht="13.5">
      <c r="A52" s="446"/>
      <c r="B52" s="145" t="s">
        <v>164</v>
      </c>
      <c r="C52" s="145" t="s">
        <v>92</v>
      </c>
      <c r="D52" s="145" t="s">
        <v>170</v>
      </c>
      <c r="E52" s="145">
        <f>5/100</f>
        <v>0.05</v>
      </c>
      <c r="F52" s="145">
        <f>E52*F46</f>
        <v>2.25</v>
      </c>
      <c r="G52" s="144"/>
      <c r="H52" s="144"/>
      <c r="I52" s="144"/>
      <c r="J52" s="144"/>
      <c r="K52" s="144"/>
      <c r="L52" s="144"/>
      <c r="M52" s="144"/>
    </row>
    <row r="53" spans="1:13" s="26" customFormat="1" ht="13.5">
      <c r="A53" s="446"/>
      <c r="B53" s="145" t="s">
        <v>165</v>
      </c>
      <c r="C53" s="145" t="s">
        <v>472</v>
      </c>
      <c r="D53" s="145" t="s">
        <v>170</v>
      </c>
      <c r="E53" s="145">
        <v>0.02</v>
      </c>
      <c r="F53" s="145">
        <f>E53*F46</f>
        <v>0.9</v>
      </c>
      <c r="G53" s="144"/>
      <c r="H53" s="144"/>
      <c r="I53" s="144"/>
      <c r="J53" s="144"/>
      <c r="K53" s="144"/>
      <c r="L53" s="144"/>
      <c r="M53" s="144"/>
    </row>
    <row r="54" spans="1:13" s="26" customFormat="1" ht="13.5">
      <c r="A54" s="447"/>
      <c r="B54" s="145" t="s">
        <v>33</v>
      </c>
      <c r="C54" s="145"/>
      <c r="D54" s="145" t="s">
        <v>0</v>
      </c>
      <c r="E54" s="145">
        <f>3.86/100</f>
        <v>0.038599999999999995</v>
      </c>
      <c r="F54" s="145">
        <f>F46*E54</f>
        <v>1.7369999999999999</v>
      </c>
      <c r="G54" s="144"/>
      <c r="H54" s="144"/>
      <c r="I54" s="144"/>
      <c r="J54" s="144"/>
      <c r="K54" s="144"/>
      <c r="L54" s="144"/>
      <c r="M54" s="144"/>
    </row>
    <row r="55" spans="1:13" s="26" customFormat="1" ht="27">
      <c r="A55" s="445">
        <v>8</v>
      </c>
      <c r="B55" s="142" t="s">
        <v>201</v>
      </c>
      <c r="C55" s="142" t="s">
        <v>202</v>
      </c>
      <c r="D55" s="142" t="s">
        <v>167</v>
      </c>
      <c r="E55" s="143"/>
      <c r="F55" s="142">
        <v>45</v>
      </c>
      <c r="G55" s="143"/>
      <c r="H55" s="143"/>
      <c r="I55" s="143"/>
      <c r="J55" s="143"/>
      <c r="K55" s="143"/>
      <c r="L55" s="143"/>
      <c r="M55" s="143"/>
    </row>
    <row r="56" spans="1:13" s="26" customFormat="1" ht="13.5">
      <c r="A56" s="446"/>
      <c r="B56" s="145" t="s">
        <v>12</v>
      </c>
      <c r="C56" s="145"/>
      <c r="D56" s="144" t="s">
        <v>15</v>
      </c>
      <c r="E56" s="144">
        <f>37.6/100</f>
        <v>0.376</v>
      </c>
      <c r="F56" s="144">
        <f>F55*E56</f>
        <v>16.92</v>
      </c>
      <c r="G56" s="144"/>
      <c r="H56" s="144"/>
      <c r="I56" s="144"/>
      <c r="J56" s="144"/>
      <c r="K56" s="144"/>
      <c r="L56" s="144"/>
      <c r="M56" s="144"/>
    </row>
    <row r="57" spans="1:13" s="26" customFormat="1" ht="13.5">
      <c r="A57" s="446"/>
      <c r="B57" s="145" t="s">
        <v>22</v>
      </c>
      <c r="C57" s="145"/>
      <c r="D57" s="145"/>
      <c r="E57" s="145"/>
      <c r="F57" s="145"/>
      <c r="G57" s="145"/>
      <c r="H57" s="145"/>
      <c r="I57" s="144"/>
      <c r="J57" s="145"/>
      <c r="K57" s="145"/>
      <c r="L57" s="145"/>
      <c r="M57" s="145"/>
    </row>
    <row r="58" spans="1:13" s="26" customFormat="1" ht="13.5">
      <c r="A58" s="446"/>
      <c r="B58" s="145" t="s">
        <v>203</v>
      </c>
      <c r="C58" s="145" t="s">
        <v>473</v>
      </c>
      <c r="D58" s="145" t="s">
        <v>35</v>
      </c>
      <c r="E58" s="145">
        <f>6/100</f>
        <v>0.06</v>
      </c>
      <c r="F58" s="145">
        <f>E58*F55</f>
        <v>2.6999999999999997</v>
      </c>
      <c r="G58" s="145"/>
      <c r="H58" s="145"/>
      <c r="I58" s="144"/>
      <c r="J58" s="145"/>
      <c r="K58" s="145"/>
      <c r="L58" s="145"/>
      <c r="M58" s="145"/>
    </row>
    <row r="59" spans="1:13" s="26" customFormat="1" ht="13.5">
      <c r="A59" s="447"/>
      <c r="B59" s="145" t="s">
        <v>18</v>
      </c>
      <c r="C59" s="145"/>
      <c r="D59" s="145" t="s">
        <v>0</v>
      </c>
      <c r="E59" s="145">
        <f>0.6/100</f>
        <v>0.006</v>
      </c>
      <c r="F59" s="145">
        <f>E59*F55</f>
        <v>0.27</v>
      </c>
      <c r="G59" s="145"/>
      <c r="H59" s="145"/>
      <c r="I59" s="144"/>
      <c r="J59" s="145"/>
      <c r="K59" s="145"/>
      <c r="L59" s="145"/>
      <c r="M59" s="145"/>
    </row>
    <row r="60" spans="1:13" s="26" customFormat="1" ht="13.5">
      <c r="A60" s="445">
        <v>9</v>
      </c>
      <c r="B60" s="142" t="s">
        <v>151</v>
      </c>
      <c r="C60" s="142"/>
      <c r="D60" s="143" t="s">
        <v>31</v>
      </c>
      <c r="E60" s="143"/>
      <c r="F60" s="142">
        <v>2</v>
      </c>
      <c r="G60" s="143"/>
      <c r="H60" s="145"/>
      <c r="I60" s="143"/>
      <c r="J60" s="144"/>
      <c r="K60" s="143"/>
      <c r="L60" s="145"/>
      <c r="M60" s="144"/>
    </row>
    <row r="61" spans="1:13" s="26" customFormat="1" ht="13.5">
      <c r="A61" s="447"/>
      <c r="B61" s="145" t="s">
        <v>152</v>
      </c>
      <c r="C61" s="145" t="s">
        <v>474</v>
      </c>
      <c r="D61" s="145" t="s">
        <v>21</v>
      </c>
      <c r="E61" s="145">
        <v>0.00921</v>
      </c>
      <c r="F61" s="145">
        <f>E61*F60</f>
        <v>0.01842</v>
      </c>
      <c r="G61" s="145"/>
      <c r="H61" s="145"/>
      <c r="I61" s="145"/>
      <c r="J61" s="145"/>
      <c r="K61" s="145"/>
      <c r="L61" s="145"/>
      <c r="M61" s="145"/>
    </row>
    <row r="62" spans="1:13" s="26" customFormat="1" ht="13.5">
      <c r="A62" s="445">
        <v>10</v>
      </c>
      <c r="B62" s="142" t="s">
        <v>204</v>
      </c>
      <c r="C62" s="142"/>
      <c r="D62" s="142" t="s">
        <v>153</v>
      </c>
      <c r="E62" s="143"/>
      <c r="F62" s="142">
        <v>12</v>
      </c>
      <c r="G62" s="143"/>
      <c r="H62" s="143"/>
      <c r="I62" s="143"/>
      <c r="J62" s="143"/>
      <c r="K62" s="143"/>
      <c r="L62" s="143"/>
      <c r="M62" s="143"/>
    </row>
    <row r="63" spans="1:13" s="26" customFormat="1" ht="13.5">
      <c r="A63" s="447"/>
      <c r="B63" s="145" t="s">
        <v>12</v>
      </c>
      <c r="C63" s="145"/>
      <c r="D63" s="144" t="s">
        <v>15</v>
      </c>
      <c r="E63" s="144">
        <v>1.43</v>
      </c>
      <c r="F63" s="144">
        <f>E63*F62</f>
        <v>17.16</v>
      </c>
      <c r="G63" s="144"/>
      <c r="H63" s="144"/>
      <c r="I63" s="144"/>
      <c r="J63" s="144"/>
      <c r="K63" s="144"/>
      <c r="L63" s="144"/>
      <c r="M63" s="144"/>
    </row>
    <row r="64" spans="1:13" s="26" customFormat="1" ht="13.5">
      <c r="A64" s="445">
        <v>11</v>
      </c>
      <c r="B64" s="142" t="s">
        <v>205</v>
      </c>
      <c r="C64" s="142"/>
      <c r="D64" s="142" t="s">
        <v>153</v>
      </c>
      <c r="E64" s="143"/>
      <c r="F64" s="142">
        <v>6</v>
      </c>
      <c r="G64" s="143"/>
      <c r="H64" s="143"/>
      <c r="I64" s="143"/>
      <c r="J64" s="143"/>
      <c r="K64" s="143"/>
      <c r="L64" s="143"/>
      <c r="M64" s="143"/>
    </row>
    <row r="65" spans="1:13" s="26" customFormat="1" ht="13.5">
      <c r="A65" s="447"/>
      <c r="B65" s="145" t="s">
        <v>12</v>
      </c>
      <c r="C65" s="145"/>
      <c r="D65" s="144" t="s">
        <v>15</v>
      </c>
      <c r="E65" s="144">
        <f>1.43*1.2</f>
        <v>1.716</v>
      </c>
      <c r="F65" s="144">
        <f>E65*F64</f>
        <v>10.296</v>
      </c>
      <c r="G65" s="144"/>
      <c r="H65" s="144"/>
      <c r="I65" s="144"/>
      <c r="J65" s="144"/>
      <c r="K65" s="144"/>
      <c r="L65" s="144"/>
      <c r="M65" s="144"/>
    </row>
    <row r="66" spans="1:13" s="26" customFormat="1" ht="27">
      <c r="A66" s="222">
        <v>12</v>
      </c>
      <c r="B66" s="142" t="s">
        <v>206</v>
      </c>
      <c r="C66" s="142"/>
      <c r="D66" s="145" t="s">
        <v>107</v>
      </c>
      <c r="E66" s="145"/>
      <c r="F66" s="142">
        <v>0.34</v>
      </c>
      <c r="G66" s="144"/>
      <c r="H66" s="144"/>
      <c r="I66" s="144"/>
      <c r="J66" s="144"/>
      <c r="K66" s="223"/>
      <c r="L66" s="144"/>
      <c r="M66" s="144"/>
    </row>
    <row r="67" spans="1:13" s="26" customFormat="1" ht="13.5">
      <c r="A67" s="224"/>
      <c r="B67" s="144" t="s">
        <v>39</v>
      </c>
      <c r="C67" s="225"/>
      <c r="D67" s="144" t="s">
        <v>15</v>
      </c>
      <c r="E67" s="144">
        <v>42.9</v>
      </c>
      <c r="F67" s="144">
        <f>F66*E67</f>
        <v>14.586</v>
      </c>
      <c r="G67" s="144"/>
      <c r="H67" s="144"/>
      <c r="I67" s="144"/>
      <c r="J67" s="144"/>
      <c r="K67" s="144"/>
      <c r="L67" s="144"/>
      <c r="M67" s="144"/>
    </row>
    <row r="68" spans="1:13" s="26" customFormat="1" ht="13.5">
      <c r="A68" s="224"/>
      <c r="B68" s="144" t="s">
        <v>207</v>
      </c>
      <c r="C68" s="145" t="s">
        <v>476</v>
      </c>
      <c r="D68" s="144" t="s">
        <v>147</v>
      </c>
      <c r="E68" s="144">
        <v>2.69</v>
      </c>
      <c r="F68" s="144">
        <f>F66*E68</f>
        <v>0.9146000000000001</v>
      </c>
      <c r="G68" s="144"/>
      <c r="H68" s="144"/>
      <c r="I68" s="144"/>
      <c r="J68" s="144"/>
      <c r="K68" s="144"/>
      <c r="L68" s="144"/>
      <c r="M68" s="144"/>
    </row>
    <row r="69" spans="1:13" s="26" customFormat="1" ht="13.5">
      <c r="A69" s="226"/>
      <c r="B69" s="145" t="s">
        <v>208</v>
      </c>
      <c r="C69" s="145" t="s">
        <v>477</v>
      </c>
      <c r="D69" s="144" t="s">
        <v>147</v>
      </c>
      <c r="E69" s="144">
        <v>0.41</v>
      </c>
      <c r="F69" s="144">
        <f>F66*E69</f>
        <v>0.1394</v>
      </c>
      <c r="G69" s="144"/>
      <c r="H69" s="144"/>
      <c r="I69" s="144"/>
      <c r="J69" s="144"/>
      <c r="K69" s="144"/>
      <c r="L69" s="144"/>
      <c r="M69" s="144"/>
    </row>
    <row r="70" spans="1:13" s="26" customFormat="1" ht="13.5">
      <c r="A70" s="227"/>
      <c r="B70" s="145" t="s">
        <v>209</v>
      </c>
      <c r="C70" s="145" t="s">
        <v>478</v>
      </c>
      <c r="D70" s="144" t="s">
        <v>147</v>
      </c>
      <c r="E70" s="144">
        <v>7.6</v>
      </c>
      <c r="F70" s="144">
        <f>F66*E70</f>
        <v>2.584</v>
      </c>
      <c r="G70" s="144"/>
      <c r="H70" s="144"/>
      <c r="I70" s="144"/>
      <c r="J70" s="144"/>
      <c r="K70" s="144"/>
      <c r="L70" s="144"/>
      <c r="M70" s="144"/>
    </row>
    <row r="71" spans="1:13" s="26" customFormat="1" ht="13.5">
      <c r="A71" s="227"/>
      <c r="B71" s="144" t="s">
        <v>210</v>
      </c>
      <c r="C71" s="145" t="s">
        <v>479</v>
      </c>
      <c r="D71" s="144" t="s">
        <v>147</v>
      </c>
      <c r="E71" s="144">
        <v>7.4</v>
      </c>
      <c r="F71" s="144">
        <f>F66*E71</f>
        <v>2.5160000000000005</v>
      </c>
      <c r="G71" s="144"/>
      <c r="H71" s="144"/>
      <c r="I71" s="144"/>
      <c r="J71" s="144"/>
      <c r="K71" s="144"/>
      <c r="L71" s="144"/>
      <c r="M71" s="144"/>
    </row>
    <row r="72" spans="1:13" s="26" customFormat="1" ht="13.5">
      <c r="A72" s="224"/>
      <c r="B72" s="144" t="s">
        <v>211</v>
      </c>
      <c r="C72" s="145" t="s">
        <v>480</v>
      </c>
      <c r="D72" s="144" t="s">
        <v>147</v>
      </c>
      <c r="E72" s="144">
        <v>1.48</v>
      </c>
      <c r="F72" s="144">
        <f>F66*E72</f>
        <v>0.5032</v>
      </c>
      <c r="G72" s="144"/>
      <c r="H72" s="144"/>
      <c r="I72" s="144"/>
      <c r="J72" s="144"/>
      <c r="K72" s="144"/>
      <c r="L72" s="144"/>
      <c r="M72" s="144"/>
    </row>
    <row r="73" spans="1:13" s="26" customFormat="1" ht="18" customHeight="1">
      <c r="A73" s="224"/>
      <c r="B73" s="145" t="s">
        <v>115</v>
      </c>
      <c r="C73" s="145" t="s">
        <v>481</v>
      </c>
      <c r="D73" s="144" t="s">
        <v>212</v>
      </c>
      <c r="E73" s="228">
        <f>149+12.4*18</f>
        <v>372.20000000000005</v>
      </c>
      <c r="F73" s="144">
        <f>F66*E73</f>
        <v>126.54800000000003</v>
      </c>
      <c r="G73" s="144"/>
      <c r="H73" s="144"/>
      <c r="I73" s="144"/>
      <c r="J73" s="144"/>
      <c r="K73" s="144"/>
      <c r="L73" s="144"/>
      <c r="M73" s="144"/>
    </row>
    <row r="74" spans="1:13" s="26" customFormat="1" ht="13.5">
      <c r="A74" s="227"/>
      <c r="B74" s="144" t="s">
        <v>78</v>
      </c>
      <c r="C74" s="145" t="s">
        <v>92</v>
      </c>
      <c r="D74" s="144" t="s">
        <v>212</v>
      </c>
      <c r="E74" s="144">
        <v>11</v>
      </c>
      <c r="F74" s="144">
        <f>F66*E74</f>
        <v>3.74</v>
      </c>
      <c r="G74" s="144"/>
      <c r="H74" s="144"/>
      <c r="I74" s="144"/>
      <c r="J74" s="144"/>
      <c r="K74" s="144"/>
      <c r="L74" s="144"/>
      <c r="M74" s="144"/>
    </row>
    <row r="75" spans="1:13" s="26" customFormat="1" ht="13.5">
      <c r="A75" s="227"/>
      <c r="B75" s="144" t="s">
        <v>213</v>
      </c>
      <c r="C75" s="145" t="s">
        <v>482</v>
      </c>
      <c r="D75" s="144" t="s">
        <v>13</v>
      </c>
      <c r="E75" s="144">
        <v>1.6</v>
      </c>
      <c r="F75" s="144">
        <f>E75*G73</f>
        <v>0</v>
      </c>
      <c r="G75" s="144"/>
      <c r="H75" s="144"/>
      <c r="I75" s="144"/>
      <c r="J75" s="144"/>
      <c r="K75" s="144"/>
      <c r="L75" s="144"/>
      <c r="M75" s="144"/>
    </row>
    <row r="76" spans="1:13" s="26" customFormat="1" ht="27">
      <c r="A76" s="233">
        <v>13</v>
      </c>
      <c r="B76" s="92" t="s">
        <v>233</v>
      </c>
      <c r="C76" s="28" t="s">
        <v>105</v>
      </c>
      <c r="D76" s="93" t="s">
        <v>31</v>
      </c>
      <c r="E76" s="93"/>
      <c r="F76" s="94">
        <v>3</v>
      </c>
      <c r="G76" s="93"/>
      <c r="H76" s="95"/>
      <c r="I76" s="93"/>
      <c r="J76" s="95"/>
      <c r="K76" s="93"/>
      <c r="L76" s="95"/>
      <c r="M76" s="95"/>
    </row>
    <row r="77" spans="1:13" s="26" customFormat="1" ht="13.5">
      <c r="A77" s="233"/>
      <c r="B77" s="72" t="s">
        <v>12</v>
      </c>
      <c r="C77" s="411"/>
      <c r="D77" s="410" t="s">
        <v>15</v>
      </c>
      <c r="E77" s="410">
        <v>3.88</v>
      </c>
      <c r="F77" s="71">
        <f>F76*E77</f>
        <v>11.64</v>
      </c>
      <c r="G77" s="410"/>
      <c r="H77" s="71"/>
      <c r="I77" s="410"/>
      <c r="J77" s="71"/>
      <c r="K77" s="410"/>
      <c r="L77" s="71"/>
      <c r="M77" s="71"/>
    </row>
    <row r="78" spans="1:13" s="26" customFormat="1" ht="38.25">
      <c r="A78" s="415">
        <v>14</v>
      </c>
      <c r="B78" s="114" t="s">
        <v>224</v>
      </c>
      <c r="C78" s="408" t="s">
        <v>117</v>
      </c>
      <c r="D78" s="233" t="s">
        <v>20</v>
      </c>
      <c r="E78" s="233"/>
      <c r="F78" s="115">
        <v>60</v>
      </c>
      <c r="G78" s="411"/>
      <c r="H78" s="411"/>
      <c r="I78" s="411"/>
      <c r="J78" s="411"/>
      <c r="K78" s="411"/>
      <c r="L78" s="411"/>
      <c r="M78" s="411"/>
    </row>
    <row r="79" spans="1:13" s="26" customFormat="1" ht="13.5">
      <c r="A79" s="415"/>
      <c r="B79" s="25" t="s">
        <v>39</v>
      </c>
      <c r="C79" s="413"/>
      <c r="D79" s="410" t="s">
        <v>15</v>
      </c>
      <c r="E79" s="411">
        <v>2.23</v>
      </c>
      <c r="F79" s="70">
        <f>E79*F78</f>
        <v>133.8</v>
      </c>
      <c r="G79" s="411"/>
      <c r="H79" s="70"/>
      <c r="I79" s="411"/>
      <c r="J79" s="70"/>
      <c r="K79" s="411"/>
      <c r="L79" s="411"/>
      <c r="M79" s="70"/>
    </row>
    <row r="80" spans="1:13" s="26" customFormat="1" ht="13.5">
      <c r="A80" s="415"/>
      <c r="B80" s="25" t="s">
        <v>24</v>
      </c>
      <c r="C80" s="413"/>
      <c r="D80" s="410" t="s">
        <v>0</v>
      </c>
      <c r="E80" s="411">
        <v>0.05</v>
      </c>
      <c r="F80" s="70">
        <f>E80*F78</f>
        <v>3</v>
      </c>
      <c r="G80" s="411"/>
      <c r="H80" s="411"/>
      <c r="I80" s="411"/>
      <c r="J80" s="411"/>
      <c r="K80" s="411"/>
      <c r="L80" s="70"/>
      <c r="M80" s="70"/>
    </row>
    <row r="81" spans="1:13" s="26" customFormat="1" ht="13.5">
      <c r="A81" s="415"/>
      <c r="B81" s="411" t="s">
        <v>56</v>
      </c>
      <c r="C81" s="50"/>
      <c r="D81" s="411"/>
      <c r="E81" s="411"/>
      <c r="F81" s="70"/>
      <c r="G81" s="411"/>
      <c r="H81" s="70"/>
      <c r="I81" s="411"/>
      <c r="J81" s="70"/>
      <c r="K81" s="411"/>
      <c r="L81" s="70"/>
      <c r="M81" s="70"/>
    </row>
    <row r="82" spans="1:13" s="26" customFormat="1" ht="13.5">
      <c r="A82" s="415"/>
      <c r="B82" s="25" t="s">
        <v>225</v>
      </c>
      <c r="C82" s="409" t="s">
        <v>92</v>
      </c>
      <c r="D82" s="410" t="s">
        <v>23</v>
      </c>
      <c r="E82" s="411">
        <v>0.295</v>
      </c>
      <c r="F82" s="70">
        <f>E82*F78</f>
        <v>17.7</v>
      </c>
      <c r="G82" s="96"/>
      <c r="H82" s="96"/>
      <c r="I82" s="34"/>
      <c r="J82" s="97"/>
      <c r="K82" s="32"/>
      <c r="L82" s="32"/>
      <c r="M82" s="70"/>
    </row>
    <row r="83" spans="1:13" s="26" customFormat="1" ht="13.5">
      <c r="A83" s="415"/>
      <c r="B83" s="25" t="s">
        <v>119</v>
      </c>
      <c r="C83" s="98" t="s">
        <v>92</v>
      </c>
      <c r="D83" s="410" t="s">
        <v>13</v>
      </c>
      <c r="E83" s="411">
        <f>0.002/100</f>
        <v>2E-05</v>
      </c>
      <c r="F83" s="91">
        <f>E83*F78</f>
        <v>0.0012000000000000001</v>
      </c>
      <c r="G83" s="32"/>
      <c r="H83" s="96"/>
      <c r="I83" s="34"/>
      <c r="J83" s="97"/>
      <c r="K83" s="32"/>
      <c r="L83" s="32"/>
      <c r="M83" s="70"/>
    </row>
    <row r="84" spans="1:13" s="26" customFormat="1" ht="15.75">
      <c r="A84" s="415"/>
      <c r="B84" s="25" t="s">
        <v>120</v>
      </c>
      <c r="C84" s="401" t="s">
        <v>483</v>
      </c>
      <c r="D84" s="410" t="s">
        <v>57</v>
      </c>
      <c r="E84" s="411">
        <v>0.0353</v>
      </c>
      <c r="F84" s="70">
        <f>E84*F79</f>
        <v>4.72314</v>
      </c>
      <c r="G84" s="32"/>
      <c r="H84" s="96"/>
      <c r="I84" s="34"/>
      <c r="J84" s="97"/>
      <c r="K84" s="32"/>
      <c r="L84" s="32"/>
      <c r="M84" s="70"/>
    </row>
    <row r="85" spans="1:13" s="26" customFormat="1" ht="13.5">
      <c r="A85" s="415"/>
      <c r="B85" s="25" t="s">
        <v>121</v>
      </c>
      <c r="C85" s="409" t="s">
        <v>484</v>
      </c>
      <c r="D85" s="410" t="s">
        <v>103</v>
      </c>
      <c r="E85" s="411">
        <v>1.5</v>
      </c>
      <c r="F85" s="70">
        <f>E85*F78</f>
        <v>90</v>
      </c>
      <c r="G85" s="32"/>
      <c r="H85" s="96"/>
      <c r="I85" s="34"/>
      <c r="J85" s="97"/>
      <c r="K85" s="32"/>
      <c r="L85" s="32"/>
      <c r="M85" s="70"/>
    </row>
    <row r="86" spans="1:13" s="26" customFormat="1" ht="13.5">
      <c r="A86" s="415"/>
      <c r="B86" s="5" t="s">
        <v>227</v>
      </c>
      <c r="C86" s="409" t="s">
        <v>485</v>
      </c>
      <c r="D86" s="116" t="s">
        <v>13</v>
      </c>
      <c r="E86" s="237"/>
      <c r="F86" s="91">
        <v>0.0499</v>
      </c>
      <c r="G86" s="117"/>
      <c r="H86" s="96"/>
      <c r="I86" s="118"/>
      <c r="J86" s="119"/>
      <c r="K86" s="117"/>
      <c r="L86" s="117"/>
      <c r="M86" s="70"/>
    </row>
    <row r="87" spans="1:13" s="26" customFormat="1" ht="13.5">
      <c r="A87" s="415"/>
      <c r="B87" s="120" t="s">
        <v>18</v>
      </c>
      <c r="C87" s="121"/>
      <c r="D87" s="116" t="s">
        <v>0</v>
      </c>
      <c r="E87" s="237">
        <v>0.04</v>
      </c>
      <c r="F87" s="115">
        <f>E87*F78</f>
        <v>2.4</v>
      </c>
      <c r="G87" s="117"/>
      <c r="H87" s="122"/>
      <c r="I87" s="118"/>
      <c r="J87" s="119"/>
      <c r="K87" s="117"/>
      <c r="L87" s="117"/>
      <c r="M87" s="115"/>
    </row>
    <row r="88" spans="1:13" s="26" customFormat="1" ht="13.5">
      <c r="A88" s="415">
        <v>15</v>
      </c>
      <c r="B88" s="114" t="s">
        <v>123</v>
      </c>
      <c r="C88" s="408" t="s">
        <v>124</v>
      </c>
      <c r="D88" s="233" t="s">
        <v>23</v>
      </c>
      <c r="E88" s="233"/>
      <c r="F88" s="123">
        <v>1</v>
      </c>
      <c r="G88" s="233"/>
      <c r="H88" s="233"/>
      <c r="I88" s="233"/>
      <c r="J88" s="233"/>
      <c r="K88" s="233"/>
      <c r="L88" s="233"/>
      <c r="M88" s="233"/>
    </row>
    <row r="89" spans="1:13" s="26" customFormat="1" ht="13.5">
      <c r="A89" s="415"/>
      <c r="B89" s="25" t="s">
        <v>39</v>
      </c>
      <c r="C89" s="413"/>
      <c r="D89" s="410" t="s">
        <v>15</v>
      </c>
      <c r="E89" s="411">
        <v>17.2</v>
      </c>
      <c r="F89" s="70">
        <f>E89*F88</f>
        <v>17.2</v>
      </c>
      <c r="G89" s="411"/>
      <c r="H89" s="70"/>
      <c r="I89" s="411"/>
      <c r="J89" s="70"/>
      <c r="K89" s="411"/>
      <c r="L89" s="411"/>
      <c r="M89" s="70"/>
    </row>
    <row r="90" spans="1:13" s="26" customFormat="1" ht="13.5">
      <c r="A90" s="415"/>
      <c r="B90" s="25" t="s">
        <v>24</v>
      </c>
      <c r="C90" s="413"/>
      <c r="D90" s="410" t="s">
        <v>0</v>
      </c>
      <c r="E90" s="411">
        <v>0.7</v>
      </c>
      <c r="F90" s="70">
        <f>E90*F88</f>
        <v>0.7</v>
      </c>
      <c r="G90" s="411"/>
      <c r="H90" s="411"/>
      <c r="I90" s="411"/>
      <c r="J90" s="70"/>
      <c r="K90" s="411"/>
      <c r="L90" s="70"/>
      <c r="M90" s="70"/>
    </row>
    <row r="91" spans="1:13" s="26" customFormat="1" ht="13.5">
      <c r="A91" s="415"/>
      <c r="B91" s="411" t="s">
        <v>56</v>
      </c>
      <c r="C91" s="50"/>
      <c r="D91" s="411"/>
      <c r="E91" s="411"/>
      <c r="F91" s="70"/>
      <c r="G91" s="411"/>
      <c r="H91" s="70"/>
      <c r="I91" s="411"/>
      <c r="J91" s="70"/>
      <c r="K91" s="411"/>
      <c r="L91" s="70"/>
      <c r="M91" s="70"/>
    </row>
    <row r="92" spans="1:13" s="26" customFormat="1" ht="13.5">
      <c r="A92" s="415"/>
      <c r="B92" s="25" t="s">
        <v>226</v>
      </c>
      <c r="C92" s="409" t="s">
        <v>118</v>
      </c>
      <c r="D92" s="410" t="s">
        <v>20</v>
      </c>
      <c r="E92" s="411"/>
      <c r="F92" s="70">
        <v>6.15</v>
      </c>
      <c r="G92" s="96"/>
      <c r="H92" s="96"/>
      <c r="I92" s="34"/>
      <c r="J92" s="70"/>
      <c r="K92" s="32"/>
      <c r="L92" s="70"/>
      <c r="M92" s="70"/>
    </row>
    <row r="93" spans="1:13" s="26" customFormat="1" ht="15.75">
      <c r="A93" s="415"/>
      <c r="B93" s="25" t="s">
        <v>120</v>
      </c>
      <c r="C93" s="409" t="s">
        <v>125</v>
      </c>
      <c r="D93" s="410" t="s">
        <v>57</v>
      </c>
      <c r="E93" s="411">
        <v>0.297</v>
      </c>
      <c r="F93" s="70">
        <f>E93*F88</f>
        <v>0.297</v>
      </c>
      <c r="G93" s="32"/>
      <c r="H93" s="96"/>
      <c r="I93" s="34"/>
      <c r="J93" s="70"/>
      <c r="K93" s="32"/>
      <c r="L93" s="70"/>
      <c r="M93" s="70"/>
    </row>
    <row r="94" spans="1:13" s="26" customFormat="1" ht="13.5">
      <c r="A94" s="415"/>
      <c r="B94" s="25" t="s">
        <v>121</v>
      </c>
      <c r="C94" s="409" t="s">
        <v>122</v>
      </c>
      <c r="D94" s="410" t="s">
        <v>103</v>
      </c>
      <c r="E94" s="411"/>
      <c r="F94" s="70">
        <v>7</v>
      </c>
      <c r="G94" s="32"/>
      <c r="H94" s="96"/>
      <c r="I94" s="34"/>
      <c r="J94" s="70"/>
      <c r="K94" s="32"/>
      <c r="L94" s="70"/>
      <c r="M94" s="70"/>
    </row>
    <row r="95" spans="1:13" s="26" customFormat="1" ht="13.5">
      <c r="A95" s="415"/>
      <c r="B95" s="5" t="s">
        <v>126</v>
      </c>
      <c r="C95" s="409" t="s">
        <v>486</v>
      </c>
      <c r="D95" s="116" t="s">
        <v>20</v>
      </c>
      <c r="E95" s="237"/>
      <c r="F95" s="91">
        <v>18.2</v>
      </c>
      <c r="G95" s="117"/>
      <c r="H95" s="96"/>
      <c r="I95" s="118"/>
      <c r="J95" s="70"/>
      <c r="K95" s="117"/>
      <c r="L95" s="70"/>
      <c r="M95" s="70"/>
    </row>
    <row r="96" spans="1:13" s="26" customFormat="1" ht="13.5">
      <c r="A96" s="415"/>
      <c r="B96" s="120" t="s">
        <v>18</v>
      </c>
      <c r="C96" s="121"/>
      <c r="D96" s="116" t="s">
        <v>0</v>
      </c>
      <c r="E96" s="237">
        <v>0.2</v>
      </c>
      <c r="F96" s="115">
        <f>E96*F88</f>
        <v>0.2</v>
      </c>
      <c r="G96" s="117"/>
      <c r="H96" s="122"/>
      <c r="I96" s="118"/>
      <c r="J96" s="70"/>
      <c r="K96" s="117"/>
      <c r="L96" s="70"/>
      <c r="M96" s="115"/>
    </row>
    <row r="97" spans="1:13" s="26" customFormat="1" ht="13.5">
      <c r="A97" s="415">
        <v>16</v>
      </c>
      <c r="B97" s="114" t="s">
        <v>127</v>
      </c>
      <c r="C97" s="408" t="s">
        <v>128</v>
      </c>
      <c r="D97" s="233" t="s">
        <v>23</v>
      </c>
      <c r="E97" s="233"/>
      <c r="F97" s="123">
        <v>1</v>
      </c>
      <c r="G97" s="233"/>
      <c r="H97" s="233"/>
      <c r="I97" s="233"/>
      <c r="J97" s="233"/>
      <c r="K97" s="233"/>
      <c r="L97" s="233"/>
      <c r="M97" s="233"/>
    </row>
    <row r="98" spans="1:13" s="26" customFormat="1" ht="13.5">
      <c r="A98" s="415"/>
      <c r="B98" s="25" t="s">
        <v>39</v>
      </c>
      <c r="C98" s="413"/>
      <c r="D98" s="410" t="s">
        <v>15</v>
      </c>
      <c r="E98" s="411">
        <v>7.33</v>
      </c>
      <c r="F98" s="70">
        <f>E98*F97</f>
        <v>7.33</v>
      </c>
      <c r="G98" s="411"/>
      <c r="H98" s="70"/>
      <c r="I98" s="411"/>
      <c r="J98" s="70"/>
      <c r="K98" s="411"/>
      <c r="L98" s="411"/>
      <c r="M98" s="70"/>
    </row>
    <row r="99" spans="1:13" s="26" customFormat="1" ht="13.5">
      <c r="A99" s="415"/>
      <c r="B99" s="25" t="s">
        <v>24</v>
      </c>
      <c r="C99" s="413"/>
      <c r="D99" s="410" t="s">
        <v>0</v>
      </c>
      <c r="E99" s="411">
        <v>0.11</v>
      </c>
      <c r="F99" s="70">
        <f>E99*F97</f>
        <v>0.11</v>
      </c>
      <c r="G99" s="411"/>
      <c r="H99" s="411"/>
      <c r="I99" s="411"/>
      <c r="J99" s="70"/>
      <c r="K99" s="411"/>
      <c r="L99" s="70"/>
      <c r="M99" s="70"/>
    </row>
    <row r="100" spans="1:13" s="26" customFormat="1" ht="13.5">
      <c r="A100" s="415"/>
      <c r="B100" s="411" t="s">
        <v>56</v>
      </c>
      <c r="C100" s="50"/>
      <c r="D100" s="411"/>
      <c r="E100" s="411"/>
      <c r="F100" s="70"/>
      <c r="G100" s="411"/>
      <c r="H100" s="70"/>
      <c r="I100" s="411"/>
      <c r="J100" s="70"/>
      <c r="K100" s="411"/>
      <c r="L100" s="70"/>
      <c r="M100" s="70"/>
    </row>
    <row r="101" spans="1:13" s="26" customFormat="1" ht="13.5">
      <c r="A101" s="415"/>
      <c r="B101" s="120" t="s">
        <v>18</v>
      </c>
      <c r="C101" s="121"/>
      <c r="D101" s="116" t="s">
        <v>0</v>
      </c>
      <c r="E101" s="237">
        <v>0.2</v>
      </c>
      <c r="F101" s="115">
        <f>E101*F97</f>
        <v>0.2</v>
      </c>
      <c r="G101" s="117"/>
      <c r="H101" s="122"/>
      <c r="I101" s="118"/>
      <c r="J101" s="70"/>
      <c r="K101" s="117"/>
      <c r="L101" s="70"/>
      <c r="M101" s="115"/>
    </row>
    <row r="102" spans="1:13" s="26" customFormat="1" ht="13.5">
      <c r="A102" s="112">
        <v>17</v>
      </c>
      <c r="B102" s="3" t="s">
        <v>129</v>
      </c>
      <c r="C102" s="124" t="s">
        <v>130</v>
      </c>
      <c r="D102" s="125" t="s">
        <v>103</v>
      </c>
      <c r="E102" s="125"/>
      <c r="F102" s="126">
        <v>90</v>
      </c>
      <c r="G102" s="127"/>
      <c r="H102" s="122"/>
      <c r="I102" s="128"/>
      <c r="J102" s="70"/>
      <c r="K102" s="128"/>
      <c r="L102" s="70"/>
      <c r="M102" s="115"/>
    </row>
    <row r="103" spans="1:13" s="26" customFormat="1" ht="13.5">
      <c r="A103" s="6"/>
      <c r="B103" s="8" t="s">
        <v>40</v>
      </c>
      <c r="C103" s="129"/>
      <c r="D103" s="130" t="s">
        <v>15</v>
      </c>
      <c r="E103" s="236">
        <v>0.68</v>
      </c>
      <c r="F103" s="131">
        <f>E103*F102</f>
        <v>61.2</v>
      </c>
      <c r="G103" s="127"/>
      <c r="H103" s="122"/>
      <c r="I103" s="132"/>
      <c r="J103" s="70"/>
      <c r="K103" s="131"/>
      <c r="L103" s="70"/>
      <c r="M103" s="115"/>
    </row>
    <row r="104" spans="1:13" s="26" customFormat="1" ht="13.5">
      <c r="A104" s="6"/>
      <c r="B104" s="8" t="s">
        <v>41</v>
      </c>
      <c r="C104" s="133"/>
      <c r="D104" s="130" t="s">
        <v>0</v>
      </c>
      <c r="E104" s="236">
        <v>0.03</v>
      </c>
      <c r="F104" s="131">
        <f>E104*F102</f>
        <v>2.6999999999999997</v>
      </c>
      <c r="G104" s="127"/>
      <c r="H104" s="122"/>
      <c r="I104" s="131"/>
      <c r="J104" s="70"/>
      <c r="K104" s="131"/>
      <c r="L104" s="70"/>
      <c r="M104" s="115"/>
    </row>
    <row r="105" spans="1:13" s="26" customFormat="1" ht="13.5">
      <c r="A105" s="6"/>
      <c r="B105" s="141" t="s">
        <v>56</v>
      </c>
      <c r="C105" s="133"/>
      <c r="D105" s="130"/>
      <c r="E105" s="236"/>
      <c r="F105" s="130"/>
      <c r="G105" s="127"/>
      <c r="H105" s="122"/>
      <c r="I105" s="131"/>
      <c r="J105" s="70"/>
      <c r="K105" s="131"/>
      <c r="L105" s="70"/>
      <c r="M105" s="115"/>
    </row>
    <row r="106" spans="1:13" s="26" customFormat="1" ht="13.5">
      <c r="A106" s="6"/>
      <c r="B106" s="8" t="s">
        <v>43</v>
      </c>
      <c r="C106" s="409" t="s">
        <v>488</v>
      </c>
      <c r="D106" s="130" t="s">
        <v>35</v>
      </c>
      <c r="E106" s="236">
        <v>0.253</v>
      </c>
      <c r="F106" s="131">
        <f>E106*F102</f>
        <v>22.77</v>
      </c>
      <c r="G106" s="127"/>
      <c r="H106" s="122"/>
      <c r="I106" s="131"/>
      <c r="J106" s="70"/>
      <c r="K106" s="131"/>
      <c r="L106" s="70"/>
      <c r="M106" s="115"/>
    </row>
    <row r="107" spans="1:13" s="26" customFormat="1" ht="13.5">
      <c r="A107" s="6"/>
      <c r="B107" s="8" t="s">
        <v>44</v>
      </c>
      <c r="C107" s="409" t="s">
        <v>487</v>
      </c>
      <c r="D107" s="130" t="s">
        <v>35</v>
      </c>
      <c r="E107" s="236">
        <v>0.027</v>
      </c>
      <c r="F107" s="131">
        <f>E107*F102</f>
        <v>2.43</v>
      </c>
      <c r="G107" s="127"/>
      <c r="H107" s="122"/>
      <c r="I107" s="131"/>
      <c r="J107" s="70"/>
      <c r="K107" s="131"/>
      <c r="L107" s="70"/>
      <c r="M107" s="115"/>
    </row>
    <row r="108" spans="1:13" s="26" customFormat="1" ht="14.25" thickBot="1">
      <c r="A108" s="6"/>
      <c r="B108" s="8" t="s">
        <v>18</v>
      </c>
      <c r="C108" s="133"/>
      <c r="D108" s="130" t="s">
        <v>0</v>
      </c>
      <c r="E108" s="236">
        <v>0.019</v>
      </c>
      <c r="F108" s="130">
        <f>E108*F102</f>
        <v>1.71</v>
      </c>
      <c r="G108" s="127"/>
      <c r="H108" s="96"/>
      <c r="I108" s="131"/>
      <c r="J108" s="70"/>
      <c r="K108" s="131"/>
      <c r="L108" s="70"/>
      <c r="M108" s="70"/>
    </row>
    <row r="109" spans="1:13" s="26" customFormat="1" ht="13.5">
      <c r="A109" s="229"/>
      <c r="B109" s="230" t="s">
        <v>8</v>
      </c>
      <c r="C109" s="230"/>
      <c r="D109" s="230"/>
      <c r="E109" s="230"/>
      <c r="F109" s="230"/>
      <c r="G109" s="230"/>
      <c r="H109" s="231"/>
      <c r="I109" s="230"/>
      <c r="J109" s="231"/>
      <c r="K109" s="231"/>
      <c r="L109" s="231"/>
      <c r="M109" s="231"/>
    </row>
    <row r="110" spans="1:21" s="26" customFormat="1" ht="48">
      <c r="A110" s="51"/>
      <c r="B110" s="237" t="s">
        <v>214</v>
      </c>
      <c r="C110" s="22"/>
      <c r="D110" s="22"/>
      <c r="E110" s="22"/>
      <c r="F110" s="22"/>
      <c r="G110" s="23"/>
      <c r="H110" s="24"/>
      <c r="I110" s="23"/>
      <c r="J110" s="24"/>
      <c r="K110" s="23"/>
      <c r="L110" s="24"/>
      <c r="M110" s="24"/>
      <c r="N110" s="59"/>
      <c r="O110" s="59"/>
      <c r="P110" s="59"/>
      <c r="Q110" s="59"/>
      <c r="R110" s="59"/>
      <c r="S110" s="59"/>
      <c r="T110" s="59"/>
      <c r="U110" s="59"/>
    </row>
    <row r="111" spans="1:21" s="27" customFormat="1" ht="27">
      <c r="A111" s="74">
        <v>1</v>
      </c>
      <c r="B111" s="75" t="s">
        <v>108</v>
      </c>
      <c r="C111" s="398" t="s">
        <v>83</v>
      </c>
      <c r="D111" s="76" t="s">
        <v>25</v>
      </c>
      <c r="E111" s="77"/>
      <c r="F111" s="89">
        <f>(0.35*1+0.24+0.24)/10*1</f>
        <v>0.08299999999999999</v>
      </c>
      <c r="G111" s="76"/>
      <c r="H111" s="86"/>
      <c r="I111" s="76"/>
      <c r="J111" s="85"/>
      <c r="K111" s="76"/>
      <c r="L111" s="86"/>
      <c r="M111" s="85"/>
      <c r="N111" s="59"/>
      <c r="O111" s="59"/>
      <c r="P111" s="59"/>
      <c r="Q111" s="59"/>
      <c r="R111" s="59"/>
      <c r="S111" s="59"/>
      <c r="T111" s="59"/>
      <c r="U111" s="59"/>
    </row>
    <row r="112" spans="1:21" s="26" customFormat="1" ht="13.5">
      <c r="A112" s="30"/>
      <c r="B112" s="25" t="s">
        <v>39</v>
      </c>
      <c r="C112" s="411"/>
      <c r="D112" s="410" t="s">
        <v>15</v>
      </c>
      <c r="E112" s="71">
        <v>106</v>
      </c>
      <c r="F112" s="71">
        <f>F111*E112</f>
        <v>8.797999999999998</v>
      </c>
      <c r="G112" s="411"/>
      <c r="H112" s="83"/>
      <c r="I112" s="411"/>
      <c r="J112" s="83"/>
      <c r="K112" s="411"/>
      <c r="L112" s="83"/>
      <c r="M112" s="83"/>
      <c r="N112" s="59"/>
      <c r="O112" s="59"/>
      <c r="P112" s="59"/>
      <c r="Q112" s="59"/>
      <c r="R112" s="59"/>
      <c r="S112" s="59"/>
      <c r="T112" s="59"/>
      <c r="U112" s="59"/>
    </row>
    <row r="113" spans="1:21" s="26" customFormat="1" ht="13.5">
      <c r="A113" s="28"/>
      <c r="B113" s="25" t="s">
        <v>24</v>
      </c>
      <c r="C113" s="411"/>
      <c r="D113" s="410" t="s">
        <v>0</v>
      </c>
      <c r="E113" s="411">
        <v>71.4</v>
      </c>
      <c r="F113" s="70">
        <f>E113*F111</f>
        <v>5.9262</v>
      </c>
      <c r="G113" s="411"/>
      <c r="H113" s="83"/>
      <c r="I113" s="411"/>
      <c r="J113" s="83"/>
      <c r="K113" s="411"/>
      <c r="L113" s="83"/>
      <c r="M113" s="83"/>
      <c r="N113" s="59"/>
      <c r="O113" s="59"/>
      <c r="P113" s="59"/>
      <c r="Q113" s="59"/>
      <c r="R113" s="59"/>
      <c r="S113" s="59"/>
      <c r="T113" s="59"/>
      <c r="U113" s="59"/>
    </row>
    <row r="114" spans="1:21" s="26" customFormat="1" ht="13.5">
      <c r="A114" s="411"/>
      <c r="B114" s="411" t="s">
        <v>22</v>
      </c>
      <c r="C114" s="411"/>
      <c r="D114" s="411"/>
      <c r="E114" s="82"/>
      <c r="F114" s="70"/>
      <c r="G114" s="410"/>
      <c r="H114" s="84"/>
      <c r="I114" s="410"/>
      <c r="J114" s="84"/>
      <c r="K114" s="410"/>
      <c r="L114" s="84"/>
      <c r="M114" s="83"/>
      <c r="N114" s="59"/>
      <c r="O114" s="59"/>
      <c r="P114" s="59"/>
      <c r="Q114" s="59"/>
      <c r="R114" s="59"/>
      <c r="S114" s="59"/>
      <c r="T114" s="59"/>
      <c r="U114" s="59"/>
    </row>
    <row r="115" spans="1:21" s="26" customFormat="1" ht="13.5">
      <c r="A115" s="30"/>
      <c r="B115" s="25" t="s">
        <v>455</v>
      </c>
      <c r="C115" s="410" t="s">
        <v>460</v>
      </c>
      <c r="D115" s="410" t="s">
        <v>23</v>
      </c>
      <c r="E115" s="71"/>
      <c r="F115" s="71">
        <v>1</v>
      </c>
      <c r="G115" s="32"/>
      <c r="H115" s="33"/>
      <c r="I115" s="34"/>
      <c r="J115" s="60"/>
      <c r="K115" s="32"/>
      <c r="L115" s="33"/>
      <c r="M115" s="83"/>
      <c r="N115" s="59"/>
      <c r="O115" s="59"/>
      <c r="P115" s="59"/>
      <c r="Q115" s="59"/>
      <c r="R115" s="59"/>
      <c r="S115" s="59"/>
      <c r="T115" s="59"/>
      <c r="U115" s="59"/>
    </row>
    <row r="116" spans="1:21" s="26" customFormat="1" ht="13.5">
      <c r="A116" s="30"/>
      <c r="B116" s="25" t="s">
        <v>84</v>
      </c>
      <c r="C116" s="410" t="s">
        <v>461</v>
      </c>
      <c r="D116" s="410" t="s">
        <v>23</v>
      </c>
      <c r="E116" s="71"/>
      <c r="F116" s="71">
        <v>1</v>
      </c>
      <c r="G116" s="32"/>
      <c r="H116" s="33"/>
      <c r="I116" s="34"/>
      <c r="J116" s="60"/>
      <c r="K116" s="32"/>
      <c r="L116" s="33"/>
      <c r="M116" s="83"/>
      <c r="N116" s="59"/>
      <c r="O116" s="59"/>
      <c r="P116" s="59"/>
      <c r="Q116" s="59"/>
      <c r="R116" s="59"/>
      <c r="S116" s="59"/>
      <c r="T116" s="59"/>
      <c r="U116" s="59"/>
    </row>
    <row r="117" spans="1:21" s="26" customFormat="1" ht="13.5">
      <c r="A117" s="30"/>
      <c r="B117" s="25" t="s">
        <v>85</v>
      </c>
      <c r="C117" s="410" t="s">
        <v>462</v>
      </c>
      <c r="D117" s="410" t="s">
        <v>23</v>
      </c>
      <c r="E117" s="71"/>
      <c r="F117" s="71">
        <v>1</v>
      </c>
      <c r="G117" s="32"/>
      <c r="H117" s="33"/>
      <c r="I117" s="34"/>
      <c r="J117" s="60"/>
      <c r="K117" s="32"/>
      <c r="L117" s="33"/>
      <c r="M117" s="83"/>
      <c r="N117" s="59"/>
      <c r="O117" s="59"/>
      <c r="P117" s="59"/>
      <c r="Q117" s="59"/>
      <c r="R117" s="59"/>
      <c r="S117" s="59"/>
      <c r="T117" s="59"/>
      <c r="U117" s="59"/>
    </row>
    <row r="118" spans="1:21" s="26" customFormat="1" ht="13.5">
      <c r="A118" s="30"/>
      <c r="B118" s="72" t="s">
        <v>18</v>
      </c>
      <c r="C118" s="410"/>
      <c r="D118" s="410" t="s">
        <v>0</v>
      </c>
      <c r="E118" s="71">
        <v>66.1</v>
      </c>
      <c r="F118" s="71">
        <f>F111*E118</f>
        <v>5.486299999999999</v>
      </c>
      <c r="G118" s="32"/>
      <c r="H118" s="33"/>
      <c r="I118" s="34"/>
      <c r="J118" s="60"/>
      <c r="K118" s="32"/>
      <c r="L118" s="33"/>
      <c r="M118" s="83"/>
      <c r="N118" s="59"/>
      <c r="O118" s="59"/>
      <c r="P118" s="59"/>
      <c r="Q118" s="59"/>
      <c r="R118" s="59"/>
      <c r="S118" s="59"/>
      <c r="T118" s="59"/>
      <c r="U118" s="59"/>
    </row>
    <row r="119" spans="1:21" s="26" customFormat="1" ht="13.5">
      <c r="A119" s="41">
        <v>2</v>
      </c>
      <c r="B119" s="72" t="s">
        <v>144</v>
      </c>
      <c r="C119" s="398" t="s">
        <v>536</v>
      </c>
      <c r="D119" s="411" t="s">
        <v>23</v>
      </c>
      <c r="E119" s="411"/>
      <c r="F119" s="83">
        <v>1</v>
      </c>
      <c r="G119" s="42"/>
      <c r="H119" s="43"/>
      <c r="I119" s="44"/>
      <c r="J119" s="43"/>
      <c r="K119" s="44"/>
      <c r="L119" s="43"/>
      <c r="M119" s="43"/>
      <c r="N119" s="59"/>
      <c r="O119" s="59"/>
      <c r="P119" s="59"/>
      <c r="Q119" s="59"/>
      <c r="R119" s="59"/>
      <c r="S119" s="59"/>
      <c r="T119" s="59"/>
      <c r="U119" s="59"/>
    </row>
    <row r="120" spans="1:21" s="26" customFormat="1" ht="13.5">
      <c r="A120" s="41"/>
      <c r="B120" s="46" t="s">
        <v>40</v>
      </c>
      <c r="C120" s="61"/>
      <c r="D120" s="41" t="s">
        <v>15</v>
      </c>
      <c r="E120" s="411">
        <v>3.1</v>
      </c>
      <c r="F120" s="88">
        <f>F119*E120</f>
        <v>3.1</v>
      </c>
      <c r="G120" s="47"/>
      <c r="H120" s="48"/>
      <c r="I120" s="44"/>
      <c r="J120" s="43"/>
      <c r="K120" s="44"/>
      <c r="L120" s="43"/>
      <c r="M120" s="43"/>
      <c r="N120" s="59"/>
      <c r="O120" s="59"/>
      <c r="P120" s="59"/>
      <c r="Q120" s="59"/>
      <c r="R120" s="59"/>
      <c r="S120" s="59"/>
      <c r="T120" s="59"/>
      <c r="U120" s="59"/>
    </row>
    <row r="121" spans="1:21" s="26" customFormat="1" ht="13.5">
      <c r="A121" s="41"/>
      <c r="B121" s="46" t="s">
        <v>41</v>
      </c>
      <c r="C121" s="49"/>
      <c r="D121" s="41" t="s">
        <v>0</v>
      </c>
      <c r="E121" s="411">
        <v>1.23</v>
      </c>
      <c r="F121" s="88">
        <f>F119*E121</f>
        <v>1.23</v>
      </c>
      <c r="G121" s="41"/>
      <c r="H121" s="43"/>
      <c r="I121" s="44"/>
      <c r="J121" s="43"/>
      <c r="K121" s="44"/>
      <c r="L121" s="43"/>
      <c r="M121" s="43"/>
      <c r="N121" s="59"/>
      <c r="O121" s="59"/>
      <c r="P121" s="59"/>
      <c r="Q121" s="59"/>
      <c r="R121" s="59"/>
      <c r="S121" s="59"/>
      <c r="T121" s="59"/>
      <c r="U121" s="59"/>
    </row>
    <row r="122" spans="1:21" s="26" customFormat="1" ht="13.5">
      <c r="A122" s="41"/>
      <c r="B122" s="411" t="s">
        <v>56</v>
      </c>
      <c r="C122" s="49"/>
      <c r="D122" s="41"/>
      <c r="E122" s="411"/>
      <c r="F122" s="41"/>
      <c r="G122" s="41"/>
      <c r="H122" s="43"/>
      <c r="I122" s="44"/>
      <c r="J122" s="43"/>
      <c r="K122" s="44"/>
      <c r="L122" s="43"/>
      <c r="M122" s="43"/>
      <c r="N122" s="59"/>
      <c r="O122" s="59"/>
      <c r="P122" s="59"/>
      <c r="Q122" s="59"/>
      <c r="R122" s="59"/>
      <c r="S122" s="59"/>
      <c r="T122" s="59"/>
      <c r="U122" s="59"/>
    </row>
    <row r="123" spans="1:21" s="26" customFormat="1" ht="13.5">
      <c r="A123" s="41"/>
      <c r="B123" s="46" t="s">
        <v>145</v>
      </c>
      <c r="C123" s="49" t="s">
        <v>92</v>
      </c>
      <c r="D123" s="41" t="s">
        <v>23</v>
      </c>
      <c r="E123" s="411">
        <v>1</v>
      </c>
      <c r="F123" s="41">
        <v>1</v>
      </c>
      <c r="G123" s="41"/>
      <c r="H123" s="43"/>
      <c r="I123" s="44"/>
      <c r="J123" s="43"/>
      <c r="K123" s="44"/>
      <c r="L123" s="43"/>
      <c r="M123" s="43"/>
      <c r="N123" s="59"/>
      <c r="O123" s="59"/>
      <c r="P123" s="59"/>
      <c r="Q123" s="59"/>
      <c r="R123" s="59"/>
      <c r="S123" s="59"/>
      <c r="T123" s="59"/>
      <c r="U123" s="59"/>
    </row>
    <row r="124" spans="1:21" s="26" customFormat="1" ht="13.5">
      <c r="A124" s="41"/>
      <c r="B124" s="46" t="s">
        <v>18</v>
      </c>
      <c r="C124" s="49"/>
      <c r="D124" s="41" t="s">
        <v>0</v>
      </c>
      <c r="E124" s="411">
        <v>1.18</v>
      </c>
      <c r="F124" s="41">
        <f>F119*E124</f>
        <v>1.18</v>
      </c>
      <c r="G124" s="41"/>
      <c r="H124" s="43"/>
      <c r="I124" s="44"/>
      <c r="J124" s="43"/>
      <c r="K124" s="44"/>
      <c r="L124" s="43"/>
      <c r="M124" s="43"/>
      <c r="N124" s="59"/>
      <c r="O124" s="59"/>
      <c r="P124" s="59"/>
      <c r="Q124" s="59"/>
      <c r="R124" s="59"/>
      <c r="S124" s="59"/>
      <c r="T124" s="59"/>
      <c r="U124" s="59"/>
    </row>
    <row r="125" spans="1:21" s="26" customFormat="1" ht="13.5">
      <c r="A125" s="41">
        <v>3</v>
      </c>
      <c r="B125" s="72" t="s">
        <v>215</v>
      </c>
      <c r="C125" s="398" t="s">
        <v>537</v>
      </c>
      <c r="D125" s="411" t="s">
        <v>23</v>
      </c>
      <c r="E125" s="411"/>
      <c r="F125" s="83">
        <v>1</v>
      </c>
      <c r="G125" s="42"/>
      <c r="H125" s="43"/>
      <c r="I125" s="44"/>
      <c r="J125" s="43"/>
      <c r="K125" s="44"/>
      <c r="L125" s="43"/>
      <c r="M125" s="43"/>
      <c r="N125" s="59"/>
      <c r="O125" s="59"/>
      <c r="P125" s="59"/>
      <c r="Q125" s="59"/>
      <c r="R125" s="59"/>
      <c r="S125" s="59"/>
      <c r="T125" s="59"/>
      <c r="U125" s="59"/>
    </row>
    <row r="126" spans="1:21" s="26" customFormat="1" ht="13.5">
      <c r="A126" s="41"/>
      <c r="B126" s="46" t="s">
        <v>40</v>
      </c>
      <c r="C126" s="61"/>
      <c r="D126" s="41" t="s">
        <v>15</v>
      </c>
      <c r="E126" s="411">
        <v>1.38</v>
      </c>
      <c r="F126" s="88">
        <f>F125*E126</f>
        <v>1.38</v>
      </c>
      <c r="G126" s="47"/>
      <c r="H126" s="48"/>
      <c r="I126" s="44"/>
      <c r="J126" s="43"/>
      <c r="K126" s="44"/>
      <c r="L126" s="43"/>
      <c r="M126" s="43"/>
      <c r="N126" s="59"/>
      <c r="O126" s="59"/>
      <c r="P126" s="59"/>
      <c r="Q126" s="59"/>
      <c r="R126" s="59"/>
      <c r="S126" s="59"/>
      <c r="T126" s="59"/>
      <c r="U126" s="59"/>
    </row>
    <row r="127" spans="1:21" s="26" customFormat="1" ht="13.5">
      <c r="A127" s="41"/>
      <c r="B127" s="46" t="s">
        <v>41</v>
      </c>
      <c r="C127" s="49"/>
      <c r="D127" s="41" t="s">
        <v>0</v>
      </c>
      <c r="E127" s="411">
        <v>0.06</v>
      </c>
      <c r="F127" s="88">
        <f>F125*E127</f>
        <v>0.06</v>
      </c>
      <c r="G127" s="41"/>
      <c r="H127" s="43"/>
      <c r="I127" s="44"/>
      <c r="J127" s="43"/>
      <c r="K127" s="44"/>
      <c r="L127" s="43"/>
      <c r="M127" s="43"/>
      <c r="N127" s="59"/>
      <c r="O127" s="59"/>
      <c r="P127" s="59"/>
      <c r="Q127" s="59"/>
      <c r="R127" s="59"/>
      <c r="S127" s="59"/>
      <c r="T127" s="59"/>
      <c r="U127" s="59"/>
    </row>
    <row r="128" spans="1:21" s="26" customFormat="1" ht="13.5">
      <c r="A128" s="41"/>
      <c r="B128" s="411" t="s">
        <v>56</v>
      </c>
      <c r="C128" s="49"/>
      <c r="D128" s="41"/>
      <c r="E128" s="411"/>
      <c r="F128" s="41"/>
      <c r="G128" s="41"/>
      <c r="H128" s="43"/>
      <c r="I128" s="44"/>
      <c r="J128" s="43"/>
      <c r="K128" s="44"/>
      <c r="L128" s="43"/>
      <c r="M128" s="43"/>
      <c r="N128" s="59"/>
      <c r="O128" s="59"/>
      <c r="P128" s="59"/>
      <c r="Q128" s="59"/>
      <c r="R128" s="59"/>
      <c r="S128" s="59"/>
      <c r="T128" s="59"/>
      <c r="U128" s="59"/>
    </row>
    <row r="129" spans="1:21" s="26" customFormat="1" ht="13.5">
      <c r="A129" s="41"/>
      <c r="B129" s="46" t="s">
        <v>216</v>
      </c>
      <c r="C129" s="49" t="s">
        <v>92</v>
      </c>
      <c r="D129" s="41" t="s">
        <v>23</v>
      </c>
      <c r="E129" s="411">
        <v>1</v>
      </c>
      <c r="F129" s="41">
        <f>F125*E129</f>
        <v>1</v>
      </c>
      <c r="G129" s="41"/>
      <c r="H129" s="43"/>
      <c r="I129" s="44"/>
      <c r="J129" s="43"/>
      <c r="K129" s="44"/>
      <c r="L129" s="43"/>
      <c r="M129" s="43"/>
      <c r="N129" s="59"/>
      <c r="O129" s="59"/>
      <c r="P129" s="59"/>
      <c r="Q129" s="59"/>
      <c r="R129" s="59"/>
      <c r="S129" s="59"/>
      <c r="T129" s="59"/>
      <c r="U129" s="59"/>
    </row>
    <row r="130" spans="1:21" s="26" customFormat="1" ht="13.5">
      <c r="A130" s="41"/>
      <c r="B130" s="46" t="s">
        <v>18</v>
      </c>
      <c r="C130" s="49"/>
      <c r="D130" s="41" t="s">
        <v>0</v>
      </c>
      <c r="E130" s="411">
        <v>0.38</v>
      </c>
      <c r="F130" s="41">
        <f>F125*E130</f>
        <v>0.38</v>
      </c>
      <c r="G130" s="41"/>
      <c r="H130" s="43"/>
      <c r="I130" s="44"/>
      <c r="J130" s="43"/>
      <c r="K130" s="44"/>
      <c r="L130" s="43"/>
      <c r="M130" s="43"/>
      <c r="N130" s="59"/>
      <c r="O130" s="59"/>
      <c r="P130" s="59"/>
      <c r="Q130" s="59"/>
      <c r="R130" s="59"/>
      <c r="S130" s="59"/>
      <c r="T130" s="59"/>
      <c r="U130" s="59"/>
    </row>
    <row r="131" spans="1:21" s="26" customFormat="1" ht="13.5">
      <c r="A131" s="411">
        <v>4</v>
      </c>
      <c r="B131" s="72" t="s">
        <v>217</v>
      </c>
      <c r="C131" s="28" t="s">
        <v>538</v>
      </c>
      <c r="D131" s="410" t="s">
        <v>23</v>
      </c>
      <c r="E131" s="410"/>
      <c r="F131" s="70">
        <v>4</v>
      </c>
      <c r="G131" s="36"/>
      <c r="H131" s="84"/>
      <c r="I131" s="410"/>
      <c r="J131" s="84"/>
      <c r="K131" s="410"/>
      <c r="L131" s="84"/>
      <c r="M131" s="84"/>
      <c r="N131" s="59"/>
      <c r="O131" s="59"/>
      <c r="P131" s="59"/>
      <c r="Q131" s="59"/>
      <c r="R131" s="59"/>
      <c r="S131" s="59"/>
      <c r="T131" s="59"/>
      <c r="U131" s="59"/>
    </row>
    <row r="132" spans="1:21" s="26" customFormat="1" ht="13.5">
      <c r="A132" s="411"/>
      <c r="B132" s="72" t="s">
        <v>12</v>
      </c>
      <c r="C132" s="411"/>
      <c r="D132" s="410" t="s">
        <v>15</v>
      </c>
      <c r="E132" s="410">
        <v>0.92</v>
      </c>
      <c r="F132" s="71">
        <f>F131*E132</f>
        <v>3.68</v>
      </c>
      <c r="G132" s="410"/>
      <c r="H132" s="84"/>
      <c r="I132" s="410"/>
      <c r="J132" s="84"/>
      <c r="K132" s="410"/>
      <c r="L132" s="84"/>
      <c r="M132" s="84"/>
      <c r="N132" s="59"/>
      <c r="O132" s="59"/>
      <c r="P132" s="59"/>
      <c r="Q132" s="59"/>
      <c r="R132" s="59"/>
      <c r="S132" s="59"/>
      <c r="T132" s="59"/>
      <c r="U132" s="59"/>
    </row>
    <row r="133" spans="1:21" s="26" customFormat="1" ht="13.5">
      <c r="A133" s="411"/>
      <c r="B133" s="72" t="s">
        <v>14</v>
      </c>
      <c r="C133" s="411"/>
      <c r="D133" s="411" t="s">
        <v>0</v>
      </c>
      <c r="E133" s="410">
        <v>0.58</v>
      </c>
      <c r="F133" s="73">
        <f>E133*F131</f>
        <v>2.32</v>
      </c>
      <c r="G133" s="410"/>
      <c r="H133" s="84"/>
      <c r="I133" s="410"/>
      <c r="J133" s="84"/>
      <c r="K133" s="410"/>
      <c r="L133" s="84"/>
      <c r="M133" s="84"/>
      <c r="N133" s="59"/>
      <c r="O133" s="59"/>
      <c r="P133" s="59"/>
      <c r="Q133" s="59"/>
      <c r="R133" s="59"/>
      <c r="S133" s="59"/>
      <c r="T133" s="59"/>
      <c r="U133" s="59"/>
    </row>
    <row r="134" spans="1:21" s="26" customFormat="1" ht="13.5">
      <c r="A134" s="78"/>
      <c r="B134" s="411" t="s">
        <v>56</v>
      </c>
      <c r="C134" s="31"/>
      <c r="D134" s="411"/>
      <c r="E134" s="411"/>
      <c r="F134" s="70"/>
      <c r="G134" s="411"/>
      <c r="H134" s="83"/>
      <c r="I134" s="410"/>
      <c r="J134" s="83"/>
      <c r="K134" s="79"/>
      <c r="L134" s="83"/>
      <c r="M134" s="83"/>
      <c r="N134" s="59"/>
      <c r="O134" s="59"/>
      <c r="P134" s="59"/>
      <c r="Q134" s="59"/>
      <c r="R134" s="59"/>
      <c r="S134" s="59"/>
      <c r="T134" s="59"/>
      <c r="U134" s="59"/>
    </row>
    <row r="135" spans="1:21" s="26" customFormat="1" ht="15" customHeight="1">
      <c r="A135" s="78"/>
      <c r="B135" s="81" t="s">
        <v>218</v>
      </c>
      <c r="C135" s="31" t="s">
        <v>92</v>
      </c>
      <c r="D135" s="411" t="s">
        <v>23</v>
      </c>
      <c r="E135" s="411">
        <v>1</v>
      </c>
      <c r="F135" s="70">
        <f>E135*F131</f>
        <v>4</v>
      </c>
      <c r="G135" s="70"/>
      <c r="H135" s="83"/>
      <c r="I135" s="410"/>
      <c r="J135" s="83"/>
      <c r="K135" s="79"/>
      <c r="L135" s="83"/>
      <c r="M135" s="83"/>
      <c r="N135" s="59"/>
      <c r="O135" s="59"/>
      <c r="P135" s="59"/>
      <c r="Q135" s="59"/>
      <c r="R135" s="59"/>
      <c r="S135" s="59"/>
      <c r="T135" s="59"/>
      <c r="U135" s="59"/>
    </row>
    <row r="136" spans="1:21" s="26" customFormat="1" ht="13.5">
      <c r="A136" s="78"/>
      <c r="B136" s="72" t="s">
        <v>18</v>
      </c>
      <c r="C136" s="31"/>
      <c r="D136" s="411" t="s">
        <v>0</v>
      </c>
      <c r="E136" s="411">
        <v>0.08</v>
      </c>
      <c r="F136" s="70">
        <f>E136*F131</f>
        <v>0.32</v>
      </c>
      <c r="G136" s="411"/>
      <c r="H136" s="83"/>
      <c r="I136" s="410"/>
      <c r="J136" s="83"/>
      <c r="K136" s="79"/>
      <c r="L136" s="83"/>
      <c r="M136" s="83"/>
      <c r="N136" s="59"/>
      <c r="O136" s="59"/>
      <c r="P136" s="59"/>
      <c r="Q136" s="59"/>
      <c r="R136" s="59"/>
      <c r="S136" s="59"/>
      <c r="T136" s="59"/>
      <c r="U136" s="59"/>
    </row>
    <row r="137" spans="1:21" s="26" customFormat="1" ht="13.5">
      <c r="A137" s="411">
        <v>5</v>
      </c>
      <c r="B137" s="72" t="s">
        <v>219</v>
      </c>
      <c r="C137" s="28" t="s">
        <v>535</v>
      </c>
      <c r="D137" s="410" t="s">
        <v>23</v>
      </c>
      <c r="E137" s="410"/>
      <c r="F137" s="70">
        <v>2</v>
      </c>
      <c r="G137" s="36"/>
      <c r="H137" s="84"/>
      <c r="I137" s="410"/>
      <c r="J137" s="84"/>
      <c r="K137" s="410"/>
      <c r="L137" s="84"/>
      <c r="M137" s="84"/>
      <c r="N137" s="59"/>
      <c r="O137" s="59"/>
      <c r="P137" s="59"/>
      <c r="Q137" s="59"/>
      <c r="R137" s="59"/>
      <c r="S137" s="59"/>
      <c r="T137" s="59"/>
      <c r="U137" s="59"/>
    </row>
    <row r="138" spans="1:21" s="26" customFormat="1" ht="13.5">
      <c r="A138" s="411"/>
      <c r="B138" s="72" t="s">
        <v>12</v>
      </c>
      <c r="C138" s="411"/>
      <c r="D138" s="410" t="s">
        <v>15</v>
      </c>
      <c r="E138" s="410">
        <v>0.35</v>
      </c>
      <c r="F138" s="71">
        <f>F137*E138</f>
        <v>0.7</v>
      </c>
      <c r="G138" s="410"/>
      <c r="H138" s="84"/>
      <c r="I138" s="410"/>
      <c r="J138" s="84"/>
      <c r="K138" s="410"/>
      <c r="L138" s="84"/>
      <c r="M138" s="84"/>
      <c r="N138" s="59"/>
      <c r="O138" s="59"/>
      <c r="P138" s="59"/>
      <c r="Q138" s="59"/>
      <c r="R138" s="59"/>
      <c r="S138" s="59"/>
      <c r="T138" s="59"/>
      <c r="U138" s="59"/>
    </row>
    <row r="139" spans="1:21" s="26" customFormat="1" ht="13.5">
      <c r="A139" s="411"/>
      <c r="B139" s="72" t="s">
        <v>14</v>
      </c>
      <c r="C139" s="411"/>
      <c r="D139" s="411" t="s">
        <v>0</v>
      </c>
      <c r="E139" s="410">
        <v>0.23</v>
      </c>
      <c r="F139" s="73">
        <f>E139*F137</f>
        <v>0.46</v>
      </c>
      <c r="G139" s="410"/>
      <c r="H139" s="84"/>
      <c r="I139" s="410"/>
      <c r="J139" s="84"/>
      <c r="K139" s="410"/>
      <c r="L139" s="84"/>
      <c r="M139" s="84"/>
      <c r="N139" s="59"/>
      <c r="O139" s="59"/>
      <c r="P139" s="59"/>
      <c r="Q139" s="59"/>
      <c r="R139" s="59"/>
      <c r="S139" s="59"/>
      <c r="T139" s="59"/>
      <c r="U139" s="59"/>
    </row>
    <row r="140" spans="1:21" s="26" customFormat="1" ht="13.5">
      <c r="A140" s="78"/>
      <c r="B140" s="411" t="s">
        <v>56</v>
      </c>
      <c r="C140" s="31"/>
      <c r="D140" s="411"/>
      <c r="E140" s="411"/>
      <c r="F140" s="70"/>
      <c r="G140" s="411"/>
      <c r="H140" s="83"/>
      <c r="I140" s="410"/>
      <c r="J140" s="83"/>
      <c r="K140" s="79"/>
      <c r="L140" s="83"/>
      <c r="M140" s="83"/>
      <c r="N140" s="59"/>
      <c r="O140" s="59"/>
      <c r="P140" s="59"/>
      <c r="Q140" s="59"/>
      <c r="R140" s="59"/>
      <c r="S140" s="59"/>
      <c r="T140" s="59"/>
      <c r="U140" s="59"/>
    </row>
    <row r="141" spans="1:21" s="26" customFormat="1" ht="13.5">
      <c r="A141" s="78"/>
      <c r="B141" s="81" t="s">
        <v>220</v>
      </c>
      <c r="C141" s="31" t="s">
        <v>92</v>
      </c>
      <c r="D141" s="411" t="s">
        <v>23</v>
      </c>
      <c r="E141" s="411">
        <v>1</v>
      </c>
      <c r="F141" s="70">
        <f>E141*F137</f>
        <v>2</v>
      </c>
      <c r="G141" s="70"/>
      <c r="H141" s="83"/>
      <c r="I141" s="410"/>
      <c r="J141" s="83"/>
      <c r="K141" s="79"/>
      <c r="L141" s="83"/>
      <c r="M141" s="83"/>
      <c r="N141" s="59"/>
      <c r="O141" s="59"/>
      <c r="P141" s="59"/>
      <c r="Q141" s="59"/>
      <c r="R141" s="59"/>
      <c r="S141" s="59"/>
      <c r="T141" s="59"/>
      <c r="U141" s="59"/>
    </row>
    <row r="142" spans="1:21" s="26" customFormat="1" ht="13.5">
      <c r="A142" s="78"/>
      <c r="B142" s="72" t="s">
        <v>18</v>
      </c>
      <c r="C142" s="31"/>
      <c r="D142" s="411" t="s">
        <v>0</v>
      </c>
      <c r="E142" s="411">
        <v>0.01</v>
      </c>
      <c r="F142" s="70">
        <f>E142*F137</f>
        <v>0.02</v>
      </c>
      <c r="G142" s="411"/>
      <c r="H142" s="83"/>
      <c r="I142" s="410"/>
      <c r="J142" s="83"/>
      <c r="K142" s="79"/>
      <c r="L142" s="83"/>
      <c r="M142" s="83"/>
      <c r="N142" s="59"/>
      <c r="O142" s="59"/>
      <c r="P142" s="59"/>
      <c r="Q142" s="59"/>
      <c r="R142" s="59"/>
      <c r="S142" s="59"/>
      <c r="T142" s="59"/>
      <c r="U142" s="59"/>
    </row>
    <row r="143" spans="1:256" ht="13.5">
      <c r="A143" s="30"/>
      <c r="B143" s="25" t="s">
        <v>8</v>
      </c>
      <c r="C143" s="63"/>
      <c r="D143" s="30"/>
      <c r="E143" s="30"/>
      <c r="F143" s="30"/>
      <c r="G143" s="30"/>
      <c r="H143" s="64"/>
      <c r="I143" s="65"/>
      <c r="J143" s="64"/>
      <c r="K143" s="65"/>
      <c r="L143" s="64"/>
      <c r="M143" s="64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ht="13.5">
      <c r="A144" s="30"/>
      <c r="B144" s="25" t="s">
        <v>93</v>
      </c>
      <c r="C144" s="63"/>
      <c r="D144" s="30"/>
      <c r="E144" s="30"/>
      <c r="F144" s="30"/>
      <c r="G144" s="30"/>
      <c r="H144" s="64"/>
      <c r="I144" s="65"/>
      <c r="J144" s="64"/>
      <c r="K144" s="65"/>
      <c r="L144" s="64"/>
      <c r="M144" s="64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ht="13.5">
      <c r="A145" s="30"/>
      <c r="B145" s="72" t="s">
        <v>16</v>
      </c>
      <c r="C145" s="66">
        <v>0.04</v>
      </c>
      <c r="D145" s="411"/>
      <c r="E145" s="411"/>
      <c r="F145" s="411"/>
      <c r="G145" s="411"/>
      <c r="H145" s="67"/>
      <c r="I145" s="68"/>
      <c r="J145" s="67"/>
      <c r="K145" s="68"/>
      <c r="L145" s="67"/>
      <c r="M145" s="67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ht="13.5">
      <c r="A146" s="30"/>
      <c r="B146" s="25" t="s">
        <v>8</v>
      </c>
      <c r="C146" s="66"/>
      <c r="D146" s="411"/>
      <c r="E146" s="411"/>
      <c r="F146" s="79"/>
      <c r="G146" s="411"/>
      <c r="H146" s="67"/>
      <c r="I146" s="68"/>
      <c r="J146" s="67"/>
      <c r="K146" s="68"/>
      <c r="L146" s="67"/>
      <c r="M146" s="67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ht="13.5">
      <c r="A147" s="30"/>
      <c r="B147" s="25" t="s">
        <v>26</v>
      </c>
      <c r="C147" s="66">
        <v>0.1</v>
      </c>
      <c r="D147" s="411"/>
      <c r="E147" s="411"/>
      <c r="F147" s="411"/>
      <c r="G147" s="411"/>
      <c r="H147" s="67"/>
      <c r="I147" s="68"/>
      <c r="J147" s="67"/>
      <c r="K147" s="68"/>
      <c r="L147" s="67"/>
      <c r="M147" s="67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ht="13.5">
      <c r="A148" s="30"/>
      <c r="B148" s="25" t="s">
        <v>8</v>
      </c>
      <c r="C148" s="413"/>
      <c r="D148" s="411"/>
      <c r="E148" s="411"/>
      <c r="F148" s="79"/>
      <c r="G148" s="411"/>
      <c r="H148" s="67"/>
      <c r="I148" s="68"/>
      <c r="J148" s="67"/>
      <c r="K148" s="68"/>
      <c r="L148" s="67"/>
      <c r="M148" s="67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ht="13.5">
      <c r="A149" s="30"/>
      <c r="B149" s="25" t="s">
        <v>94</v>
      </c>
      <c r="C149" s="66">
        <v>0.08</v>
      </c>
      <c r="D149" s="411"/>
      <c r="E149" s="411"/>
      <c r="F149" s="79"/>
      <c r="G149" s="411"/>
      <c r="H149" s="67"/>
      <c r="I149" s="68"/>
      <c r="J149" s="67"/>
      <c r="K149" s="68"/>
      <c r="L149" s="67"/>
      <c r="M149" s="67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ht="13.5">
      <c r="A150" s="30"/>
      <c r="B150" s="25" t="s">
        <v>8</v>
      </c>
      <c r="C150" s="66"/>
      <c r="D150" s="411"/>
      <c r="E150" s="411"/>
      <c r="F150" s="79"/>
      <c r="G150" s="411"/>
      <c r="H150" s="67"/>
      <c r="I150" s="68"/>
      <c r="J150" s="67"/>
      <c r="K150" s="68"/>
      <c r="L150" s="67"/>
      <c r="M150" s="67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3:10" ht="13.5">
      <c r="C151" s="514"/>
      <c r="D151" s="514"/>
      <c r="I151" s="438"/>
      <c r="J151" s="438"/>
    </row>
    <row r="153" spans="2:9" ht="13.5">
      <c r="B153" s="90"/>
      <c r="C153" s="90"/>
      <c r="D153" s="90"/>
      <c r="E153" s="90"/>
      <c r="F153" s="90"/>
      <c r="G153" s="90"/>
      <c r="H153" s="422"/>
      <c r="I153" s="422"/>
    </row>
  </sheetData>
  <sheetProtection/>
  <mergeCells count="27">
    <mergeCell ref="H153:I153"/>
    <mergeCell ref="A10:A12"/>
    <mergeCell ref="A13:A14"/>
    <mergeCell ref="A15:A20"/>
    <mergeCell ref="A21:A30"/>
    <mergeCell ref="A31:A39"/>
    <mergeCell ref="A40:A45"/>
    <mergeCell ref="A46:A54"/>
    <mergeCell ref="K6:L6"/>
    <mergeCell ref="C151:D151"/>
    <mergeCell ref="I151:J151"/>
    <mergeCell ref="A55:A59"/>
    <mergeCell ref="A60:A61"/>
    <mergeCell ref="A62:A63"/>
    <mergeCell ref="G6:H6"/>
    <mergeCell ref="A64:A65"/>
    <mergeCell ref="B9:F9"/>
    <mergeCell ref="A1:L1"/>
    <mergeCell ref="A3:L3"/>
    <mergeCell ref="A4:L4"/>
    <mergeCell ref="A6:A7"/>
    <mergeCell ref="B6:B7"/>
    <mergeCell ref="C6:C7"/>
    <mergeCell ref="D6:D7"/>
    <mergeCell ref="E6:E7"/>
    <mergeCell ref="F6:F7"/>
    <mergeCell ref="I6:J6"/>
  </mergeCells>
  <conditionalFormatting sqref="D33:D34 B40 D44 D40 C10 D10:M12 B55 D55 B10:B12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1"/>
  <sheetViews>
    <sheetView view="pageBreakPreview" zoomScale="70" zoomScaleSheetLayoutView="70" zoomScalePageLayoutView="0" workbookViewId="0" topLeftCell="A138">
      <selection activeCell="A176" sqref="A176:J178"/>
    </sheetView>
  </sheetViews>
  <sheetFormatPr defaultColWidth="9.140625" defaultRowHeight="12.75"/>
  <cols>
    <col min="1" max="1" width="6.421875" style="90" customWidth="1"/>
    <col min="2" max="2" width="52.8515625" style="90" customWidth="1"/>
    <col min="3" max="3" width="12.421875" style="90" customWidth="1"/>
    <col min="4" max="4" width="8.28125" style="90" customWidth="1"/>
    <col min="5" max="5" width="9.140625" style="90" customWidth="1"/>
    <col min="6" max="6" width="14.8515625" style="90" bestFit="1" customWidth="1"/>
    <col min="7" max="7" width="10.57421875" style="90" customWidth="1"/>
    <col min="8" max="8" width="13.421875" style="90" bestFit="1" customWidth="1"/>
    <col min="9" max="9" width="10.7109375" style="90" customWidth="1"/>
    <col min="10" max="10" width="11.57421875" style="90" bestFit="1" customWidth="1"/>
    <col min="11" max="11" width="11.140625" style="90" customWidth="1"/>
    <col min="12" max="12" width="16.57421875" style="90" bestFit="1" customWidth="1"/>
    <col min="13" max="13" width="15.421875" style="90" bestFit="1" customWidth="1"/>
    <col min="14" max="16384" width="9.140625" style="90" customWidth="1"/>
  </cols>
  <sheetData>
    <row r="1" spans="1:13" ht="16.5">
      <c r="A1" s="146"/>
      <c r="B1" s="454" t="e">
        <f>#REF!</f>
        <v>#REF!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6.5">
      <c r="A2" s="369"/>
      <c r="B2" s="455" t="s">
        <v>247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ht="16.5">
      <c r="A3" s="146"/>
      <c r="B3" s="456" t="s">
        <v>248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ht="16.5">
      <c r="A4" s="146"/>
      <c r="B4" s="370"/>
      <c r="C4" s="370"/>
      <c r="D4" s="457" t="s">
        <v>249</v>
      </c>
      <c r="E4" s="457"/>
      <c r="F4" s="457"/>
      <c r="G4" s="457"/>
      <c r="H4" s="457"/>
      <c r="I4" s="457"/>
      <c r="J4" s="238"/>
      <c r="K4" s="370"/>
      <c r="L4" s="370"/>
      <c r="M4" s="370"/>
    </row>
    <row r="5" spans="1:13" ht="16.5">
      <c r="A5" s="443" t="s">
        <v>1</v>
      </c>
      <c r="B5" s="453" t="s">
        <v>2</v>
      </c>
      <c r="C5" s="453" t="s">
        <v>48</v>
      </c>
      <c r="D5" s="453" t="s">
        <v>3</v>
      </c>
      <c r="E5" s="453" t="s">
        <v>11</v>
      </c>
      <c r="F5" s="453" t="s">
        <v>4</v>
      </c>
      <c r="G5" s="452" t="s">
        <v>17</v>
      </c>
      <c r="H5" s="452"/>
      <c r="I5" s="452" t="s">
        <v>5</v>
      </c>
      <c r="J5" s="452"/>
      <c r="K5" s="453" t="s">
        <v>6</v>
      </c>
      <c r="L5" s="453"/>
      <c r="M5" s="372" t="s">
        <v>45</v>
      </c>
    </row>
    <row r="6" spans="1:13" ht="16.5">
      <c r="A6" s="443"/>
      <c r="B6" s="453"/>
      <c r="C6" s="453"/>
      <c r="D6" s="453"/>
      <c r="E6" s="453"/>
      <c r="F6" s="453"/>
      <c r="G6" s="372" t="s">
        <v>7</v>
      </c>
      <c r="H6" s="218" t="s">
        <v>8</v>
      </c>
      <c r="I6" s="372" t="s">
        <v>7</v>
      </c>
      <c r="J6" s="239" t="s">
        <v>8</v>
      </c>
      <c r="K6" s="372" t="s">
        <v>7</v>
      </c>
      <c r="L6" s="218" t="s">
        <v>9</v>
      </c>
      <c r="M6" s="372" t="s">
        <v>10</v>
      </c>
    </row>
    <row r="7" spans="1:13" ht="16.5">
      <c r="A7" s="22">
        <v>1</v>
      </c>
      <c r="B7" s="240">
        <v>2</v>
      </c>
      <c r="C7" s="240">
        <v>3</v>
      </c>
      <c r="D7" s="240">
        <v>4</v>
      </c>
      <c r="E7" s="240">
        <v>5</v>
      </c>
      <c r="F7" s="240">
        <v>6</v>
      </c>
      <c r="G7" s="241">
        <v>7</v>
      </c>
      <c r="H7" s="242">
        <v>8</v>
      </c>
      <c r="I7" s="241">
        <v>9</v>
      </c>
      <c r="J7" s="243">
        <v>10</v>
      </c>
      <c r="K7" s="241">
        <v>11</v>
      </c>
      <c r="L7" s="242">
        <v>12</v>
      </c>
      <c r="M7" s="241">
        <v>13</v>
      </c>
    </row>
    <row r="8" spans="1:13" ht="16.5">
      <c r="A8" s="22"/>
      <c r="B8" s="241" t="s">
        <v>82</v>
      </c>
      <c r="C8" s="240"/>
      <c r="D8" s="240"/>
      <c r="E8" s="240"/>
      <c r="F8" s="240"/>
      <c r="G8" s="241"/>
      <c r="H8" s="244"/>
      <c r="I8" s="244"/>
      <c r="J8" s="243"/>
      <c r="K8" s="244"/>
      <c r="L8" s="244"/>
      <c r="M8" s="244"/>
    </row>
    <row r="9" spans="1:13" ht="16.5">
      <c r="A9" s="22"/>
      <c r="B9" s="240" t="s">
        <v>250</v>
      </c>
      <c r="C9" s="240"/>
      <c r="D9" s="240"/>
      <c r="E9" s="240"/>
      <c r="F9" s="240"/>
      <c r="G9" s="241"/>
      <c r="H9" s="242"/>
      <c r="I9" s="241"/>
      <c r="J9" s="243"/>
      <c r="K9" s="241"/>
      <c r="L9" s="242"/>
      <c r="M9" s="241"/>
    </row>
    <row r="10" spans="1:13" ht="49.5">
      <c r="A10" s="375">
        <v>1</v>
      </c>
      <c r="B10" s="245" t="s">
        <v>251</v>
      </c>
      <c r="C10" s="246" t="s">
        <v>51</v>
      </c>
      <c r="D10" s="372" t="s">
        <v>31</v>
      </c>
      <c r="E10" s="372"/>
      <c r="F10" s="217">
        <v>200</v>
      </c>
      <c r="G10" s="372"/>
      <c r="H10" s="218"/>
      <c r="I10" s="372"/>
      <c r="J10" s="239"/>
      <c r="K10" s="372"/>
      <c r="L10" s="218"/>
      <c r="M10" s="218"/>
    </row>
    <row r="11" spans="1:13" ht="16.5">
      <c r="A11" s="375"/>
      <c r="B11" s="214" t="s">
        <v>12</v>
      </c>
      <c r="C11" s="371"/>
      <c r="D11" s="372" t="s">
        <v>15</v>
      </c>
      <c r="E11" s="372">
        <v>0.0215</v>
      </c>
      <c r="F11" s="218">
        <f>F10*E11</f>
        <v>4.3</v>
      </c>
      <c r="G11" s="372"/>
      <c r="H11" s="218"/>
      <c r="I11" s="372"/>
      <c r="J11" s="239"/>
      <c r="K11" s="372"/>
      <c r="L11" s="218"/>
      <c r="M11" s="247"/>
    </row>
    <row r="12" spans="1:13" ht="16.5">
      <c r="A12" s="375"/>
      <c r="B12" s="5" t="s">
        <v>111</v>
      </c>
      <c r="C12" s="371" t="s">
        <v>189</v>
      </c>
      <c r="D12" s="371" t="s">
        <v>21</v>
      </c>
      <c r="E12" s="372">
        <v>0.0482</v>
      </c>
      <c r="F12" s="218">
        <f>E12*F10</f>
        <v>9.64</v>
      </c>
      <c r="G12" s="218"/>
      <c r="H12" s="218"/>
      <c r="I12" s="218"/>
      <c r="J12" s="239"/>
      <c r="K12" s="218"/>
      <c r="L12" s="218"/>
      <c r="M12" s="218"/>
    </row>
    <row r="13" spans="1:13" ht="33">
      <c r="A13" s="74">
        <v>2</v>
      </c>
      <c r="B13" s="248" t="s">
        <v>53</v>
      </c>
      <c r="C13" s="246" t="s">
        <v>54</v>
      </c>
      <c r="D13" s="215" t="s">
        <v>31</v>
      </c>
      <c r="E13" s="215"/>
      <c r="F13" s="216">
        <v>20</v>
      </c>
      <c r="G13" s="215"/>
      <c r="H13" s="217"/>
      <c r="I13" s="215"/>
      <c r="J13" s="239"/>
      <c r="K13" s="215"/>
      <c r="L13" s="217"/>
      <c r="M13" s="218"/>
    </row>
    <row r="14" spans="1:13" ht="16.5">
      <c r="A14" s="375"/>
      <c r="B14" s="214" t="s">
        <v>12</v>
      </c>
      <c r="C14" s="371"/>
      <c r="D14" s="372" t="s">
        <v>15</v>
      </c>
      <c r="E14" s="372">
        <v>2.99</v>
      </c>
      <c r="F14" s="218">
        <f>F13*E14</f>
        <v>59.800000000000004</v>
      </c>
      <c r="G14" s="372"/>
      <c r="H14" s="218"/>
      <c r="I14" s="372"/>
      <c r="J14" s="239"/>
      <c r="K14" s="372"/>
      <c r="L14" s="218"/>
      <c r="M14" s="218"/>
    </row>
    <row r="15" spans="1:13" ht="16.5">
      <c r="A15" s="375">
        <v>3</v>
      </c>
      <c r="B15" s="214" t="s">
        <v>252</v>
      </c>
      <c r="C15" s="400" t="s">
        <v>253</v>
      </c>
      <c r="D15" s="372" t="s">
        <v>102</v>
      </c>
      <c r="E15" s="372"/>
      <c r="F15" s="217">
        <v>0.10618</v>
      </c>
      <c r="G15" s="249"/>
      <c r="H15" s="218"/>
      <c r="I15" s="372"/>
      <c r="J15" s="239"/>
      <c r="K15" s="372"/>
      <c r="L15" s="218"/>
      <c r="M15" s="218"/>
    </row>
    <row r="16" spans="1:13" ht="16.5">
      <c r="A16" s="250"/>
      <c r="B16" s="251" t="s">
        <v>12</v>
      </c>
      <c r="C16" s="252"/>
      <c r="D16" s="253" t="s">
        <v>15</v>
      </c>
      <c r="E16" s="253">
        <v>137</v>
      </c>
      <c r="F16" s="254">
        <f>F15*E16</f>
        <v>14.54666</v>
      </c>
      <c r="G16" s="253"/>
      <c r="H16" s="254"/>
      <c r="I16" s="253"/>
      <c r="J16" s="255"/>
      <c r="K16" s="253"/>
      <c r="L16" s="254"/>
      <c r="M16" s="254"/>
    </row>
    <row r="17" spans="1:13" ht="16.5">
      <c r="A17" s="250"/>
      <c r="B17" s="251" t="s">
        <v>14</v>
      </c>
      <c r="C17" s="252"/>
      <c r="D17" s="256" t="s">
        <v>0</v>
      </c>
      <c r="E17" s="253">
        <v>28.3</v>
      </c>
      <c r="F17" s="257">
        <f>E17*F15</f>
        <v>3.004894</v>
      </c>
      <c r="G17" s="253"/>
      <c r="H17" s="254"/>
      <c r="I17" s="253"/>
      <c r="J17" s="255"/>
      <c r="K17" s="253"/>
      <c r="L17" s="254"/>
      <c r="M17" s="254"/>
    </row>
    <row r="18" spans="1:13" ht="16.5">
      <c r="A18" s="250"/>
      <c r="B18" s="256" t="s">
        <v>22</v>
      </c>
      <c r="C18" s="252"/>
      <c r="D18" s="253"/>
      <c r="E18" s="253"/>
      <c r="F18" s="254"/>
      <c r="G18" s="253"/>
      <c r="H18" s="254"/>
      <c r="I18" s="253"/>
      <c r="J18" s="255"/>
      <c r="K18" s="253"/>
      <c r="L18" s="254"/>
      <c r="M18" s="254"/>
    </row>
    <row r="19" spans="1:13" ht="16.5">
      <c r="A19" s="250"/>
      <c r="B19" s="258" t="s">
        <v>254</v>
      </c>
      <c r="C19" s="401" t="s">
        <v>483</v>
      </c>
      <c r="D19" s="253" t="s">
        <v>31</v>
      </c>
      <c r="E19" s="253">
        <v>102</v>
      </c>
      <c r="F19" s="254">
        <f>F15*E19</f>
        <v>10.830359999999999</v>
      </c>
      <c r="G19" s="256"/>
      <c r="H19" s="259"/>
      <c r="I19" s="253"/>
      <c r="J19" s="260"/>
      <c r="K19" s="256"/>
      <c r="L19" s="259"/>
      <c r="M19" s="259"/>
    </row>
    <row r="20" spans="1:13" ht="16.5" customHeight="1">
      <c r="A20" s="78"/>
      <c r="B20" s="251" t="s">
        <v>18</v>
      </c>
      <c r="C20" s="252"/>
      <c r="D20" s="256" t="s">
        <v>0</v>
      </c>
      <c r="E20" s="259">
        <v>62</v>
      </c>
      <c r="F20" s="259">
        <f>E20*F15</f>
        <v>6.5831599999999995</v>
      </c>
      <c r="G20" s="256"/>
      <c r="H20" s="259"/>
      <c r="I20" s="253"/>
      <c r="J20" s="260"/>
      <c r="K20" s="256"/>
      <c r="L20" s="259"/>
      <c r="M20" s="259"/>
    </row>
    <row r="21" spans="1:13" ht="33">
      <c r="A21" s="78">
        <v>4</v>
      </c>
      <c r="B21" s="245" t="s">
        <v>255</v>
      </c>
      <c r="C21" s="400" t="s">
        <v>256</v>
      </c>
      <c r="D21" s="371" t="s">
        <v>102</v>
      </c>
      <c r="E21" s="217"/>
      <c r="F21" s="261">
        <v>0.8043</v>
      </c>
      <c r="G21" s="217"/>
      <c r="H21" s="217"/>
      <c r="I21" s="217"/>
      <c r="J21" s="262"/>
      <c r="K21" s="217"/>
      <c r="L21" s="217"/>
      <c r="M21" s="217"/>
    </row>
    <row r="22" spans="1:13" ht="16.5">
      <c r="A22" s="78"/>
      <c r="B22" s="245" t="s">
        <v>39</v>
      </c>
      <c r="C22" s="371"/>
      <c r="D22" s="372" t="s">
        <v>15</v>
      </c>
      <c r="E22" s="218">
        <v>801</v>
      </c>
      <c r="F22" s="218">
        <f>F21*E22</f>
        <v>644.2443000000001</v>
      </c>
      <c r="G22" s="371"/>
      <c r="H22" s="217"/>
      <c r="I22" s="371"/>
      <c r="J22" s="262"/>
      <c r="K22" s="371"/>
      <c r="L22" s="371"/>
      <c r="M22" s="217"/>
    </row>
    <row r="23" spans="1:13" ht="16.5">
      <c r="A23" s="28"/>
      <c r="B23" s="245" t="s">
        <v>24</v>
      </c>
      <c r="C23" s="371"/>
      <c r="D23" s="372" t="s">
        <v>0</v>
      </c>
      <c r="E23" s="371">
        <v>123</v>
      </c>
      <c r="F23" s="217">
        <f>E23*F21</f>
        <v>98.9289</v>
      </c>
      <c r="G23" s="371"/>
      <c r="H23" s="371"/>
      <c r="I23" s="371"/>
      <c r="J23" s="262"/>
      <c r="K23" s="371"/>
      <c r="L23" s="217"/>
      <c r="M23" s="217"/>
    </row>
    <row r="24" spans="1:13" ht="16.5">
      <c r="A24" s="375"/>
      <c r="B24" s="371" t="s">
        <v>22</v>
      </c>
      <c r="C24" s="371"/>
      <c r="D24" s="371"/>
      <c r="E24" s="263"/>
      <c r="F24" s="217"/>
      <c r="G24" s="372"/>
      <c r="H24" s="264"/>
      <c r="I24" s="372"/>
      <c r="J24" s="239"/>
      <c r="K24" s="372"/>
      <c r="L24" s="264"/>
      <c r="M24" s="217"/>
    </row>
    <row r="25" spans="1:13" ht="16.5">
      <c r="A25" s="78"/>
      <c r="B25" s="387" t="s">
        <v>257</v>
      </c>
      <c r="C25" s="103" t="s">
        <v>92</v>
      </c>
      <c r="D25" s="372" t="s">
        <v>13</v>
      </c>
      <c r="E25" s="218"/>
      <c r="F25" s="247">
        <v>7.77</v>
      </c>
      <c r="G25" s="265"/>
      <c r="H25" s="266"/>
      <c r="I25" s="255"/>
      <c r="J25" s="255"/>
      <c r="K25" s="265"/>
      <c r="L25" s="265"/>
      <c r="M25" s="217"/>
    </row>
    <row r="26" spans="1:13" ht="18">
      <c r="A26" s="28"/>
      <c r="B26" s="245" t="s">
        <v>258</v>
      </c>
      <c r="C26" s="401" t="s">
        <v>489</v>
      </c>
      <c r="D26" s="371" t="s">
        <v>31</v>
      </c>
      <c r="E26" s="372">
        <v>101.5</v>
      </c>
      <c r="F26" s="262">
        <f>E26*F21</f>
        <v>81.63645</v>
      </c>
      <c r="G26" s="265"/>
      <c r="H26" s="266"/>
      <c r="I26" s="255"/>
      <c r="J26" s="255"/>
      <c r="K26" s="371"/>
      <c r="L26" s="217"/>
      <c r="M26" s="217"/>
    </row>
    <row r="27" spans="1:13" ht="16.5">
      <c r="A27" s="78"/>
      <c r="B27" s="245" t="s">
        <v>148</v>
      </c>
      <c r="C27" s="141" t="s">
        <v>490</v>
      </c>
      <c r="D27" s="372" t="s">
        <v>103</v>
      </c>
      <c r="E27" s="218">
        <v>128</v>
      </c>
      <c r="F27" s="218">
        <f>E27*F21</f>
        <v>102.9504</v>
      </c>
      <c r="G27" s="402"/>
      <c r="H27" s="266"/>
      <c r="I27" s="255"/>
      <c r="J27" s="255"/>
      <c r="K27" s="265"/>
      <c r="L27" s="265"/>
      <c r="M27" s="217"/>
    </row>
    <row r="28" spans="1:13" ht="16.5">
      <c r="A28" s="78"/>
      <c r="B28" s="245" t="s">
        <v>149</v>
      </c>
      <c r="C28" s="141" t="s">
        <v>491</v>
      </c>
      <c r="D28" s="372" t="s">
        <v>31</v>
      </c>
      <c r="E28" s="218">
        <v>3.09</v>
      </c>
      <c r="F28" s="218">
        <f>E28*F21</f>
        <v>2.485287</v>
      </c>
      <c r="G28" s="402"/>
      <c r="H28" s="266"/>
      <c r="I28" s="255"/>
      <c r="J28" s="255"/>
      <c r="K28" s="265"/>
      <c r="L28" s="265"/>
      <c r="M28" s="217"/>
    </row>
    <row r="29" spans="1:13" ht="16.5">
      <c r="A29" s="78"/>
      <c r="B29" s="245" t="s">
        <v>146</v>
      </c>
      <c r="C29" s="372"/>
      <c r="D29" s="372" t="s">
        <v>0</v>
      </c>
      <c r="E29" s="218">
        <v>209</v>
      </c>
      <c r="F29" s="218">
        <f>F21*E29</f>
        <v>168.0987</v>
      </c>
      <c r="G29" s="265"/>
      <c r="H29" s="266"/>
      <c r="I29" s="255"/>
      <c r="J29" s="255"/>
      <c r="K29" s="265"/>
      <c r="L29" s="265"/>
      <c r="M29" s="217"/>
    </row>
    <row r="30" spans="1:13" ht="42" customHeight="1">
      <c r="A30" s="74">
        <v>5</v>
      </c>
      <c r="B30" s="248" t="s">
        <v>259</v>
      </c>
      <c r="C30" s="246" t="s">
        <v>260</v>
      </c>
      <c r="D30" s="215" t="s">
        <v>261</v>
      </c>
      <c r="E30" s="215"/>
      <c r="F30" s="267">
        <v>0.39</v>
      </c>
      <c r="G30" s="215"/>
      <c r="H30" s="217"/>
      <c r="I30" s="215"/>
      <c r="J30" s="239"/>
      <c r="K30" s="215"/>
      <c r="L30" s="217"/>
      <c r="M30" s="218"/>
    </row>
    <row r="31" spans="1:13" ht="21" customHeight="1">
      <c r="A31" s="268"/>
      <c r="B31" s="245" t="s">
        <v>262</v>
      </c>
      <c r="C31" s="371"/>
      <c r="D31" s="371" t="s">
        <v>15</v>
      </c>
      <c r="E31" s="372">
        <f>18.8+0.34*6</f>
        <v>20.84</v>
      </c>
      <c r="F31" s="217">
        <f>F30*E31</f>
        <v>8.127600000000001</v>
      </c>
      <c r="G31" s="371"/>
      <c r="H31" s="217"/>
      <c r="I31" s="217"/>
      <c r="J31" s="262"/>
      <c r="K31" s="371"/>
      <c r="L31" s="217"/>
      <c r="M31" s="217"/>
    </row>
    <row r="32" spans="1:13" ht="22.5" customHeight="1">
      <c r="A32" s="268"/>
      <c r="B32" s="214" t="s">
        <v>41</v>
      </c>
      <c r="C32" s="269"/>
      <c r="D32" s="371" t="s">
        <v>0</v>
      </c>
      <c r="E32" s="371">
        <f>(0.95+0.23*6)</f>
        <v>2.33</v>
      </c>
      <c r="F32" s="217">
        <f>F30*E32</f>
        <v>0.9087000000000001</v>
      </c>
      <c r="G32" s="371"/>
      <c r="H32" s="217"/>
      <c r="I32" s="371"/>
      <c r="J32" s="262"/>
      <c r="K32" s="371"/>
      <c r="L32" s="217"/>
      <c r="M32" s="217"/>
    </row>
    <row r="33" spans="1:13" ht="16.5">
      <c r="A33" s="268"/>
      <c r="B33" s="371" t="s">
        <v>56</v>
      </c>
      <c r="C33" s="269"/>
      <c r="D33" s="371"/>
      <c r="E33" s="371"/>
      <c r="F33" s="217"/>
      <c r="G33" s="371"/>
      <c r="H33" s="217"/>
      <c r="I33" s="371"/>
      <c r="J33" s="262"/>
      <c r="K33" s="371"/>
      <c r="L33" s="217"/>
      <c r="M33" s="217"/>
    </row>
    <row r="34" spans="1:13" ht="19.5" customHeight="1">
      <c r="A34" s="268"/>
      <c r="B34" s="214" t="s">
        <v>263</v>
      </c>
      <c r="C34" s="403" t="s">
        <v>492</v>
      </c>
      <c r="D34" s="371" t="s">
        <v>31</v>
      </c>
      <c r="E34" s="371">
        <f>2.04+0.51*6</f>
        <v>5.1</v>
      </c>
      <c r="F34" s="217">
        <f>F30*E34</f>
        <v>1.9889999999999999</v>
      </c>
      <c r="G34" s="217"/>
      <c r="H34" s="217"/>
      <c r="I34" s="371"/>
      <c r="J34" s="262"/>
      <c r="K34" s="371"/>
      <c r="L34" s="217"/>
      <c r="M34" s="217"/>
    </row>
    <row r="35" spans="1:13" ht="15" customHeight="1">
      <c r="A35" s="268"/>
      <c r="B35" s="214" t="s">
        <v>18</v>
      </c>
      <c r="C35" s="269"/>
      <c r="D35" s="371" t="s">
        <v>0</v>
      </c>
      <c r="E35" s="371">
        <v>6.36</v>
      </c>
      <c r="F35" s="217">
        <f>F30*E35</f>
        <v>2.4804000000000004</v>
      </c>
      <c r="G35" s="371"/>
      <c r="H35" s="217"/>
      <c r="I35" s="371"/>
      <c r="J35" s="262"/>
      <c r="K35" s="371"/>
      <c r="L35" s="217"/>
      <c r="M35" s="217"/>
    </row>
    <row r="36" spans="1:13" ht="49.5">
      <c r="A36" s="270">
        <v>6</v>
      </c>
      <c r="B36" s="271" t="s">
        <v>264</v>
      </c>
      <c r="C36" s="269" t="s">
        <v>265</v>
      </c>
      <c r="D36" s="371" t="s">
        <v>261</v>
      </c>
      <c r="E36" s="371"/>
      <c r="F36" s="261">
        <v>0.485</v>
      </c>
      <c r="G36" s="372"/>
      <c r="H36" s="264"/>
      <c r="I36" s="372"/>
      <c r="J36" s="239"/>
      <c r="K36" s="372"/>
      <c r="L36" s="264"/>
      <c r="M36" s="217"/>
    </row>
    <row r="37" spans="1:13" ht="19.5" customHeight="1">
      <c r="A37" s="268"/>
      <c r="B37" s="245" t="s">
        <v>39</v>
      </c>
      <c r="C37" s="371"/>
      <c r="D37" s="371" t="s">
        <v>15</v>
      </c>
      <c r="E37" s="372">
        <f>14.3+0.07*25</f>
        <v>16.05</v>
      </c>
      <c r="F37" s="217">
        <f>F36*E37</f>
        <v>7.78425</v>
      </c>
      <c r="G37" s="371"/>
      <c r="H37" s="217"/>
      <c r="I37" s="217"/>
      <c r="J37" s="262"/>
      <c r="K37" s="371"/>
      <c r="L37" s="217"/>
      <c r="M37" s="217"/>
    </row>
    <row r="38" spans="1:13" ht="19.5" customHeight="1">
      <c r="A38" s="268"/>
      <c r="B38" s="214" t="s">
        <v>41</v>
      </c>
      <c r="C38" s="269"/>
      <c r="D38" s="371" t="s">
        <v>0</v>
      </c>
      <c r="E38" s="371">
        <v>0.74</v>
      </c>
      <c r="F38" s="217">
        <f>F36*E38</f>
        <v>0.3589</v>
      </c>
      <c r="G38" s="371"/>
      <c r="H38" s="217"/>
      <c r="I38" s="371"/>
      <c r="J38" s="262"/>
      <c r="K38" s="371"/>
      <c r="L38" s="217"/>
      <c r="M38" s="217"/>
    </row>
    <row r="39" spans="1:13" ht="16.5">
      <c r="A39" s="268"/>
      <c r="B39" s="371" t="s">
        <v>56</v>
      </c>
      <c r="C39" s="269"/>
      <c r="D39" s="371"/>
      <c r="E39" s="371"/>
      <c r="F39" s="217"/>
      <c r="G39" s="371"/>
      <c r="H39" s="217"/>
      <c r="I39" s="371"/>
      <c r="J39" s="262"/>
      <c r="K39" s="371"/>
      <c r="L39" s="217"/>
      <c r="M39" s="217"/>
    </row>
    <row r="40" spans="1:13" ht="18.75" customHeight="1">
      <c r="A40" s="268"/>
      <c r="B40" s="214" t="s">
        <v>266</v>
      </c>
      <c r="C40" s="403" t="s">
        <v>492</v>
      </c>
      <c r="D40" s="371" t="s">
        <v>31</v>
      </c>
      <c r="E40" s="371">
        <f>1.58+0.105*25</f>
        <v>4.205</v>
      </c>
      <c r="F40" s="217">
        <f>F36*E40</f>
        <v>2.039425</v>
      </c>
      <c r="G40" s="217"/>
      <c r="H40" s="217"/>
      <c r="I40" s="371"/>
      <c r="J40" s="262"/>
      <c r="K40" s="371"/>
      <c r="L40" s="217"/>
      <c r="M40" s="217"/>
    </row>
    <row r="41" spans="1:13" ht="20.25" customHeight="1">
      <c r="A41" s="268"/>
      <c r="B41" s="214" t="s">
        <v>18</v>
      </c>
      <c r="C41" s="269"/>
      <c r="D41" s="371" t="s">
        <v>0</v>
      </c>
      <c r="E41" s="371">
        <v>6.4</v>
      </c>
      <c r="F41" s="217">
        <f>F36*E41</f>
        <v>3.104</v>
      </c>
      <c r="G41" s="371"/>
      <c r="H41" s="217"/>
      <c r="I41" s="371"/>
      <c r="J41" s="262"/>
      <c r="K41" s="371"/>
      <c r="L41" s="217"/>
      <c r="M41" s="217"/>
    </row>
    <row r="42" spans="1:13" ht="33">
      <c r="A42" s="74">
        <v>7</v>
      </c>
      <c r="B42" s="248" t="s">
        <v>267</v>
      </c>
      <c r="C42" s="246" t="s">
        <v>268</v>
      </c>
      <c r="D42" s="215" t="s">
        <v>103</v>
      </c>
      <c r="E42" s="215"/>
      <c r="F42" s="272">
        <v>114</v>
      </c>
      <c r="G42" s="215"/>
      <c r="H42" s="217"/>
      <c r="I42" s="215"/>
      <c r="J42" s="239"/>
      <c r="K42" s="215"/>
      <c r="L42" s="217"/>
      <c r="M42" s="218"/>
    </row>
    <row r="43" spans="1:13" ht="16.5">
      <c r="A43" s="375"/>
      <c r="B43" s="214" t="s">
        <v>12</v>
      </c>
      <c r="C43" s="371"/>
      <c r="D43" s="265" t="s">
        <v>15</v>
      </c>
      <c r="E43" s="265">
        <v>0.336</v>
      </c>
      <c r="F43" s="273">
        <f>F42*E43</f>
        <v>38.304</v>
      </c>
      <c r="G43" s="265"/>
      <c r="H43" s="265"/>
      <c r="I43" s="372"/>
      <c r="J43" s="239"/>
      <c r="K43" s="372"/>
      <c r="L43" s="218"/>
      <c r="M43" s="218"/>
    </row>
    <row r="44" spans="1:13" ht="16.5">
      <c r="A44" s="375"/>
      <c r="B44" s="214" t="s">
        <v>14</v>
      </c>
      <c r="C44" s="371"/>
      <c r="D44" s="265" t="s">
        <v>0</v>
      </c>
      <c r="E44" s="265">
        <v>0.015</v>
      </c>
      <c r="F44" s="273">
        <f>E44*F42</f>
        <v>1.71</v>
      </c>
      <c r="G44" s="265"/>
      <c r="H44" s="265"/>
      <c r="I44" s="372"/>
      <c r="J44" s="239"/>
      <c r="K44" s="372"/>
      <c r="L44" s="218"/>
      <c r="M44" s="218"/>
    </row>
    <row r="45" spans="1:13" ht="16.5">
      <c r="A45" s="78"/>
      <c r="B45" s="371" t="s">
        <v>56</v>
      </c>
      <c r="C45" s="269"/>
      <c r="D45" s="265"/>
      <c r="E45" s="265"/>
      <c r="F45" s="273"/>
      <c r="G45" s="265"/>
      <c r="H45" s="265"/>
      <c r="I45" s="372"/>
      <c r="J45" s="262"/>
      <c r="K45" s="371"/>
      <c r="L45" s="217"/>
      <c r="M45" s="217"/>
    </row>
    <row r="46" spans="1:13" ht="24.75" customHeight="1">
      <c r="A46" s="78"/>
      <c r="B46" s="219" t="s">
        <v>269</v>
      </c>
      <c r="C46" s="404" t="s">
        <v>493</v>
      </c>
      <c r="D46" s="265" t="s">
        <v>13</v>
      </c>
      <c r="E46" s="265">
        <f>0.24/100</f>
        <v>0.0024</v>
      </c>
      <c r="F46" s="273">
        <f>E46*F42</f>
        <v>0.27359999999999995</v>
      </c>
      <c r="G46" s="265"/>
      <c r="H46" s="273"/>
      <c r="I46" s="372"/>
      <c r="J46" s="262"/>
      <c r="K46" s="371"/>
      <c r="L46" s="217"/>
      <c r="M46" s="217"/>
    </row>
    <row r="47" spans="1:13" ht="16.5">
      <c r="A47" s="78"/>
      <c r="B47" s="214" t="s">
        <v>18</v>
      </c>
      <c r="C47" s="269"/>
      <c r="D47" s="265" t="s">
        <v>0</v>
      </c>
      <c r="E47" s="265">
        <f>2.28/100</f>
        <v>0.022799999999999997</v>
      </c>
      <c r="F47" s="273">
        <f>E47*F42</f>
        <v>2.5991999999999997</v>
      </c>
      <c r="G47" s="265"/>
      <c r="H47" s="273"/>
      <c r="I47" s="372"/>
      <c r="J47" s="262"/>
      <c r="K47" s="371"/>
      <c r="L47" s="217"/>
      <c r="M47" s="217"/>
    </row>
    <row r="48" spans="1:13" ht="42.75" customHeight="1">
      <c r="A48" s="270">
        <v>8</v>
      </c>
      <c r="B48" s="248" t="s">
        <v>270</v>
      </c>
      <c r="C48" s="269" t="s">
        <v>271</v>
      </c>
      <c r="D48" s="371" t="s">
        <v>103</v>
      </c>
      <c r="E48" s="371"/>
      <c r="F48" s="263">
        <v>60</v>
      </c>
      <c r="G48" s="372"/>
      <c r="H48" s="264"/>
      <c r="I48" s="372"/>
      <c r="J48" s="239"/>
      <c r="K48" s="372"/>
      <c r="L48" s="264"/>
      <c r="M48" s="217"/>
    </row>
    <row r="49" spans="1:13" ht="16.5">
      <c r="A49" s="28"/>
      <c r="B49" s="245" t="s">
        <v>39</v>
      </c>
      <c r="C49" s="269"/>
      <c r="D49" s="372" t="s">
        <v>15</v>
      </c>
      <c r="E49" s="371">
        <f>16/100</f>
        <v>0.16</v>
      </c>
      <c r="F49" s="217">
        <f>E49*F48</f>
        <v>9.6</v>
      </c>
      <c r="G49" s="371"/>
      <c r="H49" s="217"/>
      <c r="I49" s="371"/>
      <c r="J49" s="262"/>
      <c r="K49" s="371"/>
      <c r="L49" s="371"/>
      <c r="M49" s="217"/>
    </row>
    <row r="50" spans="1:13" ht="16.5">
      <c r="A50" s="28"/>
      <c r="B50" s="245" t="s">
        <v>24</v>
      </c>
      <c r="C50" s="269"/>
      <c r="D50" s="372" t="s">
        <v>0</v>
      </c>
      <c r="E50" s="371">
        <f>(0.32)/100</f>
        <v>0.0032</v>
      </c>
      <c r="F50" s="217">
        <f>E50*F48</f>
        <v>0.192</v>
      </c>
      <c r="G50" s="371"/>
      <c r="H50" s="371"/>
      <c r="I50" s="371"/>
      <c r="J50" s="262"/>
      <c r="K50" s="371"/>
      <c r="L50" s="217"/>
      <c r="M50" s="217"/>
    </row>
    <row r="51" spans="1:13" ht="16.5">
      <c r="A51" s="28"/>
      <c r="B51" s="371" t="s">
        <v>22</v>
      </c>
      <c r="C51" s="269"/>
      <c r="D51" s="371"/>
      <c r="E51" s="372"/>
      <c r="F51" s="262"/>
      <c r="G51" s="371"/>
      <c r="H51" s="371"/>
      <c r="I51" s="371"/>
      <c r="J51" s="262"/>
      <c r="K51" s="371"/>
      <c r="L51" s="217"/>
      <c r="M51" s="217"/>
    </row>
    <row r="52" spans="1:13" ht="16.5" customHeight="1">
      <c r="A52" s="28"/>
      <c r="B52" s="245" t="s">
        <v>272</v>
      </c>
      <c r="C52" s="404" t="s">
        <v>494</v>
      </c>
      <c r="D52" s="371" t="s">
        <v>13</v>
      </c>
      <c r="E52" s="372">
        <v>0.00126</v>
      </c>
      <c r="F52" s="263">
        <f>E52*F48</f>
        <v>0.0756</v>
      </c>
      <c r="G52" s="265"/>
      <c r="H52" s="266"/>
      <c r="I52" s="255"/>
      <c r="J52" s="255"/>
      <c r="K52" s="265"/>
      <c r="L52" s="265"/>
      <c r="M52" s="217"/>
    </row>
    <row r="53" spans="1:13" ht="21" customHeight="1">
      <c r="A53" s="28"/>
      <c r="B53" s="245" t="s">
        <v>273</v>
      </c>
      <c r="C53" s="404" t="s">
        <v>274</v>
      </c>
      <c r="D53" s="371" t="s">
        <v>103</v>
      </c>
      <c r="E53" s="372">
        <f>(111)/100</f>
        <v>1.11</v>
      </c>
      <c r="F53" s="217">
        <f>E53*F48</f>
        <v>66.60000000000001</v>
      </c>
      <c r="G53" s="265"/>
      <c r="H53" s="266"/>
      <c r="I53" s="255"/>
      <c r="J53" s="255"/>
      <c r="K53" s="265"/>
      <c r="L53" s="265"/>
      <c r="M53" s="217"/>
    </row>
    <row r="54" spans="1:13" ht="66">
      <c r="A54" s="74">
        <v>9</v>
      </c>
      <c r="B54" s="248" t="s">
        <v>275</v>
      </c>
      <c r="C54" s="246" t="s">
        <v>276</v>
      </c>
      <c r="D54" s="215" t="s">
        <v>103</v>
      </c>
      <c r="E54" s="215"/>
      <c r="F54" s="272">
        <v>142</v>
      </c>
      <c r="G54" s="215"/>
      <c r="H54" s="217"/>
      <c r="I54" s="215"/>
      <c r="J54" s="239"/>
      <c r="K54" s="215"/>
      <c r="L54" s="217"/>
      <c r="M54" s="218"/>
    </row>
    <row r="55" spans="1:13" ht="16.5">
      <c r="A55" s="375"/>
      <c r="B55" s="214" t="s">
        <v>12</v>
      </c>
      <c r="C55" s="371"/>
      <c r="D55" s="265" t="s">
        <v>15</v>
      </c>
      <c r="E55" s="265">
        <v>0.814</v>
      </c>
      <c r="F55" s="273">
        <f>F54*E55</f>
        <v>115.588</v>
      </c>
      <c r="G55" s="265"/>
      <c r="H55" s="265"/>
      <c r="I55" s="372"/>
      <c r="J55" s="239"/>
      <c r="K55" s="372"/>
      <c r="L55" s="218"/>
      <c r="M55" s="218"/>
    </row>
    <row r="56" spans="1:13" ht="16.5">
      <c r="A56" s="375"/>
      <c r="B56" s="214" t="s">
        <v>14</v>
      </c>
      <c r="C56" s="371"/>
      <c r="D56" s="265" t="s">
        <v>0</v>
      </c>
      <c r="E56" s="265">
        <v>0.0138</v>
      </c>
      <c r="F56" s="273">
        <f>E56*F54</f>
        <v>1.9596</v>
      </c>
      <c r="G56" s="265"/>
      <c r="H56" s="265"/>
      <c r="I56" s="372"/>
      <c r="J56" s="239"/>
      <c r="K56" s="372"/>
      <c r="L56" s="218"/>
      <c r="M56" s="218"/>
    </row>
    <row r="57" spans="1:13" ht="16.5">
      <c r="A57" s="78"/>
      <c r="B57" s="371" t="s">
        <v>56</v>
      </c>
      <c r="C57" s="269"/>
      <c r="D57" s="265"/>
      <c r="E57" s="265"/>
      <c r="F57" s="273"/>
      <c r="G57" s="265"/>
      <c r="H57" s="265"/>
      <c r="I57" s="372"/>
      <c r="J57" s="262"/>
      <c r="K57" s="371"/>
      <c r="L57" s="217"/>
      <c r="M57" s="217"/>
    </row>
    <row r="58" spans="1:13" ht="33">
      <c r="A58" s="268"/>
      <c r="B58" s="214" t="s">
        <v>277</v>
      </c>
      <c r="C58" s="269" t="s">
        <v>92</v>
      </c>
      <c r="D58" s="371" t="s">
        <v>31</v>
      </c>
      <c r="E58" s="371">
        <v>0.028</v>
      </c>
      <c r="F58" s="217">
        <f>F54*E58</f>
        <v>3.976</v>
      </c>
      <c r="G58" s="217"/>
      <c r="H58" s="217"/>
      <c r="I58" s="371"/>
      <c r="J58" s="262"/>
      <c r="K58" s="371"/>
      <c r="L58" s="217"/>
      <c r="M58" s="217"/>
    </row>
    <row r="59" spans="1:13" ht="16.5">
      <c r="A59" s="78"/>
      <c r="B59" s="214" t="s">
        <v>18</v>
      </c>
      <c r="C59" s="269"/>
      <c r="D59" s="265" t="s">
        <v>0</v>
      </c>
      <c r="E59" s="265">
        <v>0.0024</v>
      </c>
      <c r="F59" s="273">
        <f>E59*F54</f>
        <v>0.3408</v>
      </c>
      <c r="G59" s="265"/>
      <c r="H59" s="273"/>
      <c r="I59" s="372"/>
      <c r="J59" s="262"/>
      <c r="K59" s="371"/>
      <c r="L59" s="217"/>
      <c r="M59" s="217"/>
    </row>
    <row r="60" spans="1:13" ht="49.5">
      <c r="A60" s="270">
        <v>10</v>
      </c>
      <c r="B60" s="271" t="s">
        <v>278</v>
      </c>
      <c r="C60" s="269" t="s">
        <v>265</v>
      </c>
      <c r="D60" s="371" t="s">
        <v>261</v>
      </c>
      <c r="E60" s="371"/>
      <c r="F60" s="263">
        <v>0.6</v>
      </c>
      <c r="G60" s="372"/>
      <c r="H60" s="264"/>
      <c r="I60" s="372"/>
      <c r="J60" s="239"/>
      <c r="K60" s="372"/>
      <c r="L60" s="264"/>
      <c r="M60" s="217"/>
    </row>
    <row r="61" spans="1:13" ht="20.25" customHeight="1">
      <c r="A61" s="268"/>
      <c r="B61" s="245" t="s">
        <v>39</v>
      </c>
      <c r="C61" s="371"/>
      <c r="D61" s="371" t="s">
        <v>15</v>
      </c>
      <c r="E61" s="372">
        <f>14.3+0.07*15</f>
        <v>15.350000000000001</v>
      </c>
      <c r="F61" s="217">
        <f>F60*E61</f>
        <v>9.21</v>
      </c>
      <c r="G61" s="371"/>
      <c r="H61" s="217"/>
      <c r="I61" s="217"/>
      <c r="J61" s="262"/>
      <c r="K61" s="371"/>
      <c r="L61" s="217"/>
      <c r="M61" s="217"/>
    </row>
    <row r="62" spans="1:13" ht="18.75" customHeight="1">
      <c r="A62" s="268"/>
      <c r="B62" s="214" t="s">
        <v>41</v>
      </c>
      <c r="C62" s="269"/>
      <c r="D62" s="371" t="s">
        <v>0</v>
      </c>
      <c r="E62" s="371">
        <v>0.74</v>
      </c>
      <c r="F62" s="217">
        <f>F60*E62</f>
        <v>0.444</v>
      </c>
      <c r="G62" s="371"/>
      <c r="H62" s="217"/>
      <c r="I62" s="371"/>
      <c r="J62" s="262"/>
      <c r="K62" s="371"/>
      <c r="L62" s="217"/>
      <c r="M62" s="217"/>
    </row>
    <row r="63" spans="1:13" ht="16.5">
      <c r="A63" s="268"/>
      <c r="B63" s="371" t="s">
        <v>56</v>
      </c>
      <c r="C63" s="269"/>
      <c r="D63" s="371"/>
      <c r="E63" s="371"/>
      <c r="F63" s="217"/>
      <c r="G63" s="371"/>
      <c r="H63" s="217"/>
      <c r="I63" s="371"/>
      <c r="J63" s="262"/>
      <c r="K63" s="371"/>
      <c r="L63" s="217"/>
      <c r="M63" s="217"/>
    </row>
    <row r="64" spans="1:13" ht="25.5" customHeight="1">
      <c r="A64" s="268"/>
      <c r="B64" s="214" t="s">
        <v>279</v>
      </c>
      <c r="C64" s="405" t="s">
        <v>492</v>
      </c>
      <c r="D64" s="371" t="s">
        <v>31</v>
      </c>
      <c r="E64" s="371">
        <f>1.58+0.105*15</f>
        <v>3.1550000000000002</v>
      </c>
      <c r="F64" s="217">
        <f>F59*E64</f>
        <v>1.075224</v>
      </c>
      <c r="G64" s="217"/>
      <c r="H64" s="217"/>
      <c r="I64" s="371"/>
      <c r="J64" s="262"/>
      <c r="K64" s="371"/>
      <c r="L64" s="217"/>
      <c r="M64" s="217"/>
    </row>
    <row r="65" spans="1:13" ht="23.25" customHeight="1">
      <c r="A65" s="268"/>
      <c r="B65" s="214" t="s">
        <v>18</v>
      </c>
      <c r="C65" s="269"/>
      <c r="D65" s="371" t="s">
        <v>0</v>
      </c>
      <c r="E65" s="371">
        <v>6.4</v>
      </c>
      <c r="F65" s="217">
        <f>F60*E65</f>
        <v>3.84</v>
      </c>
      <c r="G65" s="371"/>
      <c r="H65" s="217"/>
      <c r="I65" s="371"/>
      <c r="J65" s="262"/>
      <c r="K65" s="371"/>
      <c r="L65" s="217"/>
      <c r="M65" s="217"/>
    </row>
    <row r="66" spans="1:13" ht="33">
      <c r="A66" s="270">
        <v>11</v>
      </c>
      <c r="B66" s="271" t="s">
        <v>280</v>
      </c>
      <c r="C66" s="274">
        <v>37541</v>
      </c>
      <c r="D66" s="375" t="s">
        <v>20</v>
      </c>
      <c r="E66" s="375"/>
      <c r="F66" s="115">
        <v>60</v>
      </c>
      <c r="G66" s="375"/>
      <c r="H66" s="375"/>
      <c r="I66" s="375"/>
      <c r="J66" s="375"/>
      <c r="K66" s="375"/>
      <c r="L66" s="375"/>
      <c r="M66" s="375"/>
    </row>
    <row r="67" spans="1:13" ht="16.5">
      <c r="A67" s="268"/>
      <c r="B67" s="245" t="s">
        <v>39</v>
      </c>
      <c r="C67" s="367"/>
      <c r="D67" s="376" t="s">
        <v>15</v>
      </c>
      <c r="E67" s="375">
        <v>0.1535</v>
      </c>
      <c r="F67" s="70">
        <f>E67*F66</f>
        <v>9.209999999999999</v>
      </c>
      <c r="G67" s="375"/>
      <c r="H67" s="70"/>
      <c r="I67" s="375"/>
      <c r="J67" s="70"/>
      <c r="K67" s="375"/>
      <c r="L67" s="375"/>
      <c r="M67" s="70"/>
    </row>
    <row r="68" spans="1:13" ht="16.5">
      <c r="A68" s="268"/>
      <c r="B68" s="214" t="s">
        <v>41</v>
      </c>
      <c r="C68" s="367"/>
      <c r="D68" s="376" t="s">
        <v>0</v>
      </c>
      <c r="E68" s="375">
        <v>0.74</v>
      </c>
      <c r="F68" s="70">
        <f>E68*F66</f>
        <v>44.4</v>
      </c>
      <c r="G68" s="375"/>
      <c r="H68" s="375"/>
      <c r="I68" s="375"/>
      <c r="J68" s="375"/>
      <c r="K68" s="375"/>
      <c r="L68" s="70"/>
      <c r="M68" s="70"/>
    </row>
    <row r="69" spans="1:13" ht="16.5">
      <c r="A69" s="268"/>
      <c r="B69" s="371" t="s">
        <v>56</v>
      </c>
      <c r="C69" s="269"/>
      <c r="D69" s="371"/>
      <c r="E69" s="371"/>
      <c r="F69" s="217"/>
      <c r="G69" s="371"/>
      <c r="H69" s="217"/>
      <c r="I69" s="371"/>
      <c r="J69" s="262"/>
      <c r="K69" s="371"/>
      <c r="L69" s="217"/>
      <c r="M69" s="217"/>
    </row>
    <row r="70" spans="1:13" ht="24" customHeight="1">
      <c r="A70" s="268"/>
      <c r="B70" s="214" t="s">
        <v>281</v>
      </c>
      <c r="C70" s="252" t="s">
        <v>495</v>
      </c>
      <c r="D70" s="371" t="s">
        <v>103</v>
      </c>
      <c r="E70" s="371">
        <v>1</v>
      </c>
      <c r="F70" s="217">
        <f>F66*E70</f>
        <v>60</v>
      </c>
      <c r="G70" s="217"/>
      <c r="H70" s="217"/>
      <c r="I70" s="371"/>
      <c r="J70" s="262"/>
      <c r="K70" s="371"/>
      <c r="L70" s="217"/>
      <c r="M70" s="217"/>
    </row>
    <row r="71" spans="1:13" ht="16.5">
      <c r="A71" s="268"/>
      <c r="B71" s="214" t="s">
        <v>18</v>
      </c>
      <c r="C71" s="269"/>
      <c r="D71" s="371" t="s">
        <v>0</v>
      </c>
      <c r="E71" s="371">
        <v>0.064</v>
      </c>
      <c r="F71" s="217">
        <f>F66*E71</f>
        <v>3.84</v>
      </c>
      <c r="G71" s="371"/>
      <c r="H71" s="217"/>
      <c r="I71" s="371"/>
      <c r="J71" s="262"/>
      <c r="K71" s="371"/>
      <c r="L71" s="217"/>
      <c r="M71" s="217"/>
    </row>
    <row r="72" spans="1:13" ht="16.5">
      <c r="A72" s="74">
        <v>12</v>
      </c>
      <c r="B72" s="248" t="s">
        <v>282</v>
      </c>
      <c r="C72" s="246" t="s">
        <v>283</v>
      </c>
      <c r="D72" s="215" t="s">
        <v>34</v>
      </c>
      <c r="E72" s="215"/>
      <c r="F72" s="272">
        <v>2</v>
      </c>
      <c r="G72" s="215"/>
      <c r="H72" s="217"/>
      <c r="I72" s="215"/>
      <c r="J72" s="239"/>
      <c r="K72" s="215"/>
      <c r="L72" s="217"/>
      <c r="M72" s="218"/>
    </row>
    <row r="73" spans="1:13" ht="16.5">
      <c r="A73" s="78"/>
      <c r="B73" s="245" t="s">
        <v>39</v>
      </c>
      <c r="C73" s="371"/>
      <c r="D73" s="372" t="s">
        <v>15</v>
      </c>
      <c r="E73" s="218">
        <v>1.54</v>
      </c>
      <c r="F73" s="218">
        <f>F72*E73</f>
        <v>3.08</v>
      </c>
      <c r="G73" s="371"/>
      <c r="H73" s="217"/>
      <c r="I73" s="371"/>
      <c r="J73" s="262"/>
      <c r="K73" s="371"/>
      <c r="L73" s="371"/>
      <c r="M73" s="217"/>
    </row>
    <row r="74" spans="1:13" ht="16.5">
      <c r="A74" s="28"/>
      <c r="B74" s="245" t="s">
        <v>24</v>
      </c>
      <c r="C74" s="371"/>
      <c r="D74" s="372" t="s">
        <v>0</v>
      </c>
      <c r="E74" s="371">
        <v>0.09</v>
      </c>
      <c r="F74" s="217">
        <f>E74*F72</f>
        <v>0.18</v>
      </c>
      <c r="G74" s="371"/>
      <c r="H74" s="371"/>
      <c r="I74" s="371"/>
      <c r="J74" s="262"/>
      <c r="K74" s="371"/>
      <c r="L74" s="217"/>
      <c r="M74" s="217"/>
    </row>
    <row r="75" spans="1:13" ht="16.5">
      <c r="A75" s="375"/>
      <c r="B75" s="371" t="s">
        <v>22</v>
      </c>
      <c r="C75" s="371"/>
      <c r="D75" s="371"/>
      <c r="E75" s="263"/>
      <c r="F75" s="217"/>
      <c r="G75" s="372"/>
      <c r="H75" s="264"/>
      <c r="I75" s="372"/>
      <c r="J75" s="239"/>
      <c r="K75" s="372"/>
      <c r="L75" s="264"/>
      <c r="M75" s="217"/>
    </row>
    <row r="76" spans="1:13" ht="16.5">
      <c r="A76" s="78"/>
      <c r="B76" s="245" t="s">
        <v>284</v>
      </c>
      <c r="C76" s="404" t="s">
        <v>496</v>
      </c>
      <c r="D76" s="372" t="s">
        <v>34</v>
      </c>
      <c r="E76" s="218">
        <v>1</v>
      </c>
      <c r="F76" s="247">
        <f>E76*F72</f>
        <v>2</v>
      </c>
      <c r="G76" s="265"/>
      <c r="H76" s="266"/>
      <c r="I76" s="255"/>
      <c r="J76" s="255"/>
      <c r="K76" s="265"/>
      <c r="L76" s="265"/>
      <c r="M76" s="217"/>
    </row>
    <row r="77" spans="1:13" ht="22.5" customHeight="1">
      <c r="A77" s="78"/>
      <c r="B77" s="245" t="s">
        <v>279</v>
      </c>
      <c r="C77" s="401" t="s">
        <v>497</v>
      </c>
      <c r="D77" s="372" t="s">
        <v>31</v>
      </c>
      <c r="E77" s="247">
        <v>0.014</v>
      </c>
      <c r="F77" s="247">
        <f>E77*F72</f>
        <v>0.028</v>
      </c>
      <c r="G77" s="265"/>
      <c r="H77" s="266"/>
      <c r="I77" s="255"/>
      <c r="J77" s="255"/>
      <c r="K77" s="265"/>
      <c r="L77" s="265"/>
      <c r="M77" s="217"/>
    </row>
    <row r="78" spans="1:13" ht="21">
      <c r="A78" s="458">
        <v>13</v>
      </c>
      <c r="B78" s="111" t="s">
        <v>151</v>
      </c>
      <c r="C78" s="124" t="s">
        <v>116</v>
      </c>
      <c r="D78" s="275" t="s">
        <v>31</v>
      </c>
      <c r="E78" s="276"/>
      <c r="F78" s="272">
        <v>220</v>
      </c>
      <c r="G78" s="215"/>
      <c r="H78" s="217"/>
      <c r="I78" s="215"/>
      <c r="J78" s="239"/>
      <c r="K78" s="215"/>
      <c r="L78" s="217"/>
      <c r="M78" s="218"/>
    </row>
    <row r="79" spans="1:13" ht="16.5">
      <c r="A79" s="459"/>
      <c r="B79" s="5" t="s">
        <v>152</v>
      </c>
      <c r="C79" s="103" t="s">
        <v>285</v>
      </c>
      <c r="D79" s="141" t="s">
        <v>21</v>
      </c>
      <c r="E79" s="105">
        <f>9.21/1000</f>
        <v>0.009210000000000001</v>
      </c>
      <c r="F79" s="218">
        <f>F78*E79</f>
        <v>2.0262000000000002</v>
      </c>
      <c r="G79" s="372"/>
      <c r="H79" s="218"/>
      <c r="I79" s="372"/>
      <c r="J79" s="239"/>
      <c r="K79" s="375"/>
      <c r="L79" s="218"/>
      <c r="M79" s="218"/>
    </row>
    <row r="80" spans="1:13" ht="27" customHeight="1">
      <c r="A80" s="41">
        <v>14</v>
      </c>
      <c r="B80" s="214" t="s">
        <v>286</v>
      </c>
      <c r="C80" s="400" t="s">
        <v>287</v>
      </c>
      <c r="D80" s="371" t="s">
        <v>23</v>
      </c>
      <c r="E80" s="371"/>
      <c r="F80" s="277">
        <v>3</v>
      </c>
      <c r="G80" s="278"/>
      <c r="H80" s="279"/>
      <c r="I80" s="280"/>
      <c r="J80" s="281"/>
      <c r="K80" s="280"/>
      <c r="L80" s="279"/>
      <c r="M80" s="279"/>
    </row>
    <row r="81" spans="1:13" ht="15" customHeight="1">
      <c r="A81" s="41"/>
      <c r="B81" s="282" t="s">
        <v>40</v>
      </c>
      <c r="C81" s="283"/>
      <c r="D81" s="280" t="s">
        <v>15</v>
      </c>
      <c r="E81" s="371">
        <v>2.78</v>
      </c>
      <c r="F81" s="279">
        <f>F80*E81</f>
        <v>8.34</v>
      </c>
      <c r="G81" s="284"/>
      <c r="H81" s="285"/>
      <c r="I81" s="280"/>
      <c r="J81" s="281"/>
      <c r="K81" s="280"/>
      <c r="L81" s="279"/>
      <c r="M81" s="279"/>
    </row>
    <row r="82" spans="1:13" ht="17.25" customHeight="1">
      <c r="A82" s="41"/>
      <c r="B82" s="282" t="s">
        <v>41</v>
      </c>
      <c r="C82" s="286"/>
      <c r="D82" s="280" t="s">
        <v>0</v>
      </c>
      <c r="E82" s="371">
        <v>0.12</v>
      </c>
      <c r="F82" s="279">
        <f>F80*E82</f>
        <v>0.36</v>
      </c>
      <c r="G82" s="280"/>
      <c r="H82" s="279"/>
      <c r="I82" s="280"/>
      <c r="J82" s="281"/>
      <c r="K82" s="280"/>
      <c r="L82" s="279"/>
      <c r="M82" s="279"/>
    </row>
    <row r="83" spans="1:13" ht="16.5">
      <c r="A83" s="41"/>
      <c r="B83" s="371" t="s">
        <v>56</v>
      </c>
      <c r="C83" s="286"/>
      <c r="D83" s="280"/>
      <c r="E83" s="371"/>
      <c r="F83" s="280"/>
      <c r="G83" s="280"/>
      <c r="H83" s="279"/>
      <c r="I83" s="280"/>
      <c r="J83" s="281"/>
      <c r="K83" s="280"/>
      <c r="L83" s="279"/>
      <c r="M83" s="279"/>
    </row>
    <row r="84" spans="1:13" ht="18" customHeight="1">
      <c r="A84" s="41"/>
      <c r="B84" s="282" t="s">
        <v>288</v>
      </c>
      <c r="C84" s="406" t="s">
        <v>92</v>
      </c>
      <c r="D84" s="280" t="s">
        <v>23</v>
      </c>
      <c r="E84" s="371">
        <v>1</v>
      </c>
      <c r="F84" s="280">
        <f>F80*E84</f>
        <v>3</v>
      </c>
      <c r="G84" s="280"/>
      <c r="H84" s="279"/>
      <c r="I84" s="280"/>
      <c r="J84" s="281"/>
      <c r="K84" s="280"/>
      <c r="L84" s="279"/>
      <c r="M84" s="279"/>
    </row>
    <row r="85" spans="1:13" ht="12.75" customHeight="1">
      <c r="A85" s="41"/>
      <c r="B85" s="282" t="s">
        <v>18</v>
      </c>
      <c r="C85" s="286"/>
      <c r="D85" s="280" t="s">
        <v>0</v>
      </c>
      <c r="E85" s="371">
        <v>1.25</v>
      </c>
      <c r="F85" s="280">
        <f>F80*E85</f>
        <v>3.75</v>
      </c>
      <c r="G85" s="280"/>
      <c r="H85" s="279"/>
      <c r="I85" s="280"/>
      <c r="J85" s="281"/>
      <c r="K85" s="280"/>
      <c r="L85" s="279"/>
      <c r="M85" s="279"/>
    </row>
    <row r="86" spans="1:13" ht="13.5">
      <c r="A86" s="375">
        <v>15</v>
      </c>
      <c r="B86" s="72" t="s">
        <v>73</v>
      </c>
      <c r="C86" s="28" t="s">
        <v>71</v>
      </c>
      <c r="D86" s="376" t="s">
        <v>23</v>
      </c>
      <c r="E86" s="376"/>
      <c r="F86" s="35">
        <f>F90</f>
        <v>12</v>
      </c>
      <c r="G86" s="36"/>
      <c r="H86" s="84"/>
      <c r="I86" s="376"/>
      <c r="J86" s="84"/>
      <c r="K86" s="376"/>
      <c r="L86" s="84"/>
      <c r="M86" s="87"/>
    </row>
    <row r="87" spans="1:13" ht="13.5">
      <c r="A87" s="375"/>
      <c r="B87" s="72" t="s">
        <v>12</v>
      </c>
      <c r="C87" s="375"/>
      <c r="D87" s="376" t="s">
        <v>15</v>
      </c>
      <c r="E87" s="376">
        <v>0.389</v>
      </c>
      <c r="F87" s="71">
        <f>F86*E87</f>
        <v>4.668</v>
      </c>
      <c r="G87" s="376"/>
      <c r="H87" s="84"/>
      <c r="I87" s="376"/>
      <c r="J87" s="84"/>
      <c r="K87" s="376"/>
      <c r="L87" s="84"/>
      <c r="M87" s="87"/>
    </row>
    <row r="88" spans="1:13" ht="13.5">
      <c r="A88" s="375"/>
      <c r="B88" s="72" t="s">
        <v>14</v>
      </c>
      <c r="C88" s="375"/>
      <c r="D88" s="375" t="s">
        <v>0</v>
      </c>
      <c r="E88" s="376">
        <v>0.151</v>
      </c>
      <c r="F88" s="73">
        <f>E88*F86</f>
        <v>1.8119999999999998</v>
      </c>
      <c r="G88" s="376"/>
      <c r="H88" s="84"/>
      <c r="I88" s="376"/>
      <c r="J88" s="84"/>
      <c r="K88" s="376"/>
      <c r="L88" s="84"/>
      <c r="M88" s="87"/>
    </row>
    <row r="89" spans="1:13" ht="13.5">
      <c r="A89" s="78"/>
      <c r="B89" s="375" t="s">
        <v>56</v>
      </c>
      <c r="C89" s="31"/>
      <c r="D89" s="375"/>
      <c r="E89" s="375"/>
      <c r="F89" s="70"/>
      <c r="G89" s="375"/>
      <c r="H89" s="83"/>
      <c r="I89" s="376"/>
      <c r="J89" s="83"/>
      <c r="K89" s="375"/>
      <c r="L89" s="83"/>
      <c r="M89" s="87"/>
    </row>
    <row r="90" spans="1:13" ht="15.75">
      <c r="A90" s="78"/>
      <c r="B90" s="39" t="s">
        <v>235</v>
      </c>
      <c r="C90" s="31" t="s">
        <v>92</v>
      </c>
      <c r="D90" s="375" t="s">
        <v>23</v>
      </c>
      <c r="E90" s="375"/>
      <c r="F90" s="220">
        <v>12</v>
      </c>
      <c r="G90" s="407"/>
      <c r="H90" s="83"/>
      <c r="I90" s="376"/>
      <c r="J90" s="83"/>
      <c r="K90" s="375"/>
      <c r="L90" s="83"/>
      <c r="M90" s="87"/>
    </row>
    <row r="91" spans="1:13" ht="13.5">
      <c r="A91" s="375">
        <v>16</v>
      </c>
      <c r="B91" s="72" t="s">
        <v>74</v>
      </c>
      <c r="C91" s="28" t="s">
        <v>68</v>
      </c>
      <c r="D91" s="376" t="s">
        <v>23</v>
      </c>
      <c r="E91" s="376"/>
      <c r="F91" s="35">
        <f>SUM(F95:F95)</f>
        <v>2</v>
      </c>
      <c r="G91" s="36"/>
      <c r="H91" s="84"/>
      <c r="I91" s="376"/>
      <c r="J91" s="84"/>
      <c r="K91" s="376"/>
      <c r="L91" s="84"/>
      <c r="M91" s="84"/>
    </row>
    <row r="92" spans="1:13" ht="13.5">
      <c r="A92" s="375"/>
      <c r="B92" s="72" t="s">
        <v>12</v>
      </c>
      <c r="C92" s="375"/>
      <c r="D92" s="376" t="s">
        <v>15</v>
      </c>
      <c r="E92" s="376">
        <v>0.584</v>
      </c>
      <c r="F92" s="71">
        <f>F91*E92</f>
        <v>1.168</v>
      </c>
      <c r="G92" s="376"/>
      <c r="H92" s="84"/>
      <c r="I92" s="376"/>
      <c r="J92" s="84"/>
      <c r="K92" s="376"/>
      <c r="L92" s="84"/>
      <c r="M92" s="84"/>
    </row>
    <row r="93" spans="1:13" ht="13.5">
      <c r="A93" s="375"/>
      <c r="B93" s="72" t="s">
        <v>14</v>
      </c>
      <c r="C93" s="375"/>
      <c r="D93" s="375" t="s">
        <v>0</v>
      </c>
      <c r="E93" s="376">
        <v>0.227</v>
      </c>
      <c r="F93" s="73">
        <f>E93*F91</f>
        <v>0.454</v>
      </c>
      <c r="G93" s="376"/>
      <c r="H93" s="84"/>
      <c r="I93" s="376"/>
      <c r="J93" s="84"/>
      <c r="K93" s="376"/>
      <c r="L93" s="84"/>
      <c r="M93" s="84"/>
    </row>
    <row r="94" spans="1:13" ht="13.5">
      <c r="A94" s="78"/>
      <c r="B94" s="375" t="s">
        <v>56</v>
      </c>
      <c r="C94" s="31"/>
      <c r="D94" s="375"/>
      <c r="E94" s="375"/>
      <c r="F94" s="70"/>
      <c r="G94" s="375"/>
      <c r="H94" s="83"/>
      <c r="I94" s="376"/>
      <c r="J94" s="83"/>
      <c r="K94" s="375"/>
      <c r="L94" s="83"/>
      <c r="M94" s="83"/>
    </row>
    <row r="95" spans="1:13" ht="15.75">
      <c r="A95" s="78"/>
      <c r="B95" s="40" t="s">
        <v>289</v>
      </c>
      <c r="C95" s="31" t="s">
        <v>92</v>
      </c>
      <c r="D95" s="287" t="s">
        <v>69</v>
      </c>
      <c r="E95" s="375">
        <v>1</v>
      </c>
      <c r="F95" s="221">
        <v>2</v>
      </c>
      <c r="G95" s="394"/>
      <c r="H95" s="83"/>
      <c r="I95" s="376"/>
      <c r="J95" s="83"/>
      <c r="K95" s="375"/>
      <c r="L95" s="83"/>
      <c r="M95" s="83"/>
    </row>
    <row r="96" spans="1:13" ht="13.5">
      <c r="A96" s="78"/>
      <c r="B96" s="72" t="s">
        <v>18</v>
      </c>
      <c r="C96" s="31"/>
      <c r="D96" s="375" t="s">
        <v>0</v>
      </c>
      <c r="E96" s="375">
        <v>0.024</v>
      </c>
      <c r="F96" s="82">
        <f>E96*F91</f>
        <v>0.048</v>
      </c>
      <c r="G96" s="375"/>
      <c r="H96" s="83"/>
      <c r="I96" s="376"/>
      <c r="J96" s="83"/>
      <c r="K96" s="375"/>
      <c r="L96" s="83"/>
      <c r="M96" s="83"/>
    </row>
    <row r="97" spans="1:13" ht="13.5">
      <c r="A97" s="375">
        <v>17</v>
      </c>
      <c r="B97" s="72" t="s">
        <v>290</v>
      </c>
      <c r="C97" s="28" t="s">
        <v>71</v>
      </c>
      <c r="D97" s="376" t="s">
        <v>23</v>
      </c>
      <c r="E97" s="376"/>
      <c r="F97" s="35">
        <f>SUM(F101:F101)</f>
        <v>2</v>
      </c>
      <c r="G97" s="36"/>
      <c r="H97" s="84"/>
      <c r="I97" s="376"/>
      <c r="J97" s="84"/>
      <c r="K97" s="376"/>
      <c r="L97" s="84"/>
      <c r="M97" s="87"/>
    </row>
    <row r="98" spans="1:13" ht="13.5">
      <c r="A98" s="375"/>
      <c r="B98" s="72" t="s">
        <v>12</v>
      </c>
      <c r="C98" s="375"/>
      <c r="D98" s="376" t="s">
        <v>15</v>
      </c>
      <c r="E98" s="376">
        <v>0.389</v>
      </c>
      <c r="F98" s="71">
        <f>F97*E98</f>
        <v>0.778</v>
      </c>
      <c r="G98" s="376"/>
      <c r="H98" s="84"/>
      <c r="I98" s="376"/>
      <c r="J98" s="84"/>
      <c r="K98" s="376"/>
      <c r="L98" s="84"/>
      <c r="M98" s="87"/>
    </row>
    <row r="99" spans="1:13" ht="13.5">
      <c r="A99" s="375"/>
      <c r="B99" s="72" t="s">
        <v>14</v>
      </c>
      <c r="C99" s="375"/>
      <c r="D99" s="375" t="s">
        <v>0</v>
      </c>
      <c r="E99" s="376">
        <v>0.151</v>
      </c>
      <c r="F99" s="73">
        <f>E99*F97</f>
        <v>0.302</v>
      </c>
      <c r="G99" s="376"/>
      <c r="H99" s="84"/>
      <c r="I99" s="376"/>
      <c r="J99" s="84"/>
      <c r="K99" s="376"/>
      <c r="L99" s="84"/>
      <c r="M99" s="87"/>
    </row>
    <row r="100" spans="1:13" ht="13.5">
      <c r="A100" s="78"/>
      <c r="B100" s="375" t="s">
        <v>56</v>
      </c>
      <c r="C100" s="31"/>
      <c r="D100" s="375"/>
      <c r="E100" s="375"/>
      <c r="F100" s="70"/>
      <c r="G100" s="375"/>
      <c r="H100" s="83"/>
      <c r="I100" s="376"/>
      <c r="J100" s="83"/>
      <c r="K100" s="375"/>
      <c r="L100" s="83"/>
      <c r="M100" s="87"/>
    </row>
    <row r="101" spans="1:13" ht="18">
      <c r="A101" s="78"/>
      <c r="B101" s="38" t="s">
        <v>291</v>
      </c>
      <c r="C101" s="31" t="s">
        <v>92</v>
      </c>
      <c r="D101" s="375" t="s">
        <v>23</v>
      </c>
      <c r="E101" s="375"/>
      <c r="F101" s="70">
        <v>2</v>
      </c>
      <c r="G101" s="392"/>
      <c r="H101" s="83"/>
      <c r="I101" s="376"/>
      <c r="J101" s="83"/>
      <c r="K101" s="375"/>
      <c r="L101" s="83"/>
      <c r="M101" s="87"/>
    </row>
    <row r="102" spans="1:13" ht="13.5">
      <c r="A102" s="78"/>
      <c r="B102" s="72" t="s">
        <v>18</v>
      </c>
      <c r="C102" s="80"/>
      <c r="D102" s="375" t="s">
        <v>0</v>
      </c>
      <c r="E102" s="375">
        <v>0.024</v>
      </c>
      <c r="F102" s="82">
        <f>E102*F97</f>
        <v>0.048</v>
      </c>
      <c r="G102" s="375"/>
      <c r="H102" s="91"/>
      <c r="I102" s="376"/>
      <c r="J102" s="83"/>
      <c r="K102" s="375"/>
      <c r="L102" s="83"/>
      <c r="M102" s="288"/>
    </row>
    <row r="103" spans="1:13" ht="13.5">
      <c r="A103" s="375">
        <v>18</v>
      </c>
      <c r="B103" s="72" t="s">
        <v>292</v>
      </c>
      <c r="C103" s="375" t="s">
        <v>71</v>
      </c>
      <c r="D103" s="376" t="s">
        <v>23</v>
      </c>
      <c r="E103" s="376"/>
      <c r="F103" s="70">
        <v>4</v>
      </c>
      <c r="G103" s="36"/>
      <c r="H103" s="84"/>
      <c r="I103" s="376"/>
      <c r="J103" s="84"/>
      <c r="K103" s="376"/>
      <c r="L103" s="84"/>
      <c r="M103" s="84"/>
    </row>
    <row r="104" spans="1:13" ht="13.5">
      <c r="A104" s="375"/>
      <c r="B104" s="72" t="s">
        <v>12</v>
      </c>
      <c r="C104" s="375"/>
      <c r="D104" s="376" t="s">
        <v>15</v>
      </c>
      <c r="E104" s="376">
        <v>0.389</v>
      </c>
      <c r="F104" s="71">
        <f>F103*E104</f>
        <v>1.556</v>
      </c>
      <c r="G104" s="376"/>
      <c r="H104" s="84"/>
      <c r="I104" s="376"/>
      <c r="J104" s="84"/>
      <c r="K104" s="376"/>
      <c r="L104" s="84"/>
      <c r="M104" s="84"/>
    </row>
    <row r="105" spans="1:13" ht="13.5">
      <c r="A105" s="375"/>
      <c r="B105" s="72" t="s">
        <v>14</v>
      </c>
      <c r="C105" s="375"/>
      <c r="D105" s="375" t="s">
        <v>0</v>
      </c>
      <c r="E105" s="376">
        <v>0.151</v>
      </c>
      <c r="F105" s="73">
        <f>E105*F103</f>
        <v>0.604</v>
      </c>
      <c r="G105" s="376"/>
      <c r="H105" s="84"/>
      <c r="I105" s="376"/>
      <c r="J105" s="84"/>
      <c r="K105" s="376"/>
      <c r="L105" s="84"/>
      <c r="M105" s="84"/>
    </row>
    <row r="106" spans="1:13" ht="13.5">
      <c r="A106" s="78"/>
      <c r="B106" s="375" t="s">
        <v>56</v>
      </c>
      <c r="C106" s="31"/>
      <c r="D106" s="375"/>
      <c r="E106" s="375"/>
      <c r="F106" s="70"/>
      <c r="G106" s="375"/>
      <c r="H106" s="83"/>
      <c r="I106" s="376"/>
      <c r="J106" s="83"/>
      <c r="K106" s="375"/>
      <c r="L106" s="83"/>
      <c r="M106" s="83"/>
    </row>
    <row r="107" spans="1:13" ht="13.5">
      <c r="A107" s="78"/>
      <c r="B107" s="81" t="s">
        <v>234</v>
      </c>
      <c r="C107" s="31" t="s">
        <v>92</v>
      </c>
      <c r="D107" s="375" t="s">
        <v>23</v>
      </c>
      <c r="E107" s="375">
        <v>1</v>
      </c>
      <c r="F107" s="70">
        <f>E107*F103</f>
        <v>4</v>
      </c>
      <c r="G107" s="70"/>
      <c r="H107" s="83"/>
      <c r="I107" s="376"/>
      <c r="J107" s="83"/>
      <c r="K107" s="375"/>
      <c r="L107" s="83"/>
      <c r="M107" s="83"/>
    </row>
    <row r="108" spans="1:13" ht="13.5">
      <c r="A108" s="78"/>
      <c r="B108" s="72" t="s">
        <v>18</v>
      </c>
      <c r="C108" s="31"/>
      <c r="D108" s="375" t="s">
        <v>0</v>
      </c>
      <c r="E108" s="375">
        <v>0.024</v>
      </c>
      <c r="F108" s="70">
        <f>E108*F103</f>
        <v>0.096</v>
      </c>
      <c r="G108" s="375"/>
      <c r="H108" s="83"/>
      <c r="I108" s="376"/>
      <c r="J108" s="83"/>
      <c r="K108" s="375"/>
      <c r="L108" s="83"/>
      <c r="M108" s="83"/>
    </row>
    <row r="109" spans="1:13" ht="13.5">
      <c r="A109" s="375">
        <v>19</v>
      </c>
      <c r="B109" s="72" t="s">
        <v>293</v>
      </c>
      <c r="C109" s="28" t="s">
        <v>538</v>
      </c>
      <c r="D109" s="376" t="s">
        <v>23</v>
      </c>
      <c r="E109" s="376"/>
      <c r="F109" s="70">
        <v>8</v>
      </c>
      <c r="G109" s="36"/>
      <c r="H109" s="84"/>
      <c r="I109" s="376"/>
      <c r="J109" s="84"/>
      <c r="K109" s="376"/>
      <c r="L109" s="84"/>
      <c r="M109" s="84"/>
    </row>
    <row r="110" spans="1:13" ht="13.5">
      <c r="A110" s="375"/>
      <c r="B110" s="72" t="s">
        <v>12</v>
      </c>
      <c r="C110" s="375"/>
      <c r="D110" s="376" t="s">
        <v>15</v>
      </c>
      <c r="E110" s="376">
        <v>0.92</v>
      </c>
      <c r="F110" s="71">
        <f>F109*E110</f>
        <v>7.36</v>
      </c>
      <c r="G110" s="376"/>
      <c r="H110" s="84"/>
      <c r="I110" s="376"/>
      <c r="J110" s="84"/>
      <c r="K110" s="376"/>
      <c r="L110" s="84"/>
      <c r="M110" s="84"/>
    </row>
    <row r="111" spans="1:13" ht="13.5">
      <c r="A111" s="375"/>
      <c r="B111" s="72" t="s">
        <v>14</v>
      </c>
      <c r="C111" s="375"/>
      <c r="D111" s="375" t="s">
        <v>0</v>
      </c>
      <c r="E111" s="376">
        <v>0.58</v>
      </c>
      <c r="F111" s="73">
        <f>E111*F109</f>
        <v>4.64</v>
      </c>
      <c r="G111" s="376"/>
      <c r="H111" s="84"/>
      <c r="I111" s="376"/>
      <c r="J111" s="84"/>
      <c r="K111" s="376"/>
      <c r="L111" s="84"/>
      <c r="M111" s="84"/>
    </row>
    <row r="112" spans="1:13" ht="13.5">
      <c r="A112" s="78"/>
      <c r="B112" s="375" t="s">
        <v>56</v>
      </c>
      <c r="C112" s="31"/>
      <c r="D112" s="375"/>
      <c r="E112" s="375"/>
      <c r="F112" s="70"/>
      <c r="G112" s="375"/>
      <c r="H112" s="83"/>
      <c r="I112" s="376"/>
      <c r="J112" s="83"/>
      <c r="K112" s="375"/>
      <c r="L112" s="83"/>
      <c r="M112" s="83"/>
    </row>
    <row r="113" spans="1:13" ht="13.5">
      <c r="A113" s="78"/>
      <c r="B113" s="81" t="s">
        <v>238</v>
      </c>
      <c r="C113" s="31" t="s">
        <v>92</v>
      </c>
      <c r="D113" s="375" t="s">
        <v>23</v>
      </c>
      <c r="E113" s="375">
        <v>1</v>
      </c>
      <c r="F113" s="70">
        <f>E113*F109</f>
        <v>8</v>
      </c>
      <c r="G113" s="70"/>
      <c r="H113" s="83"/>
      <c r="I113" s="376"/>
      <c r="J113" s="83"/>
      <c r="K113" s="375"/>
      <c r="L113" s="83"/>
      <c r="M113" s="83"/>
    </row>
    <row r="114" spans="1:13" ht="33">
      <c r="A114" s="74">
        <v>20</v>
      </c>
      <c r="B114" s="248" t="s">
        <v>557</v>
      </c>
      <c r="C114" s="246" t="s">
        <v>294</v>
      </c>
      <c r="D114" s="215" t="s">
        <v>20</v>
      </c>
      <c r="E114" s="215"/>
      <c r="F114" s="272">
        <v>20</v>
      </c>
      <c r="G114" s="215"/>
      <c r="H114" s="217"/>
      <c r="I114" s="215"/>
      <c r="J114" s="239"/>
      <c r="K114" s="215"/>
      <c r="L114" s="217"/>
      <c r="M114" s="218"/>
    </row>
    <row r="115" spans="1:13" ht="16.5">
      <c r="A115" s="375"/>
      <c r="B115" s="214" t="s">
        <v>12</v>
      </c>
      <c r="C115" s="371"/>
      <c r="D115" s="372" t="s">
        <v>15</v>
      </c>
      <c r="E115" s="372">
        <v>0.403</v>
      </c>
      <c r="F115" s="218">
        <f>F114*E115</f>
        <v>8.06</v>
      </c>
      <c r="G115" s="372"/>
      <c r="H115" s="218"/>
      <c r="I115" s="372"/>
      <c r="J115" s="239"/>
      <c r="K115" s="372"/>
      <c r="L115" s="218"/>
      <c r="M115" s="218"/>
    </row>
    <row r="116" spans="1:13" ht="21.75" customHeight="1">
      <c r="A116" s="375"/>
      <c r="B116" s="214" t="s">
        <v>14</v>
      </c>
      <c r="C116" s="371"/>
      <c r="D116" s="371" t="s">
        <v>0</v>
      </c>
      <c r="E116" s="372">
        <v>0.105</v>
      </c>
      <c r="F116" s="247">
        <f>E116*F114</f>
        <v>2.1</v>
      </c>
      <c r="G116" s="372"/>
      <c r="H116" s="218"/>
      <c r="I116" s="372"/>
      <c r="J116" s="239"/>
      <c r="K116" s="372"/>
      <c r="L116" s="218"/>
      <c r="M116" s="218"/>
    </row>
    <row r="117" spans="1:13" ht="15.75" customHeight="1">
      <c r="A117" s="78"/>
      <c r="B117" s="371" t="s">
        <v>56</v>
      </c>
      <c r="C117" s="269"/>
      <c r="D117" s="371"/>
      <c r="E117" s="371"/>
      <c r="F117" s="217"/>
      <c r="G117" s="371"/>
      <c r="H117" s="217"/>
      <c r="I117" s="372"/>
      <c r="J117" s="262"/>
      <c r="K117" s="371"/>
      <c r="L117" s="217"/>
      <c r="M117" s="217"/>
    </row>
    <row r="118" spans="1:13" ht="13.5" customHeight="1">
      <c r="A118" s="78"/>
      <c r="B118" s="219" t="s">
        <v>558</v>
      </c>
      <c r="C118" s="269" t="s">
        <v>92</v>
      </c>
      <c r="D118" s="371" t="s">
        <v>20</v>
      </c>
      <c r="E118" s="371">
        <v>0.999</v>
      </c>
      <c r="F118" s="217">
        <f>E118*F114</f>
        <v>19.98</v>
      </c>
      <c r="G118" s="217"/>
      <c r="H118" s="217"/>
      <c r="I118" s="372"/>
      <c r="J118" s="262"/>
      <c r="K118" s="371"/>
      <c r="L118" s="217"/>
      <c r="M118" s="217"/>
    </row>
    <row r="119" spans="1:13" ht="20.25" customHeight="1">
      <c r="A119" s="78"/>
      <c r="B119" s="214" t="s">
        <v>18</v>
      </c>
      <c r="C119" s="269"/>
      <c r="D119" s="371" t="s">
        <v>0</v>
      </c>
      <c r="E119" s="371">
        <v>0.0973</v>
      </c>
      <c r="F119" s="217">
        <f>E119*F114</f>
        <v>1.946</v>
      </c>
      <c r="G119" s="371"/>
      <c r="H119" s="217"/>
      <c r="I119" s="372"/>
      <c r="J119" s="262"/>
      <c r="K119" s="371"/>
      <c r="L119" s="217"/>
      <c r="M119" s="217"/>
    </row>
    <row r="120" spans="1:13" ht="33">
      <c r="A120" s="74">
        <v>21</v>
      </c>
      <c r="B120" s="248" t="s">
        <v>498</v>
      </c>
      <c r="C120" s="246" t="s">
        <v>83</v>
      </c>
      <c r="D120" s="215" t="s">
        <v>25</v>
      </c>
      <c r="E120" s="215"/>
      <c r="F120" s="267">
        <f>(0.35*3*2+0.32+0.32)/10*1</f>
        <v>0.2739999999999999</v>
      </c>
      <c r="G120" s="215"/>
      <c r="H120" s="217"/>
      <c r="I120" s="215"/>
      <c r="J120" s="239"/>
      <c r="K120" s="215"/>
      <c r="L120" s="217"/>
      <c r="M120" s="218"/>
    </row>
    <row r="121" spans="1:13" ht="16.5">
      <c r="A121" s="78"/>
      <c r="B121" s="245" t="s">
        <v>39</v>
      </c>
      <c r="C121" s="371"/>
      <c r="D121" s="372" t="s">
        <v>15</v>
      </c>
      <c r="E121" s="218">
        <v>106</v>
      </c>
      <c r="F121" s="218">
        <f>F120*E121</f>
        <v>29.04399999999999</v>
      </c>
      <c r="G121" s="371"/>
      <c r="H121" s="217"/>
      <c r="I121" s="371"/>
      <c r="J121" s="262"/>
      <c r="K121" s="371"/>
      <c r="L121" s="371"/>
      <c r="M121" s="217"/>
    </row>
    <row r="122" spans="1:13" ht="16.5">
      <c r="A122" s="28"/>
      <c r="B122" s="245" t="s">
        <v>24</v>
      </c>
      <c r="C122" s="371"/>
      <c r="D122" s="372" t="s">
        <v>0</v>
      </c>
      <c r="E122" s="371">
        <v>71.4</v>
      </c>
      <c r="F122" s="217">
        <f>E122*F120</f>
        <v>19.563599999999994</v>
      </c>
      <c r="G122" s="371"/>
      <c r="H122" s="371"/>
      <c r="I122" s="371"/>
      <c r="J122" s="262"/>
      <c r="K122" s="371"/>
      <c r="L122" s="217"/>
      <c r="M122" s="217"/>
    </row>
    <row r="123" spans="1:13" ht="16.5">
      <c r="A123" s="375"/>
      <c r="B123" s="371" t="s">
        <v>22</v>
      </c>
      <c r="C123" s="371"/>
      <c r="D123" s="371"/>
      <c r="E123" s="263"/>
      <c r="F123" s="217"/>
      <c r="G123" s="372"/>
      <c r="H123" s="264"/>
      <c r="I123" s="372"/>
      <c r="J123" s="239"/>
      <c r="K123" s="372"/>
      <c r="L123" s="264"/>
      <c r="M123" s="217"/>
    </row>
    <row r="124" spans="1:13" ht="16.5">
      <c r="A124" s="78"/>
      <c r="B124" s="245" t="s">
        <v>499</v>
      </c>
      <c r="C124" s="398" t="s">
        <v>500</v>
      </c>
      <c r="D124" s="372" t="s">
        <v>23</v>
      </c>
      <c r="E124" s="218"/>
      <c r="F124" s="218">
        <v>3</v>
      </c>
      <c r="G124" s="265"/>
      <c r="H124" s="266"/>
      <c r="I124" s="255"/>
      <c r="J124" s="255"/>
      <c r="K124" s="265"/>
      <c r="L124" s="265"/>
      <c r="M124" s="217"/>
    </row>
    <row r="125" spans="1:13" ht="33">
      <c r="A125" s="78"/>
      <c r="B125" s="245" t="s">
        <v>295</v>
      </c>
      <c r="C125" s="398" t="s">
        <v>501</v>
      </c>
      <c r="D125" s="372" t="s">
        <v>23</v>
      </c>
      <c r="E125" s="218"/>
      <c r="F125" s="218">
        <v>1</v>
      </c>
      <c r="G125" s="265"/>
      <c r="H125" s="266"/>
      <c r="I125" s="255"/>
      <c r="J125" s="255"/>
      <c r="K125" s="265"/>
      <c r="L125" s="265"/>
      <c r="M125" s="217"/>
    </row>
    <row r="126" spans="1:13" ht="16.5">
      <c r="A126" s="78"/>
      <c r="B126" s="245" t="s">
        <v>296</v>
      </c>
      <c r="C126" s="398" t="s">
        <v>502</v>
      </c>
      <c r="D126" s="372" t="s">
        <v>23</v>
      </c>
      <c r="E126" s="218"/>
      <c r="F126" s="218">
        <v>1</v>
      </c>
      <c r="G126" s="265"/>
      <c r="H126" s="266"/>
      <c r="I126" s="255"/>
      <c r="J126" s="255"/>
      <c r="K126" s="265"/>
      <c r="L126" s="265"/>
      <c r="M126" s="217"/>
    </row>
    <row r="127" spans="1:13" ht="16.5">
      <c r="A127" s="78"/>
      <c r="B127" s="214" t="s">
        <v>18</v>
      </c>
      <c r="C127" s="372"/>
      <c r="D127" s="372" t="s">
        <v>0</v>
      </c>
      <c r="E127" s="218">
        <v>66.1</v>
      </c>
      <c r="F127" s="218">
        <f>F120*E127</f>
        <v>18.111399999999993</v>
      </c>
      <c r="G127" s="265"/>
      <c r="H127" s="266"/>
      <c r="I127" s="255"/>
      <c r="J127" s="255"/>
      <c r="K127" s="265"/>
      <c r="L127" s="265"/>
      <c r="M127" s="217"/>
    </row>
    <row r="128" spans="1:13" ht="39.75" customHeight="1">
      <c r="A128" s="289">
        <v>22</v>
      </c>
      <c r="B128" s="290" t="s">
        <v>297</v>
      </c>
      <c r="C128" s="291" t="s">
        <v>298</v>
      </c>
      <c r="D128" s="292" t="s">
        <v>299</v>
      </c>
      <c r="E128" s="293"/>
      <c r="F128" s="294">
        <v>125</v>
      </c>
      <c r="G128" s="293"/>
      <c r="H128" s="293"/>
      <c r="I128" s="293"/>
      <c r="J128" s="293"/>
      <c r="K128" s="293"/>
      <c r="L128" s="293"/>
      <c r="M128" s="295"/>
    </row>
    <row r="129" spans="1:13" ht="15.75">
      <c r="A129" s="296"/>
      <c r="B129" s="297" t="s">
        <v>300</v>
      </c>
      <c r="C129" s="298"/>
      <c r="D129" s="299" t="s">
        <v>301</v>
      </c>
      <c r="E129" s="300">
        <v>0.184</v>
      </c>
      <c r="F129" s="301">
        <f>E129*F128</f>
        <v>23</v>
      </c>
      <c r="G129" s="302"/>
      <c r="H129" s="302"/>
      <c r="I129" s="302"/>
      <c r="J129" s="302"/>
      <c r="K129" s="302"/>
      <c r="L129" s="302"/>
      <c r="M129" s="302"/>
    </row>
    <row r="130" spans="1:13" ht="47.25">
      <c r="A130" s="289">
        <v>24</v>
      </c>
      <c r="B130" s="303" t="s">
        <v>302</v>
      </c>
      <c r="C130" s="304" t="s">
        <v>303</v>
      </c>
      <c r="D130" s="305" t="s">
        <v>304</v>
      </c>
      <c r="E130" s="305"/>
      <c r="F130" s="293">
        <v>1.25</v>
      </c>
      <c r="G130" s="306"/>
      <c r="H130" s="306"/>
      <c r="I130" s="306"/>
      <c r="J130" s="306"/>
      <c r="K130" s="306"/>
      <c r="L130" s="306"/>
      <c r="M130" s="307"/>
    </row>
    <row r="131" spans="1:13" ht="15.75">
      <c r="A131" s="296"/>
      <c r="B131" s="308" t="s">
        <v>300</v>
      </c>
      <c r="C131" s="309"/>
      <c r="D131" s="309" t="s">
        <v>301</v>
      </c>
      <c r="E131" s="310">
        <v>4.39</v>
      </c>
      <c r="F131" s="311">
        <f>E131*F130</f>
        <v>5.4875</v>
      </c>
      <c r="G131" s="302"/>
      <c r="H131" s="302"/>
      <c r="I131" s="302"/>
      <c r="J131" s="302"/>
      <c r="K131" s="302"/>
      <c r="L131" s="302"/>
      <c r="M131" s="302"/>
    </row>
    <row r="132" spans="1:13" ht="15.75">
      <c r="A132" s="296"/>
      <c r="B132" s="308" t="s">
        <v>305</v>
      </c>
      <c r="C132" s="312" t="s">
        <v>92</v>
      </c>
      <c r="D132" s="309" t="s">
        <v>35</v>
      </c>
      <c r="E132" s="313">
        <v>2</v>
      </c>
      <c r="F132" s="314">
        <f>F130*E132</f>
        <v>2.5</v>
      </c>
      <c r="G132" s="315"/>
      <c r="H132" s="301"/>
      <c r="I132" s="315"/>
      <c r="J132" s="315"/>
      <c r="K132" s="301"/>
      <c r="L132" s="301"/>
      <c r="M132" s="301"/>
    </row>
    <row r="133" spans="1:13" ht="15.75">
      <c r="A133" s="296"/>
      <c r="B133" s="308" t="s">
        <v>306</v>
      </c>
      <c r="C133" s="312" t="s">
        <v>92</v>
      </c>
      <c r="D133" s="309" t="s">
        <v>307</v>
      </c>
      <c r="E133" s="152">
        <v>10</v>
      </c>
      <c r="F133" s="311">
        <f>F130*E133</f>
        <v>12.5</v>
      </c>
      <c r="G133" s="315"/>
      <c r="H133" s="301"/>
      <c r="I133" s="315"/>
      <c r="J133" s="315"/>
      <c r="K133" s="301"/>
      <c r="L133" s="301"/>
      <c r="M133" s="301"/>
    </row>
    <row r="134" spans="1:13" ht="15.75">
      <c r="A134" s="304"/>
      <c r="B134" s="303" t="s">
        <v>104</v>
      </c>
      <c r="C134" s="316"/>
      <c r="D134" s="317"/>
      <c r="E134" s="318"/>
      <c r="F134" s="306"/>
      <c r="G134" s="319"/>
      <c r="H134" s="319"/>
      <c r="I134" s="320"/>
      <c r="J134" s="320"/>
      <c r="K134" s="306"/>
      <c r="L134" s="306"/>
      <c r="M134" s="306"/>
    </row>
    <row r="135" spans="1:13" ht="13.5" customHeight="1">
      <c r="A135" s="460" t="s">
        <v>308</v>
      </c>
      <c r="B135" s="461"/>
      <c r="C135" s="461"/>
      <c r="D135" s="461"/>
      <c r="E135" s="461"/>
      <c r="F135" s="461"/>
      <c r="G135" s="461"/>
      <c r="H135" s="461"/>
      <c r="I135" s="461"/>
      <c r="J135" s="461"/>
      <c r="K135" s="461"/>
      <c r="L135" s="461"/>
      <c r="M135" s="461"/>
    </row>
    <row r="136" spans="1:13" ht="38.25">
      <c r="A136" s="373"/>
      <c r="B136" s="114" t="s">
        <v>309</v>
      </c>
      <c r="C136" s="408" t="s">
        <v>117</v>
      </c>
      <c r="D136" s="233" t="s">
        <v>20</v>
      </c>
      <c r="E136" s="233"/>
      <c r="F136" s="115">
        <v>88</v>
      </c>
      <c r="G136" s="375"/>
      <c r="H136" s="375"/>
      <c r="I136" s="375"/>
      <c r="J136" s="375"/>
      <c r="K136" s="375"/>
      <c r="L136" s="375"/>
      <c r="M136" s="375"/>
    </row>
    <row r="137" spans="1:13" ht="13.5">
      <c r="A137" s="373"/>
      <c r="B137" s="25" t="s">
        <v>39</v>
      </c>
      <c r="C137" s="367"/>
      <c r="D137" s="376" t="s">
        <v>15</v>
      </c>
      <c r="E137" s="375">
        <v>2.23</v>
      </c>
      <c r="F137" s="70">
        <f>E137*F136</f>
        <v>196.24</v>
      </c>
      <c r="G137" s="375"/>
      <c r="H137" s="70"/>
      <c r="I137" s="375"/>
      <c r="J137" s="70"/>
      <c r="K137" s="375"/>
      <c r="L137" s="375"/>
      <c r="M137" s="70"/>
    </row>
    <row r="138" spans="1:13" ht="13.5">
      <c r="A138" s="373"/>
      <c r="B138" s="25" t="s">
        <v>24</v>
      </c>
      <c r="C138" s="367"/>
      <c r="D138" s="376" t="s">
        <v>0</v>
      </c>
      <c r="E138" s="375">
        <v>0.05</v>
      </c>
      <c r="F138" s="70">
        <f>E138*F136</f>
        <v>4.4</v>
      </c>
      <c r="G138" s="375"/>
      <c r="H138" s="375"/>
      <c r="I138" s="375"/>
      <c r="J138" s="375"/>
      <c r="K138" s="375"/>
      <c r="L138" s="70"/>
      <c r="M138" s="70"/>
    </row>
    <row r="139" spans="1:13" ht="13.5">
      <c r="A139" s="373"/>
      <c r="B139" s="375" t="s">
        <v>56</v>
      </c>
      <c r="C139" s="50"/>
      <c r="D139" s="375"/>
      <c r="E139" s="375"/>
      <c r="F139" s="70"/>
      <c r="G139" s="375"/>
      <c r="H139" s="70"/>
      <c r="I139" s="375"/>
      <c r="J139" s="70"/>
      <c r="K139" s="375"/>
      <c r="L139" s="70"/>
      <c r="M139" s="70"/>
    </row>
    <row r="140" spans="1:13" ht="13.5">
      <c r="A140" s="373"/>
      <c r="B140" s="25" t="s">
        <v>310</v>
      </c>
      <c r="C140" s="409" t="s">
        <v>92</v>
      </c>
      <c r="D140" s="376" t="s">
        <v>23</v>
      </c>
      <c r="E140" s="375">
        <v>0.295</v>
      </c>
      <c r="F140" s="70">
        <f>E140*F136</f>
        <v>25.959999999999997</v>
      </c>
      <c r="G140" s="96"/>
      <c r="H140" s="96"/>
      <c r="I140" s="34"/>
      <c r="J140" s="97"/>
      <c r="K140" s="32"/>
      <c r="L140" s="32"/>
      <c r="M140" s="70"/>
    </row>
    <row r="141" spans="1:13" ht="13.5">
      <c r="A141" s="373"/>
      <c r="B141" s="25" t="s">
        <v>119</v>
      </c>
      <c r="C141" s="98" t="s">
        <v>92</v>
      </c>
      <c r="D141" s="376" t="s">
        <v>13</v>
      </c>
      <c r="E141" s="375">
        <f>0.002/100</f>
        <v>2E-05</v>
      </c>
      <c r="F141" s="91">
        <f>E141*F136</f>
        <v>0.00176</v>
      </c>
      <c r="G141" s="32"/>
      <c r="H141" s="96"/>
      <c r="I141" s="34"/>
      <c r="J141" s="97"/>
      <c r="K141" s="32"/>
      <c r="L141" s="32"/>
      <c r="M141" s="70"/>
    </row>
    <row r="142" spans="1:13" ht="15.75">
      <c r="A142" s="373"/>
      <c r="B142" s="25" t="s">
        <v>120</v>
      </c>
      <c r="C142" s="401" t="s">
        <v>503</v>
      </c>
      <c r="D142" s="376" t="s">
        <v>57</v>
      </c>
      <c r="E142" s="375">
        <v>0.0125</v>
      </c>
      <c r="F142" s="70">
        <f>E142*F137</f>
        <v>2.4530000000000003</v>
      </c>
      <c r="G142" s="32"/>
      <c r="H142" s="96"/>
      <c r="I142" s="34"/>
      <c r="J142" s="97"/>
      <c r="K142" s="32"/>
      <c r="L142" s="32"/>
      <c r="M142" s="70"/>
    </row>
    <row r="143" spans="1:13" ht="13.5">
      <c r="A143" s="373"/>
      <c r="B143" s="25" t="s">
        <v>121</v>
      </c>
      <c r="C143" s="409" t="s">
        <v>484</v>
      </c>
      <c r="D143" s="376" t="s">
        <v>103</v>
      </c>
      <c r="E143" s="375">
        <v>1.5</v>
      </c>
      <c r="F143" s="70">
        <f>E143*F136</f>
        <v>132</v>
      </c>
      <c r="G143" s="32"/>
      <c r="H143" s="96"/>
      <c r="I143" s="34"/>
      <c r="J143" s="97"/>
      <c r="K143" s="32"/>
      <c r="L143" s="32"/>
      <c r="M143" s="70"/>
    </row>
    <row r="144" spans="1:13" ht="13.5">
      <c r="A144" s="373"/>
      <c r="B144" s="388" t="s">
        <v>311</v>
      </c>
      <c r="C144" s="409" t="s">
        <v>504</v>
      </c>
      <c r="D144" s="116" t="s">
        <v>13</v>
      </c>
      <c r="E144" s="237"/>
      <c r="F144" s="91">
        <v>0.0499</v>
      </c>
      <c r="G144" s="117"/>
      <c r="H144" s="96"/>
      <c r="I144" s="118"/>
      <c r="J144" s="119"/>
      <c r="K144" s="117"/>
      <c r="L144" s="117"/>
      <c r="M144" s="70"/>
    </row>
    <row r="145" spans="1:13" ht="13.5">
      <c r="A145" s="373"/>
      <c r="B145" s="120" t="s">
        <v>18</v>
      </c>
      <c r="C145" s="121"/>
      <c r="D145" s="116" t="s">
        <v>0</v>
      </c>
      <c r="E145" s="237">
        <v>0.04</v>
      </c>
      <c r="F145" s="115">
        <f>E145*F136</f>
        <v>3.52</v>
      </c>
      <c r="G145" s="117"/>
      <c r="H145" s="122"/>
      <c r="I145" s="118"/>
      <c r="J145" s="119"/>
      <c r="K145" s="117"/>
      <c r="L145" s="117"/>
      <c r="M145" s="115"/>
    </row>
    <row r="146" spans="1:13" ht="13.5">
      <c r="A146" s="373"/>
      <c r="B146" s="114" t="s">
        <v>123</v>
      </c>
      <c r="C146" s="408" t="s">
        <v>124</v>
      </c>
      <c r="D146" s="233" t="s">
        <v>23</v>
      </c>
      <c r="E146" s="233"/>
      <c r="F146" s="123">
        <v>1</v>
      </c>
      <c r="G146" s="233"/>
      <c r="H146" s="233"/>
      <c r="I146" s="233"/>
      <c r="J146" s="233"/>
      <c r="K146" s="233"/>
      <c r="L146" s="233"/>
      <c r="M146" s="233"/>
    </row>
    <row r="147" spans="1:13" ht="13.5">
      <c r="A147" s="373"/>
      <c r="B147" s="25" t="s">
        <v>39</v>
      </c>
      <c r="C147" s="367"/>
      <c r="D147" s="376" t="s">
        <v>15</v>
      </c>
      <c r="E147" s="375">
        <v>17.2</v>
      </c>
      <c r="F147" s="70">
        <f>E147*F146</f>
        <v>17.2</v>
      </c>
      <c r="G147" s="375"/>
      <c r="H147" s="70"/>
      <c r="I147" s="375"/>
      <c r="J147" s="70"/>
      <c r="K147" s="375"/>
      <c r="L147" s="375"/>
      <c r="M147" s="70"/>
    </row>
    <row r="148" spans="1:13" ht="13.5">
      <c r="A148" s="373"/>
      <c r="B148" s="25" t="s">
        <v>24</v>
      </c>
      <c r="C148" s="367"/>
      <c r="D148" s="376" t="s">
        <v>0</v>
      </c>
      <c r="E148" s="375">
        <v>0.7</v>
      </c>
      <c r="F148" s="70">
        <f>E148*F146</f>
        <v>0.7</v>
      </c>
      <c r="G148" s="375"/>
      <c r="H148" s="375"/>
      <c r="I148" s="375"/>
      <c r="J148" s="70"/>
      <c r="K148" s="375"/>
      <c r="L148" s="70"/>
      <c r="M148" s="70"/>
    </row>
    <row r="149" spans="1:13" ht="13.5">
      <c r="A149" s="373"/>
      <c r="B149" s="375" t="s">
        <v>56</v>
      </c>
      <c r="C149" s="50"/>
      <c r="D149" s="375"/>
      <c r="E149" s="375"/>
      <c r="F149" s="70"/>
      <c r="G149" s="375"/>
      <c r="H149" s="70"/>
      <c r="I149" s="375"/>
      <c r="J149" s="70"/>
      <c r="K149" s="375"/>
      <c r="L149" s="70"/>
      <c r="M149" s="70"/>
    </row>
    <row r="150" spans="1:13" ht="13.5">
      <c r="A150" s="373"/>
      <c r="B150" s="25" t="s">
        <v>312</v>
      </c>
      <c r="C150" s="409" t="s">
        <v>92</v>
      </c>
      <c r="D150" s="376" t="s">
        <v>20</v>
      </c>
      <c r="E150" s="375"/>
      <c r="F150" s="70">
        <v>6.15</v>
      </c>
      <c r="G150" s="96"/>
      <c r="H150" s="96"/>
      <c r="I150" s="34"/>
      <c r="J150" s="70"/>
      <c r="K150" s="32"/>
      <c r="L150" s="70"/>
      <c r="M150" s="70"/>
    </row>
    <row r="151" spans="1:13" ht="15.75">
      <c r="A151" s="373"/>
      <c r="B151" s="25" t="s">
        <v>120</v>
      </c>
      <c r="C151" s="409" t="s">
        <v>505</v>
      </c>
      <c r="D151" s="376" t="s">
        <v>57</v>
      </c>
      <c r="E151" s="375">
        <v>0.297</v>
      </c>
      <c r="F151" s="70">
        <f>E151*F146</f>
        <v>0.297</v>
      </c>
      <c r="G151" s="32"/>
      <c r="H151" s="96"/>
      <c r="I151" s="34"/>
      <c r="J151" s="70"/>
      <c r="K151" s="32"/>
      <c r="L151" s="70"/>
      <c r="M151" s="70"/>
    </row>
    <row r="152" spans="1:13" ht="13.5">
      <c r="A152" s="373"/>
      <c r="B152" s="25" t="s">
        <v>121</v>
      </c>
      <c r="C152" s="409" t="s">
        <v>484</v>
      </c>
      <c r="D152" s="376" t="s">
        <v>103</v>
      </c>
      <c r="E152" s="375"/>
      <c r="F152" s="70">
        <v>7</v>
      </c>
      <c r="G152" s="32"/>
      <c r="H152" s="96"/>
      <c r="I152" s="34"/>
      <c r="J152" s="70"/>
      <c r="K152" s="32"/>
      <c r="L152" s="70"/>
      <c r="M152" s="70"/>
    </row>
    <row r="153" spans="1:13" ht="13.5">
      <c r="A153" s="373"/>
      <c r="B153" s="5" t="s">
        <v>126</v>
      </c>
      <c r="C153" s="409" t="s">
        <v>506</v>
      </c>
      <c r="D153" s="116" t="s">
        <v>20</v>
      </c>
      <c r="E153" s="237"/>
      <c r="F153" s="91">
        <v>18.2</v>
      </c>
      <c r="G153" s="117"/>
      <c r="H153" s="96"/>
      <c r="I153" s="118"/>
      <c r="J153" s="70"/>
      <c r="K153" s="117"/>
      <c r="L153" s="70"/>
      <c r="M153" s="70"/>
    </row>
    <row r="154" spans="1:13" ht="13.5">
      <c r="A154" s="373"/>
      <c r="B154" s="120" t="s">
        <v>18</v>
      </c>
      <c r="C154" s="121"/>
      <c r="D154" s="116" t="s">
        <v>0</v>
      </c>
      <c r="E154" s="237">
        <v>0.2</v>
      </c>
      <c r="F154" s="115">
        <f>E154*F146</f>
        <v>0.2</v>
      </c>
      <c r="G154" s="117"/>
      <c r="H154" s="122"/>
      <c r="I154" s="118"/>
      <c r="J154" s="70"/>
      <c r="K154" s="117"/>
      <c r="L154" s="70"/>
      <c r="M154" s="115"/>
    </row>
    <row r="155" spans="1:13" ht="13.5">
      <c r="A155" s="373"/>
      <c r="B155" s="114" t="s">
        <v>127</v>
      </c>
      <c r="C155" s="408" t="s">
        <v>128</v>
      </c>
      <c r="D155" s="233" t="s">
        <v>23</v>
      </c>
      <c r="E155" s="233"/>
      <c r="F155" s="123">
        <v>1</v>
      </c>
      <c r="G155" s="233"/>
      <c r="H155" s="233"/>
      <c r="I155" s="233"/>
      <c r="J155" s="233"/>
      <c r="K155" s="233"/>
      <c r="L155" s="233"/>
      <c r="M155" s="233"/>
    </row>
    <row r="156" spans="1:13" ht="13.5">
      <c r="A156" s="373"/>
      <c r="B156" s="25" t="s">
        <v>39</v>
      </c>
      <c r="C156" s="367"/>
      <c r="D156" s="376" t="s">
        <v>15</v>
      </c>
      <c r="E156" s="375">
        <v>7.33</v>
      </c>
      <c r="F156" s="70">
        <f>E156*F155</f>
        <v>7.33</v>
      </c>
      <c r="G156" s="375"/>
      <c r="H156" s="70"/>
      <c r="I156" s="375"/>
      <c r="J156" s="70"/>
      <c r="K156" s="375"/>
      <c r="L156" s="375"/>
      <c r="M156" s="70"/>
    </row>
    <row r="157" spans="1:13" ht="13.5">
      <c r="A157" s="373"/>
      <c r="B157" s="25" t="s">
        <v>24</v>
      </c>
      <c r="C157" s="367"/>
      <c r="D157" s="376" t="s">
        <v>0</v>
      </c>
      <c r="E157" s="375">
        <v>0.11</v>
      </c>
      <c r="F157" s="70">
        <f>E157*F155</f>
        <v>0.11</v>
      </c>
      <c r="G157" s="375"/>
      <c r="H157" s="375"/>
      <c r="I157" s="375"/>
      <c r="J157" s="70"/>
      <c r="K157" s="375"/>
      <c r="L157" s="70"/>
      <c r="M157" s="70"/>
    </row>
    <row r="158" spans="1:13" ht="13.5">
      <c r="A158" s="373"/>
      <c r="B158" s="375" t="s">
        <v>56</v>
      </c>
      <c r="C158" s="50"/>
      <c r="D158" s="375"/>
      <c r="E158" s="375"/>
      <c r="F158" s="70"/>
      <c r="G158" s="375"/>
      <c r="H158" s="70"/>
      <c r="I158" s="375"/>
      <c r="J158" s="70"/>
      <c r="K158" s="375"/>
      <c r="L158" s="70"/>
      <c r="M158" s="70"/>
    </row>
    <row r="159" spans="1:13" ht="13.5">
      <c r="A159" s="373"/>
      <c r="B159" s="120" t="s">
        <v>18</v>
      </c>
      <c r="C159" s="121"/>
      <c r="D159" s="116" t="s">
        <v>0</v>
      </c>
      <c r="E159" s="237">
        <v>0.02</v>
      </c>
      <c r="F159" s="115">
        <f>E159*F155</f>
        <v>0.02</v>
      </c>
      <c r="G159" s="117"/>
      <c r="H159" s="122"/>
      <c r="I159" s="118"/>
      <c r="J159" s="70"/>
      <c r="K159" s="117"/>
      <c r="L159" s="70"/>
      <c r="M159" s="115"/>
    </row>
    <row r="160" spans="1:13" ht="13.5">
      <c r="A160" s="112">
        <v>4</v>
      </c>
      <c r="B160" s="3" t="s">
        <v>129</v>
      </c>
      <c r="C160" s="124" t="s">
        <v>130</v>
      </c>
      <c r="D160" s="125" t="s">
        <v>103</v>
      </c>
      <c r="E160" s="125"/>
      <c r="F160" s="126">
        <v>132</v>
      </c>
      <c r="G160" s="127"/>
      <c r="H160" s="122"/>
      <c r="I160" s="128"/>
      <c r="J160" s="70"/>
      <c r="K160" s="128"/>
      <c r="L160" s="70"/>
      <c r="M160" s="115"/>
    </row>
    <row r="161" spans="1:13" ht="13.5">
      <c r="A161" s="6"/>
      <c r="B161" s="8" t="s">
        <v>40</v>
      </c>
      <c r="C161" s="129"/>
      <c r="D161" s="130" t="s">
        <v>15</v>
      </c>
      <c r="E161" s="236">
        <v>0.68</v>
      </c>
      <c r="F161" s="131">
        <f>E161*F160</f>
        <v>89.76</v>
      </c>
      <c r="G161" s="127"/>
      <c r="H161" s="122"/>
      <c r="I161" s="132"/>
      <c r="J161" s="70"/>
      <c r="K161" s="131"/>
      <c r="L161" s="70"/>
      <c r="M161" s="115"/>
    </row>
    <row r="162" spans="1:13" ht="13.5">
      <c r="A162" s="6"/>
      <c r="B162" s="8" t="s">
        <v>41</v>
      </c>
      <c r="C162" s="133"/>
      <c r="D162" s="130" t="s">
        <v>0</v>
      </c>
      <c r="E162" s="236">
        <v>0.0003</v>
      </c>
      <c r="F162" s="131">
        <f>E162*F160</f>
        <v>0.039599999999999996</v>
      </c>
      <c r="G162" s="127"/>
      <c r="H162" s="122"/>
      <c r="I162" s="131"/>
      <c r="J162" s="70"/>
      <c r="K162" s="131"/>
      <c r="L162" s="70"/>
      <c r="M162" s="115"/>
    </row>
    <row r="163" spans="1:13" ht="13.5">
      <c r="A163" s="6"/>
      <c r="B163" s="141" t="s">
        <v>56</v>
      </c>
      <c r="C163" s="133"/>
      <c r="D163" s="130"/>
      <c r="E163" s="236"/>
      <c r="F163" s="130"/>
      <c r="G163" s="127"/>
      <c r="H163" s="122"/>
      <c r="I163" s="131"/>
      <c r="J163" s="70"/>
      <c r="K163" s="131"/>
      <c r="L163" s="70"/>
      <c r="M163" s="115"/>
    </row>
    <row r="164" spans="1:13" ht="13.5">
      <c r="A164" s="6"/>
      <c r="B164" s="8" t="s">
        <v>43</v>
      </c>
      <c r="C164" s="409" t="s">
        <v>488</v>
      </c>
      <c r="D164" s="130" t="s">
        <v>35</v>
      </c>
      <c r="E164" s="236">
        <v>0.251</v>
      </c>
      <c r="F164" s="131">
        <v>33.13</v>
      </c>
      <c r="G164" s="127"/>
      <c r="H164" s="122"/>
      <c r="I164" s="131"/>
      <c r="J164" s="70"/>
      <c r="K164" s="131"/>
      <c r="L164" s="70"/>
      <c r="M164" s="115"/>
    </row>
    <row r="165" spans="1:13" ht="13.5">
      <c r="A165" s="6"/>
      <c r="B165" s="8" t="s">
        <v>44</v>
      </c>
      <c r="C165" s="409" t="s">
        <v>487</v>
      </c>
      <c r="D165" s="130" t="s">
        <v>35</v>
      </c>
      <c r="E165" s="236">
        <v>0.027</v>
      </c>
      <c r="F165" s="131">
        <v>3.56</v>
      </c>
      <c r="G165" s="127"/>
      <c r="H165" s="122"/>
      <c r="I165" s="131"/>
      <c r="J165" s="70"/>
      <c r="K165" s="131"/>
      <c r="L165" s="70"/>
      <c r="M165" s="115"/>
    </row>
    <row r="166" spans="1:13" ht="13.5">
      <c r="A166" s="6"/>
      <c r="B166" s="8" t="s">
        <v>18</v>
      </c>
      <c r="C166" s="133"/>
      <c r="D166" s="130" t="s">
        <v>0</v>
      </c>
      <c r="E166" s="236">
        <v>0.019</v>
      </c>
      <c r="F166" s="130">
        <f>E166*F160</f>
        <v>2.508</v>
      </c>
      <c r="G166" s="127"/>
      <c r="H166" s="122"/>
      <c r="I166" s="131"/>
      <c r="J166" s="70"/>
      <c r="K166" s="131"/>
      <c r="L166" s="70"/>
      <c r="M166" s="115"/>
    </row>
    <row r="167" spans="1:13" ht="15.75">
      <c r="A167" s="321"/>
      <c r="B167" s="303" t="s">
        <v>8</v>
      </c>
      <c r="C167" s="322"/>
      <c r="D167" s="321"/>
      <c r="E167" s="321"/>
      <c r="F167" s="321"/>
      <c r="G167" s="321"/>
      <c r="H167" s="323"/>
      <c r="I167" s="324"/>
      <c r="J167" s="323"/>
      <c r="K167" s="324"/>
      <c r="L167" s="323"/>
      <c r="M167" s="323"/>
    </row>
    <row r="168" spans="1:13" ht="16.5">
      <c r="A168" s="78"/>
      <c r="B168" s="245" t="s">
        <v>8</v>
      </c>
      <c r="C168" s="325"/>
      <c r="D168" s="326"/>
      <c r="E168" s="326"/>
      <c r="F168" s="326"/>
      <c r="G168" s="326"/>
      <c r="H168" s="327"/>
      <c r="I168" s="328"/>
      <c r="J168" s="329"/>
      <c r="K168" s="328"/>
      <c r="L168" s="328"/>
      <c r="M168" s="330"/>
    </row>
    <row r="169" spans="1:13" ht="16.5">
      <c r="A169" s="78"/>
      <c r="B169" s="214" t="s">
        <v>16</v>
      </c>
      <c r="C169" s="331">
        <v>0.04</v>
      </c>
      <c r="D169" s="326"/>
      <c r="E169" s="326"/>
      <c r="F169" s="326"/>
      <c r="G169" s="326"/>
      <c r="H169" s="327"/>
      <c r="I169" s="328"/>
      <c r="J169" s="329"/>
      <c r="K169" s="328"/>
      <c r="L169" s="328"/>
      <c r="M169" s="330"/>
    </row>
    <row r="170" spans="1:13" ht="16.5">
      <c r="A170" s="78"/>
      <c r="B170" s="245" t="s">
        <v>8</v>
      </c>
      <c r="C170" s="331"/>
      <c r="D170" s="326"/>
      <c r="E170" s="326"/>
      <c r="F170" s="326"/>
      <c r="G170" s="326"/>
      <c r="H170" s="327"/>
      <c r="I170" s="328"/>
      <c r="J170" s="329"/>
      <c r="K170" s="328"/>
      <c r="L170" s="328"/>
      <c r="M170" s="330"/>
    </row>
    <row r="171" spans="1:13" ht="16.5">
      <c r="A171" s="78"/>
      <c r="B171" s="245" t="s">
        <v>26</v>
      </c>
      <c r="C171" s="331">
        <v>0.1</v>
      </c>
      <c r="D171" s="371"/>
      <c r="E171" s="371"/>
      <c r="F171" s="371"/>
      <c r="G171" s="371"/>
      <c r="H171" s="332"/>
      <c r="I171" s="333"/>
      <c r="J171" s="334"/>
      <c r="K171" s="333"/>
      <c r="L171" s="333"/>
      <c r="M171" s="335"/>
    </row>
    <row r="172" spans="1:13" ht="16.5">
      <c r="A172" s="78"/>
      <c r="B172" s="245" t="s">
        <v>8</v>
      </c>
      <c r="C172" s="371"/>
      <c r="D172" s="371"/>
      <c r="E172" s="371"/>
      <c r="F172" s="371"/>
      <c r="G172" s="371"/>
      <c r="H172" s="332"/>
      <c r="I172" s="333"/>
      <c r="J172" s="334"/>
      <c r="K172" s="333"/>
      <c r="L172" s="333"/>
      <c r="M172" s="335"/>
    </row>
    <row r="173" spans="1:13" ht="16.5">
      <c r="A173" s="78"/>
      <c r="B173" s="245" t="s">
        <v>94</v>
      </c>
      <c r="C173" s="331">
        <v>0.08</v>
      </c>
      <c r="D173" s="371"/>
      <c r="E173" s="371"/>
      <c r="F173" s="371"/>
      <c r="G173" s="371"/>
      <c r="H173" s="332"/>
      <c r="I173" s="333"/>
      <c r="J173" s="334"/>
      <c r="K173" s="333"/>
      <c r="L173" s="333"/>
      <c r="M173" s="335"/>
    </row>
    <row r="174" spans="1:13" ht="16.5">
      <c r="A174" s="78"/>
      <c r="B174" s="245" t="s">
        <v>8</v>
      </c>
      <c r="C174" s="331"/>
      <c r="D174" s="371"/>
      <c r="E174" s="371"/>
      <c r="F174" s="371"/>
      <c r="G174" s="371"/>
      <c r="H174" s="332"/>
      <c r="I174" s="333"/>
      <c r="J174" s="334"/>
      <c r="K174" s="333"/>
      <c r="L174" s="333"/>
      <c r="M174" s="335"/>
    </row>
    <row r="175" spans="1:13" ht="16.5">
      <c r="A175" s="59"/>
      <c r="B175" s="99"/>
      <c r="C175" s="462"/>
      <c r="D175" s="462"/>
      <c r="E175" s="99"/>
      <c r="F175" s="99"/>
      <c r="G175" s="99"/>
      <c r="H175" s="99"/>
      <c r="I175" s="462"/>
      <c r="J175" s="462"/>
      <c r="K175" s="99"/>
      <c r="L175" s="99"/>
      <c r="M175" s="99"/>
    </row>
    <row r="177" spans="8:9" ht="12.75">
      <c r="H177" s="422"/>
      <c r="I177" s="422"/>
    </row>
    <row r="178" spans="2:3" ht="12.75">
      <c r="B178" s="155"/>
      <c r="C178" s="155"/>
    </row>
    <row r="179" ht="12.75">
      <c r="B179" s="155"/>
    </row>
    <row r="180" spans="2:10" ht="25.5" customHeight="1">
      <c r="B180" s="336"/>
      <c r="I180" s="451"/>
      <c r="J180" s="451"/>
    </row>
    <row r="181" spans="2:3" ht="12.75">
      <c r="B181" s="422"/>
      <c r="C181" s="422"/>
    </row>
  </sheetData>
  <sheetProtection/>
  <mergeCells count="20">
    <mergeCell ref="B1:M1"/>
    <mergeCell ref="B2:M2"/>
    <mergeCell ref="B3:M3"/>
    <mergeCell ref="D4:I4"/>
    <mergeCell ref="A5:A6"/>
    <mergeCell ref="H177:I177"/>
    <mergeCell ref="A78:A79"/>
    <mergeCell ref="A135:M135"/>
    <mergeCell ref="C175:D175"/>
    <mergeCell ref="I175:J175"/>
    <mergeCell ref="I180:J180"/>
    <mergeCell ref="B181:C181"/>
    <mergeCell ref="G5:H5"/>
    <mergeCell ref="I5:J5"/>
    <mergeCell ref="K5:L5"/>
    <mergeCell ref="B5:B6"/>
    <mergeCell ref="C5:C6"/>
    <mergeCell ref="D5:D6"/>
    <mergeCell ref="E5:E6"/>
    <mergeCell ref="F5:F6"/>
  </mergeCells>
  <conditionalFormatting sqref="B12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4"/>
  <sheetViews>
    <sheetView view="pageBreakPreview" zoomScale="97" zoomScaleSheetLayoutView="97" zoomScalePageLayoutView="0" workbookViewId="0" topLeftCell="A1">
      <selection activeCell="G8" sqref="G8:M179"/>
    </sheetView>
  </sheetViews>
  <sheetFormatPr defaultColWidth="9.140625" defaultRowHeight="12.75"/>
  <cols>
    <col min="1" max="1" width="2.7109375" style="337" customWidth="1"/>
    <col min="2" max="2" width="52.7109375" style="156" customWidth="1"/>
    <col min="3" max="3" width="11.8515625" style="153" customWidth="1"/>
    <col min="4" max="4" width="7.57421875" style="153" customWidth="1"/>
    <col min="5" max="5" width="9.8515625" style="153" customWidth="1"/>
    <col min="6" max="6" width="9.140625" style="153" customWidth="1"/>
    <col min="7" max="7" width="10.00390625" style="153" customWidth="1"/>
    <col min="8" max="8" width="14.421875" style="153" bestFit="1" customWidth="1"/>
    <col min="9" max="9" width="9.57421875" style="153" bestFit="1" customWidth="1"/>
    <col min="10" max="10" width="15.57421875" style="153" bestFit="1" customWidth="1"/>
    <col min="11" max="11" width="11.00390625" style="153" bestFit="1" customWidth="1"/>
    <col min="12" max="12" width="13.00390625" style="153" bestFit="1" customWidth="1"/>
    <col min="13" max="13" width="16.8515625" style="153" bestFit="1" customWidth="1"/>
    <col min="14" max="16384" width="9.140625" style="153" customWidth="1"/>
  </cols>
  <sheetData>
    <row r="2" spans="1:12" ht="15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1:12" ht="14.25">
      <c r="A3" s="464" t="e">
        <f>#REF!</f>
        <v>#REF!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</row>
    <row r="4" spans="1:12" ht="14.25">
      <c r="A4" s="465" t="s">
        <v>313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1:12" ht="21.75" customHeight="1">
      <c r="A5" s="463" t="s">
        <v>314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</row>
    <row r="6" spans="1:12" ht="15">
      <c r="A6" s="416"/>
      <c r="B6" s="338"/>
      <c r="C6" s="416"/>
      <c r="D6" s="416"/>
      <c r="E6" s="416"/>
      <c r="F6" s="416"/>
      <c r="G6" s="466" t="s">
        <v>28</v>
      </c>
      <c r="H6" s="466"/>
      <c r="I6" s="466"/>
      <c r="J6" s="466"/>
      <c r="K6" s="100" t="e">
        <f>#REF!</f>
        <v>#REF!</v>
      </c>
      <c r="L6" s="101" t="s">
        <v>27</v>
      </c>
    </row>
    <row r="7" spans="1:12" ht="15">
      <c r="A7" s="416"/>
      <c r="B7" s="467" t="s">
        <v>507</v>
      </c>
      <c r="C7" s="467"/>
      <c r="D7" s="467"/>
      <c r="E7" s="467"/>
      <c r="F7" s="467"/>
      <c r="G7" s="466" t="s">
        <v>29</v>
      </c>
      <c r="H7" s="466"/>
      <c r="I7" s="466"/>
      <c r="J7" s="466"/>
      <c r="K7" s="100" t="e">
        <f>#REF!</f>
        <v>#REF!</v>
      </c>
      <c r="L7" s="101" t="s">
        <v>27</v>
      </c>
    </row>
    <row r="8" spans="1:13" ht="25.5">
      <c r="A8" s="468">
        <v>1</v>
      </c>
      <c r="B8" s="106" t="s">
        <v>315</v>
      </c>
      <c r="C8" s="339" t="s">
        <v>316</v>
      </c>
      <c r="D8" s="415" t="s">
        <v>32</v>
      </c>
      <c r="E8" s="107"/>
      <c r="F8" s="11">
        <v>10</v>
      </c>
      <c r="G8" s="150"/>
      <c r="H8" s="150"/>
      <c r="I8" s="150"/>
      <c r="J8" s="150"/>
      <c r="K8" s="150"/>
      <c r="L8" s="150"/>
      <c r="M8" s="150"/>
    </row>
    <row r="9" spans="1:13" ht="13.5">
      <c r="A9" s="468"/>
      <c r="B9" s="108" t="s">
        <v>12</v>
      </c>
      <c r="C9" s="108"/>
      <c r="D9" s="1" t="s">
        <v>15</v>
      </c>
      <c r="E9" s="107">
        <v>2.06</v>
      </c>
      <c r="F9" s="12">
        <f>E9*F8</f>
        <v>20.6</v>
      </c>
      <c r="G9" s="150"/>
      <c r="H9" s="150"/>
      <c r="I9" s="150"/>
      <c r="J9" s="150"/>
      <c r="K9" s="150"/>
      <c r="L9" s="150"/>
      <c r="M9" s="150"/>
    </row>
    <row r="10" spans="1:13" ht="25.5">
      <c r="A10" s="458">
        <v>3</v>
      </c>
      <c r="B10" s="109" t="s">
        <v>191</v>
      </c>
      <c r="C10" s="124" t="s">
        <v>113</v>
      </c>
      <c r="D10" s="415" t="s">
        <v>114</v>
      </c>
      <c r="E10" s="141"/>
      <c r="F10" s="11">
        <v>1.3</v>
      </c>
      <c r="G10" s="150"/>
      <c r="H10" s="150"/>
      <c r="I10" s="150"/>
      <c r="J10" s="150"/>
      <c r="K10" s="150"/>
      <c r="L10" s="150"/>
      <c r="M10" s="150"/>
    </row>
    <row r="11" spans="1:13" ht="12.75">
      <c r="A11" s="469"/>
      <c r="B11" s="5" t="s">
        <v>12</v>
      </c>
      <c r="C11" s="103"/>
      <c r="D11" s="1" t="s">
        <v>15</v>
      </c>
      <c r="E11" s="141">
        <v>0.89</v>
      </c>
      <c r="F11" s="12">
        <f>E11*F10</f>
        <v>1.157</v>
      </c>
      <c r="G11" s="150"/>
      <c r="H11" s="150"/>
      <c r="I11" s="150"/>
      <c r="J11" s="150"/>
      <c r="K11" s="150"/>
      <c r="L11" s="150"/>
      <c r="M11" s="150"/>
    </row>
    <row r="12" spans="1:13" ht="25.5">
      <c r="A12" s="469"/>
      <c r="B12" s="5" t="s">
        <v>24</v>
      </c>
      <c r="C12" s="103"/>
      <c r="D12" s="141" t="s">
        <v>21</v>
      </c>
      <c r="E12" s="141">
        <v>0.37</v>
      </c>
      <c r="F12" s="12">
        <f>E12*F10</f>
        <v>0.481</v>
      </c>
      <c r="G12" s="150"/>
      <c r="H12" s="150"/>
      <c r="I12" s="150"/>
      <c r="J12" s="150"/>
      <c r="K12" s="150"/>
      <c r="L12" s="150"/>
      <c r="M12" s="150"/>
    </row>
    <row r="13" spans="1:13" ht="12.75">
      <c r="A13" s="469"/>
      <c r="B13" s="141" t="s">
        <v>22</v>
      </c>
      <c r="C13" s="103"/>
      <c r="D13" s="141"/>
      <c r="E13" s="141"/>
      <c r="F13" s="12"/>
      <c r="G13" s="150"/>
      <c r="H13" s="150"/>
      <c r="I13" s="150"/>
      <c r="J13" s="150"/>
      <c r="K13" s="150"/>
      <c r="L13" s="150"/>
      <c r="M13" s="150"/>
    </row>
    <row r="14" spans="1:13" ht="12.75">
      <c r="A14" s="469"/>
      <c r="B14" s="5" t="s">
        <v>115</v>
      </c>
      <c r="C14" s="103" t="s">
        <v>463</v>
      </c>
      <c r="D14" s="141" t="s">
        <v>32</v>
      </c>
      <c r="E14" s="141">
        <v>1.15</v>
      </c>
      <c r="F14" s="12">
        <f>E14*F10</f>
        <v>1.4949999999999999</v>
      </c>
      <c r="G14" s="150"/>
      <c r="H14" s="150"/>
      <c r="I14" s="150"/>
      <c r="J14" s="150"/>
      <c r="K14" s="150"/>
      <c r="L14" s="150"/>
      <c r="M14" s="150"/>
    </row>
    <row r="15" spans="1:13" ht="12.75">
      <c r="A15" s="459"/>
      <c r="B15" s="5" t="s">
        <v>18</v>
      </c>
      <c r="C15" s="103"/>
      <c r="D15" s="141" t="s">
        <v>0</v>
      </c>
      <c r="E15" s="141">
        <v>0.02</v>
      </c>
      <c r="F15" s="12">
        <f>E15*F10</f>
        <v>0.026000000000000002</v>
      </c>
      <c r="G15" s="150"/>
      <c r="H15" s="150"/>
      <c r="I15" s="150"/>
      <c r="J15" s="150"/>
      <c r="K15" s="150"/>
      <c r="L15" s="150"/>
      <c r="M15" s="150"/>
    </row>
    <row r="16" spans="1:13" ht="25.5">
      <c r="A16" s="468">
        <v>2</v>
      </c>
      <c r="B16" s="106" t="s">
        <v>317</v>
      </c>
      <c r="C16" s="339" t="s">
        <v>318</v>
      </c>
      <c r="D16" s="415" t="s">
        <v>32</v>
      </c>
      <c r="E16" s="141"/>
      <c r="F16" s="11">
        <v>1.3</v>
      </c>
      <c r="G16" s="150"/>
      <c r="H16" s="150"/>
      <c r="I16" s="150"/>
      <c r="J16" s="150"/>
      <c r="K16" s="150"/>
      <c r="L16" s="150"/>
      <c r="M16" s="150"/>
    </row>
    <row r="17" spans="1:13" ht="12.75">
      <c r="A17" s="468"/>
      <c r="B17" s="108" t="s">
        <v>12</v>
      </c>
      <c r="C17" s="108"/>
      <c r="D17" s="1" t="s">
        <v>15</v>
      </c>
      <c r="E17" s="141">
        <v>1.37</v>
      </c>
      <c r="F17" s="4">
        <f>E17*F16</f>
        <v>1.7810000000000001</v>
      </c>
      <c r="G17" s="150"/>
      <c r="H17" s="150"/>
      <c r="I17" s="150"/>
      <c r="J17" s="150"/>
      <c r="K17" s="150"/>
      <c r="L17" s="150"/>
      <c r="M17" s="150"/>
    </row>
    <row r="18" spans="1:13" ht="12.75">
      <c r="A18" s="468"/>
      <c r="B18" s="5" t="s">
        <v>24</v>
      </c>
      <c r="C18" s="5"/>
      <c r="D18" s="141" t="s">
        <v>21</v>
      </c>
      <c r="E18" s="141">
        <f>28.3/100</f>
        <v>0.28300000000000003</v>
      </c>
      <c r="F18" s="4">
        <f>E18*F16</f>
        <v>0.36790000000000006</v>
      </c>
      <c r="G18" s="150"/>
      <c r="H18" s="150"/>
      <c r="I18" s="150"/>
      <c r="J18" s="150"/>
      <c r="K18" s="150"/>
      <c r="L18" s="150"/>
      <c r="M18" s="150"/>
    </row>
    <row r="19" spans="1:13" ht="12.75">
      <c r="A19" s="468"/>
      <c r="B19" s="141" t="s">
        <v>22</v>
      </c>
      <c r="C19" s="141"/>
      <c r="D19" s="415"/>
      <c r="E19" s="141"/>
      <c r="F19" s="4"/>
      <c r="G19" s="150"/>
      <c r="H19" s="150"/>
      <c r="I19" s="150"/>
      <c r="J19" s="150"/>
      <c r="K19" s="150"/>
      <c r="L19" s="150"/>
      <c r="M19" s="150"/>
    </row>
    <row r="20" spans="1:13" ht="15">
      <c r="A20" s="468"/>
      <c r="B20" s="5" t="s">
        <v>319</v>
      </c>
      <c r="C20" s="103" t="s">
        <v>508</v>
      </c>
      <c r="D20" s="141" t="s">
        <v>32</v>
      </c>
      <c r="E20" s="141">
        <v>1.02</v>
      </c>
      <c r="F20" s="4">
        <f>E20*F16</f>
        <v>1.326</v>
      </c>
      <c r="G20" s="150"/>
      <c r="H20" s="150"/>
      <c r="I20" s="150"/>
      <c r="J20" s="150"/>
      <c r="K20" s="150"/>
      <c r="L20" s="150"/>
      <c r="M20" s="150"/>
    </row>
    <row r="21" spans="1:13" ht="12.75">
      <c r="A21" s="468"/>
      <c r="B21" s="108" t="s">
        <v>33</v>
      </c>
      <c r="C21" s="108"/>
      <c r="D21" s="1" t="s">
        <v>0</v>
      </c>
      <c r="E21" s="141">
        <v>0.62</v>
      </c>
      <c r="F21" s="12">
        <f>E21*F16</f>
        <v>0.806</v>
      </c>
      <c r="G21" s="150"/>
      <c r="H21" s="150"/>
      <c r="I21" s="150"/>
      <c r="J21" s="150"/>
      <c r="K21" s="150"/>
      <c r="L21" s="150"/>
      <c r="M21" s="150"/>
    </row>
    <row r="22" spans="1:13" ht="25.5">
      <c r="A22" s="458">
        <v>3</v>
      </c>
      <c r="B22" s="109" t="s">
        <v>320</v>
      </c>
      <c r="C22" s="418" t="s">
        <v>321</v>
      </c>
      <c r="D22" s="415" t="s">
        <v>114</v>
      </c>
      <c r="E22" s="141"/>
      <c r="F22" s="11">
        <v>5.8</v>
      </c>
      <c r="G22" s="150"/>
      <c r="H22" s="150"/>
      <c r="I22" s="150"/>
      <c r="J22" s="150"/>
      <c r="K22" s="150"/>
      <c r="L22" s="150"/>
      <c r="M22" s="150"/>
    </row>
    <row r="23" spans="1:13" ht="12.75">
      <c r="A23" s="469"/>
      <c r="B23" s="5" t="s">
        <v>12</v>
      </c>
      <c r="C23" s="5"/>
      <c r="D23" s="1" t="s">
        <v>15</v>
      </c>
      <c r="E23" s="141">
        <v>3.78</v>
      </c>
      <c r="F23" s="12">
        <f>E23*F22</f>
        <v>21.924</v>
      </c>
      <c r="G23" s="150"/>
      <c r="H23" s="150"/>
      <c r="I23" s="150"/>
      <c r="J23" s="150"/>
      <c r="K23" s="150"/>
      <c r="L23" s="150"/>
      <c r="M23" s="150"/>
    </row>
    <row r="24" spans="1:13" ht="12.75">
      <c r="A24" s="469"/>
      <c r="B24" s="5" t="s">
        <v>24</v>
      </c>
      <c r="C24" s="5"/>
      <c r="D24" s="141" t="s">
        <v>0</v>
      </c>
      <c r="E24" s="141">
        <v>0.92</v>
      </c>
      <c r="F24" s="12">
        <f>E24*F22</f>
        <v>5.336</v>
      </c>
      <c r="G24" s="150"/>
      <c r="H24" s="150"/>
      <c r="I24" s="150"/>
      <c r="J24" s="150"/>
      <c r="K24" s="150"/>
      <c r="L24" s="150"/>
      <c r="M24" s="150"/>
    </row>
    <row r="25" spans="1:13" ht="12.75">
      <c r="A25" s="469"/>
      <c r="B25" s="141" t="s">
        <v>22</v>
      </c>
      <c r="C25" s="141"/>
      <c r="D25" s="141"/>
      <c r="E25" s="141"/>
      <c r="F25" s="12"/>
      <c r="G25" s="150"/>
      <c r="H25" s="150"/>
      <c r="I25" s="150"/>
      <c r="J25" s="150"/>
      <c r="K25" s="150"/>
      <c r="L25" s="150"/>
      <c r="M25" s="150"/>
    </row>
    <row r="26" spans="1:13" ht="15">
      <c r="A26" s="469"/>
      <c r="B26" s="5" t="s">
        <v>322</v>
      </c>
      <c r="C26" s="103" t="s">
        <v>509</v>
      </c>
      <c r="D26" s="141" t="s">
        <v>32</v>
      </c>
      <c r="E26" s="141">
        <f>101.5/100</f>
        <v>1.015</v>
      </c>
      <c r="F26" s="12">
        <f>E26*F22</f>
        <v>5.887</v>
      </c>
      <c r="G26" s="150"/>
      <c r="H26" s="150"/>
      <c r="I26" s="150"/>
      <c r="J26" s="150"/>
      <c r="K26" s="150"/>
      <c r="L26" s="150"/>
      <c r="M26" s="150"/>
    </row>
    <row r="27" spans="1:13" ht="15">
      <c r="A27" s="469"/>
      <c r="B27" s="5" t="s">
        <v>148</v>
      </c>
      <c r="C27" s="141" t="s">
        <v>466</v>
      </c>
      <c r="D27" s="141" t="s">
        <v>323</v>
      </c>
      <c r="E27" s="141">
        <f>70.3/100</f>
        <v>0.703</v>
      </c>
      <c r="F27" s="12">
        <f>E27*F22</f>
        <v>4.0774</v>
      </c>
      <c r="G27" s="150"/>
      <c r="H27" s="150"/>
      <c r="I27" s="150"/>
      <c r="J27" s="150"/>
      <c r="K27" s="150"/>
      <c r="L27" s="150"/>
      <c r="M27" s="150"/>
    </row>
    <row r="28" spans="1:13" ht="15">
      <c r="A28" s="469"/>
      <c r="B28" s="5" t="s">
        <v>195</v>
      </c>
      <c r="C28" s="141" t="s">
        <v>510</v>
      </c>
      <c r="D28" s="141" t="s">
        <v>32</v>
      </c>
      <c r="E28" s="141">
        <v>0.0084</v>
      </c>
      <c r="F28" s="12">
        <f>E28*F22</f>
        <v>0.04871999999999999</v>
      </c>
      <c r="G28" s="150"/>
      <c r="H28" s="150"/>
      <c r="I28" s="150"/>
      <c r="J28" s="150"/>
      <c r="K28" s="150"/>
      <c r="L28" s="150"/>
      <c r="M28" s="150"/>
    </row>
    <row r="29" spans="1:13" ht="12.75">
      <c r="A29" s="469"/>
      <c r="B29" s="5" t="s">
        <v>559</v>
      </c>
      <c r="C29" s="103" t="s">
        <v>92</v>
      </c>
      <c r="D29" s="141" t="s">
        <v>157</v>
      </c>
      <c r="E29" s="141" t="s">
        <v>30</v>
      </c>
      <c r="F29" s="12">
        <v>0.147</v>
      </c>
      <c r="G29" s="150"/>
      <c r="H29" s="150"/>
      <c r="I29" s="150"/>
      <c r="J29" s="150"/>
      <c r="K29" s="150"/>
      <c r="L29" s="150"/>
      <c r="M29" s="150"/>
    </row>
    <row r="30" spans="1:13" ht="12.75">
      <c r="A30" s="469"/>
      <c r="B30" s="5" t="s">
        <v>33</v>
      </c>
      <c r="C30" s="103"/>
      <c r="D30" s="141" t="s">
        <v>0</v>
      </c>
      <c r="E30" s="141">
        <f>60/100</f>
        <v>0.6</v>
      </c>
      <c r="F30" s="12">
        <f>E30*F22</f>
        <v>3.48</v>
      </c>
      <c r="G30" s="150"/>
      <c r="H30" s="150"/>
      <c r="I30" s="150"/>
      <c r="J30" s="150"/>
      <c r="K30" s="150"/>
      <c r="L30" s="150"/>
      <c r="M30" s="150"/>
    </row>
    <row r="31" spans="1:13" ht="25.5">
      <c r="A31" s="468">
        <v>4</v>
      </c>
      <c r="B31" s="3" t="s">
        <v>204</v>
      </c>
      <c r="C31" s="418" t="s">
        <v>324</v>
      </c>
      <c r="D31" s="415" t="s">
        <v>114</v>
      </c>
      <c r="E31" s="9"/>
      <c r="F31" s="232">
        <f>F8-F16-F22</f>
        <v>2.8999999999999995</v>
      </c>
      <c r="G31" s="340"/>
      <c r="H31" s="340"/>
      <c r="I31" s="340"/>
      <c r="J31" s="340"/>
      <c r="K31" s="340"/>
      <c r="L31" s="340"/>
      <c r="M31" s="340"/>
    </row>
    <row r="32" spans="1:13" ht="12.75">
      <c r="A32" s="468"/>
      <c r="B32" s="10" t="s">
        <v>12</v>
      </c>
      <c r="C32" s="10"/>
      <c r="D32" s="1" t="s">
        <v>15</v>
      </c>
      <c r="E32" s="1">
        <v>1.43</v>
      </c>
      <c r="F32" s="2">
        <f>E32*F31</f>
        <v>4.146999999999999</v>
      </c>
      <c r="G32" s="150"/>
      <c r="H32" s="150"/>
      <c r="I32" s="150"/>
      <c r="J32" s="150"/>
      <c r="K32" s="150"/>
      <c r="L32" s="150"/>
      <c r="M32" s="150"/>
    </row>
    <row r="33" spans="1:13" ht="25.5">
      <c r="A33" s="468">
        <v>5</v>
      </c>
      <c r="B33" s="3" t="s">
        <v>205</v>
      </c>
      <c r="C33" s="418" t="s">
        <v>324</v>
      </c>
      <c r="D33" s="415" t="s">
        <v>114</v>
      </c>
      <c r="E33" s="9"/>
      <c r="F33" s="232">
        <f>F16+F22</f>
        <v>7.1</v>
      </c>
      <c r="G33" s="340"/>
      <c r="H33" s="340"/>
      <c r="I33" s="340"/>
      <c r="J33" s="340"/>
      <c r="K33" s="340"/>
      <c r="L33" s="340"/>
      <c r="M33" s="340"/>
    </row>
    <row r="34" spans="1:13" ht="12.75">
      <c r="A34" s="468"/>
      <c r="B34" s="10" t="s">
        <v>12</v>
      </c>
      <c r="C34" s="10"/>
      <c r="D34" s="1" t="s">
        <v>15</v>
      </c>
      <c r="E34" s="1">
        <v>1.43</v>
      </c>
      <c r="F34" s="2">
        <f>E34*F33</f>
        <v>10.152999999999999</v>
      </c>
      <c r="G34" s="150"/>
      <c r="H34" s="150"/>
      <c r="I34" s="150"/>
      <c r="J34" s="150"/>
      <c r="K34" s="150"/>
      <c r="L34" s="150"/>
      <c r="M34" s="150"/>
    </row>
    <row r="35" spans="1:13" ht="25.5">
      <c r="A35" s="468">
        <v>6</v>
      </c>
      <c r="B35" s="106" t="s">
        <v>325</v>
      </c>
      <c r="C35" s="418" t="s">
        <v>326</v>
      </c>
      <c r="D35" s="415" t="s">
        <v>114</v>
      </c>
      <c r="E35" s="141"/>
      <c r="F35" s="11">
        <v>17.8</v>
      </c>
      <c r="G35" s="150"/>
      <c r="H35" s="150"/>
      <c r="I35" s="150"/>
      <c r="J35" s="150"/>
      <c r="K35" s="150"/>
      <c r="L35" s="150"/>
      <c r="M35" s="150"/>
    </row>
    <row r="36" spans="1:13" ht="12.75">
      <c r="A36" s="468"/>
      <c r="B36" s="5" t="s">
        <v>12</v>
      </c>
      <c r="C36" s="5"/>
      <c r="D36" s="1" t="s">
        <v>15</v>
      </c>
      <c r="E36" s="141">
        <v>3.08</v>
      </c>
      <c r="F36" s="12">
        <f>E36*F35</f>
        <v>54.824000000000005</v>
      </c>
      <c r="G36" s="150"/>
      <c r="H36" s="150"/>
      <c r="I36" s="150"/>
      <c r="J36" s="150"/>
      <c r="K36" s="150"/>
      <c r="L36" s="150"/>
      <c r="M36" s="150"/>
    </row>
    <row r="37" spans="1:13" ht="12.75">
      <c r="A37" s="468"/>
      <c r="B37" s="5" t="s">
        <v>24</v>
      </c>
      <c r="C37" s="5"/>
      <c r="D37" s="141" t="s">
        <v>0</v>
      </c>
      <c r="E37" s="141">
        <v>0.92</v>
      </c>
      <c r="F37" s="12">
        <f>E37*F35</f>
        <v>16.376</v>
      </c>
      <c r="G37" s="150"/>
      <c r="H37" s="150"/>
      <c r="I37" s="150"/>
      <c r="J37" s="150"/>
      <c r="K37" s="150"/>
      <c r="L37" s="150"/>
      <c r="M37" s="150"/>
    </row>
    <row r="38" spans="1:13" ht="12.75">
      <c r="A38" s="468"/>
      <c r="B38" s="141" t="s">
        <v>22</v>
      </c>
      <c r="C38" s="141"/>
      <c r="D38" s="141"/>
      <c r="E38" s="141"/>
      <c r="F38" s="12"/>
      <c r="G38" s="150"/>
      <c r="H38" s="150"/>
      <c r="I38" s="150"/>
      <c r="J38" s="150"/>
      <c r="K38" s="150"/>
      <c r="L38" s="150"/>
      <c r="M38" s="150"/>
    </row>
    <row r="39" spans="1:13" ht="15">
      <c r="A39" s="468"/>
      <c r="B39" s="108" t="s">
        <v>327</v>
      </c>
      <c r="C39" s="103" t="s">
        <v>511</v>
      </c>
      <c r="D39" s="141" t="s">
        <v>32</v>
      </c>
      <c r="E39" s="141">
        <v>0.11</v>
      </c>
      <c r="F39" s="12">
        <f>E39*F35</f>
        <v>1.9580000000000002</v>
      </c>
      <c r="G39" s="150"/>
      <c r="H39" s="150"/>
      <c r="I39" s="150"/>
      <c r="J39" s="150"/>
      <c r="K39" s="150"/>
      <c r="L39" s="150"/>
      <c r="M39" s="150"/>
    </row>
    <row r="40" spans="1:13" ht="12.75">
      <c r="A40" s="468"/>
      <c r="B40" s="108" t="s">
        <v>328</v>
      </c>
      <c r="C40" s="103" t="s">
        <v>512</v>
      </c>
      <c r="D40" s="141" t="s">
        <v>37</v>
      </c>
      <c r="E40" s="141">
        <v>62.5</v>
      </c>
      <c r="F40" s="12">
        <f>E40*F35</f>
        <v>1112.5</v>
      </c>
      <c r="G40" s="150"/>
      <c r="H40" s="150"/>
      <c r="I40" s="150"/>
      <c r="J40" s="150"/>
      <c r="K40" s="150"/>
      <c r="L40" s="150"/>
      <c r="M40" s="150"/>
    </row>
    <row r="41" spans="1:13" ht="12.75">
      <c r="A41" s="468"/>
      <c r="B41" s="108" t="s">
        <v>33</v>
      </c>
      <c r="C41" s="108"/>
      <c r="D41" s="141" t="s">
        <v>0</v>
      </c>
      <c r="E41" s="141">
        <v>0.16</v>
      </c>
      <c r="F41" s="12">
        <f>E41*F35</f>
        <v>2.8480000000000003</v>
      </c>
      <c r="G41" s="150"/>
      <c r="H41" s="150"/>
      <c r="I41" s="150"/>
      <c r="J41" s="150"/>
      <c r="K41" s="150"/>
      <c r="L41" s="150"/>
      <c r="M41" s="150"/>
    </row>
    <row r="42" spans="1:13" ht="25.5">
      <c r="A42" s="468">
        <v>7</v>
      </c>
      <c r="B42" s="106" t="s">
        <v>329</v>
      </c>
      <c r="C42" s="339" t="s">
        <v>330</v>
      </c>
      <c r="D42" s="415" t="s">
        <v>331</v>
      </c>
      <c r="E42" s="141"/>
      <c r="F42" s="11">
        <v>6.5</v>
      </c>
      <c r="G42" s="150"/>
      <c r="H42" s="150"/>
      <c r="I42" s="150"/>
      <c r="J42" s="150"/>
      <c r="K42" s="150"/>
      <c r="L42" s="150"/>
      <c r="M42" s="150"/>
    </row>
    <row r="43" spans="1:13" ht="12.75">
      <c r="A43" s="468"/>
      <c r="B43" s="5" t="s">
        <v>12</v>
      </c>
      <c r="C43" s="5"/>
      <c r="D43" s="1" t="s">
        <v>15</v>
      </c>
      <c r="E43" s="235">
        <f>0.1888+0.0034*2</f>
        <v>0.1956</v>
      </c>
      <c r="F43" s="12">
        <f>E43*F42</f>
        <v>1.2713999999999999</v>
      </c>
      <c r="G43" s="150"/>
      <c r="H43" s="150"/>
      <c r="I43" s="150"/>
      <c r="J43" s="150"/>
      <c r="K43" s="150"/>
      <c r="L43" s="150"/>
      <c r="M43" s="150"/>
    </row>
    <row r="44" spans="1:13" ht="12.75">
      <c r="A44" s="468"/>
      <c r="B44" s="5" t="s">
        <v>24</v>
      </c>
      <c r="C44" s="5"/>
      <c r="D44" s="141" t="s">
        <v>0</v>
      </c>
      <c r="E44" s="235">
        <f>0.0095+0.0023*2</f>
        <v>0.0141</v>
      </c>
      <c r="F44" s="12">
        <f>E44*F42</f>
        <v>0.09165</v>
      </c>
      <c r="G44" s="150"/>
      <c r="H44" s="150"/>
      <c r="I44" s="150"/>
      <c r="J44" s="150"/>
      <c r="K44" s="150"/>
      <c r="L44" s="150"/>
      <c r="M44" s="150"/>
    </row>
    <row r="45" spans="1:13" ht="12.75">
      <c r="A45" s="468"/>
      <c r="B45" s="141" t="s">
        <v>22</v>
      </c>
      <c r="C45" s="141"/>
      <c r="D45" s="141"/>
      <c r="E45" s="141"/>
      <c r="F45" s="12"/>
      <c r="G45" s="150"/>
      <c r="H45" s="150"/>
      <c r="I45" s="150"/>
      <c r="J45" s="150"/>
      <c r="K45" s="150"/>
      <c r="L45" s="150"/>
      <c r="M45" s="150"/>
    </row>
    <row r="46" spans="1:13" ht="15">
      <c r="A46" s="468"/>
      <c r="B46" s="108" t="s">
        <v>332</v>
      </c>
      <c r="C46" s="103" t="s">
        <v>513</v>
      </c>
      <c r="D46" s="141" t="s">
        <v>32</v>
      </c>
      <c r="E46" s="141">
        <v>0.0306</v>
      </c>
      <c r="F46" s="12">
        <f>E46*F42</f>
        <v>0.1989</v>
      </c>
      <c r="G46" s="150"/>
      <c r="H46" s="150"/>
      <c r="I46" s="150"/>
      <c r="J46" s="150"/>
      <c r="K46" s="150"/>
      <c r="L46" s="150"/>
      <c r="M46" s="150"/>
    </row>
    <row r="47" spans="1:13" ht="12.75">
      <c r="A47" s="468"/>
      <c r="B47" s="5" t="s">
        <v>33</v>
      </c>
      <c r="C47" s="5"/>
      <c r="D47" s="141" t="s">
        <v>0</v>
      </c>
      <c r="E47" s="141">
        <f>6.36/100</f>
        <v>0.0636</v>
      </c>
      <c r="F47" s="12">
        <f>E47*F42</f>
        <v>0.41340000000000005</v>
      </c>
      <c r="G47" s="150"/>
      <c r="H47" s="150"/>
      <c r="I47" s="150"/>
      <c r="J47" s="150"/>
      <c r="K47" s="150"/>
      <c r="L47" s="150"/>
      <c r="M47" s="150"/>
    </row>
    <row r="48" spans="1:13" ht="25.5">
      <c r="A48" s="468">
        <v>8</v>
      </c>
      <c r="B48" s="109" t="s">
        <v>333</v>
      </c>
      <c r="C48" s="418" t="s">
        <v>334</v>
      </c>
      <c r="D48" s="415" t="s">
        <v>114</v>
      </c>
      <c r="E48" s="141"/>
      <c r="F48" s="11">
        <v>2.7</v>
      </c>
      <c r="G48" s="150"/>
      <c r="H48" s="150"/>
      <c r="I48" s="150"/>
      <c r="J48" s="150"/>
      <c r="K48" s="150"/>
      <c r="L48" s="150"/>
      <c r="M48" s="150"/>
    </row>
    <row r="49" spans="1:13" ht="12.75">
      <c r="A49" s="468"/>
      <c r="B49" s="5" t="s">
        <v>12</v>
      </c>
      <c r="C49" s="5"/>
      <c r="D49" s="1" t="s">
        <v>15</v>
      </c>
      <c r="E49" s="341">
        <v>8.4</v>
      </c>
      <c r="F49" s="12">
        <f>E49*F48</f>
        <v>22.680000000000003</v>
      </c>
      <c r="G49" s="150"/>
      <c r="H49" s="150"/>
      <c r="I49" s="150"/>
      <c r="J49" s="150"/>
      <c r="K49" s="150"/>
      <c r="L49" s="150"/>
      <c r="M49" s="150"/>
    </row>
    <row r="50" spans="1:13" ht="12.75">
      <c r="A50" s="468"/>
      <c r="B50" s="5" t="s">
        <v>24</v>
      </c>
      <c r="C50" s="5"/>
      <c r="D50" s="141" t="s">
        <v>0</v>
      </c>
      <c r="E50" s="342">
        <v>0.81</v>
      </c>
      <c r="F50" s="12">
        <f>E50*F48</f>
        <v>2.1870000000000003</v>
      </c>
      <c r="G50" s="150"/>
      <c r="H50" s="150"/>
      <c r="I50" s="150"/>
      <c r="J50" s="150"/>
      <c r="K50" s="150"/>
      <c r="L50" s="150"/>
      <c r="M50" s="150"/>
    </row>
    <row r="51" spans="1:13" ht="12.75">
      <c r="A51" s="468"/>
      <c r="B51" s="141" t="s">
        <v>22</v>
      </c>
      <c r="C51" s="141"/>
      <c r="D51" s="141"/>
      <c r="E51" s="141"/>
      <c r="F51" s="12"/>
      <c r="G51" s="150"/>
      <c r="H51" s="150"/>
      <c r="I51" s="150"/>
      <c r="J51" s="150"/>
      <c r="K51" s="150"/>
      <c r="L51" s="150"/>
      <c r="M51" s="150"/>
    </row>
    <row r="52" spans="1:13" ht="12.75">
      <c r="A52" s="468"/>
      <c r="B52" s="5" t="s">
        <v>335</v>
      </c>
      <c r="C52" s="103" t="s">
        <v>514</v>
      </c>
      <c r="D52" s="141" t="s">
        <v>32</v>
      </c>
      <c r="E52" s="141">
        <v>1.015</v>
      </c>
      <c r="F52" s="12">
        <f>E52*F48</f>
        <v>2.7405</v>
      </c>
      <c r="G52" s="150"/>
      <c r="H52" s="150"/>
      <c r="I52" s="150"/>
      <c r="J52" s="150"/>
      <c r="K52" s="150"/>
      <c r="L52" s="150"/>
      <c r="M52" s="150"/>
    </row>
    <row r="53" spans="1:13" ht="12.75">
      <c r="A53" s="468"/>
      <c r="B53" s="5" t="s">
        <v>148</v>
      </c>
      <c r="C53" s="141" t="s">
        <v>466</v>
      </c>
      <c r="D53" s="141" t="s">
        <v>323</v>
      </c>
      <c r="E53" s="141">
        <v>1.37</v>
      </c>
      <c r="F53" s="12">
        <f>E53*F48</f>
        <v>3.6990000000000007</v>
      </c>
      <c r="G53" s="150"/>
      <c r="H53" s="150"/>
      <c r="I53" s="150"/>
      <c r="J53" s="150"/>
      <c r="K53" s="150"/>
      <c r="L53" s="150"/>
      <c r="M53" s="150"/>
    </row>
    <row r="54" spans="1:13" ht="12.75">
      <c r="A54" s="468"/>
      <c r="B54" s="5" t="s">
        <v>195</v>
      </c>
      <c r="C54" s="141" t="s">
        <v>510</v>
      </c>
      <c r="D54" s="141" t="s">
        <v>32</v>
      </c>
      <c r="E54" s="141">
        <v>0.0084</v>
      </c>
      <c r="F54" s="12">
        <f>E54*F48</f>
        <v>0.02268</v>
      </c>
      <c r="G54" s="150"/>
      <c r="H54" s="150"/>
      <c r="I54" s="150"/>
      <c r="J54" s="150"/>
      <c r="K54" s="150"/>
      <c r="L54" s="150"/>
      <c r="M54" s="150"/>
    </row>
    <row r="55" spans="1:13" ht="12.75">
      <c r="A55" s="468"/>
      <c r="B55" s="5" t="s">
        <v>559</v>
      </c>
      <c r="C55" s="103" t="s">
        <v>92</v>
      </c>
      <c r="D55" s="141" t="s">
        <v>157</v>
      </c>
      <c r="E55" s="141" t="s">
        <v>30</v>
      </c>
      <c r="F55" s="12">
        <v>0.477</v>
      </c>
      <c r="G55" s="150"/>
      <c r="H55" s="150"/>
      <c r="I55" s="150"/>
      <c r="J55" s="150"/>
      <c r="K55" s="150"/>
      <c r="L55" s="150"/>
      <c r="M55" s="150"/>
    </row>
    <row r="56" spans="1:13" ht="12.75">
      <c r="A56" s="468"/>
      <c r="B56" s="5" t="s">
        <v>560</v>
      </c>
      <c r="C56" s="103" t="s">
        <v>92</v>
      </c>
      <c r="D56" s="141" t="s">
        <v>157</v>
      </c>
      <c r="E56" s="141" t="s">
        <v>30</v>
      </c>
      <c r="F56" s="12">
        <v>0.04</v>
      </c>
      <c r="G56" s="150"/>
      <c r="H56" s="150"/>
      <c r="I56" s="150"/>
      <c r="J56" s="150"/>
      <c r="K56" s="150"/>
      <c r="L56" s="150"/>
      <c r="M56" s="150"/>
    </row>
    <row r="57" spans="1:13" ht="12.75">
      <c r="A57" s="468"/>
      <c r="B57" s="5" t="s">
        <v>33</v>
      </c>
      <c r="C57" s="5"/>
      <c r="D57" s="141" t="s">
        <v>0</v>
      </c>
      <c r="E57" s="141">
        <f>39/100</f>
        <v>0.39</v>
      </c>
      <c r="F57" s="12">
        <f>E57*F48</f>
        <v>1.0530000000000002</v>
      </c>
      <c r="G57" s="150"/>
      <c r="H57" s="150"/>
      <c r="I57" s="150"/>
      <c r="J57" s="150"/>
      <c r="K57" s="150"/>
      <c r="L57" s="150"/>
      <c r="M57" s="150"/>
    </row>
    <row r="58" spans="1:13" ht="25.5">
      <c r="A58" s="468">
        <v>9</v>
      </c>
      <c r="B58" s="109" t="s">
        <v>336</v>
      </c>
      <c r="C58" s="418" t="s">
        <v>337</v>
      </c>
      <c r="D58" s="415" t="s">
        <v>114</v>
      </c>
      <c r="E58" s="141"/>
      <c r="F58" s="11">
        <v>0.35</v>
      </c>
      <c r="G58" s="150"/>
      <c r="H58" s="150"/>
      <c r="I58" s="150"/>
      <c r="J58" s="150"/>
      <c r="K58" s="150"/>
      <c r="L58" s="150"/>
      <c r="M58" s="150"/>
    </row>
    <row r="59" spans="1:13" ht="12.75">
      <c r="A59" s="468"/>
      <c r="B59" s="5" t="s">
        <v>12</v>
      </c>
      <c r="C59" s="5"/>
      <c r="D59" s="1" t="s">
        <v>15</v>
      </c>
      <c r="E59" s="141">
        <f>854/100</f>
        <v>8.54</v>
      </c>
      <c r="F59" s="12">
        <f>E59*F58</f>
        <v>2.9889999999999994</v>
      </c>
      <c r="G59" s="150"/>
      <c r="H59" s="150"/>
      <c r="I59" s="150"/>
      <c r="J59" s="150"/>
      <c r="K59" s="150"/>
      <c r="L59" s="150"/>
      <c r="M59" s="150"/>
    </row>
    <row r="60" spans="1:13" ht="12.75">
      <c r="A60" s="468"/>
      <c r="B60" s="5" t="s">
        <v>24</v>
      </c>
      <c r="C60" s="5"/>
      <c r="D60" s="141" t="s">
        <v>0</v>
      </c>
      <c r="E60" s="141">
        <f>106/100</f>
        <v>1.06</v>
      </c>
      <c r="F60" s="12">
        <f>E60*F58</f>
        <v>0.371</v>
      </c>
      <c r="G60" s="150"/>
      <c r="H60" s="150"/>
      <c r="I60" s="150"/>
      <c r="J60" s="150"/>
      <c r="K60" s="150"/>
      <c r="L60" s="150"/>
      <c r="M60" s="150"/>
    </row>
    <row r="61" spans="1:13" ht="12.75">
      <c r="A61" s="468"/>
      <c r="B61" s="141" t="s">
        <v>22</v>
      </c>
      <c r="C61" s="141"/>
      <c r="D61" s="141"/>
      <c r="E61" s="141"/>
      <c r="F61" s="12"/>
      <c r="G61" s="150"/>
      <c r="H61" s="150"/>
      <c r="I61" s="150"/>
      <c r="J61" s="150"/>
      <c r="K61" s="150"/>
      <c r="L61" s="150"/>
      <c r="M61" s="150"/>
    </row>
    <row r="62" spans="1:13" ht="15">
      <c r="A62" s="468"/>
      <c r="B62" s="5" t="s">
        <v>38</v>
      </c>
      <c r="C62" s="103" t="s">
        <v>520</v>
      </c>
      <c r="D62" s="141" t="s">
        <v>32</v>
      </c>
      <c r="E62" s="141">
        <f>101.5/100</f>
        <v>1.015</v>
      </c>
      <c r="F62" s="12">
        <f>E62*F58</f>
        <v>0.35524999999999995</v>
      </c>
      <c r="G62" s="150"/>
      <c r="H62" s="150"/>
      <c r="I62" s="150"/>
      <c r="J62" s="150"/>
      <c r="K62" s="150"/>
      <c r="L62" s="150"/>
      <c r="M62" s="150"/>
    </row>
    <row r="63" spans="1:13" ht="15">
      <c r="A63" s="468"/>
      <c r="B63" s="5" t="s">
        <v>148</v>
      </c>
      <c r="C63" s="141" t="s">
        <v>466</v>
      </c>
      <c r="D63" s="141" t="s">
        <v>323</v>
      </c>
      <c r="E63" s="141">
        <v>1.4</v>
      </c>
      <c r="F63" s="12">
        <f>E63*F58</f>
        <v>0.48999999999999994</v>
      </c>
      <c r="G63" s="150"/>
      <c r="H63" s="150"/>
      <c r="I63" s="150"/>
      <c r="J63" s="150"/>
      <c r="K63" s="150"/>
      <c r="L63" s="150"/>
      <c r="M63" s="150"/>
    </row>
    <row r="64" spans="1:13" ht="15">
      <c r="A64" s="468"/>
      <c r="B64" s="5" t="s">
        <v>195</v>
      </c>
      <c r="C64" s="141" t="s">
        <v>510</v>
      </c>
      <c r="D64" s="141" t="s">
        <v>32</v>
      </c>
      <c r="E64" s="141">
        <v>0.0084</v>
      </c>
      <c r="F64" s="12">
        <f>E64*F58</f>
        <v>0.0029399999999999995</v>
      </c>
      <c r="G64" s="150"/>
      <c r="H64" s="150"/>
      <c r="I64" s="150"/>
      <c r="J64" s="150"/>
      <c r="K64" s="150"/>
      <c r="L64" s="150"/>
      <c r="M64" s="150"/>
    </row>
    <row r="65" spans="1:13" ht="12.75">
      <c r="A65" s="468"/>
      <c r="B65" s="5" t="s">
        <v>559</v>
      </c>
      <c r="C65" s="103" t="s">
        <v>92</v>
      </c>
      <c r="D65" s="141" t="s">
        <v>157</v>
      </c>
      <c r="E65" s="141" t="s">
        <v>30</v>
      </c>
      <c r="F65" s="12">
        <v>0.04</v>
      </c>
      <c r="G65" s="150"/>
      <c r="H65" s="150"/>
      <c r="I65" s="150"/>
      <c r="J65" s="150"/>
      <c r="K65" s="150"/>
      <c r="L65" s="150"/>
      <c r="M65" s="150"/>
    </row>
    <row r="66" spans="1:13" ht="12.75">
      <c r="A66" s="468"/>
      <c r="B66" s="5" t="s">
        <v>560</v>
      </c>
      <c r="C66" s="103" t="s">
        <v>92</v>
      </c>
      <c r="D66" s="141" t="s">
        <v>157</v>
      </c>
      <c r="E66" s="141" t="s">
        <v>30</v>
      </c>
      <c r="F66" s="12">
        <v>0.01</v>
      </c>
      <c r="G66" s="150"/>
      <c r="H66" s="150"/>
      <c r="I66" s="150"/>
      <c r="J66" s="150"/>
      <c r="K66" s="150"/>
      <c r="L66" s="150"/>
      <c r="M66" s="150"/>
    </row>
    <row r="67" spans="1:13" ht="12.75">
      <c r="A67" s="468"/>
      <c r="B67" s="5" t="s">
        <v>33</v>
      </c>
      <c r="C67" s="5"/>
      <c r="D67" s="141" t="s">
        <v>0</v>
      </c>
      <c r="E67" s="141">
        <v>0.74</v>
      </c>
      <c r="F67" s="12">
        <f>E67*F58</f>
        <v>0.259</v>
      </c>
      <c r="G67" s="150"/>
      <c r="H67" s="150"/>
      <c r="I67" s="150"/>
      <c r="J67" s="150"/>
      <c r="K67" s="150"/>
      <c r="L67" s="150"/>
      <c r="M67" s="150"/>
    </row>
    <row r="68" spans="1:13" ht="25.5">
      <c r="A68" s="468">
        <v>10</v>
      </c>
      <c r="B68" s="109" t="s">
        <v>339</v>
      </c>
      <c r="C68" s="418" t="s">
        <v>539</v>
      </c>
      <c r="D68" s="415" t="s">
        <v>114</v>
      </c>
      <c r="E68" s="141"/>
      <c r="F68" s="11">
        <v>1.15</v>
      </c>
      <c r="G68" s="150"/>
      <c r="H68" s="150"/>
      <c r="I68" s="150"/>
      <c r="J68" s="150"/>
      <c r="K68" s="150"/>
      <c r="L68" s="150"/>
      <c r="M68" s="150"/>
    </row>
    <row r="69" spans="1:13" ht="12.75">
      <c r="A69" s="468"/>
      <c r="B69" s="10" t="s">
        <v>12</v>
      </c>
      <c r="C69" s="10"/>
      <c r="D69" s="141" t="s">
        <v>15</v>
      </c>
      <c r="E69" s="141">
        <v>23.8</v>
      </c>
      <c r="F69" s="12">
        <f>E69*F68</f>
        <v>27.369999999999997</v>
      </c>
      <c r="G69" s="150"/>
      <c r="H69" s="150"/>
      <c r="I69" s="150"/>
      <c r="J69" s="150"/>
      <c r="K69" s="150"/>
      <c r="L69" s="150"/>
      <c r="M69" s="150"/>
    </row>
    <row r="70" spans="1:13" ht="12.75">
      <c r="A70" s="468"/>
      <c r="B70" s="5" t="s">
        <v>24</v>
      </c>
      <c r="C70" s="5"/>
      <c r="D70" s="141" t="s">
        <v>340</v>
      </c>
      <c r="E70" s="141">
        <v>2.1</v>
      </c>
      <c r="F70" s="12">
        <f>E70*F68</f>
        <v>2.415</v>
      </c>
      <c r="G70" s="150"/>
      <c r="H70" s="150"/>
      <c r="I70" s="150"/>
      <c r="J70" s="150"/>
      <c r="K70" s="150"/>
      <c r="L70" s="150"/>
      <c r="M70" s="150"/>
    </row>
    <row r="71" spans="1:13" ht="12.75">
      <c r="A71" s="468"/>
      <c r="B71" s="141" t="s">
        <v>22</v>
      </c>
      <c r="C71" s="141"/>
      <c r="D71" s="141"/>
      <c r="E71" s="141"/>
      <c r="F71" s="12"/>
      <c r="G71" s="150"/>
      <c r="H71" s="150"/>
      <c r="I71" s="150"/>
      <c r="J71" s="150"/>
      <c r="K71" s="150"/>
      <c r="L71" s="150"/>
      <c r="M71" s="150"/>
    </row>
    <row r="72" spans="1:13" ht="15">
      <c r="A72" s="468"/>
      <c r="B72" s="5" t="s">
        <v>195</v>
      </c>
      <c r="C72" s="141" t="s">
        <v>515</v>
      </c>
      <c r="D72" s="141" t="s">
        <v>32</v>
      </c>
      <c r="E72" s="104">
        <v>0.0084</v>
      </c>
      <c r="F72" s="12">
        <f>E72*F68</f>
        <v>0.009659999999999998</v>
      </c>
      <c r="G72" s="150"/>
      <c r="H72" s="150"/>
      <c r="I72" s="150"/>
      <c r="J72" s="150"/>
      <c r="K72" s="150"/>
      <c r="L72" s="150"/>
      <c r="M72" s="150"/>
    </row>
    <row r="73" spans="1:13" ht="15">
      <c r="A73" s="468"/>
      <c r="B73" s="5" t="s">
        <v>341</v>
      </c>
      <c r="C73" s="141" t="s">
        <v>516</v>
      </c>
      <c r="D73" s="141" t="s">
        <v>323</v>
      </c>
      <c r="E73" s="4">
        <v>3.38</v>
      </c>
      <c r="F73" s="12">
        <f>E73*F68</f>
        <v>3.8869999999999996</v>
      </c>
      <c r="G73" s="150"/>
      <c r="H73" s="150"/>
      <c r="I73" s="150"/>
      <c r="J73" s="150"/>
      <c r="K73" s="150"/>
      <c r="L73" s="150"/>
      <c r="M73" s="150"/>
    </row>
    <row r="74" spans="1:13" ht="12.75">
      <c r="A74" s="468"/>
      <c r="B74" s="5" t="s">
        <v>342</v>
      </c>
      <c r="C74" s="141" t="s">
        <v>517</v>
      </c>
      <c r="D74" s="141" t="s">
        <v>170</v>
      </c>
      <c r="E74" s="4">
        <v>7.2</v>
      </c>
      <c r="F74" s="12">
        <f>E74*F68</f>
        <v>8.28</v>
      </c>
      <c r="G74" s="150"/>
      <c r="H74" s="150"/>
      <c r="I74" s="150"/>
      <c r="J74" s="150"/>
      <c r="K74" s="150"/>
      <c r="L74" s="150"/>
      <c r="M74" s="150"/>
    </row>
    <row r="75" spans="1:13" ht="12.75">
      <c r="A75" s="468"/>
      <c r="B75" s="5" t="s">
        <v>343</v>
      </c>
      <c r="C75" s="5" t="s">
        <v>518</v>
      </c>
      <c r="D75" s="141" t="s">
        <v>170</v>
      </c>
      <c r="E75" s="4">
        <v>4.38</v>
      </c>
      <c r="F75" s="12">
        <f>E75*F68</f>
        <v>5.037</v>
      </c>
      <c r="G75" s="150"/>
      <c r="H75" s="150"/>
      <c r="I75" s="150"/>
      <c r="J75" s="150"/>
      <c r="K75" s="150"/>
      <c r="L75" s="150"/>
      <c r="M75" s="150"/>
    </row>
    <row r="76" spans="1:13" ht="12.75">
      <c r="A76" s="468"/>
      <c r="B76" s="5" t="s">
        <v>33</v>
      </c>
      <c r="C76" s="5"/>
      <c r="D76" s="141" t="s">
        <v>340</v>
      </c>
      <c r="E76" s="4">
        <v>3.44</v>
      </c>
      <c r="F76" s="12">
        <f>E76*F68</f>
        <v>3.9559999999999995</v>
      </c>
      <c r="G76" s="150"/>
      <c r="H76" s="150"/>
      <c r="I76" s="150"/>
      <c r="J76" s="150"/>
      <c r="K76" s="150"/>
      <c r="L76" s="150"/>
      <c r="M76" s="150"/>
    </row>
    <row r="77" spans="1:13" ht="25.5">
      <c r="A77" s="468">
        <v>11</v>
      </c>
      <c r="B77" s="109" t="s">
        <v>344</v>
      </c>
      <c r="C77" s="418" t="s">
        <v>345</v>
      </c>
      <c r="D77" s="415" t="s">
        <v>331</v>
      </c>
      <c r="E77" s="141"/>
      <c r="F77" s="11">
        <v>23.1</v>
      </c>
      <c r="G77" s="150"/>
      <c r="H77" s="150"/>
      <c r="I77" s="150"/>
      <c r="J77" s="150"/>
      <c r="K77" s="150"/>
      <c r="L77" s="150"/>
      <c r="M77" s="150"/>
    </row>
    <row r="78" spans="1:13" ht="12.75">
      <c r="A78" s="468"/>
      <c r="B78" s="10" t="s">
        <v>12</v>
      </c>
      <c r="C78" s="10"/>
      <c r="D78" s="141" t="s">
        <v>15</v>
      </c>
      <c r="E78" s="343">
        <f>23.6/100</f>
        <v>0.23600000000000002</v>
      </c>
      <c r="F78" s="12">
        <f>E78*F77</f>
        <v>5.451600000000001</v>
      </c>
      <c r="G78" s="150"/>
      <c r="H78" s="150"/>
      <c r="I78" s="150"/>
      <c r="J78" s="150"/>
      <c r="K78" s="150"/>
      <c r="L78" s="150"/>
      <c r="M78" s="150"/>
    </row>
    <row r="79" spans="1:13" ht="12.75">
      <c r="A79" s="468"/>
      <c r="B79" s="5" t="s">
        <v>24</v>
      </c>
      <c r="C79" s="5"/>
      <c r="D79" s="141" t="s">
        <v>0</v>
      </c>
      <c r="E79" s="141">
        <v>0.0225</v>
      </c>
      <c r="F79" s="12">
        <f>E79*F77</f>
        <v>0.51975</v>
      </c>
      <c r="G79" s="150"/>
      <c r="H79" s="150"/>
      <c r="I79" s="150"/>
      <c r="J79" s="150"/>
      <c r="K79" s="150"/>
      <c r="L79" s="150"/>
      <c r="M79" s="150"/>
    </row>
    <row r="80" spans="1:13" ht="12.75">
      <c r="A80" s="468"/>
      <c r="B80" s="141" t="s">
        <v>22</v>
      </c>
      <c r="C80" s="141"/>
      <c r="D80" s="141"/>
      <c r="E80" s="141"/>
      <c r="F80" s="12"/>
      <c r="G80" s="150"/>
      <c r="H80" s="150"/>
      <c r="I80" s="150"/>
      <c r="J80" s="150"/>
      <c r="K80" s="150"/>
      <c r="L80" s="150"/>
      <c r="M80" s="150"/>
    </row>
    <row r="81" spans="1:13" ht="15">
      <c r="A81" s="468"/>
      <c r="B81" s="5" t="s">
        <v>195</v>
      </c>
      <c r="C81" s="141" t="s">
        <v>510</v>
      </c>
      <c r="D81" s="141" t="s">
        <v>32</v>
      </c>
      <c r="E81" s="153">
        <v>0.0084</v>
      </c>
      <c r="F81" s="12">
        <f>E81*F77</f>
        <v>0.19404</v>
      </c>
      <c r="G81" s="150"/>
      <c r="H81" s="150"/>
      <c r="I81" s="150"/>
      <c r="J81" s="150"/>
      <c r="K81" s="150"/>
      <c r="L81" s="150"/>
      <c r="M81" s="150"/>
    </row>
    <row r="82" spans="1:13" ht="12.75">
      <c r="A82" s="468"/>
      <c r="B82" s="5" t="s">
        <v>342</v>
      </c>
      <c r="C82" s="5" t="s">
        <v>519</v>
      </c>
      <c r="D82" s="141" t="s">
        <v>170</v>
      </c>
      <c r="E82" s="12">
        <v>0.065</v>
      </c>
      <c r="F82" s="12">
        <f>G83</f>
        <v>0</v>
      </c>
      <c r="G82" s="150"/>
      <c r="H82" s="150"/>
      <c r="I82" s="150"/>
      <c r="J82" s="150"/>
      <c r="K82" s="150"/>
      <c r="L82" s="150"/>
      <c r="M82" s="150"/>
    </row>
    <row r="83" spans="1:13" ht="12.75">
      <c r="A83" s="468"/>
      <c r="B83" s="5" t="s">
        <v>33</v>
      </c>
      <c r="C83" s="5"/>
      <c r="D83" s="141" t="s">
        <v>0</v>
      </c>
      <c r="E83" s="141">
        <v>0.0128</v>
      </c>
      <c r="F83" s="12">
        <f>E83*F77</f>
        <v>0.29568000000000005</v>
      </c>
      <c r="G83" s="150"/>
      <c r="H83" s="150"/>
      <c r="I83" s="150"/>
      <c r="J83" s="150"/>
      <c r="K83" s="150"/>
      <c r="L83" s="150"/>
      <c r="M83" s="150"/>
    </row>
    <row r="84" spans="1:13" ht="25.5">
      <c r="A84" s="468">
        <v>12</v>
      </c>
      <c r="B84" s="106" t="s">
        <v>346</v>
      </c>
      <c r="C84" s="418" t="s">
        <v>166</v>
      </c>
      <c r="D84" s="415" t="s">
        <v>331</v>
      </c>
      <c r="E84" s="141"/>
      <c r="F84" s="11">
        <v>23.1</v>
      </c>
      <c r="G84" s="150"/>
      <c r="H84" s="150"/>
      <c r="I84" s="150"/>
      <c r="J84" s="150"/>
      <c r="K84" s="150"/>
      <c r="L84" s="150"/>
      <c r="M84" s="150"/>
    </row>
    <row r="85" spans="1:13" ht="12.75">
      <c r="A85" s="468"/>
      <c r="B85" s="10" t="s">
        <v>12</v>
      </c>
      <c r="C85" s="10"/>
      <c r="D85" s="141" t="s">
        <v>15</v>
      </c>
      <c r="E85" s="141">
        <v>0.314</v>
      </c>
      <c r="F85" s="12">
        <f>E85*F84</f>
        <v>7.2534</v>
      </c>
      <c r="G85" s="150"/>
      <c r="H85" s="150"/>
      <c r="I85" s="150"/>
      <c r="J85" s="150"/>
      <c r="K85" s="150"/>
      <c r="L85" s="150"/>
      <c r="M85" s="150"/>
    </row>
    <row r="86" spans="1:13" ht="12.75">
      <c r="A86" s="468"/>
      <c r="B86" s="5" t="s">
        <v>162</v>
      </c>
      <c r="C86" s="141" t="s">
        <v>168</v>
      </c>
      <c r="D86" s="141" t="s">
        <v>21</v>
      </c>
      <c r="E86" s="141">
        <v>0.0213</v>
      </c>
      <c r="F86" s="12">
        <f>E86*F84</f>
        <v>0.49203</v>
      </c>
      <c r="G86" s="150"/>
      <c r="H86" s="150"/>
      <c r="I86" s="150"/>
      <c r="J86" s="150"/>
      <c r="K86" s="150"/>
      <c r="L86" s="150"/>
      <c r="M86" s="150"/>
    </row>
    <row r="87" spans="1:13" ht="12.75">
      <c r="A87" s="468"/>
      <c r="B87" s="5" t="s">
        <v>24</v>
      </c>
      <c r="C87" s="5"/>
      <c r="D87" s="141" t="s">
        <v>0</v>
      </c>
      <c r="E87" s="141">
        <f>0.34/100</f>
        <v>0.0034000000000000002</v>
      </c>
      <c r="F87" s="12">
        <f>F84*E87</f>
        <v>0.07854000000000001</v>
      </c>
      <c r="G87" s="150"/>
      <c r="H87" s="150"/>
      <c r="I87" s="150"/>
      <c r="J87" s="150"/>
      <c r="K87" s="150"/>
      <c r="L87" s="150"/>
      <c r="M87" s="150"/>
    </row>
    <row r="88" spans="1:13" ht="12.75">
      <c r="A88" s="468"/>
      <c r="B88" s="141" t="s">
        <v>22</v>
      </c>
      <c r="C88" s="141"/>
      <c r="D88" s="141"/>
      <c r="E88" s="141"/>
      <c r="F88" s="12"/>
      <c r="G88" s="150"/>
      <c r="H88" s="150"/>
      <c r="I88" s="150"/>
      <c r="J88" s="150"/>
      <c r="K88" s="150"/>
      <c r="L88" s="150"/>
      <c r="M88" s="150"/>
    </row>
    <row r="89" spans="1:13" ht="15">
      <c r="A89" s="468"/>
      <c r="B89" s="5" t="s">
        <v>347</v>
      </c>
      <c r="C89" s="141" t="s">
        <v>348</v>
      </c>
      <c r="D89" s="141" t="s">
        <v>323</v>
      </c>
      <c r="E89" s="141">
        <v>1.12</v>
      </c>
      <c r="F89" s="12">
        <f>E89*F84</f>
        <v>25.872000000000003</v>
      </c>
      <c r="G89" s="150"/>
      <c r="H89" s="150"/>
      <c r="I89" s="150"/>
      <c r="J89" s="150"/>
      <c r="K89" s="150"/>
      <c r="L89" s="150"/>
      <c r="M89" s="150"/>
    </row>
    <row r="90" spans="1:13" ht="15">
      <c r="A90" s="468"/>
      <c r="B90" s="5" t="s">
        <v>349</v>
      </c>
      <c r="C90" s="141" t="s">
        <v>526</v>
      </c>
      <c r="D90" s="141" t="s">
        <v>323</v>
      </c>
      <c r="E90" s="141" t="s">
        <v>30</v>
      </c>
      <c r="F90" s="12">
        <v>93.78</v>
      </c>
      <c r="G90" s="150"/>
      <c r="H90" s="150"/>
      <c r="I90" s="150"/>
      <c r="J90" s="150"/>
      <c r="K90" s="150"/>
      <c r="L90" s="150"/>
      <c r="M90" s="150"/>
    </row>
    <row r="91" spans="1:13" ht="12.75">
      <c r="A91" s="468"/>
      <c r="B91" s="5" t="s">
        <v>164</v>
      </c>
      <c r="C91" s="141" t="s">
        <v>92</v>
      </c>
      <c r="D91" s="141" t="s">
        <v>170</v>
      </c>
      <c r="E91" s="141">
        <v>0.05</v>
      </c>
      <c r="F91" s="12">
        <f>E91*F84</f>
        <v>1.155</v>
      </c>
      <c r="G91" s="150"/>
      <c r="H91" s="150"/>
      <c r="I91" s="150"/>
      <c r="J91" s="150"/>
      <c r="K91" s="150"/>
      <c r="L91" s="150"/>
      <c r="M91" s="150"/>
    </row>
    <row r="92" spans="1:13" ht="12.75">
      <c r="A92" s="468"/>
      <c r="B92" s="5" t="s">
        <v>165</v>
      </c>
      <c r="C92" s="141" t="s">
        <v>350</v>
      </c>
      <c r="D92" s="141" t="s">
        <v>170</v>
      </c>
      <c r="E92" s="141">
        <v>0.02</v>
      </c>
      <c r="F92" s="12">
        <f>E92*F84</f>
        <v>0.462</v>
      </c>
      <c r="G92" s="150"/>
      <c r="H92" s="150"/>
      <c r="I92" s="150"/>
      <c r="J92" s="150"/>
      <c r="K92" s="150"/>
      <c r="L92" s="150"/>
      <c r="M92" s="150"/>
    </row>
    <row r="93" spans="1:13" ht="12.75">
      <c r="A93" s="468"/>
      <c r="B93" s="5" t="s">
        <v>33</v>
      </c>
      <c r="C93" s="5"/>
      <c r="D93" s="141" t="s">
        <v>0</v>
      </c>
      <c r="E93" s="141">
        <v>0.0386</v>
      </c>
      <c r="F93" s="12">
        <f>F84*E93</f>
        <v>0.8916600000000001</v>
      </c>
      <c r="G93" s="150"/>
      <c r="H93" s="150"/>
      <c r="I93" s="150"/>
      <c r="J93" s="150"/>
      <c r="K93" s="150"/>
      <c r="L93" s="150"/>
      <c r="M93" s="150"/>
    </row>
    <row r="94" spans="1:13" ht="12.75">
      <c r="A94" s="468">
        <v>13</v>
      </c>
      <c r="B94" s="3" t="s">
        <v>351</v>
      </c>
      <c r="C94" s="141"/>
      <c r="D94" s="415" t="s">
        <v>352</v>
      </c>
      <c r="E94" s="415"/>
      <c r="F94" s="11">
        <v>5</v>
      </c>
      <c r="G94" s="340"/>
      <c r="H94" s="344"/>
      <c r="I94" s="344"/>
      <c r="J94" s="344"/>
      <c r="K94" s="344"/>
      <c r="L94" s="344"/>
      <c r="M94" s="344"/>
    </row>
    <row r="95" spans="1:13" ht="12.75">
      <c r="A95" s="468"/>
      <c r="B95" s="5" t="s">
        <v>39</v>
      </c>
      <c r="C95" s="5"/>
      <c r="D95" s="1" t="s">
        <v>15</v>
      </c>
      <c r="E95" s="2">
        <v>1</v>
      </c>
      <c r="F95" s="2">
        <f>F94*E95</f>
        <v>5</v>
      </c>
      <c r="G95" s="345"/>
      <c r="H95" s="345"/>
      <c r="I95" s="345"/>
      <c r="J95" s="345"/>
      <c r="K95" s="345"/>
      <c r="L95" s="345"/>
      <c r="M95" s="345"/>
    </row>
    <row r="96" spans="1:13" ht="12.75">
      <c r="A96" s="468"/>
      <c r="B96" s="141" t="s">
        <v>22</v>
      </c>
      <c r="C96" s="141"/>
      <c r="D96" s="141"/>
      <c r="E96" s="12"/>
      <c r="F96" s="4"/>
      <c r="G96" s="150"/>
      <c r="H96" s="150"/>
      <c r="I96" s="150"/>
      <c r="J96" s="150"/>
      <c r="K96" s="150"/>
      <c r="L96" s="150"/>
      <c r="M96" s="345"/>
    </row>
    <row r="97" spans="1:13" ht="12.75">
      <c r="A97" s="468"/>
      <c r="B97" s="5" t="s">
        <v>353</v>
      </c>
      <c r="C97" s="141" t="s">
        <v>92</v>
      </c>
      <c r="D97" s="1" t="s">
        <v>352</v>
      </c>
      <c r="E97" s="2">
        <v>1</v>
      </c>
      <c r="F97" s="2">
        <f>E97*F94</f>
        <v>5</v>
      </c>
      <c r="G97" s="150"/>
      <c r="H97" s="150"/>
      <c r="I97" s="150"/>
      <c r="J97" s="150"/>
      <c r="K97" s="150"/>
      <c r="L97" s="150"/>
      <c r="M97" s="345"/>
    </row>
    <row r="98" spans="1:13" ht="25.5">
      <c r="A98" s="468">
        <v>14</v>
      </c>
      <c r="B98" s="3" t="s">
        <v>354</v>
      </c>
      <c r="C98" s="141"/>
      <c r="D98" s="415" t="s">
        <v>23</v>
      </c>
      <c r="E98" s="415"/>
      <c r="F98" s="11">
        <v>2</v>
      </c>
      <c r="G98" s="340"/>
      <c r="H98" s="344"/>
      <c r="I98" s="344"/>
      <c r="J98" s="344"/>
      <c r="K98" s="344"/>
      <c r="L98" s="344"/>
      <c r="M98" s="344"/>
    </row>
    <row r="99" spans="1:13" ht="12.75">
      <c r="A99" s="468"/>
      <c r="B99" s="5" t="s">
        <v>39</v>
      </c>
      <c r="C99" s="5"/>
      <c r="D99" s="1" t="s">
        <v>23</v>
      </c>
      <c r="E99" s="2">
        <v>1</v>
      </c>
      <c r="F99" s="2">
        <f>F98*E99</f>
        <v>2</v>
      </c>
      <c r="G99" s="345"/>
      <c r="H99" s="345"/>
      <c r="I99" s="345"/>
      <c r="J99" s="345"/>
      <c r="K99" s="345"/>
      <c r="L99" s="345"/>
      <c r="M99" s="345"/>
    </row>
    <row r="100" spans="1:13" ht="12.75">
      <c r="A100" s="468"/>
      <c r="B100" s="141" t="s">
        <v>22</v>
      </c>
      <c r="C100" s="141"/>
      <c r="D100" s="141"/>
      <c r="E100" s="12"/>
      <c r="F100" s="4"/>
      <c r="G100" s="150"/>
      <c r="H100" s="150"/>
      <c r="I100" s="150"/>
      <c r="J100" s="150"/>
      <c r="K100" s="150"/>
      <c r="L100" s="150"/>
      <c r="M100" s="345"/>
    </row>
    <row r="101" spans="1:13" ht="12.75">
      <c r="A101" s="468"/>
      <c r="B101" s="5" t="s">
        <v>355</v>
      </c>
      <c r="C101" s="141" t="s">
        <v>92</v>
      </c>
      <c r="D101" s="1" t="s">
        <v>23</v>
      </c>
      <c r="E101" s="2">
        <v>1</v>
      </c>
      <c r="F101" s="2">
        <f>E101*F98</f>
        <v>2</v>
      </c>
      <c r="G101" s="150"/>
      <c r="H101" s="150"/>
      <c r="I101" s="150"/>
      <c r="J101" s="150"/>
      <c r="K101" s="150"/>
      <c r="L101" s="150"/>
      <c r="M101" s="345"/>
    </row>
    <row r="102" spans="1:13" ht="25.5">
      <c r="A102" s="468">
        <v>15</v>
      </c>
      <c r="B102" s="3" t="s">
        <v>356</v>
      </c>
      <c r="C102" s="141"/>
      <c r="D102" s="415" t="s">
        <v>352</v>
      </c>
      <c r="E102" s="415"/>
      <c r="F102" s="11">
        <v>9</v>
      </c>
      <c r="G102" s="340"/>
      <c r="H102" s="344"/>
      <c r="I102" s="344"/>
      <c r="J102" s="344"/>
      <c r="K102" s="344"/>
      <c r="L102" s="344"/>
      <c r="M102" s="344"/>
    </row>
    <row r="103" spans="1:13" ht="12.75">
      <c r="A103" s="468"/>
      <c r="B103" s="5" t="s">
        <v>39</v>
      </c>
      <c r="C103" s="5"/>
      <c r="D103" s="1" t="s">
        <v>15</v>
      </c>
      <c r="E103" s="2">
        <v>1</v>
      </c>
      <c r="F103" s="2">
        <f>F102*E103</f>
        <v>9</v>
      </c>
      <c r="G103" s="345"/>
      <c r="H103" s="345"/>
      <c r="I103" s="345"/>
      <c r="J103" s="345"/>
      <c r="K103" s="345"/>
      <c r="L103" s="345"/>
      <c r="M103" s="345"/>
    </row>
    <row r="104" spans="1:13" ht="12.75">
      <c r="A104" s="468"/>
      <c r="B104" s="141" t="s">
        <v>22</v>
      </c>
      <c r="C104" s="141"/>
      <c r="D104" s="141"/>
      <c r="E104" s="12"/>
      <c r="F104" s="4"/>
      <c r="G104" s="150"/>
      <c r="H104" s="150"/>
      <c r="I104" s="150"/>
      <c r="J104" s="150"/>
      <c r="K104" s="150"/>
      <c r="L104" s="150"/>
      <c r="M104" s="345"/>
    </row>
    <row r="105" spans="1:13" ht="12.75">
      <c r="A105" s="468"/>
      <c r="B105" s="5" t="s">
        <v>357</v>
      </c>
      <c r="C105" s="141" t="s">
        <v>92</v>
      </c>
      <c r="D105" s="1" t="s">
        <v>352</v>
      </c>
      <c r="E105" s="2">
        <v>1</v>
      </c>
      <c r="F105" s="2">
        <f>E105*F102</f>
        <v>9</v>
      </c>
      <c r="G105" s="150"/>
      <c r="H105" s="150"/>
      <c r="I105" s="150"/>
      <c r="J105" s="150"/>
      <c r="K105" s="150"/>
      <c r="L105" s="150"/>
      <c r="M105" s="345"/>
    </row>
    <row r="106" spans="1:13" ht="12.75">
      <c r="A106" s="468">
        <v>16</v>
      </c>
      <c r="B106" s="3" t="s">
        <v>358</v>
      </c>
      <c r="C106" s="141"/>
      <c r="D106" s="415" t="s">
        <v>23</v>
      </c>
      <c r="E106" s="415"/>
      <c r="F106" s="11">
        <v>2</v>
      </c>
      <c r="G106" s="340"/>
      <c r="H106" s="344"/>
      <c r="I106" s="344"/>
      <c r="J106" s="344"/>
      <c r="K106" s="344"/>
      <c r="L106" s="344"/>
      <c r="M106" s="344"/>
    </row>
    <row r="107" spans="1:13" ht="12.75">
      <c r="A107" s="468"/>
      <c r="B107" s="5" t="s">
        <v>39</v>
      </c>
      <c r="C107" s="5"/>
      <c r="D107" s="1" t="s">
        <v>23</v>
      </c>
      <c r="E107" s="2">
        <v>1</v>
      </c>
      <c r="F107" s="2">
        <f>F106*E107</f>
        <v>2</v>
      </c>
      <c r="G107" s="345"/>
      <c r="H107" s="345"/>
      <c r="I107" s="345"/>
      <c r="J107" s="345"/>
      <c r="K107" s="345"/>
      <c r="L107" s="345"/>
      <c r="M107" s="345"/>
    </row>
    <row r="108" spans="1:13" ht="12.75">
      <c r="A108" s="468"/>
      <c r="B108" s="141" t="s">
        <v>22</v>
      </c>
      <c r="C108" s="141"/>
      <c r="D108" s="141"/>
      <c r="E108" s="12"/>
      <c r="F108" s="4"/>
      <c r="G108" s="150"/>
      <c r="H108" s="150"/>
      <c r="I108" s="150"/>
      <c r="J108" s="150"/>
      <c r="K108" s="150"/>
      <c r="L108" s="150"/>
      <c r="M108" s="345"/>
    </row>
    <row r="109" spans="1:13" ht="12.75">
      <c r="A109" s="468"/>
      <c r="B109" s="5" t="s">
        <v>359</v>
      </c>
      <c r="C109" s="141" t="s">
        <v>92</v>
      </c>
      <c r="D109" s="1" t="s">
        <v>23</v>
      </c>
      <c r="E109" s="2">
        <v>1</v>
      </c>
      <c r="F109" s="2">
        <f>E109*F106</f>
        <v>2</v>
      </c>
      <c r="G109" s="150"/>
      <c r="H109" s="150"/>
      <c r="I109" s="150"/>
      <c r="J109" s="150"/>
      <c r="K109" s="150"/>
      <c r="L109" s="150"/>
      <c r="M109" s="345"/>
    </row>
    <row r="110" spans="1:13" ht="25.5">
      <c r="A110" s="458">
        <v>17</v>
      </c>
      <c r="B110" s="106" t="s">
        <v>360</v>
      </c>
      <c r="C110" s="339" t="s">
        <v>361</v>
      </c>
      <c r="D110" s="141" t="s">
        <v>32</v>
      </c>
      <c r="E110" s="141"/>
      <c r="F110" s="11">
        <v>1.9</v>
      </c>
      <c r="G110" s="150"/>
      <c r="H110" s="150"/>
      <c r="I110" s="150"/>
      <c r="J110" s="150"/>
      <c r="K110" s="150"/>
      <c r="L110" s="150"/>
      <c r="M110" s="150"/>
    </row>
    <row r="111" spans="1:13" ht="12.75">
      <c r="A111" s="469"/>
      <c r="B111" s="5" t="s">
        <v>12</v>
      </c>
      <c r="C111" s="5"/>
      <c r="D111" s="1" t="s">
        <v>15</v>
      </c>
      <c r="E111" s="12">
        <v>0.029</v>
      </c>
      <c r="F111" s="12">
        <f>E111*F110</f>
        <v>0.0551</v>
      </c>
      <c r="G111" s="150"/>
      <c r="H111" s="150"/>
      <c r="I111" s="150"/>
      <c r="J111" s="150"/>
      <c r="K111" s="150"/>
      <c r="L111" s="150"/>
      <c r="M111" s="150"/>
    </row>
    <row r="112" spans="1:13" ht="12.75">
      <c r="A112" s="469"/>
      <c r="B112" s="141" t="s">
        <v>22</v>
      </c>
      <c r="C112" s="141"/>
      <c r="D112" s="141"/>
      <c r="E112" s="141"/>
      <c r="F112" s="12"/>
      <c r="G112" s="150"/>
      <c r="H112" s="150"/>
      <c r="I112" s="150"/>
      <c r="J112" s="150"/>
      <c r="K112" s="150"/>
      <c r="L112" s="150"/>
      <c r="M112" s="150"/>
    </row>
    <row r="113" spans="1:13" ht="15">
      <c r="A113" s="469"/>
      <c r="B113" s="108" t="s">
        <v>362</v>
      </c>
      <c r="C113" s="103" t="s">
        <v>338</v>
      </c>
      <c r="D113" s="141" t="s">
        <v>32</v>
      </c>
      <c r="E113" s="141">
        <v>0.0102</v>
      </c>
      <c r="F113" s="12">
        <f>E113*F110</f>
        <v>0.01938</v>
      </c>
      <c r="G113" s="150"/>
      <c r="H113" s="150"/>
      <c r="I113" s="150"/>
      <c r="J113" s="150"/>
      <c r="K113" s="150"/>
      <c r="L113" s="150"/>
      <c r="M113" s="150"/>
    </row>
    <row r="114" spans="1:13" ht="12.75">
      <c r="A114" s="459"/>
      <c r="B114" s="5" t="s">
        <v>33</v>
      </c>
      <c r="C114" s="5"/>
      <c r="D114" s="141" t="s">
        <v>0</v>
      </c>
      <c r="E114" s="141">
        <v>0.0088</v>
      </c>
      <c r="F114" s="12">
        <f>E114*F110</f>
        <v>0.01672</v>
      </c>
      <c r="G114" s="150"/>
      <c r="H114" s="150"/>
      <c r="I114" s="150"/>
      <c r="J114" s="150"/>
      <c r="K114" s="150"/>
      <c r="L114" s="150"/>
      <c r="M114" s="150"/>
    </row>
    <row r="115" spans="1:13" ht="25.5">
      <c r="A115" s="468">
        <v>18</v>
      </c>
      <c r="B115" s="106" t="s">
        <v>363</v>
      </c>
      <c r="C115" s="339" t="s">
        <v>330</v>
      </c>
      <c r="D115" s="415" t="s">
        <v>331</v>
      </c>
      <c r="E115" s="141"/>
      <c r="F115" s="11">
        <v>12.65</v>
      </c>
      <c r="G115" s="150"/>
      <c r="H115" s="150"/>
      <c r="I115" s="150"/>
      <c r="J115" s="150"/>
      <c r="K115" s="150"/>
      <c r="L115" s="150"/>
      <c r="M115" s="150"/>
    </row>
    <row r="116" spans="1:13" ht="12.75">
      <c r="A116" s="468"/>
      <c r="B116" s="5" t="s">
        <v>12</v>
      </c>
      <c r="C116" s="5"/>
      <c r="D116" s="1" t="s">
        <v>15</v>
      </c>
      <c r="E116" s="141">
        <v>0.4032</v>
      </c>
      <c r="F116" s="12">
        <f>E116*F115</f>
        <v>5.10048</v>
      </c>
      <c r="G116" s="150"/>
      <c r="H116" s="150"/>
      <c r="I116" s="150"/>
      <c r="J116" s="150"/>
      <c r="K116" s="150"/>
      <c r="L116" s="150"/>
      <c r="M116" s="150"/>
    </row>
    <row r="117" spans="1:13" ht="12.75">
      <c r="A117" s="468"/>
      <c r="B117" s="5" t="s">
        <v>24</v>
      </c>
      <c r="C117" s="5"/>
      <c r="D117" s="141" t="s">
        <v>0</v>
      </c>
      <c r="E117" s="141">
        <v>0.0187</v>
      </c>
      <c r="F117" s="12">
        <f>E117*F115</f>
        <v>0.23655500000000002</v>
      </c>
      <c r="G117" s="150"/>
      <c r="H117" s="150"/>
      <c r="I117" s="150"/>
      <c r="J117" s="150"/>
      <c r="K117" s="150"/>
      <c r="L117" s="150"/>
      <c r="M117" s="150"/>
    </row>
    <row r="118" spans="1:13" ht="12.75">
      <c r="A118" s="468"/>
      <c r="B118" s="141" t="s">
        <v>22</v>
      </c>
      <c r="C118" s="141"/>
      <c r="D118" s="141"/>
      <c r="E118" s="141"/>
      <c r="F118" s="12"/>
      <c r="G118" s="150"/>
      <c r="H118" s="150"/>
      <c r="I118" s="150"/>
      <c r="J118" s="150"/>
      <c r="K118" s="150"/>
      <c r="L118" s="150"/>
      <c r="M118" s="150"/>
    </row>
    <row r="119" spans="1:13" ht="15">
      <c r="A119" s="468"/>
      <c r="B119" s="108" t="s">
        <v>332</v>
      </c>
      <c r="C119" s="103" t="s">
        <v>513</v>
      </c>
      <c r="D119" s="141" t="s">
        <v>32</v>
      </c>
      <c r="E119" s="141">
        <v>0.0306</v>
      </c>
      <c r="F119" s="12">
        <f>E119*F115</f>
        <v>0.38709</v>
      </c>
      <c r="G119" s="150"/>
      <c r="H119" s="150"/>
      <c r="I119" s="150"/>
      <c r="J119" s="150"/>
      <c r="K119" s="150"/>
      <c r="L119" s="150"/>
      <c r="M119" s="150"/>
    </row>
    <row r="120" spans="1:13" ht="12.75">
      <c r="A120" s="468"/>
      <c r="B120" s="5" t="s">
        <v>33</v>
      </c>
      <c r="C120" s="5"/>
      <c r="D120" s="141" t="s">
        <v>0</v>
      </c>
      <c r="E120" s="141">
        <v>0.0636</v>
      </c>
      <c r="F120" s="12">
        <f>E120*F115</f>
        <v>0.80454</v>
      </c>
      <c r="G120" s="150"/>
      <c r="H120" s="150"/>
      <c r="I120" s="150"/>
      <c r="J120" s="150"/>
      <c r="K120" s="150"/>
      <c r="L120" s="150"/>
      <c r="M120" s="150"/>
    </row>
    <row r="121" spans="1:13" ht="25.5">
      <c r="A121" s="468">
        <v>19</v>
      </c>
      <c r="B121" s="106" t="s">
        <v>364</v>
      </c>
      <c r="C121" s="339" t="s">
        <v>365</v>
      </c>
      <c r="D121" s="415" t="s">
        <v>331</v>
      </c>
      <c r="E121" s="415"/>
      <c r="F121" s="11">
        <v>2.16</v>
      </c>
      <c r="G121" s="340"/>
      <c r="H121" s="344"/>
      <c r="I121" s="344"/>
      <c r="J121" s="344"/>
      <c r="K121" s="344"/>
      <c r="L121" s="344"/>
      <c r="M121" s="344"/>
    </row>
    <row r="122" spans="1:13" ht="12.75">
      <c r="A122" s="468"/>
      <c r="B122" s="8" t="s">
        <v>40</v>
      </c>
      <c r="C122" s="8"/>
      <c r="D122" s="6" t="s">
        <v>15</v>
      </c>
      <c r="E122" s="141">
        <v>1.22</v>
      </c>
      <c r="F122" s="7">
        <f>F121*E122</f>
        <v>2.6352</v>
      </c>
      <c r="G122" s="346"/>
      <c r="H122" s="347"/>
      <c r="I122" s="150"/>
      <c r="J122" s="348"/>
      <c r="K122" s="348"/>
      <c r="L122" s="348"/>
      <c r="M122" s="348"/>
    </row>
    <row r="123" spans="1:13" ht="12.75">
      <c r="A123" s="468"/>
      <c r="B123" s="8" t="s">
        <v>41</v>
      </c>
      <c r="C123" s="8"/>
      <c r="D123" s="6" t="s">
        <v>0</v>
      </c>
      <c r="E123" s="141">
        <v>0.53</v>
      </c>
      <c r="F123" s="7">
        <f>F121*E123</f>
        <v>1.1448</v>
      </c>
      <c r="G123" s="348"/>
      <c r="H123" s="348"/>
      <c r="I123" s="348"/>
      <c r="J123" s="348"/>
      <c r="K123" s="348"/>
      <c r="L123" s="348"/>
      <c r="M123" s="348"/>
    </row>
    <row r="124" spans="1:13" ht="12.75">
      <c r="A124" s="468"/>
      <c r="B124" s="141" t="s">
        <v>22</v>
      </c>
      <c r="C124" s="141"/>
      <c r="D124" s="6"/>
      <c r="E124" s="141"/>
      <c r="F124" s="6"/>
      <c r="G124" s="348"/>
      <c r="H124" s="348"/>
      <c r="I124" s="348"/>
      <c r="J124" s="348"/>
      <c r="K124" s="348"/>
      <c r="L124" s="348"/>
      <c r="M124" s="348"/>
    </row>
    <row r="125" spans="1:13" ht="12.75">
      <c r="A125" s="468"/>
      <c r="B125" s="5" t="s">
        <v>164</v>
      </c>
      <c r="C125" s="141" t="s">
        <v>92</v>
      </c>
      <c r="D125" s="6" t="s">
        <v>170</v>
      </c>
      <c r="E125" s="141">
        <v>1.56</v>
      </c>
      <c r="F125" s="6">
        <f>E125*F121</f>
        <v>3.3696</v>
      </c>
      <c r="G125" s="348"/>
      <c r="H125" s="348"/>
      <c r="I125" s="348"/>
      <c r="J125" s="348"/>
      <c r="K125" s="348"/>
      <c r="L125" s="348"/>
      <c r="M125" s="348"/>
    </row>
    <row r="126" spans="1:13" ht="12.75">
      <c r="A126" s="468"/>
      <c r="B126" s="5" t="s">
        <v>165</v>
      </c>
      <c r="C126" s="141" t="s">
        <v>350</v>
      </c>
      <c r="D126" s="6" t="s">
        <v>170</v>
      </c>
      <c r="E126" s="141">
        <v>0.06</v>
      </c>
      <c r="F126" s="6">
        <f>E126*F121</f>
        <v>0.1296</v>
      </c>
      <c r="G126" s="348"/>
      <c r="H126" s="348"/>
      <c r="I126" s="348"/>
      <c r="J126" s="348"/>
      <c r="K126" s="348"/>
      <c r="L126" s="348"/>
      <c r="M126" s="348"/>
    </row>
    <row r="127" spans="1:13" ht="12.75">
      <c r="A127" s="468"/>
      <c r="B127" s="8" t="s">
        <v>42</v>
      </c>
      <c r="C127" s="141" t="s">
        <v>160</v>
      </c>
      <c r="D127" s="6" t="s">
        <v>170</v>
      </c>
      <c r="E127" s="343">
        <f>4.8/100</f>
        <v>0.048</v>
      </c>
      <c r="F127" s="6">
        <f>E127*F121</f>
        <v>0.10368000000000001</v>
      </c>
      <c r="G127" s="348"/>
      <c r="H127" s="348"/>
      <c r="I127" s="348"/>
      <c r="J127" s="348"/>
      <c r="K127" s="348"/>
      <c r="L127" s="348"/>
      <c r="M127" s="348"/>
    </row>
    <row r="128" spans="1:13" ht="15">
      <c r="A128" s="468"/>
      <c r="B128" s="8" t="s">
        <v>228</v>
      </c>
      <c r="C128" s="8" t="s">
        <v>525</v>
      </c>
      <c r="D128" s="141" t="s">
        <v>323</v>
      </c>
      <c r="E128" s="141">
        <v>1</v>
      </c>
      <c r="F128" s="6">
        <f>F121*E128</f>
        <v>2.16</v>
      </c>
      <c r="G128" s="348"/>
      <c r="H128" s="348"/>
      <c r="I128" s="348"/>
      <c r="J128" s="348"/>
      <c r="K128" s="348"/>
      <c r="L128" s="348"/>
      <c r="M128" s="348"/>
    </row>
    <row r="129" spans="1:13" ht="25.5">
      <c r="A129" s="468">
        <v>20</v>
      </c>
      <c r="B129" s="3" t="s">
        <v>366</v>
      </c>
      <c r="C129" s="339" t="s">
        <v>367</v>
      </c>
      <c r="D129" s="415" t="s">
        <v>331</v>
      </c>
      <c r="E129" s="415"/>
      <c r="F129" s="11">
        <v>2.6</v>
      </c>
      <c r="G129" s="340"/>
      <c r="H129" s="344"/>
      <c r="I129" s="344"/>
      <c r="J129" s="344"/>
      <c r="K129" s="344"/>
      <c r="L129" s="344"/>
      <c r="M129" s="344"/>
    </row>
    <row r="130" spans="1:13" ht="12.75">
      <c r="A130" s="468"/>
      <c r="B130" s="8" t="s">
        <v>40</v>
      </c>
      <c r="C130" s="415"/>
      <c r="D130" s="6" t="s">
        <v>15</v>
      </c>
      <c r="E130" s="141">
        <v>2.72</v>
      </c>
      <c r="F130" s="7">
        <f>F129*E130</f>
        <v>7.072000000000001</v>
      </c>
      <c r="G130" s="346"/>
      <c r="H130" s="347"/>
      <c r="I130" s="150"/>
      <c r="J130" s="348"/>
      <c r="K130" s="348"/>
      <c r="L130" s="348"/>
      <c r="M130" s="348"/>
    </row>
    <row r="131" spans="1:13" ht="12.75">
      <c r="A131" s="468"/>
      <c r="B131" s="141" t="s">
        <v>22</v>
      </c>
      <c r="C131" s="415"/>
      <c r="D131" s="6"/>
      <c r="E131" s="141"/>
      <c r="F131" s="6"/>
      <c r="G131" s="348"/>
      <c r="H131" s="348"/>
      <c r="I131" s="348"/>
      <c r="J131" s="348"/>
      <c r="K131" s="348"/>
      <c r="L131" s="348"/>
      <c r="M131" s="348"/>
    </row>
    <row r="132" spans="1:13" ht="15">
      <c r="A132" s="468"/>
      <c r="B132" s="8" t="s">
        <v>368</v>
      </c>
      <c r="C132" s="415" t="s">
        <v>369</v>
      </c>
      <c r="D132" s="141" t="s">
        <v>323</v>
      </c>
      <c r="E132" s="141">
        <v>1</v>
      </c>
      <c r="F132" s="7">
        <f>E132*F129</f>
        <v>2.6</v>
      </c>
      <c r="G132" s="348"/>
      <c r="H132" s="348"/>
      <c r="I132" s="348"/>
      <c r="J132" s="348"/>
      <c r="K132" s="348"/>
      <c r="L132" s="348"/>
      <c r="M132" s="348"/>
    </row>
    <row r="133" spans="1:13" ht="25.5">
      <c r="A133" s="468">
        <v>21</v>
      </c>
      <c r="B133" s="106" t="s">
        <v>370</v>
      </c>
      <c r="C133" s="339" t="s">
        <v>371</v>
      </c>
      <c r="D133" s="415" t="s">
        <v>331</v>
      </c>
      <c r="E133" s="415"/>
      <c r="F133" s="11">
        <v>4.32</v>
      </c>
      <c r="G133" s="340"/>
      <c r="H133" s="344"/>
      <c r="I133" s="344"/>
      <c r="J133" s="344"/>
      <c r="K133" s="344"/>
      <c r="L133" s="344"/>
      <c r="M133" s="344"/>
    </row>
    <row r="134" spans="1:13" ht="12.75">
      <c r="A134" s="468"/>
      <c r="B134" s="5" t="s">
        <v>39</v>
      </c>
      <c r="C134" s="415"/>
      <c r="D134" s="1" t="s">
        <v>15</v>
      </c>
      <c r="E134" s="141">
        <v>0.68</v>
      </c>
      <c r="F134" s="4">
        <f>E134*F133</f>
        <v>2.9376</v>
      </c>
      <c r="G134" s="345"/>
      <c r="H134" s="345"/>
      <c r="I134" s="150"/>
      <c r="J134" s="345"/>
      <c r="K134" s="345"/>
      <c r="L134" s="345"/>
      <c r="M134" s="345"/>
    </row>
    <row r="135" spans="1:13" ht="12.75">
      <c r="A135" s="468"/>
      <c r="B135" s="5" t="s">
        <v>24</v>
      </c>
      <c r="C135" s="415"/>
      <c r="D135" s="1" t="s">
        <v>0</v>
      </c>
      <c r="E135" s="343">
        <f>0.03/100</f>
        <v>0.0003</v>
      </c>
      <c r="F135" s="4">
        <f>E135*F133</f>
        <v>0.001296</v>
      </c>
      <c r="G135" s="345"/>
      <c r="H135" s="345"/>
      <c r="I135" s="345"/>
      <c r="J135" s="345"/>
      <c r="K135" s="345"/>
      <c r="L135" s="345"/>
      <c r="M135" s="345"/>
    </row>
    <row r="136" spans="1:13" ht="12.75">
      <c r="A136" s="468"/>
      <c r="B136" s="141" t="s">
        <v>22</v>
      </c>
      <c r="C136" s="415"/>
      <c r="D136" s="141"/>
      <c r="E136" s="141"/>
      <c r="F136" s="4"/>
      <c r="G136" s="345"/>
      <c r="H136" s="345"/>
      <c r="I136" s="345"/>
      <c r="J136" s="345"/>
      <c r="K136" s="345"/>
      <c r="L136" s="345"/>
      <c r="M136" s="345"/>
    </row>
    <row r="137" spans="1:13" ht="12.75">
      <c r="A137" s="468"/>
      <c r="B137" s="5" t="s">
        <v>43</v>
      </c>
      <c r="C137" s="409" t="s">
        <v>488</v>
      </c>
      <c r="D137" s="1" t="s">
        <v>170</v>
      </c>
      <c r="E137" s="141">
        <v>0.251</v>
      </c>
      <c r="F137" s="141">
        <f>E137*F133</f>
        <v>1.0843200000000002</v>
      </c>
      <c r="G137" s="150"/>
      <c r="H137" s="150"/>
      <c r="I137" s="150"/>
      <c r="J137" s="150"/>
      <c r="K137" s="150"/>
      <c r="L137" s="150"/>
      <c r="M137" s="345"/>
    </row>
    <row r="138" spans="1:13" ht="12.75">
      <c r="A138" s="468"/>
      <c r="B138" s="5" t="s">
        <v>44</v>
      </c>
      <c r="C138" s="409" t="s">
        <v>487</v>
      </c>
      <c r="D138" s="1" t="s">
        <v>170</v>
      </c>
      <c r="E138" s="141">
        <v>0.027</v>
      </c>
      <c r="F138" s="141">
        <f>E138*F133</f>
        <v>0.11664000000000001</v>
      </c>
      <c r="G138" s="150"/>
      <c r="H138" s="150"/>
      <c r="I138" s="150"/>
      <c r="J138" s="150"/>
      <c r="K138" s="150"/>
      <c r="L138" s="150"/>
      <c r="M138" s="345"/>
    </row>
    <row r="139" spans="1:13" ht="12.75">
      <c r="A139" s="468"/>
      <c r="B139" s="5" t="s">
        <v>18</v>
      </c>
      <c r="C139" s="415"/>
      <c r="D139" s="1" t="s">
        <v>0</v>
      </c>
      <c r="E139" s="141">
        <v>0.0019</v>
      </c>
      <c r="F139" s="4">
        <f>E139*F133</f>
        <v>0.008208</v>
      </c>
      <c r="G139" s="150"/>
      <c r="H139" s="150"/>
      <c r="I139" s="150"/>
      <c r="J139" s="150"/>
      <c r="K139" s="150"/>
      <c r="L139" s="150"/>
      <c r="M139" s="345"/>
    </row>
    <row r="140" spans="1:13" ht="25.5">
      <c r="A140" s="458">
        <v>22</v>
      </c>
      <c r="B140" s="106" t="s">
        <v>372</v>
      </c>
      <c r="C140" s="418" t="s">
        <v>373</v>
      </c>
      <c r="D140" s="415" t="s">
        <v>331</v>
      </c>
      <c r="E140" s="9"/>
      <c r="F140" s="232">
        <v>50</v>
      </c>
      <c r="G140" s="340"/>
      <c r="H140" s="340"/>
      <c r="I140" s="340"/>
      <c r="J140" s="340"/>
      <c r="K140" s="340"/>
      <c r="L140" s="340"/>
      <c r="M140" s="340"/>
    </row>
    <row r="141" spans="1:13" ht="12.75">
      <c r="A141" s="469"/>
      <c r="B141" s="10" t="s">
        <v>12</v>
      </c>
      <c r="C141" s="415"/>
      <c r="D141" s="1" t="s">
        <v>15</v>
      </c>
      <c r="E141" s="1">
        <v>1.01</v>
      </c>
      <c r="F141" s="2">
        <f>F140*E141</f>
        <v>50.5</v>
      </c>
      <c r="G141" s="150"/>
      <c r="H141" s="150"/>
      <c r="I141" s="150"/>
      <c r="J141" s="150"/>
      <c r="K141" s="150"/>
      <c r="L141" s="150"/>
      <c r="M141" s="150"/>
    </row>
    <row r="142" spans="1:13" ht="12.75">
      <c r="A142" s="469"/>
      <c r="B142" s="10" t="s">
        <v>24</v>
      </c>
      <c r="C142" s="415"/>
      <c r="D142" s="141" t="s">
        <v>0</v>
      </c>
      <c r="E142" s="1">
        <v>0.027</v>
      </c>
      <c r="F142" s="13">
        <f>E142*F140</f>
        <v>1.35</v>
      </c>
      <c r="G142" s="150"/>
      <c r="H142" s="150"/>
      <c r="I142" s="150"/>
      <c r="J142" s="150"/>
      <c r="K142" s="150"/>
      <c r="L142" s="150"/>
      <c r="M142" s="150"/>
    </row>
    <row r="143" spans="1:13" ht="12.75">
      <c r="A143" s="469"/>
      <c r="B143" s="141" t="s">
        <v>22</v>
      </c>
      <c r="C143" s="415"/>
      <c r="D143" s="141"/>
      <c r="E143" s="141"/>
      <c r="F143" s="4"/>
      <c r="G143" s="345"/>
      <c r="H143" s="345"/>
      <c r="I143" s="150"/>
      <c r="J143" s="345"/>
      <c r="K143" s="345"/>
      <c r="L143" s="345"/>
      <c r="M143" s="345"/>
    </row>
    <row r="144" spans="1:13" ht="15">
      <c r="A144" s="469"/>
      <c r="B144" s="5" t="s">
        <v>374</v>
      </c>
      <c r="C144" s="103" t="s">
        <v>524</v>
      </c>
      <c r="D144" s="141" t="s">
        <v>32</v>
      </c>
      <c r="E144" s="141">
        <v>0.0026</v>
      </c>
      <c r="F144" s="4">
        <f>E144*F140</f>
        <v>0.13</v>
      </c>
      <c r="G144" s="345"/>
      <c r="H144" s="345"/>
      <c r="I144" s="150"/>
      <c r="J144" s="345"/>
      <c r="K144" s="345"/>
      <c r="L144" s="345"/>
      <c r="M144" s="345"/>
    </row>
    <row r="145" spans="1:13" ht="12.75">
      <c r="A145" s="459"/>
      <c r="B145" s="10" t="s">
        <v>18</v>
      </c>
      <c r="C145" s="415"/>
      <c r="D145" s="141" t="s">
        <v>0</v>
      </c>
      <c r="E145" s="141">
        <v>0.003</v>
      </c>
      <c r="F145" s="12">
        <f>E145*F140</f>
        <v>0.15</v>
      </c>
      <c r="G145" s="345"/>
      <c r="H145" s="345"/>
      <c r="I145" s="150"/>
      <c r="J145" s="345"/>
      <c r="K145" s="345"/>
      <c r="L145" s="345"/>
      <c r="M145" s="345"/>
    </row>
    <row r="146" spans="1:13" ht="25.5">
      <c r="A146" s="458">
        <v>23</v>
      </c>
      <c r="B146" s="106" t="s">
        <v>375</v>
      </c>
      <c r="C146" s="418" t="s">
        <v>376</v>
      </c>
      <c r="D146" s="415" t="s">
        <v>331</v>
      </c>
      <c r="E146" s="9"/>
      <c r="F146" s="232">
        <v>64</v>
      </c>
      <c r="G146" s="340"/>
      <c r="H146" s="340"/>
      <c r="I146" s="340"/>
      <c r="J146" s="340"/>
      <c r="K146" s="340"/>
      <c r="L146" s="340"/>
      <c r="M146" s="340"/>
    </row>
    <row r="147" spans="1:13" ht="12.75">
      <c r="A147" s="469"/>
      <c r="B147" s="10" t="s">
        <v>12</v>
      </c>
      <c r="C147" s="415"/>
      <c r="D147" s="1" t="s">
        <v>15</v>
      </c>
      <c r="E147" s="1">
        <v>0.93</v>
      </c>
      <c r="F147" s="2">
        <f>F146*E147</f>
        <v>59.52</v>
      </c>
      <c r="G147" s="150"/>
      <c r="H147" s="150"/>
      <c r="I147" s="150"/>
      <c r="J147" s="150"/>
      <c r="K147" s="150"/>
      <c r="L147" s="150"/>
      <c r="M147" s="150"/>
    </row>
    <row r="148" spans="1:13" ht="12.75">
      <c r="A148" s="469"/>
      <c r="B148" s="10" t="s">
        <v>24</v>
      </c>
      <c r="C148" s="415"/>
      <c r="D148" s="141" t="s">
        <v>0</v>
      </c>
      <c r="E148" s="1">
        <v>0.026</v>
      </c>
      <c r="F148" s="13">
        <f>E148*F146</f>
        <v>1.664</v>
      </c>
      <c r="G148" s="150"/>
      <c r="H148" s="150"/>
      <c r="I148" s="150"/>
      <c r="J148" s="150"/>
      <c r="K148" s="150"/>
      <c r="L148" s="150"/>
      <c r="M148" s="150"/>
    </row>
    <row r="149" spans="1:13" ht="12.75">
      <c r="A149" s="469"/>
      <c r="B149" s="141" t="s">
        <v>22</v>
      </c>
      <c r="C149" s="415"/>
      <c r="D149" s="141"/>
      <c r="E149" s="141"/>
      <c r="F149" s="4"/>
      <c r="G149" s="345"/>
      <c r="H149" s="345"/>
      <c r="I149" s="150"/>
      <c r="J149" s="345"/>
      <c r="K149" s="345"/>
      <c r="L149" s="345"/>
      <c r="M149" s="345"/>
    </row>
    <row r="150" spans="1:13" ht="15">
      <c r="A150" s="469"/>
      <c r="B150" s="5" t="s">
        <v>374</v>
      </c>
      <c r="C150" s="103" t="s">
        <v>524</v>
      </c>
      <c r="D150" s="141" t="s">
        <v>32</v>
      </c>
      <c r="E150" s="153">
        <f>2.68/100</f>
        <v>0.0268</v>
      </c>
      <c r="F150" s="4">
        <f>E150*F146</f>
        <v>1.7152</v>
      </c>
      <c r="G150" s="345"/>
      <c r="H150" s="345"/>
      <c r="I150" s="150"/>
      <c r="J150" s="345"/>
      <c r="K150" s="345"/>
      <c r="L150" s="345"/>
      <c r="M150" s="345"/>
    </row>
    <row r="151" spans="1:13" ht="25.5">
      <c r="A151" s="458">
        <v>24</v>
      </c>
      <c r="B151" s="349" t="s">
        <v>377</v>
      </c>
      <c r="C151" s="418" t="s">
        <v>378</v>
      </c>
      <c r="D151" s="415" t="s">
        <v>331</v>
      </c>
      <c r="E151" s="9"/>
      <c r="F151" s="11">
        <v>50</v>
      </c>
      <c r="G151" s="340"/>
      <c r="H151" s="340"/>
      <c r="I151" s="340"/>
      <c r="J151" s="340"/>
      <c r="K151" s="340"/>
      <c r="L151" s="340"/>
      <c r="M151" s="340"/>
    </row>
    <row r="152" spans="1:13" ht="12.75">
      <c r="A152" s="469"/>
      <c r="B152" s="10" t="s">
        <v>12</v>
      </c>
      <c r="C152" s="415"/>
      <c r="D152" s="1" t="s">
        <v>15</v>
      </c>
      <c r="E152" s="1">
        <v>0.856</v>
      </c>
      <c r="F152" s="2">
        <f>F151*E152</f>
        <v>42.8</v>
      </c>
      <c r="G152" s="150"/>
      <c r="H152" s="150"/>
      <c r="I152" s="150"/>
      <c r="J152" s="150"/>
      <c r="K152" s="150"/>
      <c r="L152" s="150"/>
      <c r="M152" s="150"/>
    </row>
    <row r="153" spans="1:13" ht="12.75">
      <c r="A153" s="469"/>
      <c r="B153" s="10" t="s">
        <v>24</v>
      </c>
      <c r="C153" s="415"/>
      <c r="D153" s="141" t="s">
        <v>0</v>
      </c>
      <c r="E153" s="1">
        <v>0.012</v>
      </c>
      <c r="F153" s="2">
        <f>E153*F151</f>
        <v>0.6</v>
      </c>
      <c r="G153" s="150"/>
      <c r="H153" s="150"/>
      <c r="I153" s="150"/>
      <c r="J153" s="150"/>
      <c r="K153" s="150"/>
      <c r="L153" s="150"/>
      <c r="M153" s="150"/>
    </row>
    <row r="154" spans="1:13" ht="12.75">
      <c r="A154" s="469"/>
      <c r="B154" s="141" t="s">
        <v>22</v>
      </c>
      <c r="C154" s="415"/>
      <c r="D154" s="141"/>
      <c r="E154" s="141"/>
      <c r="F154" s="4"/>
      <c r="G154" s="345"/>
      <c r="H154" s="345"/>
      <c r="I154" s="150"/>
      <c r="J154" s="345"/>
      <c r="K154" s="345"/>
      <c r="L154" s="345"/>
      <c r="M154" s="345"/>
    </row>
    <row r="155" spans="1:13" ht="13.5">
      <c r="A155" s="469"/>
      <c r="B155" s="5" t="s">
        <v>379</v>
      </c>
      <c r="C155" s="72" t="s">
        <v>522</v>
      </c>
      <c r="D155" s="141" t="s">
        <v>170</v>
      </c>
      <c r="E155" s="141">
        <v>0.92</v>
      </c>
      <c r="F155" s="4">
        <f>E155*F151</f>
        <v>46</v>
      </c>
      <c r="G155" s="345"/>
      <c r="H155" s="345"/>
      <c r="I155" s="150"/>
      <c r="J155" s="345"/>
      <c r="K155" s="345"/>
      <c r="L155" s="345"/>
      <c r="M155" s="345"/>
    </row>
    <row r="156" spans="1:13" ht="13.5">
      <c r="A156" s="469"/>
      <c r="B156" s="5" t="s">
        <v>380</v>
      </c>
      <c r="C156" s="72" t="s">
        <v>523</v>
      </c>
      <c r="D156" s="141" t="s">
        <v>170</v>
      </c>
      <c r="E156" s="141">
        <v>0.63</v>
      </c>
      <c r="F156" s="4">
        <f>E156*F151</f>
        <v>31.5</v>
      </c>
      <c r="G156" s="345"/>
      <c r="H156" s="345"/>
      <c r="I156" s="150"/>
      <c r="J156" s="345"/>
      <c r="K156" s="345"/>
      <c r="L156" s="345"/>
      <c r="M156" s="345"/>
    </row>
    <row r="157" spans="1:13" ht="12.75">
      <c r="A157" s="459"/>
      <c r="B157" s="10" t="s">
        <v>18</v>
      </c>
      <c r="C157" s="415"/>
      <c r="D157" s="141" t="s">
        <v>0</v>
      </c>
      <c r="E157" s="141">
        <v>0.018</v>
      </c>
      <c r="F157" s="12">
        <f>E157*F151</f>
        <v>0.8999999999999999</v>
      </c>
      <c r="G157" s="345"/>
      <c r="H157" s="345"/>
      <c r="I157" s="150"/>
      <c r="J157" s="345"/>
      <c r="K157" s="345"/>
      <c r="L157" s="345"/>
      <c r="M157" s="345"/>
    </row>
    <row r="158" spans="1:13" ht="25.5">
      <c r="A158" s="458">
        <v>25</v>
      </c>
      <c r="B158" s="106" t="s">
        <v>381</v>
      </c>
      <c r="C158" s="418" t="s">
        <v>382</v>
      </c>
      <c r="D158" s="415" t="s">
        <v>331</v>
      </c>
      <c r="E158" s="9"/>
      <c r="F158" s="11">
        <v>64</v>
      </c>
      <c r="G158" s="340"/>
      <c r="H158" s="340"/>
      <c r="I158" s="340"/>
      <c r="J158" s="340"/>
      <c r="K158" s="340"/>
      <c r="L158" s="340"/>
      <c r="M158" s="340"/>
    </row>
    <row r="159" spans="1:13" ht="12.75">
      <c r="A159" s="469"/>
      <c r="B159" s="10" t="s">
        <v>12</v>
      </c>
      <c r="C159" s="415"/>
      <c r="D159" s="1" t="s">
        <v>15</v>
      </c>
      <c r="E159" s="235">
        <f>19.7/100</f>
        <v>0.19699999999999998</v>
      </c>
      <c r="F159" s="2">
        <f>F158*E159</f>
        <v>12.607999999999999</v>
      </c>
      <c r="G159" s="150"/>
      <c r="H159" s="150"/>
      <c r="I159" s="150"/>
      <c r="J159" s="150"/>
      <c r="K159" s="150"/>
      <c r="L159" s="150"/>
      <c r="M159" s="150"/>
    </row>
    <row r="160" spans="1:13" ht="12.75">
      <c r="A160" s="469"/>
      <c r="B160" s="10" t="s">
        <v>24</v>
      </c>
      <c r="C160" s="415"/>
      <c r="D160" s="141" t="s">
        <v>0</v>
      </c>
      <c r="E160" s="235">
        <f>0.06/100</f>
        <v>0.0006</v>
      </c>
      <c r="F160" s="13">
        <f>E160*F158</f>
        <v>0.0384</v>
      </c>
      <c r="G160" s="150"/>
      <c r="H160" s="150"/>
      <c r="I160" s="150"/>
      <c r="J160" s="150"/>
      <c r="K160" s="150"/>
      <c r="L160" s="150"/>
      <c r="M160" s="150"/>
    </row>
    <row r="161" spans="1:13" ht="12.75">
      <c r="A161" s="469"/>
      <c r="B161" s="141" t="s">
        <v>22</v>
      </c>
      <c r="C161" s="415"/>
      <c r="D161" s="141"/>
      <c r="E161" s="141"/>
      <c r="F161" s="4"/>
      <c r="G161" s="345"/>
      <c r="H161" s="345"/>
      <c r="I161" s="150"/>
      <c r="J161" s="345"/>
      <c r="K161" s="345"/>
      <c r="L161" s="345"/>
      <c r="M161" s="345"/>
    </row>
    <row r="162" spans="1:13" ht="18.75" customHeight="1">
      <c r="A162" s="469"/>
      <c r="B162" s="5" t="s">
        <v>383</v>
      </c>
      <c r="C162" s="72" t="s">
        <v>521</v>
      </c>
      <c r="D162" s="141" t="s">
        <v>170</v>
      </c>
      <c r="E162" s="141">
        <v>0.45</v>
      </c>
      <c r="F162" s="4">
        <f>E162*F158</f>
        <v>28.8</v>
      </c>
      <c r="G162" s="345"/>
      <c r="H162" s="345"/>
      <c r="I162" s="150"/>
      <c r="J162" s="345"/>
      <c r="K162" s="345"/>
      <c r="L162" s="345"/>
      <c r="M162" s="345"/>
    </row>
    <row r="163" spans="1:13" ht="12.75">
      <c r="A163" s="459"/>
      <c r="B163" s="10" t="s">
        <v>18</v>
      </c>
      <c r="C163" s="415"/>
      <c r="D163" s="141" t="s">
        <v>0</v>
      </c>
      <c r="E163" s="153">
        <f>0.13/100</f>
        <v>0.0013</v>
      </c>
      <c r="F163" s="12">
        <f>E163*F158</f>
        <v>0.0832</v>
      </c>
      <c r="G163" s="345"/>
      <c r="H163" s="345"/>
      <c r="I163" s="150"/>
      <c r="J163" s="345"/>
      <c r="K163" s="345"/>
      <c r="L163" s="345"/>
      <c r="M163" s="345"/>
    </row>
    <row r="164" spans="1:13" ht="25.5">
      <c r="A164" s="458">
        <v>26</v>
      </c>
      <c r="B164" s="3" t="s">
        <v>384</v>
      </c>
      <c r="C164" s="418" t="s">
        <v>361</v>
      </c>
      <c r="D164" s="415" t="s">
        <v>114</v>
      </c>
      <c r="E164" s="9"/>
      <c r="F164" s="11">
        <v>2.6</v>
      </c>
      <c r="G164" s="340"/>
      <c r="H164" s="340"/>
      <c r="I164" s="340"/>
      <c r="J164" s="340"/>
      <c r="K164" s="340"/>
      <c r="L164" s="340"/>
      <c r="M164" s="340"/>
    </row>
    <row r="165" spans="1:13" ht="12.75">
      <c r="A165" s="469"/>
      <c r="B165" s="10" t="s">
        <v>12</v>
      </c>
      <c r="C165" s="415"/>
      <c r="D165" s="1" t="s">
        <v>15</v>
      </c>
      <c r="E165" s="2">
        <v>0.029</v>
      </c>
      <c r="F165" s="2">
        <f>F164*E165</f>
        <v>0.07540000000000001</v>
      </c>
      <c r="G165" s="150"/>
      <c r="H165" s="150"/>
      <c r="I165" s="150"/>
      <c r="J165" s="150"/>
      <c r="K165" s="150"/>
      <c r="L165" s="150"/>
      <c r="M165" s="150"/>
    </row>
    <row r="166" spans="1:13" ht="12.75">
      <c r="A166" s="469"/>
      <c r="B166" s="141" t="s">
        <v>22</v>
      </c>
      <c r="C166" s="415"/>
      <c r="D166" s="141"/>
      <c r="E166" s="141"/>
      <c r="F166" s="4"/>
      <c r="G166" s="345"/>
      <c r="H166" s="345"/>
      <c r="I166" s="150"/>
      <c r="J166" s="345"/>
      <c r="K166" s="345"/>
      <c r="L166" s="345"/>
      <c r="M166" s="345"/>
    </row>
    <row r="167" spans="1:13" ht="15">
      <c r="A167" s="469"/>
      <c r="B167" s="108" t="s">
        <v>362</v>
      </c>
      <c r="C167" s="103" t="s">
        <v>338</v>
      </c>
      <c r="D167" s="141" t="s">
        <v>32</v>
      </c>
      <c r="E167" s="141">
        <v>0.0102</v>
      </c>
      <c r="F167" s="4">
        <f>E167*F164</f>
        <v>0.026520000000000002</v>
      </c>
      <c r="G167" s="345"/>
      <c r="H167" s="345"/>
      <c r="I167" s="150"/>
      <c r="J167" s="345"/>
      <c r="K167" s="345"/>
      <c r="L167" s="345"/>
      <c r="M167" s="345"/>
    </row>
    <row r="168" spans="1:13" ht="13.5" thickBot="1">
      <c r="A168" s="471"/>
      <c r="B168" s="10" t="s">
        <v>18</v>
      </c>
      <c r="C168" s="414"/>
      <c r="D168" s="141" t="s">
        <v>0</v>
      </c>
      <c r="E168" s="141">
        <v>0.0088</v>
      </c>
      <c r="F168" s="12">
        <f>E168*F164</f>
        <v>0.02288</v>
      </c>
      <c r="G168" s="345"/>
      <c r="H168" s="345"/>
      <c r="I168" s="150"/>
      <c r="J168" s="345"/>
      <c r="K168" s="345"/>
      <c r="L168" s="345"/>
      <c r="M168" s="345"/>
    </row>
    <row r="169" spans="1:13" ht="13.5" thickBot="1">
      <c r="A169" s="350"/>
      <c r="B169" s="351" t="s">
        <v>8</v>
      </c>
      <c r="C169" s="351"/>
      <c r="D169" s="352"/>
      <c r="E169" s="352"/>
      <c r="F169" s="352"/>
      <c r="G169" s="353"/>
      <c r="H169" s="354"/>
      <c r="I169" s="353"/>
      <c r="J169" s="354"/>
      <c r="K169" s="354"/>
      <c r="L169" s="354"/>
      <c r="M169" s="354"/>
    </row>
    <row r="170" spans="1:13" ht="12.75">
      <c r="A170" s="355"/>
      <c r="B170" s="135" t="s">
        <v>16</v>
      </c>
      <c r="C170" s="135"/>
      <c r="D170" s="136"/>
      <c r="E170" s="137">
        <v>0.04</v>
      </c>
      <c r="F170" s="136"/>
      <c r="G170" s="356"/>
      <c r="H170" s="356"/>
      <c r="I170" s="356"/>
      <c r="J170" s="356"/>
      <c r="K170" s="356"/>
      <c r="L170" s="356"/>
      <c r="M170" s="138"/>
    </row>
    <row r="171" spans="1:13" ht="12.75">
      <c r="A171" s="139"/>
      <c r="B171" s="109" t="s">
        <v>8</v>
      </c>
      <c r="C171" s="109"/>
      <c r="D171" s="415"/>
      <c r="E171" s="415"/>
      <c r="F171" s="415"/>
      <c r="G171" s="158"/>
      <c r="H171" s="158"/>
      <c r="I171" s="158"/>
      <c r="J171" s="158"/>
      <c r="K171" s="158"/>
      <c r="L171" s="158"/>
      <c r="M171" s="15"/>
    </row>
    <row r="172" spans="1:13" ht="12.75">
      <c r="A172" s="139"/>
      <c r="B172" s="109" t="s">
        <v>385</v>
      </c>
      <c r="C172" s="109"/>
      <c r="D172" s="415"/>
      <c r="E172" s="415"/>
      <c r="F172" s="415"/>
      <c r="G172" s="158"/>
      <c r="H172" s="158"/>
      <c r="I172" s="158"/>
      <c r="J172" s="158"/>
      <c r="K172" s="158"/>
      <c r="L172" s="158"/>
      <c r="M172" s="15"/>
    </row>
    <row r="173" spans="1:13" ht="12.75">
      <c r="A173" s="139"/>
      <c r="B173" s="109" t="s">
        <v>386</v>
      </c>
      <c r="C173" s="109"/>
      <c r="D173" s="415"/>
      <c r="E173" s="415"/>
      <c r="F173" s="415"/>
      <c r="G173" s="158"/>
      <c r="H173" s="158"/>
      <c r="I173" s="158"/>
      <c r="J173" s="158"/>
      <c r="K173" s="158"/>
      <c r="L173" s="158"/>
      <c r="M173" s="15"/>
    </row>
    <row r="174" spans="1:13" ht="12.75">
      <c r="A174" s="140"/>
      <c r="B174" s="5" t="s">
        <v>26</v>
      </c>
      <c r="C174" s="5"/>
      <c r="D174" s="141"/>
      <c r="E174" s="14">
        <v>0.1</v>
      </c>
      <c r="F174" s="141"/>
      <c r="G174" s="345"/>
      <c r="H174" s="345"/>
      <c r="I174" s="345"/>
      <c r="J174" s="345"/>
      <c r="K174" s="345"/>
      <c r="L174" s="345"/>
      <c r="M174" s="16"/>
    </row>
    <row r="175" spans="1:13" ht="12.75">
      <c r="A175" s="140"/>
      <c r="B175" s="5" t="s">
        <v>387</v>
      </c>
      <c r="C175" s="5"/>
      <c r="D175" s="141"/>
      <c r="E175" s="14">
        <v>0.08</v>
      </c>
      <c r="F175" s="141"/>
      <c r="G175" s="345"/>
      <c r="H175" s="345"/>
      <c r="I175" s="345"/>
      <c r="J175" s="345"/>
      <c r="K175" s="345"/>
      <c r="L175" s="345"/>
      <c r="M175" s="16"/>
    </row>
    <row r="176" spans="1:13" ht="12.75">
      <c r="A176" s="139"/>
      <c r="B176" s="109" t="s">
        <v>8</v>
      </c>
      <c r="C176" s="109"/>
      <c r="D176" s="415"/>
      <c r="E176" s="415"/>
      <c r="F176" s="415"/>
      <c r="G176" s="158"/>
      <c r="H176" s="158"/>
      <c r="I176" s="158"/>
      <c r="J176" s="158"/>
      <c r="K176" s="158"/>
      <c r="L176" s="158"/>
      <c r="M176" s="15"/>
    </row>
    <row r="177" spans="1:13" ht="12.75">
      <c r="A177" s="140"/>
      <c r="B177" s="5" t="s">
        <v>19</v>
      </c>
      <c r="C177" s="5"/>
      <c r="D177" s="141"/>
      <c r="E177" s="14">
        <v>0.08</v>
      </c>
      <c r="F177" s="141"/>
      <c r="G177" s="345"/>
      <c r="H177" s="345"/>
      <c r="I177" s="345"/>
      <c r="J177" s="345"/>
      <c r="K177" s="345"/>
      <c r="L177" s="345"/>
      <c r="M177" s="16"/>
    </row>
    <row r="178" spans="1:13" ht="12.75">
      <c r="A178" s="139"/>
      <c r="B178" s="109" t="s">
        <v>8</v>
      </c>
      <c r="C178" s="109"/>
      <c r="D178" s="415"/>
      <c r="E178" s="415"/>
      <c r="F178" s="415"/>
      <c r="G178" s="158"/>
      <c r="H178" s="158"/>
      <c r="I178" s="158"/>
      <c r="J178" s="158"/>
      <c r="K178" s="158"/>
      <c r="L178" s="158"/>
      <c r="M178" s="15"/>
    </row>
    <row r="179" spans="1:13" ht="15">
      <c r="A179" s="357"/>
      <c r="B179" s="358" t="s">
        <v>426</v>
      </c>
      <c r="C179" s="358"/>
      <c r="D179" s="358"/>
      <c r="E179" s="358"/>
      <c r="F179" s="358">
        <v>2</v>
      </c>
      <c r="G179" s="359"/>
      <c r="H179" s="359"/>
      <c r="I179" s="359"/>
      <c r="J179" s="359"/>
      <c r="K179" s="360"/>
      <c r="L179" s="361"/>
      <c r="M179" s="419"/>
    </row>
    <row r="183" spans="2:9" ht="12.75">
      <c r="B183" s="153" t="s">
        <v>171</v>
      </c>
      <c r="H183" s="470" t="s">
        <v>551</v>
      </c>
      <c r="I183" s="470"/>
    </row>
    <row r="184" ht="12.75">
      <c r="B184" s="153"/>
    </row>
    <row r="185" ht="12.75">
      <c r="B185" s="153"/>
    </row>
    <row r="186" spans="2:3" ht="12.75">
      <c r="B186" s="420"/>
      <c r="C186" s="420"/>
    </row>
    <row r="187" ht="12.75">
      <c r="B187" s="420"/>
    </row>
    <row r="188" spans="2:10" ht="12.75">
      <c r="B188" s="336"/>
      <c r="I188" s="472"/>
      <c r="J188" s="472"/>
    </row>
    <row r="189" spans="2:3" ht="12.75">
      <c r="B189" s="470"/>
      <c r="C189" s="470"/>
    </row>
    <row r="190" ht="12.75">
      <c r="B190" s="153"/>
    </row>
    <row r="191" ht="12.75">
      <c r="B191" s="153"/>
    </row>
    <row r="192" ht="12.75">
      <c r="B192" s="153"/>
    </row>
    <row r="193" ht="12.75">
      <c r="B193" s="153"/>
    </row>
    <row r="194" ht="12.75">
      <c r="B194" s="153"/>
    </row>
  </sheetData>
  <sheetProtection/>
  <mergeCells count="37">
    <mergeCell ref="H183:I183"/>
    <mergeCell ref="A151:A157"/>
    <mergeCell ref="A158:A163"/>
    <mergeCell ref="A164:A168"/>
    <mergeCell ref="I188:J188"/>
    <mergeCell ref="B189:C189"/>
    <mergeCell ref="A115:A120"/>
    <mergeCell ref="A121:A128"/>
    <mergeCell ref="A129:A132"/>
    <mergeCell ref="A133:A139"/>
    <mergeCell ref="A140:A145"/>
    <mergeCell ref="A146:A150"/>
    <mergeCell ref="A84:A93"/>
    <mergeCell ref="A94:A97"/>
    <mergeCell ref="A98:A101"/>
    <mergeCell ref="A102:A105"/>
    <mergeCell ref="A106:A109"/>
    <mergeCell ref="A110:A114"/>
    <mergeCell ref="A35:A41"/>
    <mergeCell ref="A42:A47"/>
    <mergeCell ref="A48:A57"/>
    <mergeCell ref="A58:A67"/>
    <mergeCell ref="A68:A76"/>
    <mergeCell ref="A77:A83"/>
    <mergeCell ref="A8:A9"/>
    <mergeCell ref="A10:A15"/>
    <mergeCell ref="A16:A21"/>
    <mergeCell ref="A22:A30"/>
    <mergeCell ref="A31:A32"/>
    <mergeCell ref="A33:A34"/>
    <mergeCell ref="A2:L2"/>
    <mergeCell ref="A3:L3"/>
    <mergeCell ref="A4:L4"/>
    <mergeCell ref="A5:L5"/>
    <mergeCell ref="G6:J6"/>
    <mergeCell ref="B7:F7"/>
    <mergeCell ref="G7:J7"/>
  </mergeCells>
  <printOptions/>
  <pageMargins left="0.7" right="0.7" top="0.75" bottom="0.75" header="0.3" footer="0.3"/>
  <pageSetup horizontalDpi="600" verticalDpi="6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6"/>
  <sheetViews>
    <sheetView view="pageBreakPreview" zoomScaleSheetLayoutView="100" zoomScalePageLayoutView="0" workbookViewId="0" topLeftCell="A55">
      <selection activeCell="P21" sqref="P21"/>
    </sheetView>
  </sheetViews>
  <sheetFormatPr defaultColWidth="9.140625" defaultRowHeight="12.75"/>
  <cols>
    <col min="1" max="1" width="2.7109375" style="153" customWidth="1"/>
    <col min="2" max="2" width="50.8515625" style="153" customWidth="1"/>
    <col min="3" max="3" width="11.421875" style="153" customWidth="1"/>
    <col min="4" max="4" width="7.57421875" style="153" customWidth="1"/>
    <col min="5" max="5" width="10.8515625" style="153" customWidth="1"/>
    <col min="6" max="6" width="9.140625" style="153" customWidth="1"/>
    <col min="7" max="7" width="10.7109375" style="153" customWidth="1"/>
    <col min="8" max="8" width="15.8515625" style="153" bestFit="1" customWidth="1"/>
    <col min="9" max="9" width="10.7109375" style="153" customWidth="1"/>
    <col min="10" max="10" width="12.7109375" style="153" bestFit="1" customWidth="1"/>
    <col min="11" max="11" width="10.7109375" style="153" customWidth="1"/>
    <col min="12" max="12" width="12.00390625" style="153" customWidth="1"/>
    <col min="13" max="13" width="15.8515625" style="153" bestFit="1" customWidth="1"/>
    <col min="14" max="16384" width="9.140625" style="153" customWidth="1"/>
  </cols>
  <sheetData>
    <row r="1" spans="1:12" ht="14.25">
      <c r="A1" s="464" t="e">
        <f>#REF!</f>
        <v>#REF!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spans="1:12" ht="15">
      <c r="A2" s="473" t="s">
        <v>221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1:12" ht="15">
      <c r="A3" s="463" t="s">
        <v>388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</row>
    <row r="4" spans="1:12" ht="15">
      <c r="A4" s="416"/>
      <c r="B4" s="416"/>
      <c r="C4" s="416"/>
      <c r="D4" s="416"/>
      <c r="E4" s="416"/>
      <c r="F4" s="416"/>
      <c r="G4" s="466" t="s">
        <v>28</v>
      </c>
      <c r="H4" s="466"/>
      <c r="I4" s="466"/>
      <c r="J4" s="466"/>
      <c r="K4" s="102" t="e">
        <f>#REF!</f>
        <v>#REF!</v>
      </c>
      <c r="L4" s="101" t="s">
        <v>27</v>
      </c>
    </row>
    <row r="5" spans="1:12" ht="15">
      <c r="A5" s="416"/>
      <c r="B5" s="467" t="s">
        <v>507</v>
      </c>
      <c r="C5" s="467"/>
      <c r="D5" s="467"/>
      <c r="E5" s="467"/>
      <c r="F5" s="467"/>
      <c r="G5" s="466" t="s">
        <v>29</v>
      </c>
      <c r="H5" s="466"/>
      <c r="I5" s="466"/>
      <c r="J5" s="466"/>
      <c r="K5" s="102" t="e">
        <f>#REF!/1000</f>
        <v>#REF!</v>
      </c>
      <c r="L5" s="101" t="s">
        <v>27</v>
      </c>
    </row>
    <row r="6" spans="1:13" ht="25.5">
      <c r="A6" s="458">
        <v>1</v>
      </c>
      <c r="B6" s="349" t="s">
        <v>389</v>
      </c>
      <c r="C6" s="124" t="s">
        <v>390</v>
      </c>
      <c r="D6" s="415" t="s">
        <v>391</v>
      </c>
      <c r="E6" s="415"/>
      <c r="F6" s="11">
        <v>9</v>
      </c>
      <c r="G6" s="340"/>
      <c r="H6" s="340"/>
      <c r="I6" s="340"/>
      <c r="J6" s="340"/>
      <c r="K6" s="340"/>
      <c r="L6" s="340"/>
      <c r="M6" s="340"/>
    </row>
    <row r="7" spans="1:13" ht="12.75">
      <c r="A7" s="469"/>
      <c r="B7" s="5" t="s">
        <v>12</v>
      </c>
      <c r="C7" s="141"/>
      <c r="D7" s="1" t="s">
        <v>15</v>
      </c>
      <c r="E7" s="141">
        <v>0.851</v>
      </c>
      <c r="F7" s="12">
        <f>E7*F6</f>
        <v>7.659</v>
      </c>
      <c r="G7" s="150"/>
      <c r="H7" s="150"/>
      <c r="I7" s="150"/>
      <c r="J7" s="150"/>
      <c r="K7" s="150"/>
      <c r="L7" s="150"/>
      <c r="M7" s="150"/>
    </row>
    <row r="8" spans="1:13" ht="12.75">
      <c r="A8" s="469"/>
      <c r="B8" s="5" t="s">
        <v>24</v>
      </c>
      <c r="C8" s="141"/>
      <c r="D8" s="141" t="s">
        <v>0</v>
      </c>
      <c r="E8" s="141">
        <v>0.0483</v>
      </c>
      <c r="F8" s="12">
        <f>E8*F6</f>
        <v>0.43470000000000003</v>
      </c>
      <c r="G8" s="150"/>
      <c r="H8" s="150"/>
      <c r="I8" s="150"/>
      <c r="J8" s="150"/>
      <c r="K8" s="150"/>
      <c r="L8" s="150"/>
      <c r="M8" s="150"/>
    </row>
    <row r="9" spans="1:13" ht="12.75">
      <c r="A9" s="469"/>
      <c r="B9" s="141" t="s">
        <v>22</v>
      </c>
      <c r="C9" s="141"/>
      <c r="D9" s="141"/>
      <c r="E9" s="141"/>
      <c r="F9" s="12"/>
      <c r="G9" s="150"/>
      <c r="H9" s="150"/>
      <c r="I9" s="150"/>
      <c r="J9" s="150"/>
      <c r="K9" s="150"/>
      <c r="L9" s="150"/>
      <c r="M9" s="150"/>
    </row>
    <row r="10" spans="1:13" ht="17.25" customHeight="1">
      <c r="A10" s="469"/>
      <c r="B10" s="108" t="s">
        <v>392</v>
      </c>
      <c r="C10" s="141" t="s">
        <v>527</v>
      </c>
      <c r="D10" s="141" t="s">
        <v>32</v>
      </c>
      <c r="E10" s="141">
        <f>3.81*0.01</f>
        <v>0.0381</v>
      </c>
      <c r="F10" s="12">
        <f>E10*F6</f>
        <v>0.34290000000000004</v>
      </c>
      <c r="G10" s="150"/>
      <c r="H10" s="150"/>
      <c r="I10" s="150"/>
      <c r="J10" s="150"/>
      <c r="K10" s="150"/>
      <c r="L10" s="150"/>
      <c r="M10" s="150"/>
    </row>
    <row r="11" spans="1:13" ht="15.75" customHeight="1">
      <c r="A11" s="469"/>
      <c r="B11" s="108" t="s">
        <v>394</v>
      </c>
      <c r="C11" s="141" t="s">
        <v>517</v>
      </c>
      <c r="D11" s="141" t="s">
        <v>170</v>
      </c>
      <c r="E11" s="141">
        <v>0.233</v>
      </c>
      <c r="F11" s="12">
        <f>E11*F6</f>
        <v>2.097</v>
      </c>
      <c r="G11" s="150"/>
      <c r="H11" s="150"/>
      <c r="I11" s="150"/>
      <c r="J11" s="150"/>
      <c r="K11" s="150"/>
      <c r="L11" s="150"/>
      <c r="M11" s="150"/>
    </row>
    <row r="12" spans="1:13" ht="12.75">
      <c r="A12" s="459"/>
      <c r="B12" s="5" t="s">
        <v>33</v>
      </c>
      <c r="C12" s="141"/>
      <c r="D12" s="141" t="s">
        <v>0</v>
      </c>
      <c r="E12" s="141">
        <v>0.13</v>
      </c>
      <c r="F12" s="12">
        <f>E12*F6</f>
        <v>1.17</v>
      </c>
      <c r="G12" s="150"/>
      <c r="H12" s="150"/>
      <c r="I12" s="150"/>
      <c r="J12" s="150"/>
      <c r="K12" s="150"/>
      <c r="L12" s="150"/>
      <c r="M12" s="150"/>
    </row>
    <row r="13" spans="1:13" ht="23.25" customHeight="1">
      <c r="A13" s="458" t="s">
        <v>395</v>
      </c>
      <c r="B13" s="349" t="s">
        <v>396</v>
      </c>
      <c r="C13" s="124" t="s">
        <v>397</v>
      </c>
      <c r="D13" s="415" t="s">
        <v>391</v>
      </c>
      <c r="E13" s="415"/>
      <c r="F13" s="11">
        <v>9</v>
      </c>
      <c r="G13" s="340"/>
      <c r="H13" s="340"/>
      <c r="I13" s="340"/>
      <c r="J13" s="340"/>
      <c r="K13" s="340"/>
      <c r="L13" s="340"/>
      <c r="M13" s="340"/>
    </row>
    <row r="14" spans="1:13" ht="12.75">
      <c r="A14" s="469"/>
      <c r="B14" s="5" t="s">
        <v>12</v>
      </c>
      <c r="C14" s="141"/>
      <c r="D14" s="1" t="s">
        <v>15</v>
      </c>
      <c r="E14" s="141">
        <v>0.255</v>
      </c>
      <c r="F14" s="12">
        <f>E14*F13</f>
        <v>2.295</v>
      </c>
      <c r="G14" s="150"/>
      <c r="H14" s="150"/>
      <c r="I14" s="150"/>
      <c r="J14" s="150"/>
      <c r="K14" s="150"/>
      <c r="L14" s="150"/>
      <c r="M14" s="150"/>
    </row>
    <row r="15" spans="1:13" ht="12.75">
      <c r="A15" s="469"/>
      <c r="B15" s="5" t="s">
        <v>24</v>
      </c>
      <c r="C15" s="141"/>
      <c r="D15" s="141" t="s">
        <v>0</v>
      </c>
      <c r="E15" s="141">
        <v>0.0099</v>
      </c>
      <c r="F15" s="12">
        <f>E15*F13</f>
        <v>0.08910000000000001</v>
      </c>
      <c r="G15" s="150"/>
      <c r="H15" s="150"/>
      <c r="I15" s="150"/>
      <c r="J15" s="150"/>
      <c r="K15" s="150"/>
      <c r="L15" s="150"/>
      <c r="M15" s="150"/>
    </row>
    <row r="16" spans="1:13" ht="12.75">
      <c r="A16" s="469"/>
      <c r="B16" s="141" t="s">
        <v>22</v>
      </c>
      <c r="C16" s="141"/>
      <c r="D16" s="141"/>
      <c r="E16" s="141"/>
      <c r="F16" s="12"/>
      <c r="G16" s="150"/>
      <c r="H16" s="150"/>
      <c r="I16" s="150"/>
      <c r="J16" s="150"/>
      <c r="K16" s="150"/>
      <c r="L16" s="150"/>
      <c r="M16" s="150"/>
    </row>
    <row r="17" spans="1:13" ht="15">
      <c r="A17" s="469"/>
      <c r="B17" s="108" t="s">
        <v>398</v>
      </c>
      <c r="C17" s="141" t="s">
        <v>393</v>
      </c>
      <c r="D17" s="141" t="s">
        <v>32</v>
      </c>
      <c r="E17" s="141">
        <v>0.0082</v>
      </c>
      <c r="F17" s="12">
        <f>E17*F13</f>
        <v>0.0738</v>
      </c>
      <c r="G17" s="150"/>
      <c r="H17" s="150"/>
      <c r="I17" s="150"/>
      <c r="J17" s="150"/>
      <c r="K17" s="150"/>
      <c r="L17" s="150"/>
      <c r="M17" s="150"/>
    </row>
    <row r="18" spans="1:13" ht="12.75">
      <c r="A18" s="459"/>
      <c r="B18" s="5" t="s">
        <v>33</v>
      </c>
      <c r="C18" s="141"/>
      <c r="D18" s="141" t="s">
        <v>0</v>
      </c>
      <c r="E18" s="141">
        <v>0.0061</v>
      </c>
      <c r="F18" s="12">
        <f>E18*F13</f>
        <v>0.054900000000000004</v>
      </c>
      <c r="G18" s="150"/>
      <c r="H18" s="150"/>
      <c r="I18" s="150"/>
      <c r="J18" s="150"/>
      <c r="K18" s="150"/>
      <c r="L18" s="150"/>
      <c r="M18" s="150"/>
    </row>
    <row r="19" spans="1:13" ht="18" customHeight="1">
      <c r="A19" s="458">
        <v>2</v>
      </c>
      <c r="B19" s="349" t="s">
        <v>399</v>
      </c>
      <c r="C19" s="362"/>
      <c r="D19" s="415" t="s">
        <v>23</v>
      </c>
      <c r="E19" s="415"/>
      <c r="F19" s="11">
        <v>3</v>
      </c>
      <c r="G19" s="340"/>
      <c r="H19" s="340"/>
      <c r="I19" s="340"/>
      <c r="J19" s="340"/>
      <c r="K19" s="340"/>
      <c r="L19" s="340"/>
      <c r="M19" s="340"/>
    </row>
    <row r="20" spans="1:13" ht="12.75">
      <c r="A20" s="469"/>
      <c r="B20" s="5" t="s">
        <v>12</v>
      </c>
      <c r="C20" s="141"/>
      <c r="D20" s="1" t="s">
        <v>23</v>
      </c>
      <c r="E20" s="141">
        <v>1</v>
      </c>
      <c r="F20" s="4">
        <f>E20*F19</f>
        <v>3</v>
      </c>
      <c r="G20" s="150"/>
      <c r="H20" s="150"/>
      <c r="I20" s="150"/>
      <c r="J20" s="150"/>
      <c r="K20" s="150"/>
      <c r="L20" s="150"/>
      <c r="M20" s="150"/>
    </row>
    <row r="21" spans="1:13" ht="12.75">
      <c r="A21" s="469"/>
      <c r="B21" s="141" t="s">
        <v>22</v>
      </c>
      <c r="C21" s="141"/>
      <c r="D21" s="141"/>
      <c r="E21" s="141"/>
      <c r="F21" s="4"/>
      <c r="G21" s="150"/>
      <c r="H21" s="150"/>
      <c r="I21" s="150"/>
      <c r="J21" s="150"/>
      <c r="K21" s="150"/>
      <c r="L21" s="150"/>
      <c r="M21" s="150"/>
    </row>
    <row r="22" spans="1:13" ht="15" customHeight="1">
      <c r="A22" s="459"/>
      <c r="B22" s="363" t="s">
        <v>400</v>
      </c>
      <c r="C22" s="141" t="s">
        <v>528</v>
      </c>
      <c r="D22" s="141" t="s">
        <v>23</v>
      </c>
      <c r="E22" s="141">
        <v>1</v>
      </c>
      <c r="F22" s="4">
        <f>E22*F19</f>
        <v>3</v>
      </c>
      <c r="G22" s="150"/>
      <c r="H22" s="150"/>
      <c r="I22" s="150"/>
      <c r="J22" s="150"/>
      <c r="K22" s="150"/>
      <c r="L22" s="150"/>
      <c r="M22" s="150"/>
    </row>
    <row r="23" spans="1:13" ht="12.75">
      <c r="A23" s="458">
        <v>3</v>
      </c>
      <c r="B23" s="349" t="s">
        <v>401</v>
      </c>
      <c r="C23" s="362"/>
      <c r="D23" s="415" t="s">
        <v>23</v>
      </c>
      <c r="E23" s="415"/>
      <c r="F23" s="11">
        <v>1</v>
      </c>
      <c r="G23" s="340"/>
      <c r="H23" s="340"/>
      <c r="I23" s="340"/>
      <c r="J23" s="340"/>
      <c r="K23" s="340"/>
      <c r="L23" s="340"/>
      <c r="M23" s="340"/>
    </row>
    <row r="24" spans="1:13" ht="12.75">
      <c r="A24" s="469"/>
      <c r="B24" s="5" t="s">
        <v>12</v>
      </c>
      <c r="C24" s="141"/>
      <c r="D24" s="1" t="s">
        <v>23</v>
      </c>
      <c r="E24" s="141">
        <v>1</v>
      </c>
      <c r="F24" s="4">
        <f>E24*F23</f>
        <v>1</v>
      </c>
      <c r="G24" s="150"/>
      <c r="H24" s="150"/>
      <c r="I24" s="150"/>
      <c r="J24" s="150"/>
      <c r="K24" s="150"/>
      <c r="L24" s="150"/>
      <c r="M24" s="150"/>
    </row>
    <row r="25" spans="1:13" ht="12.75">
      <c r="A25" s="469"/>
      <c r="B25" s="141" t="s">
        <v>22</v>
      </c>
      <c r="C25" s="141"/>
      <c r="D25" s="141"/>
      <c r="E25" s="141"/>
      <c r="F25" s="4"/>
      <c r="G25" s="150"/>
      <c r="H25" s="150"/>
      <c r="I25" s="150"/>
      <c r="J25" s="150"/>
      <c r="K25" s="150"/>
      <c r="L25" s="150"/>
      <c r="M25" s="150"/>
    </row>
    <row r="26" spans="1:13" ht="12" customHeight="1">
      <c r="A26" s="459"/>
      <c r="B26" s="363" t="s">
        <v>402</v>
      </c>
      <c r="C26" s="141" t="s">
        <v>529</v>
      </c>
      <c r="D26" s="141" t="s">
        <v>23</v>
      </c>
      <c r="E26" s="141">
        <v>1</v>
      </c>
      <c r="F26" s="4">
        <f>E26*F23</f>
        <v>1</v>
      </c>
      <c r="G26" s="150"/>
      <c r="H26" s="150"/>
      <c r="I26" s="150"/>
      <c r="J26" s="150"/>
      <c r="K26" s="150"/>
      <c r="L26" s="150"/>
      <c r="M26" s="150"/>
    </row>
    <row r="27" spans="1:13" ht="24" customHeight="1">
      <c r="A27" s="458">
        <v>4</v>
      </c>
      <c r="B27" s="109" t="s">
        <v>403</v>
      </c>
      <c r="C27" s="124" t="s">
        <v>404</v>
      </c>
      <c r="D27" s="415" t="s">
        <v>23</v>
      </c>
      <c r="E27" s="415"/>
      <c r="F27" s="11">
        <v>4</v>
      </c>
      <c r="G27" s="340"/>
      <c r="H27" s="340"/>
      <c r="I27" s="340"/>
      <c r="J27" s="340"/>
      <c r="K27" s="340"/>
      <c r="L27" s="340"/>
      <c r="M27" s="340"/>
    </row>
    <row r="28" spans="1:13" ht="12.75">
      <c r="A28" s="469"/>
      <c r="B28" s="5" t="s">
        <v>12</v>
      </c>
      <c r="C28" s="141"/>
      <c r="D28" s="1" t="s">
        <v>15</v>
      </c>
      <c r="E28" s="141">
        <v>1.51</v>
      </c>
      <c r="F28" s="12">
        <f>E28*F27</f>
        <v>6.04</v>
      </c>
      <c r="G28" s="150"/>
      <c r="H28" s="150"/>
      <c r="I28" s="150"/>
      <c r="J28" s="150"/>
      <c r="K28" s="150"/>
      <c r="L28" s="150"/>
      <c r="M28" s="150"/>
    </row>
    <row r="29" spans="1:13" ht="12.75">
      <c r="A29" s="469"/>
      <c r="B29" s="5" t="s">
        <v>24</v>
      </c>
      <c r="C29" s="141"/>
      <c r="D29" s="141" t="s">
        <v>0</v>
      </c>
      <c r="E29" s="141">
        <v>0.13</v>
      </c>
      <c r="F29" s="12">
        <f>E29*F27</f>
        <v>0.52</v>
      </c>
      <c r="G29" s="150"/>
      <c r="H29" s="150"/>
      <c r="I29" s="150"/>
      <c r="J29" s="150"/>
      <c r="K29" s="150"/>
      <c r="L29" s="150"/>
      <c r="M29" s="150"/>
    </row>
    <row r="30" spans="1:13" ht="12.75">
      <c r="A30" s="469"/>
      <c r="B30" s="141" t="s">
        <v>22</v>
      </c>
      <c r="C30" s="141"/>
      <c r="D30" s="141"/>
      <c r="E30" s="141"/>
      <c r="F30" s="12"/>
      <c r="G30" s="150"/>
      <c r="H30" s="150"/>
      <c r="I30" s="150"/>
      <c r="J30" s="150"/>
      <c r="K30" s="150"/>
      <c r="L30" s="150"/>
      <c r="M30" s="150"/>
    </row>
    <row r="31" spans="1:13" ht="15.75" customHeight="1">
      <c r="A31" s="469"/>
      <c r="B31" s="363" t="s">
        <v>530</v>
      </c>
      <c r="C31" s="141" t="s">
        <v>92</v>
      </c>
      <c r="D31" s="141" t="s">
        <v>23</v>
      </c>
      <c r="E31" s="113" t="s">
        <v>30</v>
      </c>
      <c r="F31" s="4">
        <v>1</v>
      </c>
      <c r="G31" s="150"/>
      <c r="H31" s="150"/>
      <c r="I31" s="150"/>
      <c r="J31" s="150"/>
      <c r="K31" s="150"/>
      <c r="L31" s="150"/>
      <c r="M31" s="150"/>
    </row>
    <row r="32" spans="1:13" ht="12.75">
      <c r="A32" s="469"/>
      <c r="B32" s="363" t="s">
        <v>405</v>
      </c>
      <c r="C32" s="141" t="s">
        <v>92</v>
      </c>
      <c r="D32" s="141" t="s">
        <v>23</v>
      </c>
      <c r="E32" s="113" t="s">
        <v>30</v>
      </c>
      <c r="F32" s="4">
        <v>2</v>
      </c>
      <c r="G32" s="150"/>
      <c r="H32" s="150"/>
      <c r="I32" s="150"/>
      <c r="J32" s="150"/>
      <c r="K32" s="150"/>
      <c r="L32" s="150"/>
      <c r="M32" s="150"/>
    </row>
    <row r="33" spans="1:13" ht="21" customHeight="1">
      <c r="A33" s="469"/>
      <c r="B33" s="363" t="s">
        <v>406</v>
      </c>
      <c r="C33" s="141" t="s">
        <v>92</v>
      </c>
      <c r="D33" s="141" t="s">
        <v>23</v>
      </c>
      <c r="E33" s="113" t="s">
        <v>30</v>
      </c>
      <c r="F33" s="4">
        <v>1</v>
      </c>
      <c r="G33" s="150"/>
      <c r="H33" s="150"/>
      <c r="I33" s="150"/>
      <c r="J33" s="150"/>
      <c r="K33" s="150"/>
      <c r="L33" s="150"/>
      <c r="M33" s="150"/>
    </row>
    <row r="34" spans="1:13" ht="12.75">
      <c r="A34" s="459"/>
      <c r="B34" s="5" t="s">
        <v>33</v>
      </c>
      <c r="C34" s="141"/>
      <c r="D34" s="141" t="s">
        <v>0</v>
      </c>
      <c r="E34" s="141">
        <v>0.07</v>
      </c>
      <c r="F34" s="4">
        <f>E34*F27</f>
        <v>0.28</v>
      </c>
      <c r="G34" s="150"/>
      <c r="H34" s="150"/>
      <c r="I34" s="150"/>
      <c r="J34" s="150"/>
      <c r="K34" s="150"/>
      <c r="L34" s="150"/>
      <c r="M34" s="150"/>
    </row>
    <row r="35" spans="1:13" ht="26.25" customHeight="1">
      <c r="A35" s="458">
        <v>5</v>
      </c>
      <c r="B35" s="109" t="s">
        <v>407</v>
      </c>
      <c r="C35" s="124" t="s">
        <v>408</v>
      </c>
      <c r="D35" s="415" t="s">
        <v>23</v>
      </c>
      <c r="E35" s="415"/>
      <c r="F35" s="11">
        <v>5</v>
      </c>
      <c r="G35" s="340"/>
      <c r="H35" s="340"/>
      <c r="I35" s="340"/>
      <c r="J35" s="340"/>
      <c r="K35" s="340"/>
      <c r="L35" s="340"/>
      <c r="M35" s="340"/>
    </row>
    <row r="36" spans="1:13" ht="12.75">
      <c r="A36" s="469"/>
      <c r="B36" s="5" t="s">
        <v>12</v>
      </c>
      <c r="C36" s="141"/>
      <c r="D36" s="1" t="s">
        <v>15</v>
      </c>
      <c r="E36" s="141">
        <v>0.31</v>
      </c>
      <c r="F36" s="12">
        <f>E36*F35</f>
        <v>1.55</v>
      </c>
      <c r="G36" s="150"/>
      <c r="H36" s="150"/>
      <c r="I36" s="150"/>
      <c r="J36" s="150"/>
      <c r="K36" s="150"/>
      <c r="L36" s="150"/>
      <c r="M36" s="150"/>
    </row>
    <row r="37" spans="1:13" ht="12.75">
      <c r="A37" s="469"/>
      <c r="B37" s="5" t="s">
        <v>24</v>
      </c>
      <c r="C37" s="141"/>
      <c r="D37" s="141" t="s">
        <v>0</v>
      </c>
      <c r="E37" s="141">
        <v>0.01</v>
      </c>
      <c r="F37" s="12">
        <f>E37*F35</f>
        <v>0.05</v>
      </c>
      <c r="G37" s="150"/>
      <c r="H37" s="150"/>
      <c r="I37" s="150"/>
      <c r="J37" s="150"/>
      <c r="K37" s="150"/>
      <c r="L37" s="150"/>
      <c r="M37" s="150"/>
    </row>
    <row r="38" spans="1:13" ht="12.75">
      <c r="A38" s="469"/>
      <c r="B38" s="141" t="s">
        <v>22</v>
      </c>
      <c r="C38" s="141"/>
      <c r="D38" s="141"/>
      <c r="E38" s="141"/>
      <c r="F38" s="12"/>
      <c r="G38" s="150"/>
      <c r="H38" s="150"/>
      <c r="I38" s="150"/>
      <c r="J38" s="150"/>
      <c r="K38" s="150"/>
      <c r="L38" s="150"/>
      <c r="M38" s="150"/>
    </row>
    <row r="39" spans="1:13" ht="12.75">
      <c r="A39" s="469"/>
      <c r="B39" s="363" t="s">
        <v>405</v>
      </c>
      <c r="C39" s="141" t="s">
        <v>92</v>
      </c>
      <c r="D39" s="141" t="s">
        <v>23</v>
      </c>
      <c r="E39" s="113" t="s">
        <v>30</v>
      </c>
      <c r="F39" s="4">
        <v>2</v>
      </c>
      <c r="G39" s="150"/>
      <c r="H39" s="150"/>
      <c r="I39" s="150"/>
      <c r="J39" s="150"/>
      <c r="K39" s="150"/>
      <c r="L39" s="150"/>
      <c r="M39" s="150"/>
    </row>
    <row r="40" spans="1:13" ht="12.75">
      <c r="A40" s="469"/>
      <c r="B40" s="363" t="s">
        <v>406</v>
      </c>
      <c r="C40" s="141" t="s">
        <v>92</v>
      </c>
      <c r="D40" s="141" t="s">
        <v>23</v>
      </c>
      <c r="E40" s="113" t="s">
        <v>30</v>
      </c>
      <c r="F40" s="4">
        <v>3</v>
      </c>
      <c r="G40" s="150"/>
      <c r="H40" s="150"/>
      <c r="I40" s="150"/>
      <c r="J40" s="150"/>
      <c r="K40" s="150"/>
      <c r="L40" s="150"/>
      <c r="M40" s="150"/>
    </row>
    <row r="41" spans="1:13" ht="12.75">
      <c r="A41" s="459"/>
      <c r="B41" s="5" t="s">
        <v>33</v>
      </c>
      <c r="C41" s="141"/>
      <c r="D41" s="141" t="s">
        <v>0</v>
      </c>
      <c r="E41" s="141">
        <v>0.04</v>
      </c>
      <c r="F41" s="4">
        <f>E41*F35</f>
        <v>0.2</v>
      </c>
      <c r="G41" s="150"/>
      <c r="H41" s="150"/>
      <c r="I41" s="150"/>
      <c r="J41" s="150"/>
      <c r="K41" s="150"/>
      <c r="L41" s="150"/>
      <c r="M41" s="150"/>
    </row>
    <row r="42" spans="1:13" ht="25.5">
      <c r="A42" s="458">
        <v>6</v>
      </c>
      <c r="B42" s="106" t="s">
        <v>409</v>
      </c>
      <c r="C42" s="124" t="s">
        <v>410</v>
      </c>
      <c r="D42" s="415" t="s">
        <v>352</v>
      </c>
      <c r="E42" s="415"/>
      <c r="F42" s="11">
        <v>16</v>
      </c>
      <c r="G42" s="340"/>
      <c r="H42" s="340"/>
      <c r="I42" s="340"/>
      <c r="J42" s="340"/>
      <c r="K42" s="340"/>
      <c r="L42" s="340"/>
      <c r="M42" s="340"/>
    </row>
    <row r="43" spans="1:13" ht="12.75">
      <c r="A43" s="469"/>
      <c r="B43" s="5" t="s">
        <v>12</v>
      </c>
      <c r="C43" s="5"/>
      <c r="D43" s="1" t="s">
        <v>15</v>
      </c>
      <c r="E43" s="141">
        <v>1.82</v>
      </c>
      <c r="F43" s="4">
        <f>E43*F42</f>
        <v>29.12</v>
      </c>
      <c r="G43" s="150"/>
      <c r="H43" s="150"/>
      <c r="I43" s="150"/>
      <c r="J43" s="150"/>
      <c r="K43" s="150"/>
      <c r="L43" s="150"/>
      <c r="M43" s="150"/>
    </row>
    <row r="44" spans="1:13" ht="12.75">
      <c r="A44" s="469"/>
      <c r="B44" s="5" t="s">
        <v>24</v>
      </c>
      <c r="C44" s="5"/>
      <c r="D44" s="141" t="s">
        <v>0</v>
      </c>
      <c r="E44" s="141">
        <v>0.0397</v>
      </c>
      <c r="F44" s="4">
        <f>E44*F42</f>
        <v>0.6352</v>
      </c>
      <c r="G44" s="150"/>
      <c r="H44" s="150"/>
      <c r="I44" s="150"/>
      <c r="J44" s="150"/>
      <c r="K44" s="150"/>
      <c r="L44" s="150"/>
      <c r="M44" s="150"/>
    </row>
    <row r="45" spans="1:13" ht="12.75">
      <c r="A45" s="469"/>
      <c r="B45" s="141" t="s">
        <v>22</v>
      </c>
      <c r="C45" s="141"/>
      <c r="D45" s="141"/>
      <c r="E45" s="141"/>
      <c r="F45" s="4"/>
      <c r="G45" s="150"/>
      <c r="H45" s="150"/>
      <c r="I45" s="150"/>
      <c r="J45" s="150"/>
      <c r="K45" s="150"/>
      <c r="L45" s="150"/>
      <c r="M45" s="150"/>
    </row>
    <row r="46" spans="1:13" ht="12.75">
      <c r="A46" s="469"/>
      <c r="B46" s="5" t="s">
        <v>411</v>
      </c>
      <c r="C46" s="141" t="s">
        <v>531</v>
      </c>
      <c r="D46" s="141" t="s">
        <v>352</v>
      </c>
      <c r="E46" s="113" t="s">
        <v>30</v>
      </c>
      <c r="F46" s="4">
        <v>5</v>
      </c>
      <c r="G46" s="150"/>
      <c r="H46" s="150"/>
      <c r="I46" s="150"/>
      <c r="J46" s="150"/>
      <c r="K46" s="150"/>
      <c r="L46" s="150"/>
      <c r="M46" s="150"/>
    </row>
    <row r="47" spans="1:13" ht="12.75">
      <c r="A47" s="469"/>
      <c r="B47" s="5" t="s">
        <v>412</v>
      </c>
      <c r="C47" s="141" t="s">
        <v>92</v>
      </c>
      <c r="D47" s="141" t="s">
        <v>23</v>
      </c>
      <c r="E47" s="113" t="s">
        <v>30</v>
      </c>
      <c r="F47" s="4">
        <v>1</v>
      </c>
      <c r="G47" s="150"/>
      <c r="H47" s="150"/>
      <c r="I47" s="150"/>
      <c r="J47" s="150"/>
      <c r="K47" s="150"/>
      <c r="L47" s="150"/>
      <c r="M47" s="150"/>
    </row>
    <row r="48" spans="1:13" ht="12.75">
      <c r="A48" s="459"/>
      <c r="B48" s="5" t="s">
        <v>33</v>
      </c>
      <c r="C48" s="5"/>
      <c r="D48" s="141" t="s">
        <v>0</v>
      </c>
      <c r="E48" s="141">
        <v>0.0602</v>
      </c>
      <c r="F48" s="4">
        <f>E48*F42</f>
        <v>0.9632</v>
      </c>
      <c r="G48" s="150"/>
      <c r="H48" s="150"/>
      <c r="I48" s="150"/>
      <c r="J48" s="150"/>
      <c r="K48" s="150"/>
      <c r="L48" s="150"/>
      <c r="M48" s="150"/>
    </row>
    <row r="49" spans="1:13" ht="25.5">
      <c r="A49" s="458" t="s">
        <v>413</v>
      </c>
      <c r="B49" s="106" t="s">
        <v>414</v>
      </c>
      <c r="C49" s="124" t="s">
        <v>415</v>
      </c>
      <c r="D49" s="415" t="s">
        <v>352</v>
      </c>
      <c r="E49" s="415"/>
      <c r="F49" s="11">
        <v>16</v>
      </c>
      <c r="G49" s="340"/>
      <c r="H49" s="340"/>
      <c r="I49" s="340"/>
      <c r="J49" s="340"/>
      <c r="K49" s="340"/>
      <c r="L49" s="340"/>
      <c r="M49" s="340"/>
    </row>
    <row r="50" spans="1:13" ht="12.75">
      <c r="A50" s="469"/>
      <c r="B50" s="5" t="s">
        <v>12</v>
      </c>
      <c r="C50" s="5"/>
      <c r="D50" s="1" t="s">
        <v>15</v>
      </c>
      <c r="E50" s="141">
        <v>1.43</v>
      </c>
      <c r="F50" s="4">
        <f>E50*F49</f>
        <v>22.88</v>
      </c>
      <c r="G50" s="150"/>
      <c r="H50" s="150"/>
      <c r="I50" s="150"/>
      <c r="J50" s="150"/>
      <c r="K50" s="150"/>
      <c r="L50" s="150"/>
      <c r="M50" s="150"/>
    </row>
    <row r="51" spans="1:13" ht="12.75">
      <c r="A51" s="469"/>
      <c r="B51" s="5" t="s">
        <v>24</v>
      </c>
      <c r="C51" s="5"/>
      <c r="D51" s="141" t="s">
        <v>0</v>
      </c>
      <c r="E51" s="141">
        <v>0.0257</v>
      </c>
      <c r="F51" s="4">
        <f>E51*F49</f>
        <v>0.4112</v>
      </c>
      <c r="G51" s="150"/>
      <c r="H51" s="150"/>
      <c r="I51" s="150"/>
      <c r="J51" s="150"/>
      <c r="K51" s="150"/>
      <c r="L51" s="150"/>
      <c r="M51" s="150"/>
    </row>
    <row r="52" spans="1:13" ht="12.75">
      <c r="A52" s="469"/>
      <c r="B52" s="141" t="s">
        <v>22</v>
      </c>
      <c r="C52" s="141"/>
      <c r="D52" s="141"/>
      <c r="E52" s="141"/>
      <c r="F52" s="4"/>
      <c r="G52" s="150"/>
      <c r="H52" s="150"/>
      <c r="I52" s="150"/>
      <c r="J52" s="150"/>
      <c r="K52" s="150"/>
      <c r="L52" s="150"/>
      <c r="M52" s="150"/>
    </row>
    <row r="53" spans="1:13" ht="19.5" customHeight="1">
      <c r="A53" s="469"/>
      <c r="B53" s="5" t="s">
        <v>416</v>
      </c>
      <c r="C53" s="141" t="s">
        <v>531</v>
      </c>
      <c r="D53" s="141" t="s">
        <v>352</v>
      </c>
      <c r="E53" s="113" t="s">
        <v>30</v>
      </c>
      <c r="F53" s="4">
        <v>11</v>
      </c>
      <c r="G53" s="150"/>
      <c r="H53" s="150"/>
      <c r="I53" s="150"/>
      <c r="J53" s="150"/>
      <c r="K53" s="150"/>
      <c r="L53" s="150"/>
      <c r="M53" s="150"/>
    </row>
    <row r="54" spans="1:13" ht="12.75">
      <c r="A54" s="459"/>
      <c r="B54" s="5" t="s">
        <v>33</v>
      </c>
      <c r="C54" s="5"/>
      <c r="D54" s="141" t="s">
        <v>0</v>
      </c>
      <c r="E54" s="141">
        <v>0.0457</v>
      </c>
      <c r="F54" s="4">
        <f>E54*F49</f>
        <v>0.7312</v>
      </c>
      <c r="G54" s="150"/>
      <c r="H54" s="150"/>
      <c r="I54" s="150"/>
      <c r="J54" s="150"/>
      <c r="K54" s="150"/>
      <c r="L54" s="150"/>
      <c r="M54" s="150"/>
    </row>
    <row r="55" spans="1:13" ht="13.5" customHeight="1">
      <c r="A55" s="458">
        <v>7</v>
      </c>
      <c r="B55" s="349" t="s">
        <v>417</v>
      </c>
      <c r="C55" s="349"/>
      <c r="D55" s="362" t="s">
        <v>34</v>
      </c>
      <c r="E55" s="415"/>
      <c r="F55" s="110">
        <v>2</v>
      </c>
      <c r="G55" s="340"/>
      <c r="H55" s="340"/>
      <c r="I55" s="340"/>
      <c r="J55" s="340"/>
      <c r="K55" s="340"/>
      <c r="L55" s="340"/>
      <c r="M55" s="340"/>
    </row>
    <row r="56" spans="1:13" ht="12.75">
      <c r="A56" s="469"/>
      <c r="B56" s="10" t="s">
        <v>12</v>
      </c>
      <c r="C56" s="10"/>
      <c r="D56" s="113"/>
      <c r="E56" s="4"/>
      <c r="F56" s="12">
        <v>2</v>
      </c>
      <c r="G56" s="150"/>
      <c r="H56" s="150"/>
      <c r="I56" s="150"/>
      <c r="J56" s="150"/>
      <c r="K56" s="150"/>
      <c r="L56" s="150"/>
      <c r="M56" s="150"/>
    </row>
    <row r="57" spans="1:13" ht="12.75">
      <c r="A57" s="469"/>
      <c r="B57" s="141" t="s">
        <v>22</v>
      </c>
      <c r="C57" s="141"/>
      <c r="D57" s="141"/>
      <c r="E57" s="141"/>
      <c r="F57" s="12"/>
      <c r="G57" s="150"/>
      <c r="H57" s="150"/>
      <c r="I57" s="150"/>
      <c r="J57" s="150"/>
      <c r="K57" s="150"/>
      <c r="L57" s="150"/>
      <c r="M57" s="150"/>
    </row>
    <row r="58" spans="1:13" ht="19.5" customHeight="1">
      <c r="A58" s="459"/>
      <c r="B58" s="108" t="s">
        <v>418</v>
      </c>
      <c r="C58" s="108" t="s">
        <v>92</v>
      </c>
      <c r="D58" s="141" t="s">
        <v>34</v>
      </c>
      <c r="E58" s="141"/>
      <c r="F58" s="12">
        <v>2</v>
      </c>
      <c r="G58" s="150"/>
      <c r="H58" s="150"/>
      <c r="I58" s="150"/>
      <c r="J58" s="150"/>
      <c r="K58" s="150"/>
      <c r="L58" s="150"/>
      <c r="M58" s="150"/>
    </row>
    <row r="59" spans="1:13" ht="18.75" customHeight="1">
      <c r="A59" s="458">
        <v>8</v>
      </c>
      <c r="B59" s="349" t="s">
        <v>419</v>
      </c>
      <c r="C59" s="124" t="s">
        <v>420</v>
      </c>
      <c r="D59" s="415" t="s">
        <v>421</v>
      </c>
      <c r="E59" s="415"/>
      <c r="F59" s="110">
        <v>0.1</v>
      </c>
      <c r="G59" s="340"/>
      <c r="H59" s="340"/>
      <c r="I59" s="340"/>
      <c r="J59" s="340"/>
      <c r="K59" s="340"/>
      <c r="L59" s="340"/>
      <c r="M59" s="340"/>
    </row>
    <row r="60" spans="1:13" ht="12.75">
      <c r="A60" s="469"/>
      <c r="B60" s="10" t="s">
        <v>12</v>
      </c>
      <c r="C60" s="141"/>
      <c r="D60" s="113" t="s">
        <v>15</v>
      </c>
      <c r="E60" s="4">
        <v>13.8</v>
      </c>
      <c r="F60" s="12">
        <f>F59*E60</f>
        <v>1.3800000000000001</v>
      </c>
      <c r="G60" s="150"/>
      <c r="H60" s="150"/>
      <c r="I60" s="150"/>
      <c r="J60" s="150"/>
      <c r="K60" s="150"/>
      <c r="L60" s="150"/>
      <c r="M60" s="150"/>
    </row>
    <row r="61" spans="1:13" ht="12.75">
      <c r="A61" s="469"/>
      <c r="B61" s="5" t="s">
        <v>24</v>
      </c>
      <c r="C61" s="141"/>
      <c r="D61" s="141" t="s">
        <v>340</v>
      </c>
      <c r="E61" s="141">
        <v>0.17</v>
      </c>
      <c r="F61" s="12">
        <f>E61*F59</f>
        <v>0.017</v>
      </c>
      <c r="G61" s="150"/>
      <c r="H61" s="150"/>
      <c r="I61" s="150"/>
      <c r="J61" s="150"/>
      <c r="K61" s="150"/>
      <c r="L61" s="150"/>
      <c r="M61" s="150"/>
    </row>
    <row r="62" spans="1:13" ht="12.75">
      <c r="A62" s="469"/>
      <c r="B62" s="141" t="s">
        <v>22</v>
      </c>
      <c r="C62" s="141"/>
      <c r="D62" s="141"/>
      <c r="E62" s="141"/>
      <c r="F62" s="12"/>
      <c r="G62" s="150"/>
      <c r="H62" s="150"/>
      <c r="I62" s="150"/>
      <c r="J62" s="150"/>
      <c r="K62" s="150"/>
      <c r="L62" s="150"/>
      <c r="M62" s="150"/>
    </row>
    <row r="63" spans="1:13" ht="16.5">
      <c r="A63" s="469"/>
      <c r="B63" s="108" t="s">
        <v>422</v>
      </c>
      <c r="C63" s="141" t="s">
        <v>470</v>
      </c>
      <c r="D63" s="141" t="s">
        <v>423</v>
      </c>
      <c r="E63" s="141">
        <f>1.03/0.05</f>
        <v>20.599999999999998</v>
      </c>
      <c r="F63" s="12">
        <f>E63*F59</f>
        <v>2.06</v>
      </c>
      <c r="G63" s="150"/>
      <c r="H63" s="150"/>
      <c r="I63" s="150"/>
      <c r="J63" s="150"/>
      <c r="K63" s="150"/>
      <c r="L63" s="150"/>
      <c r="M63" s="150"/>
    </row>
    <row r="64" spans="1:13" ht="15">
      <c r="A64" s="469"/>
      <c r="B64" s="108" t="s">
        <v>424</v>
      </c>
      <c r="C64" s="141" t="s">
        <v>532</v>
      </c>
      <c r="D64" s="141" t="s">
        <v>323</v>
      </c>
      <c r="E64" s="141">
        <v>4.22</v>
      </c>
      <c r="F64" s="12">
        <f>E64*F59</f>
        <v>0.422</v>
      </c>
      <c r="G64" s="150"/>
      <c r="H64" s="150"/>
      <c r="I64" s="150"/>
      <c r="J64" s="150"/>
      <c r="K64" s="150"/>
      <c r="L64" s="150"/>
      <c r="M64" s="150"/>
    </row>
    <row r="65" spans="1:13" ht="20.25" customHeight="1">
      <c r="A65" s="469"/>
      <c r="B65" s="108" t="s">
        <v>343</v>
      </c>
      <c r="C65" s="141" t="s">
        <v>533</v>
      </c>
      <c r="D65" s="141" t="s">
        <v>170</v>
      </c>
      <c r="E65" s="4">
        <v>1</v>
      </c>
      <c r="F65" s="12">
        <f>E65*F59</f>
        <v>0.1</v>
      </c>
      <c r="G65" s="150"/>
      <c r="H65" s="150"/>
      <c r="I65" s="150"/>
      <c r="J65" s="150"/>
      <c r="K65" s="150"/>
      <c r="L65" s="150"/>
      <c r="M65" s="150"/>
    </row>
    <row r="66" spans="1:13" ht="12.75">
      <c r="A66" s="459"/>
      <c r="B66" s="5" t="s">
        <v>33</v>
      </c>
      <c r="C66" s="141"/>
      <c r="D66" s="141" t="s">
        <v>340</v>
      </c>
      <c r="E66" s="4">
        <v>0.9</v>
      </c>
      <c r="F66" s="12">
        <f>E66*F59</f>
        <v>0.09000000000000001</v>
      </c>
      <c r="G66" s="150"/>
      <c r="H66" s="150"/>
      <c r="I66" s="150"/>
      <c r="J66" s="150"/>
      <c r="K66" s="150"/>
      <c r="L66" s="150"/>
      <c r="M66" s="150"/>
    </row>
    <row r="67" spans="1:13" ht="25.5">
      <c r="A67" s="458">
        <v>9</v>
      </c>
      <c r="B67" s="106" t="s">
        <v>425</v>
      </c>
      <c r="C67" s="421" t="s">
        <v>371</v>
      </c>
      <c r="D67" s="415" t="s">
        <v>331</v>
      </c>
      <c r="E67" s="415"/>
      <c r="F67" s="11">
        <v>2</v>
      </c>
      <c r="G67" s="340"/>
      <c r="H67" s="344"/>
      <c r="I67" s="344"/>
      <c r="J67" s="344"/>
      <c r="K67" s="344"/>
      <c r="L67" s="344"/>
      <c r="M67" s="344"/>
    </row>
    <row r="68" spans="1:13" ht="12.75">
      <c r="A68" s="469"/>
      <c r="B68" s="5" t="s">
        <v>39</v>
      </c>
      <c r="C68" s="415"/>
      <c r="D68" s="1" t="s">
        <v>15</v>
      </c>
      <c r="E68" s="141">
        <v>0.68</v>
      </c>
      <c r="F68" s="4">
        <f>E68*F67</f>
        <v>1.36</v>
      </c>
      <c r="G68" s="345"/>
      <c r="H68" s="345"/>
      <c r="I68" s="345"/>
      <c r="J68" s="345"/>
      <c r="K68" s="345"/>
      <c r="L68" s="345"/>
      <c r="M68" s="345"/>
    </row>
    <row r="69" spans="1:13" ht="12.75">
      <c r="A69" s="469"/>
      <c r="B69" s="5" t="s">
        <v>24</v>
      </c>
      <c r="C69" s="5"/>
      <c r="D69" s="1" t="s">
        <v>0</v>
      </c>
      <c r="E69" s="153">
        <f>0.03/100</f>
        <v>0.0003</v>
      </c>
      <c r="F69" s="4">
        <f>E69*F67</f>
        <v>0.0006</v>
      </c>
      <c r="G69" s="345"/>
      <c r="H69" s="345"/>
      <c r="I69" s="345"/>
      <c r="J69" s="345"/>
      <c r="K69" s="345"/>
      <c r="L69" s="345"/>
      <c r="M69" s="345"/>
    </row>
    <row r="70" spans="1:13" ht="12.75">
      <c r="A70" s="469"/>
      <c r="B70" s="141" t="s">
        <v>22</v>
      </c>
      <c r="C70" s="141"/>
      <c r="D70" s="141"/>
      <c r="E70" s="141"/>
      <c r="F70" s="4"/>
      <c r="G70" s="345"/>
      <c r="H70" s="345"/>
      <c r="I70" s="345"/>
      <c r="J70" s="345"/>
      <c r="K70" s="345"/>
      <c r="L70" s="345"/>
      <c r="M70" s="345"/>
    </row>
    <row r="71" spans="1:13" ht="13.5" customHeight="1">
      <c r="A71" s="469"/>
      <c r="B71" s="5" t="s">
        <v>43</v>
      </c>
      <c r="C71" s="409" t="s">
        <v>488</v>
      </c>
      <c r="D71" s="1" t="s">
        <v>170</v>
      </c>
      <c r="E71" s="141">
        <v>0.251</v>
      </c>
      <c r="F71" s="141">
        <f>E71*F67</f>
        <v>0.502</v>
      </c>
      <c r="G71" s="150"/>
      <c r="H71" s="150"/>
      <c r="I71" s="150"/>
      <c r="J71" s="150"/>
      <c r="K71" s="150"/>
      <c r="L71" s="150"/>
      <c r="M71" s="345"/>
    </row>
    <row r="72" spans="1:13" ht="17.25" customHeight="1">
      <c r="A72" s="469"/>
      <c r="B72" s="5" t="s">
        <v>44</v>
      </c>
      <c r="C72" s="409" t="s">
        <v>487</v>
      </c>
      <c r="D72" s="1" t="s">
        <v>170</v>
      </c>
      <c r="E72" s="141">
        <v>0.027</v>
      </c>
      <c r="F72" s="141">
        <f>E72*F67</f>
        <v>0.054</v>
      </c>
      <c r="G72" s="150"/>
      <c r="H72" s="150"/>
      <c r="I72" s="150"/>
      <c r="J72" s="150"/>
      <c r="K72" s="150"/>
      <c r="L72" s="150"/>
      <c r="M72" s="345"/>
    </row>
    <row r="73" spans="1:13" ht="13.5" thickBot="1">
      <c r="A73" s="471"/>
      <c r="B73" s="5" t="s">
        <v>18</v>
      </c>
      <c r="C73" s="5"/>
      <c r="D73" s="1" t="s">
        <v>0</v>
      </c>
      <c r="E73" s="141">
        <v>0.0019</v>
      </c>
      <c r="F73" s="4">
        <f>E73*F67</f>
        <v>0.0038</v>
      </c>
      <c r="G73" s="150"/>
      <c r="H73" s="150"/>
      <c r="I73" s="150"/>
      <c r="J73" s="150"/>
      <c r="K73" s="150"/>
      <c r="L73" s="150"/>
      <c r="M73" s="345"/>
    </row>
    <row r="74" spans="1:13" ht="13.5" thickBot="1">
      <c r="A74" s="364"/>
      <c r="B74" s="351" t="s">
        <v>8</v>
      </c>
      <c r="C74" s="351"/>
      <c r="D74" s="352"/>
      <c r="E74" s="352"/>
      <c r="F74" s="352"/>
      <c r="G74" s="353"/>
      <c r="H74" s="354"/>
      <c r="I74" s="353"/>
      <c r="J74" s="354"/>
      <c r="K74" s="354"/>
      <c r="L74" s="354"/>
      <c r="M74" s="15"/>
    </row>
    <row r="75" spans="1:13" ht="12.75">
      <c r="A75" s="134"/>
      <c r="B75" s="135" t="s">
        <v>16</v>
      </c>
      <c r="C75" s="135"/>
      <c r="D75" s="136"/>
      <c r="E75" s="137">
        <v>0.04</v>
      </c>
      <c r="F75" s="136"/>
      <c r="G75" s="356"/>
      <c r="H75" s="356"/>
      <c r="I75" s="356"/>
      <c r="J75" s="356"/>
      <c r="K75" s="356"/>
      <c r="L75" s="356"/>
      <c r="M75" s="16"/>
    </row>
    <row r="76" spans="1:13" ht="12.75">
      <c r="A76" s="139"/>
      <c r="B76" s="109" t="s">
        <v>8</v>
      </c>
      <c r="C76" s="109"/>
      <c r="D76" s="415"/>
      <c r="E76" s="415"/>
      <c r="F76" s="415"/>
      <c r="G76" s="158"/>
      <c r="H76" s="158"/>
      <c r="I76" s="158"/>
      <c r="J76" s="158"/>
      <c r="K76" s="158"/>
      <c r="L76" s="158"/>
      <c r="M76" s="15"/>
    </row>
    <row r="77" spans="1:13" ht="12.75">
      <c r="A77" s="140"/>
      <c r="B77" s="5" t="s">
        <v>26</v>
      </c>
      <c r="C77" s="5"/>
      <c r="D77" s="141"/>
      <c r="E77" s="14">
        <v>0.1</v>
      </c>
      <c r="F77" s="141"/>
      <c r="G77" s="345"/>
      <c r="H77" s="345"/>
      <c r="I77" s="345"/>
      <c r="J77" s="345"/>
      <c r="K77" s="345"/>
      <c r="L77" s="345"/>
      <c r="M77" s="16"/>
    </row>
    <row r="78" spans="1:13" ht="12.75">
      <c r="A78" s="139"/>
      <c r="B78" s="109" t="s">
        <v>8</v>
      </c>
      <c r="C78" s="109"/>
      <c r="D78" s="415"/>
      <c r="E78" s="415"/>
      <c r="F78" s="415"/>
      <c r="G78" s="158"/>
      <c r="H78" s="158"/>
      <c r="I78" s="158"/>
      <c r="J78" s="158"/>
      <c r="K78" s="158"/>
      <c r="L78" s="158"/>
      <c r="M78" s="15"/>
    </row>
    <row r="79" spans="1:13" ht="12.75">
      <c r="A79" s="140"/>
      <c r="B79" s="5" t="s">
        <v>19</v>
      </c>
      <c r="C79" s="5"/>
      <c r="D79" s="141"/>
      <c r="E79" s="14">
        <v>0.08</v>
      </c>
      <c r="F79" s="141"/>
      <c r="G79" s="345"/>
      <c r="H79" s="345"/>
      <c r="I79" s="345"/>
      <c r="J79" s="345"/>
      <c r="K79" s="345"/>
      <c r="L79" s="345"/>
      <c r="M79" s="16"/>
    </row>
    <row r="80" spans="1:13" ht="12.75">
      <c r="A80" s="139"/>
      <c r="B80" s="109" t="s">
        <v>8</v>
      </c>
      <c r="C80" s="109"/>
      <c r="D80" s="415"/>
      <c r="E80" s="415"/>
      <c r="F80" s="415"/>
      <c r="G80" s="158"/>
      <c r="H80" s="158"/>
      <c r="I80" s="158"/>
      <c r="J80" s="158"/>
      <c r="K80" s="158"/>
      <c r="L80" s="158"/>
      <c r="M80" s="15"/>
    </row>
    <row r="81" spans="1:13" ht="15">
      <c r="A81" s="357"/>
      <c r="B81" s="358" t="s">
        <v>426</v>
      </c>
      <c r="C81" s="358"/>
      <c r="D81" s="358"/>
      <c r="E81" s="358"/>
      <c r="F81" s="358">
        <v>2</v>
      </c>
      <c r="G81" s="359"/>
      <c r="H81" s="359"/>
      <c r="I81" s="359"/>
      <c r="J81" s="359"/>
      <c r="K81" s="365"/>
      <c r="L81" s="361"/>
      <c r="M81" s="419"/>
    </row>
    <row r="82" ht="12.75">
      <c r="B82" s="156"/>
    </row>
    <row r="83" ht="12.75">
      <c r="B83" s="156"/>
    </row>
    <row r="85" spans="8:9" ht="12.75">
      <c r="H85" s="470"/>
      <c r="I85" s="470"/>
    </row>
    <row r="86" spans="2:3" ht="12.75">
      <c r="B86" s="420"/>
      <c r="C86" s="420"/>
    </row>
    <row r="87" ht="12.75">
      <c r="B87" s="420"/>
    </row>
    <row r="88" spans="2:10" ht="12.75">
      <c r="B88" s="336"/>
      <c r="I88" s="472"/>
      <c r="J88" s="472"/>
    </row>
    <row r="89" spans="2:3" ht="12.75">
      <c r="B89" s="470"/>
      <c r="C89" s="470"/>
    </row>
    <row r="95" ht="12.75">
      <c r="B95" s="156"/>
    </row>
    <row r="96" ht="12.75">
      <c r="B96" s="156"/>
    </row>
  </sheetData>
  <sheetProtection/>
  <mergeCells count="20">
    <mergeCell ref="B89:C89"/>
    <mergeCell ref="A42:A48"/>
    <mergeCell ref="A49:A54"/>
    <mergeCell ref="A55:A58"/>
    <mergeCell ref="A59:A66"/>
    <mergeCell ref="A67:A73"/>
    <mergeCell ref="I88:J88"/>
    <mergeCell ref="A6:A12"/>
    <mergeCell ref="A13:A18"/>
    <mergeCell ref="A19:A22"/>
    <mergeCell ref="A23:A26"/>
    <mergeCell ref="A27:A34"/>
    <mergeCell ref="A35:A41"/>
    <mergeCell ref="H85:I85"/>
    <mergeCell ref="A1:L1"/>
    <mergeCell ref="A2:L2"/>
    <mergeCell ref="A3:L3"/>
    <mergeCell ref="G4:J4"/>
    <mergeCell ref="B5:F5"/>
    <mergeCell ref="G5:J5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4"/>
  <sheetViews>
    <sheetView view="pageBreakPreview" zoomScale="60" zoomScalePageLayoutView="0" workbookViewId="0" topLeftCell="A1">
      <selection activeCell="B23" sqref="B23"/>
    </sheetView>
  </sheetViews>
  <sheetFormatPr defaultColWidth="9.140625" defaultRowHeight="12.75"/>
  <cols>
    <col min="1" max="1" width="3.57421875" style="59" customWidth="1"/>
    <col min="2" max="2" width="33.57421875" style="59" customWidth="1"/>
    <col min="3" max="3" width="14.28125" style="20" customWidth="1"/>
    <col min="4" max="4" width="21.7109375" style="59" customWidth="1"/>
    <col min="5" max="5" width="12.421875" style="59" customWidth="1"/>
    <col min="6" max="6" width="15.140625" style="59" customWidth="1"/>
    <col min="7" max="7" width="14.7109375" style="59" customWidth="1"/>
    <col min="8" max="8" width="14.28125" style="59" bestFit="1" customWidth="1"/>
    <col min="9" max="9" width="14.140625" style="59" customWidth="1"/>
    <col min="10" max="10" width="16.7109375" style="59" customWidth="1"/>
    <col min="11" max="11" width="16.00390625" style="59" customWidth="1"/>
    <col min="12" max="12" width="51.140625" style="59" customWidth="1"/>
    <col min="13" max="13" width="84.421875" style="59" customWidth="1"/>
    <col min="14" max="14" width="12.8515625" style="59" bestFit="1" customWidth="1"/>
    <col min="15" max="16384" width="9.140625" style="59" customWidth="1"/>
  </cols>
  <sheetData>
    <row r="2" spans="1:13" s="20" customFormat="1" ht="22.5">
      <c r="A2" s="479" t="e">
        <f>#REF!</f>
        <v>#REF!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3" spans="1:13" s="20" customFormat="1" ht="22.5">
      <c r="A3" s="479" t="s">
        <v>550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1:13" s="20" customFormat="1" ht="22.5">
      <c r="A4" s="480"/>
      <c r="B4" s="479" t="s">
        <v>47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</row>
    <row r="5" spans="1:13" s="20" customFormat="1" ht="13.5" customHeight="1">
      <c r="A5" s="481"/>
      <c r="B5" s="482" t="s">
        <v>549</v>
      </c>
      <c r="C5" s="482"/>
      <c r="D5" s="482"/>
      <c r="E5" s="482"/>
      <c r="F5" s="482"/>
      <c r="G5" s="482"/>
      <c r="H5" s="482"/>
      <c r="I5" s="482"/>
      <c r="J5" s="482"/>
      <c r="K5" s="482"/>
      <c r="L5" s="483"/>
      <c r="M5" s="483"/>
    </row>
    <row r="6" spans="1:13" s="20" customFormat="1" ht="14.25" customHeight="1">
      <c r="A6" s="484" t="s">
        <v>1</v>
      </c>
      <c r="B6" s="484" t="s">
        <v>2</v>
      </c>
      <c r="C6" s="484" t="s">
        <v>48</v>
      </c>
      <c r="D6" s="484" t="s">
        <v>3</v>
      </c>
      <c r="E6" s="484" t="s">
        <v>11</v>
      </c>
      <c r="F6" s="484" t="s">
        <v>4</v>
      </c>
      <c r="G6" s="485" t="s">
        <v>17</v>
      </c>
      <c r="H6" s="485"/>
      <c r="I6" s="485" t="s">
        <v>5</v>
      </c>
      <c r="J6" s="485"/>
      <c r="K6" s="484" t="s">
        <v>6</v>
      </c>
      <c r="L6" s="484"/>
      <c r="M6" s="486" t="s">
        <v>45</v>
      </c>
    </row>
    <row r="7" spans="1:13" s="20" customFormat="1" ht="44.25" customHeight="1">
      <c r="A7" s="484"/>
      <c r="B7" s="484"/>
      <c r="C7" s="484"/>
      <c r="D7" s="484"/>
      <c r="E7" s="484"/>
      <c r="F7" s="484"/>
      <c r="G7" s="486" t="s">
        <v>7</v>
      </c>
      <c r="H7" s="487" t="s">
        <v>8</v>
      </c>
      <c r="I7" s="486" t="s">
        <v>7</v>
      </c>
      <c r="J7" s="487" t="s">
        <v>8</v>
      </c>
      <c r="K7" s="486" t="s">
        <v>7</v>
      </c>
      <c r="L7" s="487" t="s">
        <v>9</v>
      </c>
      <c r="M7" s="486" t="s">
        <v>10</v>
      </c>
    </row>
    <row r="8" spans="1:13" s="20" customFormat="1" ht="22.5">
      <c r="A8" s="488">
        <v>1</v>
      </c>
      <c r="B8" s="488">
        <v>2</v>
      </c>
      <c r="C8" s="488">
        <v>3</v>
      </c>
      <c r="D8" s="488">
        <v>4</v>
      </c>
      <c r="E8" s="488">
        <v>5</v>
      </c>
      <c r="F8" s="488">
        <v>6</v>
      </c>
      <c r="G8" s="486">
        <v>7</v>
      </c>
      <c r="H8" s="489">
        <v>8</v>
      </c>
      <c r="I8" s="486">
        <v>9</v>
      </c>
      <c r="J8" s="489">
        <v>10</v>
      </c>
      <c r="K8" s="486">
        <v>11</v>
      </c>
      <c r="L8" s="489">
        <v>12</v>
      </c>
      <c r="M8" s="486">
        <v>13</v>
      </c>
    </row>
    <row r="9" spans="1:13" s="153" customFormat="1" ht="337.5">
      <c r="A9" s="490">
        <v>1</v>
      </c>
      <c r="B9" s="491" t="s">
        <v>561</v>
      </c>
      <c r="C9" s="492" t="s">
        <v>542</v>
      </c>
      <c r="D9" s="490" t="s">
        <v>34</v>
      </c>
      <c r="E9" s="493"/>
      <c r="F9" s="494">
        <f>1</f>
        <v>1</v>
      </c>
      <c r="G9" s="486"/>
      <c r="H9" s="487"/>
      <c r="I9" s="486"/>
      <c r="J9" s="487"/>
      <c r="K9" s="486"/>
      <c r="L9" s="487"/>
      <c r="M9" s="487"/>
    </row>
    <row r="10" spans="1:13" s="153" customFormat="1" ht="45">
      <c r="A10" s="490"/>
      <c r="B10" s="495" t="s">
        <v>12</v>
      </c>
      <c r="C10" s="496"/>
      <c r="D10" s="488" t="s">
        <v>15</v>
      </c>
      <c r="E10" s="488">
        <v>13.3</v>
      </c>
      <c r="F10" s="487">
        <f>F9*E10</f>
        <v>13.3</v>
      </c>
      <c r="G10" s="497"/>
      <c r="H10" s="497"/>
      <c r="I10" s="497"/>
      <c r="J10" s="497"/>
      <c r="K10" s="497"/>
      <c r="L10" s="497"/>
      <c r="M10" s="497"/>
    </row>
    <row r="11" spans="1:13" s="153" customFormat="1" ht="22.5">
      <c r="A11" s="490"/>
      <c r="B11" s="488" t="s">
        <v>22</v>
      </c>
      <c r="C11" s="496"/>
      <c r="D11" s="486"/>
      <c r="E11" s="486"/>
      <c r="F11" s="487"/>
      <c r="G11" s="486"/>
      <c r="H11" s="487"/>
      <c r="I11" s="486"/>
      <c r="J11" s="487"/>
      <c r="K11" s="486"/>
      <c r="L11" s="487"/>
      <c r="M11" s="487"/>
    </row>
    <row r="12" spans="1:14" s="153" customFormat="1" ht="22.5">
      <c r="A12" s="498"/>
      <c r="B12" s="495" t="s">
        <v>543</v>
      </c>
      <c r="C12" s="496"/>
      <c r="D12" s="488" t="s">
        <v>23</v>
      </c>
      <c r="E12" s="499">
        <v>1</v>
      </c>
      <c r="F12" s="500">
        <f>E12*F9</f>
        <v>1</v>
      </c>
      <c r="G12" s="488"/>
      <c r="H12" s="500"/>
      <c r="I12" s="486"/>
      <c r="J12" s="500"/>
      <c r="K12" s="488"/>
      <c r="L12" s="500"/>
      <c r="M12" s="500"/>
      <c r="N12" s="399"/>
    </row>
    <row r="13" spans="1:14" s="153" customFormat="1" ht="67.5">
      <c r="A13" s="498"/>
      <c r="B13" s="495" t="s">
        <v>552</v>
      </c>
      <c r="C13" s="496"/>
      <c r="D13" s="488" t="s">
        <v>23</v>
      </c>
      <c r="E13" s="499">
        <v>1</v>
      </c>
      <c r="F13" s="500">
        <v>1</v>
      </c>
      <c r="G13" s="488"/>
      <c r="H13" s="500"/>
      <c r="I13" s="486"/>
      <c r="J13" s="500"/>
      <c r="K13" s="488"/>
      <c r="L13" s="500"/>
      <c r="M13" s="500"/>
      <c r="N13" s="399"/>
    </row>
    <row r="14" spans="1:13" s="153" customFormat="1" ht="22.5">
      <c r="A14" s="488"/>
      <c r="B14" s="501" t="s">
        <v>8</v>
      </c>
      <c r="C14" s="490"/>
      <c r="D14" s="486"/>
      <c r="E14" s="502"/>
      <c r="F14" s="502"/>
      <c r="G14" s="502"/>
      <c r="H14" s="503"/>
      <c r="I14" s="503"/>
      <c r="J14" s="503"/>
      <c r="K14" s="503"/>
      <c r="L14" s="503"/>
      <c r="M14" s="503"/>
    </row>
    <row r="15" spans="1:13" s="154" customFormat="1" ht="45">
      <c r="A15" s="488"/>
      <c r="B15" s="495" t="s">
        <v>544</v>
      </c>
      <c r="C15" s="504"/>
      <c r="D15" s="505">
        <v>0.04</v>
      </c>
      <c r="E15" s="506"/>
      <c r="F15" s="506"/>
      <c r="G15" s="506"/>
      <c r="H15" s="507"/>
      <c r="I15" s="506"/>
      <c r="J15" s="507"/>
      <c r="K15" s="506"/>
      <c r="L15" s="507"/>
      <c r="M15" s="507"/>
    </row>
    <row r="16" spans="1:13" s="154" customFormat="1" ht="22.5">
      <c r="A16" s="488"/>
      <c r="B16" s="501" t="s">
        <v>8</v>
      </c>
      <c r="C16" s="490"/>
      <c r="D16" s="486"/>
      <c r="E16" s="502"/>
      <c r="F16" s="502"/>
      <c r="G16" s="502"/>
      <c r="H16" s="503"/>
      <c r="I16" s="508"/>
      <c r="J16" s="503"/>
      <c r="K16" s="508"/>
      <c r="L16" s="503"/>
      <c r="M16" s="503"/>
    </row>
    <row r="17" spans="1:13" s="154" customFormat="1" ht="45">
      <c r="A17" s="488"/>
      <c r="B17" s="509" t="s">
        <v>545</v>
      </c>
      <c r="C17" s="510"/>
      <c r="D17" s="510">
        <v>0.68</v>
      </c>
      <c r="E17" s="506"/>
      <c r="F17" s="506"/>
      <c r="G17" s="506"/>
      <c r="H17" s="511"/>
      <c r="I17" s="511"/>
      <c r="J17" s="511"/>
      <c r="K17" s="511"/>
      <c r="L17" s="511"/>
      <c r="M17" s="507"/>
    </row>
    <row r="18" spans="1:13" s="397" customFormat="1" ht="22.5">
      <c r="A18" s="488"/>
      <c r="B18" s="501" t="s">
        <v>8</v>
      </c>
      <c r="C18" s="490"/>
      <c r="D18" s="486"/>
      <c r="E18" s="502"/>
      <c r="F18" s="502"/>
      <c r="G18" s="502"/>
      <c r="H18" s="508"/>
      <c r="I18" s="508"/>
      <c r="J18" s="508"/>
      <c r="K18" s="508"/>
      <c r="L18" s="508"/>
      <c r="M18" s="503"/>
    </row>
    <row r="19" spans="1:13" s="19" customFormat="1" ht="67.5">
      <c r="A19" s="488"/>
      <c r="B19" s="509" t="s">
        <v>546</v>
      </c>
      <c r="C19" s="510"/>
      <c r="D19" s="505">
        <v>0.08</v>
      </c>
      <c r="E19" s="506"/>
      <c r="F19" s="506"/>
      <c r="G19" s="506"/>
      <c r="H19" s="511"/>
      <c r="I19" s="511"/>
      <c r="J19" s="511"/>
      <c r="K19" s="511"/>
      <c r="L19" s="511"/>
      <c r="M19" s="507"/>
    </row>
    <row r="20" spans="1:13" s="19" customFormat="1" ht="22.5">
      <c r="A20" s="488"/>
      <c r="B20" s="501" t="s">
        <v>547</v>
      </c>
      <c r="C20" s="490"/>
      <c r="D20" s="486"/>
      <c r="E20" s="502"/>
      <c r="F20" s="502"/>
      <c r="G20" s="502"/>
      <c r="H20" s="508"/>
      <c r="I20" s="508"/>
      <c r="J20" s="508"/>
      <c r="K20" s="508"/>
      <c r="L20" s="508"/>
      <c r="M20" s="503"/>
    </row>
    <row r="21" spans="1:13" ht="22.5">
      <c r="A21" s="512"/>
      <c r="B21" s="512"/>
      <c r="C21" s="513"/>
      <c r="D21" s="513"/>
      <c r="E21" s="512"/>
      <c r="F21" s="512"/>
      <c r="G21" s="512"/>
      <c r="H21" s="512"/>
      <c r="I21" s="513"/>
      <c r="J21" s="513"/>
      <c r="K21" s="512"/>
      <c r="L21" s="512"/>
      <c r="M21" s="512"/>
    </row>
    <row r="22" spans="1:13" ht="16.5">
      <c r="A22" s="99"/>
      <c r="B22" s="474"/>
      <c r="C22" s="475"/>
      <c r="D22" s="476"/>
      <c r="E22" s="476"/>
      <c r="F22" s="475"/>
      <c r="G22" s="475"/>
      <c r="H22" s="475"/>
      <c r="I22" s="475"/>
      <c r="J22" s="475"/>
      <c r="K22" s="475"/>
      <c r="L22" s="99"/>
      <c r="M22" s="99"/>
    </row>
    <row r="23" spans="1:13" ht="16.5">
      <c r="A23" s="99"/>
      <c r="B23" s="475"/>
      <c r="C23" s="475"/>
      <c r="D23" s="475"/>
      <c r="E23" s="475"/>
      <c r="F23" s="475"/>
      <c r="G23" s="475"/>
      <c r="H23" s="477"/>
      <c r="I23" s="477"/>
      <c r="J23" s="475"/>
      <c r="K23" s="475"/>
      <c r="L23" s="99"/>
      <c r="M23" s="99"/>
    </row>
    <row r="24" spans="1:13" ht="16.5">
      <c r="A24" s="99"/>
      <c r="B24" s="478"/>
      <c r="C24" s="478"/>
      <c r="D24" s="475"/>
      <c r="E24" s="475"/>
      <c r="F24" s="475"/>
      <c r="G24" s="475"/>
      <c r="H24" s="475"/>
      <c r="I24" s="475"/>
      <c r="J24" s="475"/>
      <c r="K24" s="475"/>
      <c r="L24" s="99"/>
      <c r="M24" s="99"/>
    </row>
    <row r="25" spans="2:11" ht="13.5">
      <c r="B25" s="155"/>
      <c r="C25" s="90"/>
      <c r="D25" s="90"/>
      <c r="E25" s="90"/>
      <c r="F25" s="90"/>
      <c r="G25" s="90"/>
      <c r="H25" s="90"/>
      <c r="I25" s="90"/>
      <c r="J25" s="90"/>
      <c r="K25" s="90"/>
    </row>
    <row r="26" spans="2:11" ht="13.5">
      <c r="B26" s="368"/>
      <c r="C26" s="90"/>
      <c r="D26" s="90"/>
      <c r="E26" s="90"/>
      <c r="F26" s="90"/>
      <c r="G26" s="90"/>
      <c r="H26" s="90"/>
      <c r="I26" s="451"/>
      <c r="J26" s="451"/>
      <c r="K26" s="90"/>
    </row>
    <row r="27" spans="2:11" ht="13.5">
      <c r="B27" s="422"/>
      <c r="C27" s="422"/>
      <c r="D27" s="90"/>
      <c r="E27" s="90"/>
      <c r="F27" s="90"/>
      <c r="G27" s="90"/>
      <c r="H27" s="90"/>
      <c r="I27" s="90"/>
      <c r="J27" s="90"/>
      <c r="K27" s="90"/>
    </row>
    <row r="28" spans="2:11" ht="13.5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 ht="13.5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 ht="13.5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 ht="13.5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 ht="13.5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 ht="13.5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 ht="13.5">
      <c r="B34" s="156"/>
      <c r="C34" s="90"/>
      <c r="D34" s="90"/>
      <c r="E34" s="90"/>
      <c r="F34" s="90"/>
      <c r="G34" s="90"/>
      <c r="H34" s="90"/>
      <c r="I34" s="90"/>
      <c r="J34" s="90"/>
      <c r="K34" s="90"/>
    </row>
  </sheetData>
  <sheetProtection/>
  <mergeCells count="19">
    <mergeCell ref="H23:I23"/>
    <mergeCell ref="I26:J26"/>
    <mergeCell ref="B27:C27"/>
    <mergeCell ref="G6:H6"/>
    <mergeCell ref="I6:J6"/>
    <mergeCell ref="K6:L6"/>
    <mergeCell ref="C21:D21"/>
    <mergeCell ref="I21:J21"/>
    <mergeCell ref="D22:E22"/>
    <mergeCell ref="A2:M2"/>
    <mergeCell ref="A3:M3"/>
    <mergeCell ref="B4:M4"/>
    <mergeCell ref="B5:K5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landscape" scale="9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Mariam Zakaidze</cp:lastModifiedBy>
  <cp:lastPrinted>2021-04-23T10:17:00Z</cp:lastPrinted>
  <dcterms:created xsi:type="dcterms:W3CDTF">1996-10-14T23:33:28Z</dcterms:created>
  <dcterms:modified xsi:type="dcterms:W3CDTF">2021-06-02T07:32:24Z</dcterms:modified>
  <cp:category/>
  <cp:version/>
  <cp:contentType/>
  <cp:contentStatus/>
</cp:coreProperties>
</file>