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05" firstSheet="3" activeTab="10"/>
  </bookViews>
  <sheets>
    <sheet name="01" sheetId="1" r:id="rId1"/>
    <sheet name="02" sheetId="2" r:id="rId2"/>
    <sheet name="უწყისი" sheetId="3" r:id="rId3"/>
    <sheet name="ვაკისის" sheetId="4" r:id="rId4"/>
    <sheet name="რკ.ბ კიუვეტი" sheetId="5" r:id="rId5"/>
    <sheet name="ცხაური" sheetId="6" r:id="rId6"/>
    <sheet name="1 მილი" sheetId="7" r:id="rId7"/>
    <sheet name="სანიღვრე" sheetId="8" r:id="rId8"/>
    <sheet name="სავალი" sheetId="9" r:id="rId9"/>
    <sheet name="შესასვლელი" sheetId="10" r:id="rId10"/>
    <sheet name="კრებსითი" sheetId="11" r:id="rId11"/>
    <sheet name="კიუვეტი" sheetId="12" r:id="rId12"/>
    <sheet name="რკ.ბეტონის კიუვეტი" sheetId="13" r:id="rId13"/>
    <sheet name="მილი" sheetId="14" r:id="rId14"/>
    <sheet name="რკ.ბეტონის ჭები" sheetId="15" r:id="rId15"/>
    <sheet name="ა.ბეტონი" sheetId="16" r:id="rId16"/>
    <sheet name="ა.ბეტონი (2)" sheetId="17" r:id="rId17"/>
    <sheet name="მონიშვნა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aaa" localSheetId="16">#REF!</definedName>
    <definedName name="aaaa" localSheetId="14">#REF!</definedName>
    <definedName name="aaaa">#REF!</definedName>
    <definedName name="cxaura" localSheetId="16">#REF!</definedName>
    <definedName name="cxaura" localSheetId="14">#REF!</definedName>
    <definedName name="cxaura">#REF!</definedName>
    <definedName name="fdrt124" localSheetId="15">#REF!</definedName>
    <definedName name="fdrt124" localSheetId="16">#REF!</definedName>
    <definedName name="fdrt124" localSheetId="11">#REF!</definedName>
    <definedName name="fdrt124" localSheetId="13">#REF!</definedName>
    <definedName name="fdrt124" localSheetId="17">#REF!</definedName>
    <definedName name="fdrt124" localSheetId="12">#REF!</definedName>
    <definedName name="fdrt124" localSheetId="14">#REF!</definedName>
    <definedName name="fdrt124" localSheetId="2">#REF!</definedName>
    <definedName name="fdrt124">#REF!</definedName>
    <definedName name="fffffvvv30214" localSheetId="15">#REF!</definedName>
    <definedName name="fffffvvv30214" localSheetId="16">#REF!</definedName>
    <definedName name="fffffvvv30214" localSheetId="11">#REF!</definedName>
    <definedName name="fffffvvv30214" localSheetId="13">#REF!</definedName>
    <definedName name="fffffvvv30214" localSheetId="17">#REF!</definedName>
    <definedName name="fffffvvv30214" localSheetId="12">#REF!</definedName>
    <definedName name="fffffvvv30214" localSheetId="14">#REF!</definedName>
    <definedName name="fffffvvv30214" localSheetId="2">#REF!</definedName>
    <definedName name="fffffvvv30214">#REF!</definedName>
    <definedName name="ggggddd51515" localSheetId="15">#REF!</definedName>
    <definedName name="ggggddd51515" localSheetId="16">#REF!</definedName>
    <definedName name="ggggddd51515" localSheetId="11">#REF!</definedName>
    <definedName name="ggggddd51515" localSheetId="13">#REF!</definedName>
    <definedName name="ggggddd51515" localSheetId="17">#REF!</definedName>
    <definedName name="ggggddd51515" localSheetId="12">#REF!</definedName>
    <definedName name="ggggddd51515" localSheetId="14">#REF!</definedName>
    <definedName name="ggggddd51515" localSheetId="2">#REF!</definedName>
    <definedName name="ggggddd51515">#REF!</definedName>
    <definedName name="hgyui54876" localSheetId="15">#REF!</definedName>
    <definedName name="hgyui54876" localSheetId="16">#REF!</definedName>
    <definedName name="hgyui54876" localSheetId="11">#REF!</definedName>
    <definedName name="hgyui54876" localSheetId="13">#REF!</definedName>
    <definedName name="hgyui54876" localSheetId="17">#REF!</definedName>
    <definedName name="hgyui54876" localSheetId="12">#REF!</definedName>
    <definedName name="hgyui54876" localSheetId="14">#REF!</definedName>
    <definedName name="hgyui54876" localSheetId="2">#REF!</definedName>
    <definedName name="hgyui54876">#REF!</definedName>
    <definedName name="ijhuy4587" localSheetId="15">#REF!</definedName>
    <definedName name="ijhuy4587" localSheetId="16">#REF!</definedName>
    <definedName name="ijhuy4587" localSheetId="11">#REF!</definedName>
    <definedName name="ijhuy4587" localSheetId="13">#REF!</definedName>
    <definedName name="ijhuy4587" localSheetId="17">#REF!</definedName>
    <definedName name="ijhuy4587" localSheetId="12">#REF!</definedName>
    <definedName name="ijhuy4587" localSheetId="14">#REF!</definedName>
    <definedName name="ijhuy4587" localSheetId="2">#REF!</definedName>
    <definedName name="ijhuy4587">#REF!</definedName>
    <definedName name="jfdyrt14790" localSheetId="15">#REF!</definedName>
    <definedName name="jfdyrt14790" localSheetId="16">#REF!</definedName>
    <definedName name="jfdyrt14790" localSheetId="11">#REF!</definedName>
    <definedName name="jfdyrt14790" localSheetId="13">#REF!</definedName>
    <definedName name="jfdyrt14790" localSheetId="17">#REF!</definedName>
    <definedName name="jfdyrt14790" localSheetId="12">#REF!</definedName>
    <definedName name="jfdyrt14790" localSheetId="14">#REF!</definedName>
    <definedName name="jfdyrt14790" localSheetId="2">#REF!</definedName>
    <definedName name="jfdyrt14790">#REF!</definedName>
    <definedName name="jkhjgkliob1012" localSheetId="15">#REF!</definedName>
    <definedName name="jkhjgkliob1012" localSheetId="16">#REF!</definedName>
    <definedName name="jkhjgkliob1012" localSheetId="11">#REF!</definedName>
    <definedName name="jkhjgkliob1012" localSheetId="13">#REF!</definedName>
    <definedName name="jkhjgkliob1012" localSheetId="17">#REF!</definedName>
    <definedName name="jkhjgkliob1012" localSheetId="12">#REF!</definedName>
    <definedName name="jkhjgkliob1012" localSheetId="14">#REF!</definedName>
    <definedName name="jkhjgkliob1012" localSheetId="2">#REF!</definedName>
    <definedName name="jkhjgkliob1012">#REF!</definedName>
    <definedName name="jkio54576" localSheetId="15">#REF!</definedName>
    <definedName name="jkio54576" localSheetId="16">#REF!</definedName>
    <definedName name="jkio54576" localSheetId="11">#REF!</definedName>
    <definedName name="jkio54576" localSheetId="13">#REF!</definedName>
    <definedName name="jkio54576" localSheetId="17">#REF!</definedName>
    <definedName name="jkio54576" localSheetId="12">#REF!</definedName>
    <definedName name="jkio54576" localSheetId="14">#REF!</definedName>
    <definedName name="jkio54576" localSheetId="2">#REF!</definedName>
    <definedName name="jkio54576">#REF!</definedName>
    <definedName name="KALA" localSheetId="16">#REF!</definedName>
    <definedName name="KALA" localSheetId="11">#REF!</definedName>
    <definedName name="KALA" localSheetId="17">#REF!</definedName>
    <definedName name="KALA" localSheetId="12">#REF!</definedName>
    <definedName name="KALA" localSheetId="14">#REF!</definedName>
    <definedName name="KALA">#REF!</definedName>
    <definedName name="kala12" localSheetId="16">#REF!</definedName>
    <definedName name="kala12" localSheetId="11">#REF!</definedName>
    <definedName name="kala12" localSheetId="17">#REF!</definedName>
    <definedName name="kala12" localSheetId="12">#REF!</definedName>
    <definedName name="kala12" localSheetId="14">#REF!</definedName>
    <definedName name="kala12">#REF!</definedName>
    <definedName name="kedeli1">#REF!</definedName>
    <definedName name="kkkjjhhmnb" localSheetId="15">#REF!</definedName>
    <definedName name="kkkjjhhmnb" localSheetId="16">#REF!</definedName>
    <definedName name="kkkjjhhmnb" localSheetId="11">#REF!</definedName>
    <definedName name="kkkjjhhmnb" localSheetId="13">#REF!</definedName>
    <definedName name="kkkjjhhmnb" localSheetId="17">#REF!</definedName>
    <definedName name="kkkjjhhmnb" localSheetId="12">#REF!</definedName>
    <definedName name="kkkjjhhmnb" localSheetId="14">#REF!</definedName>
    <definedName name="kkkjjhhmnb" localSheetId="2">#REF!</definedName>
    <definedName name="kkkjjhhmnb">#REF!</definedName>
    <definedName name="kkkmmnmm52140" localSheetId="15">#REF!</definedName>
    <definedName name="kkkmmnmm52140" localSheetId="16">#REF!</definedName>
    <definedName name="kkkmmnmm52140" localSheetId="11">#REF!</definedName>
    <definedName name="kkkmmnmm52140" localSheetId="13">#REF!</definedName>
    <definedName name="kkkmmnmm52140" localSheetId="17">#REF!</definedName>
    <definedName name="kkkmmnmm52140" localSheetId="12">#REF!</definedName>
    <definedName name="kkkmmnmm52140" localSheetId="14">#REF!</definedName>
    <definedName name="kkkmmnmm52140" localSheetId="2">#REF!</definedName>
    <definedName name="kkkmmnmm52140">#REF!</definedName>
    <definedName name="lkjiu5147" localSheetId="15">#REF!</definedName>
    <definedName name="lkjiu5147" localSheetId="16">#REF!</definedName>
    <definedName name="lkjiu5147" localSheetId="11">#REF!</definedName>
    <definedName name="lkjiu5147" localSheetId="13">#REF!</definedName>
    <definedName name="lkjiu5147" localSheetId="17">#REF!</definedName>
    <definedName name="lkjiu5147" localSheetId="12">#REF!</definedName>
    <definedName name="lkjiu5147" localSheetId="14">#REF!</definedName>
    <definedName name="lkjiu5147" localSheetId="2">#REF!</definedName>
    <definedName name="lkjiu5147">#REF!</definedName>
    <definedName name="lllkkk8889999" localSheetId="15">#REF!</definedName>
    <definedName name="lllkkk8889999" localSheetId="16">#REF!</definedName>
    <definedName name="lllkkk8889999" localSheetId="11">#REF!</definedName>
    <definedName name="lllkkk8889999" localSheetId="13">#REF!</definedName>
    <definedName name="lllkkk8889999" localSheetId="17">#REF!</definedName>
    <definedName name="lllkkk8889999" localSheetId="12">#REF!</definedName>
    <definedName name="lllkkk8889999" localSheetId="14">#REF!</definedName>
    <definedName name="lllkkk8889999" localSheetId="2">#REF!</definedName>
    <definedName name="lllkkk8889999">#REF!</definedName>
    <definedName name="mnmnmn101010" localSheetId="15">#REF!</definedName>
    <definedName name="mnmnmn101010" localSheetId="16">#REF!</definedName>
    <definedName name="mnmnmn101010" localSheetId="11">#REF!</definedName>
    <definedName name="mnmnmn101010" localSheetId="13">#REF!</definedName>
    <definedName name="mnmnmn101010" localSheetId="17">#REF!</definedName>
    <definedName name="mnmnmn101010" localSheetId="12">#REF!</definedName>
    <definedName name="mnmnmn101010" localSheetId="14">#REF!</definedName>
    <definedName name="mnmnmn101010" localSheetId="2">#REF!</definedName>
    <definedName name="mnmnmn101010">#REF!</definedName>
    <definedName name="oplop321" localSheetId="15">#REF!</definedName>
    <definedName name="oplop321" localSheetId="16">#REF!</definedName>
    <definedName name="oplop321" localSheetId="11">#REF!</definedName>
    <definedName name="oplop321" localSheetId="13">#REF!</definedName>
    <definedName name="oplop321" localSheetId="17">#REF!</definedName>
    <definedName name="oplop321" localSheetId="12">#REF!</definedName>
    <definedName name="oplop321" localSheetId="14">#REF!</definedName>
    <definedName name="oplop321" localSheetId="2">#REF!</definedName>
    <definedName name="oplop321">#REF!</definedName>
    <definedName name="_xlnm.Print_Area" localSheetId="15">'ა.ბეტონი'!$A$1:$H$63</definedName>
    <definedName name="_xlnm.Print_Area" localSheetId="16">'ა.ბეტონი (2)'!$A$1:$H$42</definedName>
    <definedName name="_xlnm.Print_Area" localSheetId="10">'კრებსითი'!$A$1:$H$37</definedName>
    <definedName name="_xlnm.Print_Area" localSheetId="13">'მილი'!$A$1:$H$50</definedName>
    <definedName name="_xlnm.Print_Area" localSheetId="12">'რკ.ბეტონის კიუვეტი'!$A$1:$H$55</definedName>
    <definedName name="_xlnm.Print_Area" localSheetId="14">'რკ.ბეტონის ჭები'!$A$1:$H$47</definedName>
    <definedName name="_xlnm.Print_Titles" localSheetId="15">'ა.ბეტონი'!$9:$9</definedName>
    <definedName name="_xlnm.Print_Titles" localSheetId="16">'ა.ბეტონი (2)'!$9:$9</definedName>
    <definedName name="_xlnm.Print_Titles" localSheetId="11">'კიუვეტი'!$12:$12</definedName>
    <definedName name="_xlnm.Print_Titles" localSheetId="10">'კრებსითი'!$14:$14</definedName>
    <definedName name="_xlnm.Print_Titles" localSheetId="17">'მონიშვნა'!$8:$8</definedName>
    <definedName name="_xlnm.Print_Titles" localSheetId="14">'რკ.ბეტონის ჭები'!$9:$9</definedName>
    <definedName name="rkb" localSheetId="16">#REF!</definedName>
    <definedName name="rkb" localSheetId="14">#REF!</definedName>
    <definedName name="rkb">#REF!</definedName>
    <definedName name="valeriii" localSheetId="16">#REF!</definedName>
    <definedName name="valeriii" localSheetId="14">#REF!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<sst xmlns="http://schemas.openxmlformats.org/spreadsheetml/2006/main" count="887" uniqueCount="364">
  <si>
    <t>#</t>
  </si>
  <si>
    <t>sul</t>
  </si>
  <si>
    <t>Rirebuleba</t>
  </si>
  <si>
    <t>Sromis   danaxarji</t>
  </si>
  <si>
    <t>saxarjTaRricxvo Rirebuleba:</t>
  </si>
  <si>
    <t>Sifri</t>
  </si>
  <si>
    <t>samuSaos dasaxeleba</t>
  </si>
  <si>
    <t>raodenoba</t>
  </si>
  <si>
    <t>erTeulis</t>
  </si>
  <si>
    <t>saproeqto moculoba</t>
  </si>
  <si>
    <t>erT.</t>
  </si>
  <si>
    <t>mTliani</t>
  </si>
  <si>
    <t>Tavebis,  obieqtebis,  samuSaoebis</t>
  </si>
  <si>
    <t>samSeneb-</t>
  </si>
  <si>
    <t>nakeTobani,</t>
  </si>
  <si>
    <t>##</t>
  </si>
  <si>
    <t xml:space="preserve">  da  danaxarjebis  dasaxeleba</t>
  </si>
  <si>
    <t>lo samu-</t>
  </si>
  <si>
    <t>samontaJo</t>
  </si>
  <si>
    <t>aveji inven-</t>
  </si>
  <si>
    <t>sxva</t>
  </si>
  <si>
    <t>ricxvo</t>
  </si>
  <si>
    <t>Saoebi</t>
  </si>
  <si>
    <t>samuSaoebi</t>
  </si>
  <si>
    <t>tari</t>
  </si>
  <si>
    <t>sul me-4 Tavis mixedviT</t>
  </si>
  <si>
    <t>d.R.g _ 18%</t>
  </si>
  <si>
    <t>sul  saxarjTaRricxvo  Rirebuleba</t>
  </si>
  <si>
    <t>kac/sT</t>
  </si>
  <si>
    <t>lari</t>
  </si>
  <si>
    <t>sxva masala</t>
  </si>
  <si>
    <t>kg</t>
  </si>
  <si>
    <t>sul:</t>
  </si>
  <si>
    <t>jami:</t>
  </si>
  <si>
    <t>sul jami:</t>
  </si>
  <si>
    <r>
      <t>1000 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</si>
  <si>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3</t>
    </r>
  </si>
  <si>
    <r>
      <t>100 m</t>
    </r>
    <r>
      <rPr>
        <vertAlign val="superscript"/>
        <sz val="12"/>
        <rFont val="AcadNusx"/>
        <family val="0"/>
      </rPr>
      <t>3</t>
    </r>
  </si>
  <si>
    <t>tn</t>
  </si>
  <si>
    <t>aT. lari</t>
  </si>
  <si>
    <t xml:space="preserve"> aT. lari</t>
  </si>
  <si>
    <t>Sromis  danaxarji</t>
  </si>
  <si>
    <t>k-s</t>
  </si>
  <si>
    <t>sxva  manqanebi</t>
  </si>
  <si>
    <t>sxva  masala</t>
  </si>
  <si>
    <t>miwis vakisi</t>
  </si>
  <si>
    <t xml:space="preserve">   safuZveli: samuSaoTa moculobebis uwyisi</t>
  </si>
  <si>
    <t>samuSaoebis  dasaxeleba</t>
  </si>
  <si>
    <t>saproeqto 
moculoba</t>
  </si>
  <si>
    <t>m-s</t>
  </si>
  <si>
    <t>t</t>
  </si>
  <si>
    <t>27-7-2</t>
  </si>
  <si>
    <t xml:space="preserve">jami:   </t>
  </si>
  <si>
    <t xml:space="preserve">jami: </t>
  </si>
  <si>
    <t xml:space="preserve">jami:    </t>
  </si>
  <si>
    <t>saproeqto</t>
  </si>
  <si>
    <t>moculoba</t>
  </si>
  <si>
    <t>satkepni sagzao TviTmavali gluvi 5t</t>
  </si>
  <si>
    <t>satkepni sagzao TviTmavali gluvi 10t</t>
  </si>
  <si>
    <t>sxva manqana</t>
  </si>
  <si>
    <t>qviSa-xreSovani narevi</t>
  </si>
  <si>
    <t>mosarwyav-mosarecxi manqana 6000 l</t>
  </si>
  <si>
    <t>fraqciuli RorRi 0-40 mm</t>
  </si>
  <si>
    <t>wyali</t>
  </si>
  <si>
    <t>misayreli  gverdulebis  mowyoba qviSa-xreSovani  masaliT</t>
  </si>
  <si>
    <t>qviSa-xreSovani  masala</t>
  </si>
  <si>
    <r>
      <t>1000 m</t>
    </r>
    <r>
      <rPr>
        <vertAlign val="superscript"/>
        <sz val="12"/>
        <rFont val="AcadNusx"/>
        <family val="0"/>
      </rPr>
      <t>2</t>
    </r>
  </si>
  <si>
    <r>
      <t xml:space="preserve">avtogreideri 79 </t>
    </r>
    <r>
      <rPr>
        <sz val="12"/>
        <rFont val="Arial"/>
        <family val="2"/>
      </rPr>
      <t xml:space="preserve">кВт </t>
    </r>
    <r>
      <rPr>
        <sz val="12"/>
        <rFont val="AcadNusx"/>
        <family val="0"/>
      </rPr>
      <t>(108 cx.Z)</t>
    </r>
  </si>
  <si>
    <r>
      <t xml:space="preserve"> m</t>
    </r>
    <r>
      <rPr>
        <vertAlign val="superscript"/>
        <sz val="12"/>
        <rFont val="AcadNusx"/>
        <family val="0"/>
      </rPr>
      <t>3</t>
    </r>
  </si>
  <si>
    <t>sul me-2 Tavis mixedviT</t>
  </si>
  <si>
    <t>sul me-3 Tavis mixedviT</t>
  </si>
  <si>
    <r>
      <t>eqskavatori V-0.5 m</t>
    </r>
    <r>
      <rPr>
        <vertAlign val="superscript"/>
        <sz val="12"/>
        <rFont val="AcadNusx"/>
        <family val="0"/>
      </rPr>
      <t>3</t>
    </r>
  </si>
  <si>
    <t>27-11-2
27-12</t>
  </si>
  <si>
    <t>RorRi 5-10 mm</t>
  </si>
  <si>
    <t>qvis namtvrevebis manawilebeli</t>
  </si>
  <si>
    <t>s.r.f</t>
  </si>
  <si>
    <t xml:space="preserve">samuSaoTa moculobebis krebsiTi uwyisi </t>
  </si>
  <si>
    <t>ganz.</t>
  </si>
  <si>
    <t>rao-ba</t>
  </si>
  <si>
    <t>SeniSvna</t>
  </si>
  <si>
    <t>1.</t>
  </si>
  <si>
    <t>1)</t>
  </si>
  <si>
    <t>2)</t>
  </si>
  <si>
    <t>xelovnuri nagebobebi</t>
  </si>
  <si>
    <t>c/grZ.m</t>
  </si>
  <si>
    <t>gzis samosi</t>
  </si>
  <si>
    <t>balasti</t>
  </si>
  <si>
    <t>aTasi lari</t>
  </si>
  <si>
    <t>Txrilis Sevseba xreSovani masaliT (balasti), Cayra da mosworeba eqskavatoriT</t>
  </si>
  <si>
    <t>1-80-4</t>
  </si>
  <si>
    <t>1-22-16</t>
  </si>
  <si>
    <t>sxva manqanebi</t>
  </si>
  <si>
    <r>
      <t>IV jg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</si>
  <si>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IV jg. gruntis damuSaveba xeliT </t>
  </si>
  <si>
    <t>30-3-2</t>
  </si>
  <si>
    <t>xis masala</t>
  </si>
  <si>
    <t>qviSa-xreSovani masala</t>
  </si>
  <si>
    <t>amwe pnevmoTvlian svlaze</t>
  </si>
  <si>
    <t>man/sT</t>
  </si>
  <si>
    <t>naWedi samSeneblo</t>
  </si>
  <si>
    <t>30-51-3</t>
  </si>
  <si>
    <r>
      <t>100 m</t>
    </r>
    <r>
      <rPr>
        <vertAlign val="superscript"/>
        <sz val="12"/>
        <rFont val="AcadNusx"/>
        <family val="0"/>
      </rPr>
      <t>2</t>
    </r>
  </si>
  <si>
    <t>bitumi</t>
  </si>
  <si>
    <t>1-11-15</t>
  </si>
  <si>
    <t>saxarjTaRricxvo  Rirebuleba, aT. Llari</t>
  </si>
  <si>
    <t>saxarjTaR-</t>
  </si>
  <si>
    <t xml:space="preserve">mSeneblobis   Rirebulebis  krebsiTi  saxarjTaRricxvo  angariSi  </t>
  </si>
  <si>
    <t>bitumis emulsia</t>
  </si>
  <si>
    <t>xreSovani baliSis mowyoba milis qveS</t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</si>
  <si>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</si>
  <si>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2</t>
    </r>
  </si>
  <si>
    <t xml:space="preserve"> 37-64-3</t>
  </si>
  <si>
    <t>lokaluri  xarjTaRricxva  #2</t>
  </si>
  <si>
    <t>lok. xarj. #2</t>
  </si>
  <si>
    <t>m</t>
  </si>
  <si>
    <t>eleqtrodi</t>
  </si>
  <si>
    <r>
      <t>eqskavatori V=0,5 m</t>
    </r>
    <r>
      <rPr>
        <vertAlign val="superscript"/>
        <sz val="12"/>
        <color indexed="8"/>
        <rFont val="AcadNusx"/>
        <family val="0"/>
      </rPr>
      <t xml:space="preserve">3 </t>
    </r>
  </si>
  <si>
    <t xml:space="preserve">xreSovani baliSis mowyoba rk.betonis kiuvetebis qveS </t>
  </si>
  <si>
    <t xml:space="preserve">Txrilis Sevseba xreSovani masaliT (balasti), Cayra da mosworeba </t>
  </si>
  <si>
    <t>9-18-3</t>
  </si>
  <si>
    <t xml:space="preserve">safuZvlis  mowyoba fraqciuli  RorRiT 0-40mm </t>
  </si>
  <si>
    <t>grZ.m</t>
  </si>
  <si>
    <t>100 m</t>
  </si>
  <si>
    <t>milebis orfeniani hidroizolacia bitumiT</t>
  </si>
  <si>
    <t>safuZvlis  mowyoba fraqciuli  RorRiT 0-40mm</t>
  </si>
  <si>
    <t>erT.
ganz</t>
  </si>
  <si>
    <t>1grZ.m-62.2kg</t>
  </si>
  <si>
    <t>kiuvetebis aRdgena-mowyoba</t>
  </si>
  <si>
    <t>gzis moniSvna</t>
  </si>
  <si>
    <t>27-56-1</t>
  </si>
  <si>
    <t>markirebis manqana</t>
  </si>
  <si>
    <t>km</t>
  </si>
  <si>
    <t>sagzao saRebavi (TeTri)</t>
  </si>
  <si>
    <t>xreSovani baliSis mowyoba sisqiT 10sm</t>
  </si>
  <si>
    <t>lok. xarj. #1</t>
  </si>
  <si>
    <t>lokaluri  xarjTaRricxva  #1</t>
  </si>
  <si>
    <t>sigane 10sm</t>
  </si>
  <si>
    <t>savali nawilis horizontaluri moniSvna orive mxares erTkomponentiani (TeTri) sagzao niSansadebi saRebaviT damzadebuli meTilmeTakrilatis safuZvelze, gaumjobesebuli Ramis xilvadobis Suqdamabrunebeli minis burTulakebiT zomiT 100-600 mkm</t>
  </si>
  <si>
    <t>savali nawilis horizontaluri moniSvna erTkompo-nentiani (TeTri) sagzao niSansadebi saRebaviT damzadebuli meTilme-Takrilatis safuZvelze, gaumjobesebuli Ramis xilvadobis Suqdamabrunebeli minis burTulakebiT zomiT 100-600 mkm</t>
  </si>
  <si>
    <t>gauTvaliswinebeli samuSaoebi 3%</t>
  </si>
  <si>
    <t>jami</t>
  </si>
  <si>
    <t>cali</t>
  </si>
  <si>
    <t>sigrZe</t>
  </si>
  <si>
    <t>pk+dan</t>
  </si>
  <si>
    <t>pk+mde</t>
  </si>
  <si>
    <t>adgilmdebareoba</t>
  </si>
  <si>
    <t>miwis vakisis aRdgenis samuSaoTa moculobebis uwyisi #1</t>
  </si>
  <si>
    <t>sigrZe 
m</t>
  </si>
  <si>
    <t>ganz-ba</t>
  </si>
  <si>
    <t>pk-dan</t>
  </si>
  <si>
    <t>pk-mde</t>
  </si>
  <si>
    <t>meqanizmebiT</t>
  </si>
  <si>
    <t>xeliT</t>
  </si>
  <si>
    <t>adgilmdebareoba pk</t>
  </si>
  <si>
    <r>
      <t>farTi 
m</t>
    </r>
    <r>
      <rPr>
        <vertAlign val="superscript"/>
        <sz val="11"/>
        <color indexed="8"/>
        <rFont val="AcadNusx"/>
        <family val="0"/>
      </rPr>
      <t>2</t>
    </r>
  </si>
  <si>
    <t>milebi Sesasvlelebze</t>
  </si>
  <si>
    <t xml:space="preserve">marjvena </t>
  </si>
  <si>
    <t>marcxena</t>
  </si>
  <si>
    <t>sagzao 
samosis tipi</t>
  </si>
  <si>
    <t>sagzao samosis safuZveli</t>
  </si>
  <si>
    <t>gverduli</t>
  </si>
  <si>
    <t>sigane</t>
  </si>
  <si>
    <t>I</t>
  </si>
  <si>
    <t>sul jami</t>
  </si>
  <si>
    <t>adgilmdebareoba pk+</t>
  </si>
  <si>
    <t xml:space="preserve">xreSovani baliSis mowyoba </t>
  </si>
  <si>
    <t>Txrilis Sevseba xreSovani masaliT (balasti)</t>
  </si>
  <si>
    <t>m/kg</t>
  </si>
  <si>
    <t>erT. ganz</t>
  </si>
  <si>
    <t xml:space="preserve">liTonis milebis mowyoba </t>
  </si>
  <si>
    <r>
      <t>moc-ba 
m</t>
    </r>
    <r>
      <rPr>
        <vertAlign val="superscript"/>
        <sz val="10"/>
        <color indexed="8"/>
        <rFont val="AcadNusx"/>
        <family val="0"/>
      </rPr>
      <t>3</t>
    </r>
  </si>
  <si>
    <r>
      <t>farTobi 
m</t>
    </r>
    <r>
      <rPr>
        <vertAlign val="superscript"/>
        <sz val="10"/>
        <color indexed="8"/>
        <rFont val="AcadNusx"/>
        <family val="0"/>
      </rPr>
      <t>2</t>
    </r>
  </si>
  <si>
    <t>lok. xarj. #4</t>
  </si>
  <si>
    <t>misayreli  gverdulebis  mowyoba qviSa-xreSovani masaliT</t>
  </si>
  <si>
    <r>
      <t>Txrilis mowyoba IV jg gruntebis damuSaveba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datvirTva avtotTviTmclelebze</t>
    </r>
  </si>
  <si>
    <r>
      <t>IV jg gruntebis damuSaveba kiuvetebSi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</si>
  <si>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IV jg. gruntis damuSaveba kiuvetebSi xeliT </t>
  </si>
  <si>
    <t>miwis vakisis mowyoba</t>
  </si>
  <si>
    <r>
      <t>m</t>
    </r>
    <r>
      <rPr>
        <vertAlign val="superscript"/>
        <sz val="11"/>
        <color indexed="8"/>
        <rFont val="AcadNusx"/>
        <family val="0"/>
      </rPr>
      <t>3</t>
    </r>
  </si>
  <si>
    <t>kiuvetebis aRdgena da miwis vakisis gawmenda</t>
  </si>
  <si>
    <t xml:space="preserve">IV jg. gruntis damuSaveba kiuvetebSi xeliT datvirTviT avtoTviTmcvlelebze </t>
  </si>
  <si>
    <r>
      <t>IV jg gruntebis damuSaveba kiuvetebSi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</si>
  <si>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t>22-5-3</t>
  </si>
  <si>
    <r>
      <t>IV jg gruntebis damuSaveba eqskavatoriT V-0.5m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</si>
  <si>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t>betonis portaluri kedlebis mowyoba (tipiuri)</t>
  </si>
  <si>
    <t>Sveleri #6.5
1 grZ.m - 5.9kg</t>
  </si>
  <si>
    <t>armatura Ø22 a-III 
1 grZ.m 2.98kg</t>
  </si>
  <si>
    <t>c</t>
  </si>
  <si>
    <t>Sveleri #6.5</t>
  </si>
  <si>
    <t xml:space="preserve">armatura ф-22mm a-III </t>
  </si>
  <si>
    <r>
      <t>kiuvetebis aRdgena IV jg gruntebSi eqskavatoriT V-0.5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 xml:space="preserve"> datvirTviT avtoTviTmcvlelebze</t>
    </r>
  </si>
  <si>
    <r>
      <t>eqskavatori V-0.5 m</t>
    </r>
    <r>
      <rPr>
        <vertAlign val="superscript"/>
        <sz val="11"/>
        <rFont val="AcadNusx"/>
        <family val="0"/>
      </rPr>
      <t>3</t>
    </r>
  </si>
  <si>
    <t>lok. xarj. #3</t>
  </si>
  <si>
    <t>lokaluri  xarjTaRricxva  #3</t>
  </si>
  <si>
    <r>
      <t>m</t>
    </r>
    <r>
      <rPr>
        <vertAlign val="superscript"/>
        <sz val="12"/>
        <rFont val="AcadNusx"/>
        <family val="0"/>
      </rPr>
      <t>2</t>
    </r>
  </si>
  <si>
    <t>27-8-1</t>
  </si>
  <si>
    <t>safuZvlis profilireba qviSa-xreSovani masalis (balasti) damatebiT</t>
  </si>
  <si>
    <t>armatura</t>
  </si>
  <si>
    <t>4)</t>
  </si>
  <si>
    <r>
      <t>IV jg gruntebis damuSaveba kiuvetebSi eqskavatoriT V-0.5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datvirTviT avtoTviTmcvlelebze</t>
    </r>
  </si>
  <si>
    <r>
      <t>m</t>
    </r>
    <r>
      <rPr>
        <vertAlign val="superscript"/>
        <sz val="10"/>
        <rFont val="AcadNusx"/>
        <family val="0"/>
      </rPr>
      <t>3</t>
    </r>
  </si>
  <si>
    <t>xreSovani baliSis mowyoba rk.betonis kiuvetebis qveS sisqiT 10sm</t>
  </si>
  <si>
    <t>27-24-12</t>
  </si>
  <si>
    <t>ლარი</t>
  </si>
  <si>
    <t>ტ</t>
  </si>
  <si>
    <t>27-29</t>
  </si>
  <si>
    <t>1-80-3</t>
  </si>
  <si>
    <t>27-28-1</t>
  </si>
  <si>
    <t>qviSa</t>
  </si>
  <si>
    <t>bitumis mastika</t>
  </si>
  <si>
    <t>nakerebis Caxerxva da Sevseba butumis mastikiT</t>
  </si>
  <si>
    <t>traqtori muxluxa svlaze 59kvt</t>
  </si>
  <si>
    <t>nakerebis Semavsebeli</t>
  </si>
  <si>
    <r>
      <t>მ</t>
    </r>
    <r>
      <rPr>
        <vertAlign val="superscript"/>
        <sz val="12"/>
        <rFont val="AcadNusx"/>
        <family val="0"/>
      </rPr>
      <t>3</t>
    </r>
  </si>
  <si>
    <t>traqtori muxluxa svlaze 40kvt</t>
  </si>
  <si>
    <r>
      <rPr>
        <sz val="12"/>
        <rFont val="AcadNusx"/>
        <family val="0"/>
      </rPr>
      <t xml:space="preserve">armaturis bade saval nawilze </t>
    </r>
    <r>
      <rPr>
        <sz val="12"/>
        <rFont val="Calibri"/>
        <family val="1"/>
      </rPr>
      <t>D-8 A-I,</t>
    </r>
    <r>
      <rPr>
        <sz val="12"/>
        <rFont val="AcadNusx"/>
        <family val="0"/>
      </rPr>
      <t xml:space="preserve"> biji 20sm</t>
    </r>
  </si>
  <si>
    <t>armaturis bade</t>
  </si>
  <si>
    <t>cementis manawilebeli</t>
  </si>
  <si>
    <t>manqana mopirkeTebisaTvis</t>
  </si>
  <si>
    <t>amwe avtosvlaze 5t</t>
  </si>
  <si>
    <t>gruntis gatana nayarSi 2 km-mde</t>
  </si>
  <si>
    <t>gruntis gatana nayarSi 2 km-ze</t>
  </si>
  <si>
    <t>gatana 
2,0km-mde</t>
  </si>
  <si>
    <r>
      <t xml:space="preserve"> armaturis bade saval nawilze 
</t>
    </r>
    <r>
      <rPr>
        <sz val="10"/>
        <color indexed="8"/>
        <rFont val="Arial"/>
        <family val="2"/>
      </rPr>
      <t xml:space="preserve"> D-8 A-I
</t>
    </r>
    <r>
      <rPr>
        <sz val="10"/>
        <color indexed="8"/>
        <rFont val="AcadNusx"/>
        <family val="0"/>
      </rPr>
      <t>biji (20X20)sm.</t>
    </r>
  </si>
  <si>
    <t>Txrilis Sevseba xreSovani gruntiT (balasti)</t>
  </si>
  <si>
    <t>gzis reabilitacia</t>
  </si>
  <si>
    <r>
      <rPr>
        <sz val="11"/>
        <rFont val="AcadNusx"/>
        <family val="0"/>
      </rPr>
      <t xml:space="preserve">armaturis bade saval nawilze </t>
    </r>
    <r>
      <rPr>
        <sz val="11"/>
        <rFont val="Calibri"/>
        <family val="1"/>
      </rPr>
      <t>D-8 A-I,</t>
    </r>
    <r>
      <rPr>
        <sz val="11"/>
        <rFont val="AcadNusx"/>
        <family val="0"/>
      </rPr>
      <t xml:space="preserve"> biji 20sm</t>
    </r>
  </si>
  <si>
    <t>nakerebis Caxerxva gamyarebul betonis safarze</t>
  </si>
  <si>
    <t>cementobetonis manawilebeli</t>
  </si>
  <si>
    <t>1grZ.m-26.4kg</t>
  </si>
  <si>
    <t>miwis vakisis da kiuvetebis aRdgena-mowyoba</t>
  </si>
  <si>
    <t>L=</t>
  </si>
  <si>
    <t>proeqt.</t>
  </si>
  <si>
    <t>kuTxovana 80X80X7mm 
1 grZ.m - 8.51kg</t>
  </si>
  <si>
    <t>0+00</t>
  </si>
  <si>
    <t>Ria arxze liTonis cxaurebis mowyoba (kuTxovana 80X80X7mm, Sveleri #6.5, armatura ф-22mm a-III)</t>
  </si>
  <si>
    <t>kuTxovana 80X80X7mm</t>
  </si>
  <si>
    <r>
      <rPr>
        <sz val="12"/>
        <color indexed="8"/>
        <rFont val="AcadNusx"/>
        <family val="0"/>
      </rPr>
      <t>betoni</t>
    </r>
    <r>
      <rPr>
        <sz val="12"/>
        <color indexed="8"/>
        <rFont val="GEOWIN_SMALL"/>
        <family val="1"/>
      </rPr>
      <t xml:space="preserve"> B-20</t>
    </r>
  </si>
  <si>
    <r>
      <t xml:space="preserve">milis d=0.5m Sesasvlelze da gasasvlelze tipiuri portaluri kedlis mowyoba monoliTuri betoniT </t>
    </r>
    <r>
      <rPr>
        <sz val="11"/>
        <rFont val="Arial"/>
        <family val="2"/>
      </rPr>
      <t>B-</t>
    </r>
    <r>
      <rPr>
        <sz val="11"/>
        <rFont val="AcadNusx"/>
        <family val="0"/>
      </rPr>
      <t>20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</si>
  <si>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</si>
  <si>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t>lok. xarj. #5</t>
  </si>
  <si>
    <t>lok. xarj. #6</t>
  </si>
  <si>
    <t>lok. xarj. #7</t>
  </si>
  <si>
    <t>cementobetonis safaris mowyoba</t>
  </si>
  <si>
    <t xml:space="preserve"> Sesasvlelebze da mierTebebze gzis cementobetonis safaris mowyoba</t>
  </si>
  <si>
    <t>cementobetonis safaris mowyoba, 
Sesasvlelebze da mierTebebze</t>
  </si>
  <si>
    <r>
      <t xml:space="preserve">betoni 
</t>
    </r>
    <r>
      <rPr>
        <sz val="11"/>
        <rFont val="Arial"/>
        <family val="2"/>
      </rPr>
      <t>B</t>
    </r>
    <r>
      <rPr>
        <sz val="11"/>
        <rFont val="AcadNusx"/>
        <family val="0"/>
      </rPr>
      <t>-20</t>
    </r>
  </si>
  <si>
    <t xml:space="preserve">cementobetonis savali nawilis mowyoba  </t>
  </si>
  <si>
    <r>
      <t xml:space="preserve"> m</t>
    </r>
    <r>
      <rPr>
        <vertAlign val="superscript"/>
        <sz val="11"/>
        <rFont val="AcadNusx"/>
        <family val="0"/>
      </rPr>
      <t>3</t>
    </r>
  </si>
  <si>
    <r>
      <t>1000 m</t>
    </r>
    <r>
      <rPr>
        <vertAlign val="superscript"/>
        <sz val="11"/>
        <rFont val="AcadNusx"/>
        <family val="0"/>
      </rPr>
      <t>2</t>
    </r>
  </si>
  <si>
    <r>
      <t xml:space="preserve">avtogreideri 79 </t>
    </r>
    <r>
      <rPr>
        <sz val="11"/>
        <rFont val="Arial"/>
        <family val="2"/>
      </rPr>
      <t xml:space="preserve">кВт </t>
    </r>
    <r>
      <rPr>
        <sz val="11"/>
        <rFont val="AcadNusx"/>
        <family val="0"/>
      </rPr>
      <t>(108 cx.Z)</t>
    </r>
  </si>
  <si>
    <r>
      <t>მ</t>
    </r>
    <r>
      <rPr>
        <vertAlign val="superscript"/>
        <sz val="11"/>
        <rFont val="AcadNusx"/>
        <family val="0"/>
      </rPr>
      <t>3</t>
    </r>
  </si>
  <si>
    <r>
      <t>100 m</t>
    </r>
    <r>
      <rPr>
        <vertAlign val="superscript"/>
        <sz val="11"/>
        <rFont val="AcadNusx"/>
        <family val="0"/>
      </rPr>
      <t>3</t>
    </r>
  </si>
  <si>
    <t>1+04</t>
  </si>
  <si>
    <t>0+55</t>
  </si>
  <si>
    <t>1+00</t>
  </si>
  <si>
    <t>0+61</t>
  </si>
  <si>
    <t xml:space="preserve">   gzis meore monakveTi </t>
  </si>
  <si>
    <t>II</t>
  </si>
  <si>
    <t>pk0+00-pk0+80</t>
  </si>
  <si>
    <t>II monakveTi</t>
  </si>
  <si>
    <t>pk0+55</t>
  </si>
  <si>
    <t>II-monakveTi</t>
  </si>
  <si>
    <t>me-IV jg. gruntis moWra eqskavatoriT V-0.5m3 datvirTviT avtoTvTmclelebze</t>
  </si>
  <si>
    <t xml:space="preserve">III jg. gruntis damuSaveba xeliT </t>
  </si>
  <si>
    <t>xreSovani baliSis mowyoba niaRvarmimRebi Webis qveS</t>
  </si>
  <si>
    <t>armatura a-III</t>
  </si>
  <si>
    <t>niaRvarmiRebi Webis kedlebis orfeniani hidroizolacia bitumiT</t>
  </si>
  <si>
    <t>axali saniaRvre Wis oTxkuTxa cxauris montaJi CarCoTi 600X600</t>
  </si>
  <si>
    <t>betoni b-20</t>
  </si>
  <si>
    <t>pk0+60</t>
  </si>
  <si>
    <t>pk0+62</t>
  </si>
  <si>
    <t>mierTeba</t>
  </si>
  <si>
    <t>moedani</t>
  </si>
  <si>
    <r>
      <t>1000 m</t>
    </r>
    <r>
      <rPr>
        <vertAlign val="superscript"/>
        <sz val="12"/>
        <color indexed="8"/>
        <rFont val="AcadNusx"/>
        <family val="0"/>
      </rPr>
      <t>3</t>
    </r>
  </si>
  <si>
    <t>SromiTi resursebi</t>
  </si>
  <si>
    <t>k/sT</t>
  </si>
  <si>
    <t>gruntis gatana nayarSi 1 km-mde</t>
  </si>
  <si>
    <t>23-15-1</t>
  </si>
  <si>
    <t>m/sT</t>
  </si>
  <si>
    <t>23-23-1</t>
  </si>
  <si>
    <t>qviSa-cementis xsnari</t>
  </si>
  <si>
    <t>Tujis oTxkuTxa cxauri CarCoTi 600X600</t>
  </si>
  <si>
    <t>safuZvlis profilireba qviSa-xreSovani masalis damatebiT</t>
  </si>
  <si>
    <t>rk.betonis kiuvetebis mowyoba</t>
  </si>
  <si>
    <t>rk.betonis kiuvetebis kveTiT 0.3X0.5 mowyoba</t>
  </si>
  <si>
    <t>gverdulebis gawmwnda zedmeti 
 IV jg. gruntebisagan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</si>
  <si>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-20</t>
    </r>
  </si>
  <si>
    <t>armatura Ф-8mm</t>
  </si>
  <si>
    <r>
      <t>m</t>
    </r>
    <r>
      <rPr>
        <vertAlign val="superscript"/>
        <sz val="10"/>
        <rFont val="AcadNusx"/>
        <family val="0"/>
      </rPr>
      <t>2</t>
    </r>
  </si>
  <si>
    <t>hidroizolaciis mowyoba rk.betonis kiuvetebze</t>
  </si>
  <si>
    <t>37-17-2</t>
  </si>
  <si>
    <t>armaturis karkasi calkeuli Reroebisagan</t>
  </si>
  <si>
    <t>6-11-3</t>
  </si>
  <si>
    <r>
      <t xml:space="preserve">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-25</t>
    </r>
  </si>
  <si>
    <t xml:space="preserve">yalibis fari laminirebuli fanera </t>
  </si>
  <si>
    <t>samSeneblo qanCi</t>
  </si>
  <si>
    <t>orfeniani hodroizolacia bitumiT</t>
  </si>
  <si>
    <r>
      <t xml:space="preserve">kiuvetebis mowyoba dabetoneba betoni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-20 </t>
    </r>
  </si>
  <si>
    <t>saniaRvre WebTan Txrilis Sevseba balastiT</t>
  </si>
  <si>
    <t>niaRvarmiRebi Webis mowyoba</t>
  </si>
  <si>
    <t>Sesasvlelze da moedanze cementobetonis samosis mowyoba</t>
  </si>
  <si>
    <t>rk. betonis kiuvetebis mowyoba</t>
  </si>
  <si>
    <r>
      <t xml:space="preserve">ცემენტობეტონის საფარის მოწყობა, ბეტონი B25 F200 </t>
    </r>
    <r>
      <rPr>
        <sz val="12"/>
        <rFont val="Arial"/>
        <family val="2"/>
      </rPr>
      <t>W</t>
    </r>
    <r>
      <rPr>
        <sz val="12"/>
        <rFont val="Calibri"/>
        <family val="1"/>
      </rPr>
      <t xml:space="preserve">6. 
</t>
    </r>
    <r>
      <rPr>
        <sz val="12"/>
        <rFont val="Arial"/>
        <family val="2"/>
      </rPr>
      <t>h</t>
    </r>
    <r>
      <rPr>
        <sz val="12"/>
        <rFont val="Calibri"/>
        <family val="1"/>
      </rPr>
      <t>-</t>
    </r>
    <r>
      <rPr>
        <sz val="12"/>
        <rFont val="AcadNusx"/>
        <family val="0"/>
      </rPr>
      <t>16sm</t>
    </r>
    <r>
      <rPr>
        <sz val="12"/>
        <rFont val="Calibri"/>
        <family val="1"/>
      </rPr>
      <t xml:space="preserve">. </t>
    </r>
    <r>
      <rPr>
        <sz val="12"/>
        <rFont val="AcadNusx"/>
        <family val="0"/>
      </rPr>
      <t>sadeformacio nakerebis mowyobiT, bitumis emulsiis mosxma (1m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>-0.5l)</t>
    </r>
  </si>
  <si>
    <r>
      <rPr>
        <sz val="12"/>
        <rFont val="AcadNusx"/>
        <family val="0"/>
      </rPr>
      <t>betoni</t>
    </r>
    <r>
      <rPr>
        <sz val="12"/>
        <rFont val="Calibri"/>
        <family val="1"/>
      </rPr>
      <t xml:space="preserve"> B25 F200 W6. </t>
    </r>
  </si>
  <si>
    <r>
      <t xml:space="preserve">ცემენტობეტონის საფარის მოწყობა, ბეტონი </t>
    </r>
    <r>
      <rPr>
        <sz val="10"/>
        <color indexed="8"/>
        <rFont val="Arial"/>
        <family val="2"/>
      </rPr>
      <t>B25 F200 W6 h</t>
    </r>
    <r>
      <rPr>
        <sz val="10"/>
        <color indexed="8"/>
        <rFont val="AcadNusx"/>
        <family val="0"/>
      </rPr>
      <t>-16sm. sadeformacio nakerebis mowyobiT</t>
    </r>
  </si>
  <si>
    <t>mosamzadebeli samuSaoebi</t>
  </si>
  <si>
    <t>trasis aRdgena damagreba koordinatTa sistemaSi</t>
  </si>
  <si>
    <t>srf</t>
  </si>
  <si>
    <r>
      <rPr>
        <sz val="11"/>
        <rFont val="AcadNusx"/>
        <family val="0"/>
      </rPr>
      <t>betoni</t>
    </r>
    <r>
      <rPr>
        <sz val="11"/>
        <rFont val="Calibri"/>
        <family val="1"/>
      </rPr>
      <t xml:space="preserve"> B25 F200 W6. </t>
    </r>
  </si>
  <si>
    <r>
      <t xml:space="preserve">betoni </t>
    </r>
    <r>
      <rPr>
        <sz val="12"/>
        <color indexed="8"/>
        <rFont val="Arial"/>
        <family val="2"/>
      </rPr>
      <t>B</t>
    </r>
    <r>
      <rPr>
        <sz val="12"/>
        <color indexed="8"/>
        <rFont val="AcadNusx"/>
        <family val="0"/>
      </rPr>
      <t>-20</t>
    </r>
  </si>
  <si>
    <t>rk.betonis Webis mowyoba</t>
  </si>
  <si>
    <t>lokaluri   xarjTaRricxva #4</t>
  </si>
  <si>
    <t>lokaluri   xarjTaRricxva #5</t>
  </si>
  <si>
    <t>lokaluri   xarjTaRricxva #6</t>
  </si>
  <si>
    <t>lokaluri  xarjTaRricxva  #7</t>
  </si>
  <si>
    <t>liTonis cxaurebis mowyobis samuSaoTa moculobebis uwyisi #3</t>
  </si>
  <si>
    <t>liTonis milebis mowyobis samuSaoTa moculobebis uwyisi #4</t>
  </si>
  <si>
    <t>niaRvarmiRebi Webis mowyobis samuSaoTa moculobebis uwyisi #5</t>
  </si>
  <si>
    <t>cementobetonis sagzao samosis mowyobis uwyisi #6</t>
  </si>
  <si>
    <t>Sesasvlelebis adgilmdebareoba da farTis piketuri 
daTvlis uwyisi #7</t>
  </si>
  <si>
    <r>
      <t xml:space="preserve">wyalgamtari liTonis 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=0.5m sisqiT 8mm milis montaJi </t>
    </r>
  </si>
  <si>
    <r>
      <t xml:space="preserve">liTonis mili </t>
    </r>
    <r>
      <rPr>
        <sz val="12"/>
        <rFont val="Arial"/>
        <family val="2"/>
      </rPr>
      <t>d</t>
    </r>
    <r>
      <rPr>
        <sz val="12"/>
        <rFont val="AcadNusx"/>
        <family val="0"/>
      </rPr>
      <t>=0,5m sisqiT 8mm</t>
    </r>
  </si>
  <si>
    <t>direqtori:                g. kaxiani</t>
  </si>
  <si>
    <r>
      <t xml:space="preserve">ცემენტობეტონის საფარის მოწყობა, ბეტონი </t>
    </r>
    <r>
      <rPr>
        <sz val="11"/>
        <rFont val="Arial"/>
        <family val="2"/>
      </rPr>
      <t>B25 F200 W6. 
h</t>
    </r>
    <r>
      <rPr>
        <sz val="11"/>
        <rFont val="AcadNusx"/>
        <family val="0"/>
      </rPr>
      <t>-16sm. sadeformacio nakerebis mowyobiT, bitumis emulsiis mosxma (1m2-0.5l)</t>
    </r>
  </si>
  <si>
    <t>fraqciuli RorRi 
0-40mm sisqiT 12sm</t>
  </si>
  <si>
    <r>
      <t xml:space="preserve">SeniSvna:  </t>
    </r>
    <r>
      <rPr>
        <sz val="11"/>
        <color indexed="8"/>
        <rFont val="AcadNusx"/>
        <family val="0"/>
      </rPr>
      <t>1. Sesasvlelze safuZvlis mowyoba fraqciuli RorRiT (0-40)
             sisqiT 12sm-150.0m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.
           2.  ცემენტობეტონის საფარის მოწყობა, ბეტონი </t>
    </r>
    <r>
      <rPr>
        <sz val="11"/>
        <color indexed="8"/>
        <rFont val="Arial"/>
        <family val="2"/>
      </rPr>
      <t>B25 F200 W6. h</t>
    </r>
    <r>
      <rPr>
        <sz val="11"/>
        <color indexed="8"/>
        <rFont val="AcadNusx"/>
        <family val="0"/>
      </rPr>
      <t xml:space="preserve">-16sm. </t>
    </r>
  </si>
  <si>
    <t>safuZvlis  mowyoba fraqciuli  RorRiT 0-40mm sisqiT 12sm</t>
  </si>
  <si>
    <t>ГОСТ 25607-83 sisqiT 12sm</t>
  </si>
  <si>
    <r>
      <t xml:space="preserve"> ცემენტობეტონის საფარის მოწყობა, ბეტონი B25 F200 </t>
    </r>
    <r>
      <rPr>
        <sz val="11"/>
        <rFont val="Arial"/>
        <family val="2"/>
      </rPr>
      <t>W</t>
    </r>
    <r>
      <rPr>
        <sz val="11"/>
        <rFont val="Calibri"/>
        <family val="1"/>
      </rPr>
      <t xml:space="preserve">6. 
</t>
    </r>
    <r>
      <rPr>
        <sz val="11"/>
        <rFont val="Arial"/>
        <family val="2"/>
      </rPr>
      <t>h</t>
    </r>
    <r>
      <rPr>
        <sz val="11"/>
        <rFont val="Calibri"/>
        <family val="1"/>
      </rPr>
      <t>-</t>
    </r>
    <r>
      <rPr>
        <sz val="11"/>
        <rFont val="AcadNusx"/>
        <family val="0"/>
      </rPr>
      <t>16sm</t>
    </r>
    <r>
      <rPr>
        <sz val="11"/>
        <rFont val="Calibri"/>
        <family val="1"/>
      </rPr>
      <t xml:space="preserve">. </t>
    </r>
    <r>
      <rPr>
        <sz val="11"/>
        <rFont val="AcadNusx"/>
        <family val="0"/>
      </rPr>
      <t xml:space="preserve">sadeformacio nakerebis mowyobiT, bitumis emulsiis mosxma (1m2-0.5l) </t>
    </r>
  </si>
  <si>
    <t>rk.betonis kiuvetebis mowyobis samuSaoTa moculobebis uwyisi #2</t>
  </si>
  <si>
    <t xml:space="preserve">   ss `aWarkapmSeni~</t>
  </si>
  <si>
    <t xml:space="preserve">x a r j T a R r i c x v a </t>
  </si>
  <si>
    <t>baTumi _ 2020 weli</t>
  </si>
  <si>
    <t>ss `aWarkapmSeni~</t>
  </si>
  <si>
    <t>damkveTi:</t>
  </si>
  <si>
    <t>,,qemoniqs interneiSelen ink"-is filiali ,,qemoniqs saqarTvelo"</t>
  </si>
  <si>
    <t xml:space="preserve"> ათასი lari</t>
  </si>
  <si>
    <t>direqtori:</t>
  </si>
  <si>
    <t>g. kaxiani</t>
  </si>
  <si>
    <t>Seadgina:</t>
  </si>
  <si>
    <t xml:space="preserve">ГОСТ9128-84 sisqiT 16sm          </t>
  </si>
  <si>
    <t>niaRvarmiRebi Webis Zirisa da kedlebis mowyoba b-20</t>
  </si>
  <si>
    <r>
      <t xml:space="preserve">wyalgamtari liTonis milebis mowyoba </t>
    </r>
    <r>
      <rPr>
        <sz val="12"/>
        <rFont val="Arial"/>
        <family val="2"/>
      </rPr>
      <t>d</t>
    </r>
    <r>
      <rPr>
        <sz val="12"/>
        <rFont val="AcadNusx"/>
        <family val="0"/>
      </rPr>
      <t>-0,5m sisqiT 8mm 1grZ.m-62.2kg 1 adgilze</t>
    </r>
  </si>
  <si>
    <t>1/5</t>
  </si>
  <si>
    <t>17.16*1,75</t>
  </si>
  <si>
    <t>46.12*1.75</t>
  </si>
  <si>
    <t>3.45*1,75</t>
  </si>
  <si>
    <t>2.2*1,75</t>
  </si>
  <si>
    <t>g.goCitiZe</t>
  </si>
  <si>
    <t>adigenis municipalitetSi sof. varxanis gzebis monakveTebi (monakveTi II)</t>
  </si>
  <si>
    <t>ადიგენის მუნიციპალიტეტი, სოფელ ვარხანში გზების რეაბილიტაციის (monakveTi II)</t>
  </si>
  <si>
    <t>ადიგენის მუნიციპალიტეტი, სოფელ ვარხანში გზების რეაბილიტაციის(monakveTi II)</t>
  </si>
  <si>
    <t>Tavi #1  miwis  vakisi</t>
  </si>
  <si>
    <t>sul me-1 Tavis mixedviT</t>
  </si>
  <si>
    <t>Tavi #2  gzis  samosi</t>
  </si>
  <si>
    <t>Tavi #3 xelovnuri  nagebobebi</t>
  </si>
  <si>
    <t>Tavi #4 sagzao  mowyobiloba</t>
  </si>
  <si>
    <t>sul 1 _ 4 Tavebis mixedviT</t>
  </si>
  <si>
    <r>
      <t xml:space="preserve">დანართი </t>
    </r>
    <r>
      <rPr>
        <sz val="12"/>
        <rFont val="Calibri"/>
        <family val="2"/>
      </rPr>
      <t>№2-1</t>
    </r>
  </si>
  <si>
    <t xml:space="preserve">zednadebi xarjebi %: </t>
  </si>
  <si>
    <t xml:space="preserve">gegmiuri dagroveba %:   </t>
  </si>
  <si>
    <t>zednadebi xarjebi %:</t>
  </si>
  <si>
    <t>gegmiuri dagroveba %:</t>
  </si>
</sst>
</file>

<file path=xl/styles.xml><?xml version="1.0" encoding="utf-8"?>
<styleSheet xmlns="http://schemas.openxmlformats.org/spreadsheetml/2006/main">
  <numFmts count="4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₽_-;\-* #,##0\ _₽_-;_-* &quot;-&quot;\ _₽_-;_-@_-"/>
    <numFmt numFmtId="175" formatCode="_-* #,##0.00\ _₽_-;\-* #,##0.00\ _₽_-;_-* &quot;-&quot;??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00"/>
    <numFmt numFmtId="185" formatCode="0.0000"/>
    <numFmt numFmtId="186" formatCode="0.0"/>
    <numFmt numFmtId="187" formatCode="#,##0.000"/>
    <numFmt numFmtId="188" formatCode="0;[Red]0"/>
    <numFmt numFmtId="189" formatCode="0.00;[Red]0.00"/>
    <numFmt numFmtId="190" formatCode="_(* #,##0.00_);_(* \(#,##0.00\);_(* &quot;-&quot;???_);_(@_)"/>
    <numFmt numFmtId="191" formatCode="_(* #,##0_);_(* \(#,##0\);_(* &quot;-&quot;???_);_(@_)"/>
    <numFmt numFmtId="192" formatCode="_-* #,##0.0_р_._-;\-* #,##0.0_р_._-;_-* &quot;-&quot;???_р_._-;_-@_-"/>
    <numFmt numFmtId="193" formatCode="_(* #,##0.0_);_(* \(#,##0.0\);_(* &quot;-&quot;?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98">
    <font>
      <sz val="10"/>
      <name val="Arial Cyr"/>
      <family val="0"/>
    </font>
    <font>
      <sz val="12"/>
      <name val="GEOWIN_SMALL"/>
      <family val="1"/>
    </font>
    <font>
      <sz val="12"/>
      <name val="AcadNusx"/>
      <family val="0"/>
    </font>
    <font>
      <sz val="11"/>
      <name val="AcadNusx"/>
      <family val="0"/>
    </font>
    <font>
      <sz val="12"/>
      <color indexed="8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EOWIN_SMALL"/>
      <family val="1"/>
    </font>
    <font>
      <sz val="8"/>
      <name val="Arial"/>
      <family val="2"/>
    </font>
    <font>
      <sz val="12"/>
      <name val="AcadMtavr"/>
      <family val="0"/>
    </font>
    <font>
      <sz val="12"/>
      <name val="GEO-Grigolia"/>
      <family val="2"/>
    </font>
    <font>
      <sz val="10"/>
      <name val="AcadNusx"/>
      <family val="0"/>
    </font>
    <font>
      <sz val="14"/>
      <name val="AcadNusx"/>
      <family val="0"/>
    </font>
    <font>
      <sz val="11"/>
      <name val="Arial"/>
      <family val="2"/>
    </font>
    <font>
      <b/>
      <sz val="12"/>
      <name val="AcadMtavr"/>
      <family val="0"/>
    </font>
    <font>
      <vertAlign val="superscript"/>
      <sz val="11"/>
      <name val="AcadNusx"/>
      <family val="0"/>
    </font>
    <font>
      <sz val="12"/>
      <color indexed="8"/>
      <name val="GEOWIN_SMALL"/>
      <family val="1"/>
    </font>
    <font>
      <vertAlign val="superscript"/>
      <sz val="12"/>
      <color indexed="8"/>
      <name val="AcadNusx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1"/>
      <name val="AcadMtavr"/>
      <family val="0"/>
    </font>
    <font>
      <sz val="10"/>
      <color indexed="8"/>
      <name val="Arial"/>
      <family val="2"/>
    </font>
    <font>
      <b/>
      <sz val="11"/>
      <name val="AcadNusx"/>
      <family val="0"/>
    </font>
    <font>
      <sz val="12"/>
      <color indexed="8"/>
      <name val="Arial"/>
      <family val="2"/>
    </font>
    <font>
      <sz val="11"/>
      <name val="GEO-Grigolia"/>
      <family val="2"/>
    </font>
    <font>
      <vertAlign val="superscript"/>
      <sz val="10"/>
      <name val="AcadNusx"/>
      <family val="0"/>
    </font>
    <font>
      <u val="single"/>
      <sz val="10"/>
      <color indexed="20"/>
      <name val="Arial"/>
      <family val="2"/>
    </font>
    <font>
      <sz val="12"/>
      <name val="Calibri"/>
      <family val="1"/>
    </font>
    <font>
      <sz val="11"/>
      <color indexed="8"/>
      <name val="Arial"/>
      <family val="2"/>
    </font>
    <font>
      <sz val="10"/>
      <color indexed="8"/>
      <name val="AcadNusx"/>
      <family val="0"/>
    </font>
    <font>
      <sz val="11"/>
      <name val="Calibri"/>
      <family val="1"/>
    </font>
    <font>
      <sz val="9"/>
      <name val="AcadNusx"/>
      <family val="0"/>
    </font>
    <font>
      <sz val="10"/>
      <name val="AcadMtavr"/>
      <family val="0"/>
    </font>
    <font>
      <i/>
      <sz val="16"/>
      <name val="LitNusx"/>
      <family val="2"/>
    </font>
    <font>
      <i/>
      <sz val="10"/>
      <name val="LitNusx"/>
      <family val="2"/>
    </font>
    <font>
      <b/>
      <i/>
      <sz val="12"/>
      <name val="LitNusx"/>
      <family val="0"/>
    </font>
    <font>
      <b/>
      <i/>
      <sz val="14"/>
      <name val="LitNusx"/>
      <family val="2"/>
    </font>
    <font>
      <i/>
      <sz val="20"/>
      <color indexed="12"/>
      <name val="LitNusx"/>
      <family val="2"/>
    </font>
    <font>
      <b/>
      <i/>
      <sz val="16"/>
      <name val="LitNusx"/>
      <family val="2"/>
    </font>
    <font>
      <i/>
      <sz val="14"/>
      <name val="LitNusx"/>
      <family val="2"/>
    </font>
    <font>
      <i/>
      <sz val="18"/>
      <color indexed="12"/>
      <name val="LitNusx"/>
      <family val="2"/>
    </font>
    <font>
      <i/>
      <sz val="11"/>
      <name val="LitNusx"/>
      <family val="2"/>
    </font>
    <font>
      <i/>
      <sz val="12"/>
      <name val="LitNusx"/>
      <family val="2"/>
    </font>
    <font>
      <sz val="10"/>
      <color indexed="10"/>
      <name val="Acad Nusx"/>
      <family val="2"/>
    </font>
    <font>
      <sz val="9"/>
      <color indexed="8"/>
      <name val="AcadNusx"/>
      <family val="0"/>
    </font>
    <font>
      <b/>
      <sz val="12"/>
      <color indexed="8"/>
      <name val="AcadMtavr"/>
      <family val="0"/>
    </font>
    <font>
      <b/>
      <sz val="12"/>
      <color indexed="8"/>
      <name val="AcadNusx"/>
      <family val="0"/>
    </font>
    <font>
      <b/>
      <sz val="11"/>
      <color indexed="8"/>
      <name val="AcadNusx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sz val="11"/>
      <color theme="1"/>
      <name val="AcadNusx"/>
      <family val="0"/>
    </font>
    <font>
      <sz val="10"/>
      <color theme="1"/>
      <name val="AcadNusx"/>
      <family val="0"/>
    </font>
    <font>
      <sz val="10"/>
      <color rgb="FFFF0000"/>
      <name val="Acad Nusx"/>
      <family val="2"/>
    </font>
    <font>
      <sz val="9"/>
      <color theme="1"/>
      <name val="AcadNusx"/>
      <family val="0"/>
    </font>
    <font>
      <b/>
      <sz val="12"/>
      <color rgb="FF000000"/>
      <name val="AcadMtavr"/>
      <family val="0"/>
    </font>
    <font>
      <b/>
      <sz val="12"/>
      <color theme="1"/>
      <name val="AcadNusx"/>
      <family val="0"/>
    </font>
    <font>
      <b/>
      <sz val="11"/>
      <color theme="1"/>
      <name val="AcadNusx"/>
      <family val="0"/>
    </font>
    <font>
      <b/>
      <sz val="12"/>
      <color theme="1"/>
      <name val="AcadMtavr"/>
      <family val="0"/>
    </font>
    <font>
      <sz val="12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double"/>
      <top/>
      <bottom/>
    </border>
    <border>
      <left style="thick"/>
      <right/>
      <top/>
      <bottom/>
    </border>
    <border>
      <left/>
      <right style="thick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2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3" borderId="1" applyNumberFormat="0" applyAlignment="0" applyProtection="0"/>
    <xf numFmtId="0" fontId="75" fillId="34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35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1" fillId="36" borderId="1" applyNumberFormat="0" applyAlignment="0" applyProtection="0"/>
    <xf numFmtId="0" fontId="82" fillId="0" borderId="6" applyNumberFormat="0" applyFill="0" applyAlignment="0" applyProtection="0"/>
    <xf numFmtId="0" fontId="83" fillId="37" borderId="0" applyNumberFormat="0" applyBorder="0" applyAlignment="0" applyProtection="0"/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8" borderId="7" applyNumberFormat="0" applyFont="0" applyAlignment="0" applyProtection="0"/>
    <xf numFmtId="0" fontId="84" fillId="33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42" borderId="0" applyNumberFormat="0" applyBorder="0" applyAlignment="0" applyProtection="0"/>
    <xf numFmtId="0" fontId="10" fillId="9" borderId="10" applyNumberFormat="0" applyAlignment="0" applyProtection="0"/>
    <xf numFmtId="0" fontId="11" fillId="43" borderId="11" applyNumberFormat="0" applyAlignment="0" applyProtection="0"/>
    <xf numFmtId="0" fontId="12" fillId="43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44" borderId="16" applyNumberFormat="0" applyAlignment="0" applyProtection="0"/>
    <xf numFmtId="0" fontId="18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8" fillId="0" borderId="0">
      <alignment vertical="top"/>
      <protection locked="0"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46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24" fillId="4" borderId="0" applyNumberFormat="0" applyBorder="0" applyAlignment="0" applyProtection="0"/>
    <xf numFmtId="183" fontId="8" fillId="0" borderId="0" applyFont="0" applyFill="0" applyBorder="0" applyAlignment="0" applyProtection="0"/>
  </cellStyleXfs>
  <cellXfs count="90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184" fontId="2" fillId="0" borderId="2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2" fontId="28" fillId="0" borderId="0" xfId="0" applyNumberFormat="1" applyFont="1" applyFill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8" fillId="0" borderId="23" xfId="0" applyFont="1" applyFill="1" applyBorder="1" applyAlignment="1">
      <alignment horizontal="center" vertical="center" wrapText="1"/>
    </xf>
    <xf numFmtId="0" fontId="2" fillId="0" borderId="0" xfId="161" applyFont="1" applyAlignment="1">
      <alignment horizontal="center"/>
      <protection/>
    </xf>
    <xf numFmtId="0" fontId="5" fillId="0" borderId="0" xfId="161">
      <alignment/>
      <protection/>
    </xf>
    <xf numFmtId="0" fontId="30" fillId="0" borderId="0" xfId="161" applyFont="1" applyAlignment="1">
      <alignment horizontal="center"/>
      <protection/>
    </xf>
    <xf numFmtId="0" fontId="2" fillId="0" borderId="20" xfId="161" applyFont="1" applyBorder="1" applyAlignment="1">
      <alignment horizontal="center" vertical="center"/>
      <protection/>
    </xf>
    <xf numFmtId="0" fontId="2" fillId="0" borderId="23" xfId="161" applyFont="1" applyBorder="1" applyAlignment="1">
      <alignment horizontal="center" vertical="center"/>
      <protection/>
    </xf>
    <xf numFmtId="0" fontId="2" fillId="0" borderId="24" xfId="161" applyFont="1" applyBorder="1" applyAlignment="1">
      <alignment horizontal="center" vertical="center"/>
      <protection/>
    </xf>
    <xf numFmtId="0" fontId="2" fillId="0" borderId="24" xfId="161" applyFont="1" applyBorder="1" applyAlignment="1">
      <alignment horizontal="center" vertical="top"/>
      <protection/>
    </xf>
    <xf numFmtId="49" fontId="2" fillId="0" borderId="24" xfId="161" applyNumberFormat="1" applyFont="1" applyBorder="1" applyAlignment="1">
      <alignment horizontal="center" vertical="top"/>
      <protection/>
    </xf>
    <xf numFmtId="0" fontId="2" fillId="0" borderId="24" xfId="161" applyFont="1" applyBorder="1" applyAlignment="1">
      <alignment horizontal="left" vertical="center"/>
      <protection/>
    </xf>
    <xf numFmtId="2" fontId="2" fillId="0" borderId="24" xfId="161" applyNumberFormat="1" applyFont="1" applyBorder="1" applyAlignment="1">
      <alignment horizontal="center" vertical="center"/>
      <protection/>
    </xf>
    <xf numFmtId="49" fontId="31" fillId="0" borderId="24" xfId="161" applyNumberFormat="1" applyFont="1" applyBorder="1" applyAlignment="1">
      <alignment horizontal="center" vertical="top"/>
      <protection/>
    </xf>
    <xf numFmtId="0" fontId="2" fillId="0" borderId="23" xfId="161" applyFont="1" applyBorder="1" applyAlignment="1">
      <alignment horizontal="center" vertical="top"/>
      <protection/>
    </xf>
    <xf numFmtId="0" fontId="2" fillId="0" borderId="23" xfId="161" applyFont="1" applyBorder="1" applyAlignment="1">
      <alignment vertical="center"/>
      <protection/>
    </xf>
    <xf numFmtId="0" fontId="2" fillId="0" borderId="23" xfId="161" applyFont="1" applyBorder="1" applyAlignment="1">
      <alignment horizontal="center"/>
      <protection/>
    </xf>
    <xf numFmtId="0" fontId="2" fillId="0" borderId="24" xfId="161" applyFont="1" applyBorder="1" applyAlignment="1">
      <alignment vertical="center"/>
      <protection/>
    </xf>
    <xf numFmtId="0" fontId="2" fillId="0" borderId="24" xfId="161" applyFont="1" applyBorder="1" applyAlignment="1">
      <alignment horizontal="center"/>
      <protection/>
    </xf>
    <xf numFmtId="0" fontId="5" fillId="0" borderId="0" xfId="161" applyAlignment="1">
      <alignment horizontal="center"/>
      <protection/>
    </xf>
    <xf numFmtId="0" fontId="2" fillId="0" borderId="20" xfId="161" applyFont="1" applyBorder="1" applyAlignment="1">
      <alignment horizontal="center"/>
      <protection/>
    </xf>
    <xf numFmtId="0" fontId="2" fillId="0" borderId="0" xfId="161" applyFont="1" applyBorder="1" applyAlignment="1">
      <alignment horizontal="center"/>
      <protection/>
    </xf>
    <xf numFmtId="0" fontId="2" fillId="0" borderId="0" xfId="161" applyFont="1">
      <alignment/>
      <protection/>
    </xf>
    <xf numFmtId="0" fontId="5" fillId="0" borderId="0" xfId="161" applyBorder="1">
      <alignment/>
      <protection/>
    </xf>
    <xf numFmtId="0" fontId="2" fillId="0" borderId="0" xfId="161" applyFont="1" applyAlignment="1">
      <alignment/>
      <protection/>
    </xf>
    <xf numFmtId="0" fontId="3" fillId="0" borderId="20" xfId="161" applyFont="1" applyBorder="1" applyAlignment="1">
      <alignment horizontal="center"/>
      <protection/>
    </xf>
    <xf numFmtId="0" fontId="2" fillId="0" borderId="0" xfId="161" applyFont="1" applyBorder="1">
      <alignment/>
      <protection/>
    </xf>
    <xf numFmtId="0" fontId="3" fillId="0" borderId="24" xfId="161" applyFont="1" applyBorder="1" applyAlignment="1">
      <alignment horizontal="center"/>
      <protection/>
    </xf>
    <xf numFmtId="0" fontId="3" fillId="0" borderId="23" xfId="161" applyFont="1" applyBorder="1" applyAlignment="1">
      <alignment horizontal="center"/>
      <protection/>
    </xf>
    <xf numFmtId="0" fontId="2" fillId="0" borderId="24" xfId="161" applyFont="1" applyBorder="1" applyAlignment="1">
      <alignment horizontal="left"/>
      <protection/>
    </xf>
    <xf numFmtId="2" fontId="2" fillId="0" borderId="24" xfId="161" applyNumberFormat="1" applyFont="1" applyBorder="1" applyAlignment="1">
      <alignment horizontal="center"/>
      <protection/>
    </xf>
    <xf numFmtId="2" fontId="6" fillId="0" borderId="24" xfId="161" applyNumberFormat="1" applyFont="1" applyBorder="1" applyAlignment="1">
      <alignment horizontal="center"/>
      <protection/>
    </xf>
    <xf numFmtId="2" fontId="2" fillId="0" borderId="23" xfId="161" applyNumberFormat="1" applyFont="1" applyBorder="1" applyAlignment="1">
      <alignment horizontal="center"/>
      <protection/>
    </xf>
    <xf numFmtId="0" fontId="7" fillId="0" borderId="0" xfId="161" applyFont="1" applyBorder="1">
      <alignment/>
      <protection/>
    </xf>
    <xf numFmtId="10" fontId="2" fillId="0" borderId="24" xfId="161" applyNumberFormat="1" applyFont="1" applyBorder="1" applyAlignment="1">
      <alignment horizontal="left"/>
      <protection/>
    </xf>
    <xf numFmtId="0" fontId="7" fillId="0" borderId="0" xfId="161" applyFont="1">
      <alignment/>
      <protection/>
    </xf>
    <xf numFmtId="0" fontId="2" fillId="0" borderId="0" xfId="161" applyFont="1" applyBorder="1" applyAlignment="1">
      <alignment/>
      <protection/>
    </xf>
    <xf numFmtId="0" fontId="2" fillId="0" borderId="25" xfId="161" applyFont="1" applyBorder="1" applyAlignment="1">
      <alignment horizontal="left"/>
      <protection/>
    </xf>
    <xf numFmtId="0" fontId="2" fillId="0" borderId="26" xfId="161" applyFont="1" applyBorder="1" applyAlignment="1">
      <alignment horizontal="left"/>
      <protection/>
    </xf>
    <xf numFmtId="0" fontId="2" fillId="0" borderId="27" xfId="161" applyFont="1" applyBorder="1" applyAlignment="1">
      <alignment horizontal="center"/>
      <protection/>
    </xf>
    <xf numFmtId="0" fontId="2" fillId="0" borderId="26" xfId="161" applyFont="1" applyBorder="1" applyAlignment="1">
      <alignment horizontal="center"/>
      <protection/>
    </xf>
    <xf numFmtId="0" fontId="2" fillId="0" borderId="2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0" xfId="162" applyFont="1" applyAlignment="1">
      <alignment horizontal="center"/>
      <protection/>
    </xf>
    <xf numFmtId="0" fontId="2" fillId="0" borderId="20" xfId="162" applyFont="1" applyBorder="1" applyAlignment="1">
      <alignment horizontal="center" vertical="top"/>
      <protection/>
    </xf>
    <xf numFmtId="49" fontId="2" fillId="0" borderId="20" xfId="162" applyNumberFormat="1" applyFont="1" applyBorder="1" applyAlignment="1">
      <alignment horizontal="center" vertical="top"/>
      <protection/>
    </xf>
    <xf numFmtId="0" fontId="2" fillId="0" borderId="20" xfId="162" applyFont="1" applyBorder="1" applyAlignment="1">
      <alignment horizontal="left" vertical="center" wrapText="1"/>
      <protection/>
    </xf>
    <xf numFmtId="0" fontId="2" fillId="0" borderId="20" xfId="162" applyFont="1" applyBorder="1" applyAlignment="1">
      <alignment horizontal="center" vertical="center"/>
      <protection/>
    </xf>
    <xf numFmtId="184" fontId="2" fillId="0" borderId="20" xfId="162" applyNumberFormat="1" applyFont="1" applyBorder="1" applyAlignment="1">
      <alignment horizontal="center" vertical="center"/>
      <protection/>
    </xf>
    <xf numFmtId="2" fontId="2" fillId="0" borderId="20" xfId="162" applyNumberFormat="1" applyFont="1" applyBorder="1" applyAlignment="1">
      <alignment horizontal="center" vertical="center"/>
      <protection/>
    </xf>
    <xf numFmtId="0" fontId="2" fillId="0" borderId="24" xfId="162" applyFont="1" applyBorder="1" applyAlignment="1">
      <alignment horizontal="center" vertical="top"/>
      <protection/>
    </xf>
    <xf numFmtId="49" fontId="2" fillId="0" borderId="24" xfId="162" applyNumberFormat="1" applyFont="1" applyBorder="1" applyAlignment="1">
      <alignment horizontal="center" vertical="top"/>
      <protection/>
    </xf>
    <xf numFmtId="0" fontId="2" fillId="0" borderId="24" xfId="162" applyFont="1" applyBorder="1" applyAlignment="1">
      <alignment horizontal="left" vertical="center"/>
      <protection/>
    </xf>
    <xf numFmtId="0" fontId="2" fillId="0" borderId="24" xfId="162" applyFont="1" applyBorder="1" applyAlignment="1">
      <alignment horizontal="center" vertical="center"/>
      <protection/>
    </xf>
    <xf numFmtId="2" fontId="2" fillId="0" borderId="24" xfId="162" applyNumberFormat="1" applyFont="1" applyBorder="1" applyAlignment="1">
      <alignment horizontal="center" vertical="center"/>
      <protection/>
    </xf>
    <xf numFmtId="49" fontId="31" fillId="0" borderId="24" xfId="162" applyNumberFormat="1" applyFont="1" applyBorder="1" applyAlignment="1">
      <alignment horizontal="center" vertical="top"/>
      <protection/>
    </xf>
    <xf numFmtId="0" fontId="2" fillId="0" borderId="23" xfId="162" applyFont="1" applyBorder="1" applyAlignment="1">
      <alignment horizontal="center" vertical="top"/>
      <protection/>
    </xf>
    <xf numFmtId="0" fontId="2" fillId="0" borderId="23" xfId="162" applyFont="1" applyBorder="1" applyAlignment="1">
      <alignment vertical="center"/>
      <protection/>
    </xf>
    <xf numFmtId="0" fontId="2" fillId="0" borderId="23" xfId="162" applyFont="1" applyBorder="1" applyAlignment="1">
      <alignment horizontal="center" vertical="center"/>
      <protection/>
    </xf>
    <xf numFmtId="2" fontId="2" fillId="0" borderId="23" xfId="162" applyNumberFormat="1" applyFont="1" applyBorder="1" applyAlignment="1">
      <alignment horizontal="center" vertical="center"/>
      <protection/>
    </xf>
    <xf numFmtId="0" fontId="2" fillId="0" borderId="23" xfId="162" applyFont="1" applyBorder="1" applyAlignment="1">
      <alignment horizontal="center"/>
      <protection/>
    </xf>
    <xf numFmtId="49" fontId="31" fillId="0" borderId="23" xfId="162" applyNumberFormat="1" applyFont="1" applyBorder="1" applyAlignment="1">
      <alignment horizontal="center"/>
      <protection/>
    </xf>
    <xf numFmtId="0" fontId="2" fillId="0" borderId="19" xfId="162" applyFont="1" applyBorder="1" applyAlignment="1">
      <alignment horizontal="center" vertical="top"/>
      <protection/>
    </xf>
    <xf numFmtId="49" fontId="2" fillId="0" borderId="19" xfId="162" applyNumberFormat="1" applyFont="1" applyBorder="1" applyAlignment="1">
      <alignment horizontal="center" vertical="top"/>
      <protection/>
    </xf>
    <xf numFmtId="0" fontId="2" fillId="0" borderId="19" xfId="162" applyFont="1" applyBorder="1" applyAlignment="1">
      <alignment vertical="center"/>
      <protection/>
    </xf>
    <xf numFmtId="0" fontId="2" fillId="0" borderId="19" xfId="162" applyFont="1" applyBorder="1" applyAlignment="1">
      <alignment horizontal="center" vertical="center"/>
      <protection/>
    </xf>
    <xf numFmtId="2" fontId="2" fillId="0" borderId="19" xfId="162" applyNumberFormat="1" applyFont="1" applyBorder="1" applyAlignment="1">
      <alignment horizontal="center" vertical="center"/>
      <protection/>
    </xf>
    <xf numFmtId="0" fontId="5" fillId="0" borderId="0" xfId="162">
      <alignment/>
      <protection/>
    </xf>
    <xf numFmtId="0" fontId="2" fillId="0" borderId="20" xfId="162" applyFont="1" applyBorder="1" applyAlignment="1">
      <alignment horizontal="center" vertical="center" wrapText="1"/>
      <protection/>
    </xf>
    <xf numFmtId="2" fontId="2" fillId="0" borderId="26" xfId="162" applyNumberFormat="1" applyFont="1" applyBorder="1" applyAlignment="1">
      <alignment horizontal="center" vertical="center"/>
      <protection/>
    </xf>
    <xf numFmtId="0" fontId="5" fillId="0" borderId="0" xfId="162" applyNumberFormat="1">
      <alignment/>
      <protection/>
    </xf>
    <xf numFmtId="0" fontId="5" fillId="0" borderId="0" xfId="162" applyNumberFormat="1" applyAlignment="1">
      <alignment horizontal="left"/>
      <protection/>
    </xf>
    <xf numFmtId="0" fontId="5" fillId="0" borderId="0" xfId="162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0" xfId="161" applyFont="1" applyBorder="1" applyAlignment="1">
      <alignment horizontal="left"/>
      <protection/>
    </xf>
    <xf numFmtId="2" fontId="2" fillId="0" borderId="20" xfId="161" applyNumberFormat="1" applyFont="1" applyBorder="1" applyAlignment="1">
      <alignment horizontal="center"/>
      <protection/>
    </xf>
    <xf numFmtId="0" fontId="2" fillId="0" borderId="0" xfId="162" applyFont="1">
      <alignment/>
      <protection/>
    </xf>
    <xf numFmtId="0" fontId="33" fillId="0" borderId="0" xfId="0" applyFont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0" xfId="156">
      <alignment/>
      <protection/>
    </xf>
    <xf numFmtId="0" fontId="2" fillId="0" borderId="0" xfId="156" applyFont="1">
      <alignment/>
      <protection/>
    </xf>
    <xf numFmtId="0" fontId="2" fillId="0" borderId="29" xfId="156" applyFont="1" applyBorder="1" applyAlignment="1">
      <alignment horizontal="center" vertical="center" wrapText="1"/>
      <protection/>
    </xf>
    <xf numFmtId="0" fontId="6" fillId="0" borderId="20" xfId="156" applyFont="1" applyBorder="1" applyAlignment="1">
      <alignment horizontal="center" vertical="center" wrapText="1"/>
      <protection/>
    </xf>
    <xf numFmtId="0" fontId="2" fillId="0" borderId="25" xfId="156" applyFont="1" applyBorder="1" applyAlignment="1">
      <alignment horizontal="center" vertical="center" wrapText="1"/>
      <protection/>
    </xf>
    <xf numFmtId="0" fontId="2" fillId="0" borderId="20" xfId="156" applyFont="1" applyBorder="1" applyAlignment="1">
      <alignment horizontal="center" vertical="center" wrapText="1"/>
      <protection/>
    </xf>
    <xf numFmtId="0" fontId="2" fillId="0" borderId="25" xfId="156" applyFont="1" applyBorder="1" applyAlignment="1">
      <alignment vertical="center" wrapText="1"/>
      <protection/>
    </xf>
    <xf numFmtId="0" fontId="2" fillId="0" borderId="19" xfId="156" applyFont="1" applyBorder="1" applyAlignment="1">
      <alignment horizontal="center" vertical="center" wrapText="1"/>
      <protection/>
    </xf>
    <xf numFmtId="0" fontId="2" fillId="0" borderId="23" xfId="156" applyFont="1" applyBorder="1" applyAlignment="1">
      <alignment horizontal="center" vertical="center" wrapText="1"/>
      <protection/>
    </xf>
    <xf numFmtId="0" fontId="2" fillId="0" borderId="24" xfId="156" applyFont="1" applyBorder="1" applyAlignment="1">
      <alignment horizontal="center" vertical="center" wrapText="1"/>
      <protection/>
    </xf>
    <xf numFmtId="0" fontId="2" fillId="0" borderId="21" xfId="156" applyFont="1" applyBorder="1" applyAlignment="1">
      <alignment horizontal="center" vertical="center" wrapText="1"/>
      <protection/>
    </xf>
    <xf numFmtId="0" fontId="2" fillId="0" borderId="29" xfId="156" applyFont="1" applyBorder="1" applyAlignment="1">
      <alignment horizontal="center" vertical="top" wrapText="1"/>
      <protection/>
    </xf>
    <xf numFmtId="0" fontId="30" fillId="0" borderId="20" xfId="156" applyFont="1" applyBorder="1" applyAlignment="1">
      <alignment horizontal="center" vertical="center" wrapText="1"/>
      <protection/>
    </xf>
    <xf numFmtId="0" fontId="3" fillId="0" borderId="19" xfId="156" applyFont="1" applyBorder="1" applyAlignment="1">
      <alignment horizontal="center" vertical="center" wrapText="1"/>
      <protection/>
    </xf>
    <xf numFmtId="2" fontId="2" fillId="0" borderId="0" xfId="161" applyNumberFormat="1" applyFont="1" applyBorder="1" applyAlignment="1">
      <alignment/>
      <protection/>
    </xf>
    <xf numFmtId="0" fontId="3" fillId="0" borderId="20" xfId="161" applyFont="1" applyBorder="1" applyAlignment="1">
      <alignment horizontal="center" vertical="center"/>
      <protection/>
    </xf>
    <xf numFmtId="0" fontId="3" fillId="0" borderId="19" xfId="161" applyFont="1" applyBorder="1" applyAlignment="1">
      <alignment horizontal="center" vertical="center"/>
      <protection/>
    </xf>
    <xf numFmtId="2" fontId="2" fillId="0" borderId="0" xfId="161" applyNumberFormat="1" applyFont="1" applyBorder="1" applyAlignment="1">
      <alignment horizontal="center"/>
      <protection/>
    </xf>
    <xf numFmtId="0" fontId="2" fillId="0" borderId="30" xfId="0" applyFont="1" applyFill="1" applyBorder="1" applyAlignment="1">
      <alignment horizontal="center" vertical="center" wrapText="1"/>
    </xf>
    <xf numFmtId="49" fontId="2" fillId="0" borderId="20" xfId="162" applyNumberFormat="1" applyFont="1" applyBorder="1" applyAlignment="1">
      <alignment horizontal="center" vertical="top" wrapText="1"/>
      <protection/>
    </xf>
    <xf numFmtId="0" fontId="35" fillId="0" borderId="19" xfId="156" applyFont="1" applyBorder="1" applyAlignment="1">
      <alignment horizontal="center" vertical="center" wrapText="1"/>
      <protection/>
    </xf>
    <xf numFmtId="0" fontId="32" fillId="0" borderId="19" xfId="156" applyFont="1" applyBorder="1" applyAlignment="1">
      <alignment horizontal="center" vertical="center" wrapText="1"/>
      <protection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top" wrapText="1"/>
    </xf>
    <xf numFmtId="0" fontId="2" fillId="0" borderId="29" xfId="0" applyFont="1" applyBorder="1" applyAlignment="1">
      <alignment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4" fillId="0" borderId="26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0" xfId="161" applyFont="1" applyBorder="1" applyAlignment="1">
      <alignment vertical="center"/>
      <protection/>
    </xf>
    <xf numFmtId="0" fontId="2" fillId="0" borderId="29" xfId="161" applyNumberFormat="1" applyFont="1" applyBorder="1" applyAlignment="1">
      <alignment horizontal="center" vertical="top"/>
      <protection/>
    </xf>
    <xf numFmtId="0" fontId="2" fillId="0" borderId="21" xfId="161" applyFont="1" applyBorder="1" applyAlignment="1">
      <alignment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2" fillId="0" borderId="30" xfId="161" applyNumberFormat="1" applyFont="1" applyBorder="1" applyAlignment="1">
      <alignment horizontal="center" vertical="top"/>
      <protection/>
    </xf>
    <xf numFmtId="0" fontId="2" fillId="0" borderId="28" xfId="161" applyNumberFormat="1" applyFont="1" applyBorder="1" applyAlignment="1">
      <alignment horizontal="center" vertical="top"/>
      <protection/>
    </xf>
    <xf numFmtId="0" fontId="2" fillId="0" borderId="22" xfId="161" applyFont="1" applyBorder="1" applyAlignment="1">
      <alignment vertical="center"/>
      <protection/>
    </xf>
    <xf numFmtId="0" fontId="3" fillId="0" borderId="20" xfId="162" applyFont="1" applyBorder="1" applyAlignment="1">
      <alignment horizontal="left" vertical="center" wrapText="1"/>
      <protection/>
    </xf>
    <xf numFmtId="0" fontId="3" fillId="0" borderId="20" xfId="162" applyFont="1" applyBorder="1" applyAlignment="1">
      <alignment horizontal="center" vertical="center"/>
      <protection/>
    </xf>
    <xf numFmtId="0" fontId="3" fillId="0" borderId="19" xfId="162" applyFont="1" applyBorder="1" applyAlignment="1">
      <alignment horizontal="left" vertical="center" wrapText="1"/>
      <protection/>
    </xf>
    <xf numFmtId="0" fontId="3" fillId="0" borderId="19" xfId="162" applyFont="1" applyBorder="1" applyAlignment="1">
      <alignment vertical="center" wrapText="1"/>
      <protection/>
    </xf>
    <xf numFmtId="49" fontId="3" fillId="0" borderId="19" xfId="156" applyNumberFormat="1" applyFont="1" applyBorder="1" applyAlignment="1">
      <alignment horizontal="center" vertical="center" wrapText="1"/>
      <protection/>
    </xf>
    <xf numFmtId="0" fontId="3" fillId="0" borderId="19" xfId="162" applyFont="1" applyBorder="1" applyAlignment="1">
      <alignment horizontal="center" vertical="center"/>
      <protection/>
    </xf>
    <xf numFmtId="0" fontId="2" fillId="0" borderId="24" xfId="162" applyFont="1" applyBorder="1" applyAlignment="1">
      <alignment horizontal="center"/>
      <protection/>
    </xf>
    <xf numFmtId="2" fontId="2" fillId="0" borderId="24" xfId="162" applyNumberFormat="1" applyFont="1" applyBorder="1" applyAlignment="1">
      <alignment horizontal="center"/>
      <protection/>
    </xf>
    <xf numFmtId="0" fontId="2" fillId="0" borderId="24" xfId="162" applyFont="1" applyBorder="1" applyAlignment="1">
      <alignment horizontal="left"/>
      <protection/>
    </xf>
    <xf numFmtId="0" fontId="2" fillId="0" borderId="20" xfId="156" applyFont="1" applyBorder="1" applyAlignment="1">
      <alignment horizontal="center" vertical="top" wrapText="1"/>
      <protection/>
    </xf>
    <xf numFmtId="0" fontId="3" fillId="0" borderId="25" xfId="162" applyFont="1" applyBorder="1" applyAlignment="1">
      <alignment horizontal="left" vertical="center" wrapText="1"/>
      <protection/>
    </xf>
    <xf numFmtId="0" fontId="3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2" fillId="0" borderId="29" xfId="161" applyFont="1" applyBorder="1" applyAlignment="1">
      <alignment horizontal="center"/>
      <protection/>
    </xf>
    <xf numFmtId="0" fontId="2" fillId="0" borderId="21" xfId="161" applyFont="1" applyBorder="1" applyAlignment="1">
      <alignment horizontal="center"/>
      <protection/>
    </xf>
    <xf numFmtId="0" fontId="2" fillId="0" borderId="24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center" vertical="top" wrapText="1"/>
    </xf>
    <xf numFmtId="0" fontId="6" fillId="0" borderId="23" xfId="137" applyFont="1" applyFill="1" applyBorder="1" applyAlignment="1">
      <alignment horizontal="center" vertical="center" wrapText="1"/>
      <protection/>
    </xf>
    <xf numFmtId="0" fontId="6" fillId="0" borderId="19" xfId="137" applyFont="1" applyFill="1" applyBorder="1" applyAlignment="1">
      <alignment horizontal="center" vertical="center" wrapText="1"/>
      <protection/>
    </xf>
    <xf numFmtId="0" fontId="2" fillId="0" borderId="30" xfId="156" applyFont="1" applyBorder="1" applyAlignment="1">
      <alignment horizontal="center" vertical="top" wrapText="1"/>
      <protection/>
    </xf>
    <xf numFmtId="0" fontId="2" fillId="47" borderId="20" xfId="151" applyFont="1" applyFill="1" applyBorder="1" applyAlignment="1">
      <alignment horizontal="center" vertical="center" wrapText="1"/>
      <protection/>
    </xf>
    <xf numFmtId="0" fontId="2" fillId="47" borderId="30" xfId="151" applyFont="1" applyFill="1" applyBorder="1" applyAlignment="1">
      <alignment vertical="center" wrapText="1"/>
      <protection/>
    </xf>
    <xf numFmtId="0" fontId="2" fillId="47" borderId="24" xfId="151" applyFont="1" applyFill="1" applyBorder="1" applyAlignment="1">
      <alignment horizontal="center" vertical="center" wrapText="1"/>
      <protection/>
    </xf>
    <xf numFmtId="0" fontId="2" fillId="47" borderId="0" xfId="151" applyFont="1" applyFill="1" applyBorder="1" applyAlignment="1">
      <alignment horizontal="center" vertical="center" wrapText="1"/>
      <protection/>
    </xf>
    <xf numFmtId="184" fontId="2" fillId="47" borderId="24" xfId="151" applyNumberFormat="1" applyFont="1" applyFill="1" applyBorder="1" applyAlignment="1">
      <alignment horizontal="center" vertical="center" wrapText="1"/>
      <protection/>
    </xf>
    <xf numFmtId="2" fontId="2" fillId="47" borderId="0" xfId="151" applyNumberFormat="1" applyFont="1" applyFill="1" applyBorder="1" applyAlignment="1">
      <alignment horizontal="center" vertical="center" wrapText="1"/>
      <protection/>
    </xf>
    <xf numFmtId="2" fontId="2" fillId="47" borderId="24" xfId="151" applyNumberFormat="1" applyFont="1" applyFill="1" applyBorder="1" applyAlignment="1">
      <alignment horizontal="center" vertical="center" wrapText="1"/>
      <protection/>
    </xf>
    <xf numFmtId="0" fontId="4" fillId="47" borderId="30" xfId="151" applyFont="1" applyFill="1" applyBorder="1" applyAlignment="1">
      <alignment horizontal="left" vertical="center" wrapText="1"/>
      <protection/>
    </xf>
    <xf numFmtId="0" fontId="2" fillId="47" borderId="22" xfId="162" applyFont="1" applyFill="1" applyBorder="1" applyAlignment="1">
      <alignment vertical="center"/>
      <protection/>
    </xf>
    <xf numFmtId="0" fontId="2" fillId="47" borderId="23" xfId="162" applyFont="1" applyFill="1" applyBorder="1" applyAlignment="1">
      <alignment horizontal="center" vertical="center"/>
      <protection/>
    </xf>
    <xf numFmtId="0" fontId="2" fillId="47" borderId="22" xfId="0" applyFont="1" applyFill="1" applyBorder="1" applyAlignment="1">
      <alignment horizontal="center" vertical="center" wrapText="1"/>
    </xf>
    <xf numFmtId="2" fontId="2" fillId="47" borderId="23" xfId="0" applyNumberFormat="1" applyFont="1" applyFill="1" applyBorder="1" applyAlignment="1">
      <alignment horizontal="center" vertical="center" wrapText="1"/>
    </xf>
    <xf numFmtId="2" fontId="2" fillId="47" borderId="23" xfId="162" applyNumberFormat="1" applyFont="1" applyFill="1" applyBorder="1" applyAlignment="1">
      <alignment horizontal="center" vertical="center"/>
      <protection/>
    </xf>
    <xf numFmtId="2" fontId="2" fillId="47" borderId="23" xfId="151" applyNumberFormat="1" applyFont="1" applyFill="1" applyBorder="1" applyAlignment="1">
      <alignment horizontal="center" vertical="center" wrapText="1"/>
      <protection/>
    </xf>
    <xf numFmtId="186" fontId="2" fillId="0" borderId="0" xfId="0" applyNumberFormat="1" applyFont="1" applyBorder="1" applyAlignment="1">
      <alignment horizontal="center"/>
    </xf>
    <xf numFmtId="0" fontId="2" fillId="0" borderId="0" xfId="161" applyFont="1" applyBorder="1" applyAlignment="1">
      <alignment horizontal="center" vertical="center"/>
      <protection/>
    </xf>
    <xf numFmtId="0" fontId="2" fillId="0" borderId="24" xfId="161" applyFont="1" applyBorder="1" applyAlignment="1">
      <alignment horizontal="left" vertical="center" wrapText="1"/>
      <protection/>
    </xf>
    <xf numFmtId="184" fontId="88" fillId="0" borderId="20" xfId="0" applyNumberFormat="1" applyFont="1" applyFill="1" applyBorder="1" applyAlignment="1">
      <alignment horizontal="center" vertical="center" wrapText="1"/>
    </xf>
    <xf numFmtId="0" fontId="2" fillId="0" borderId="25" xfId="162" applyFont="1" applyBorder="1" applyAlignment="1">
      <alignment vertical="center" wrapText="1"/>
      <protection/>
    </xf>
    <xf numFmtId="0" fontId="2" fillId="0" borderId="27" xfId="162" applyFont="1" applyBorder="1" applyAlignment="1">
      <alignment vertical="center"/>
      <protection/>
    </xf>
    <xf numFmtId="0" fontId="3" fillId="0" borderId="19" xfId="0" applyFont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2" fillId="0" borderId="22" xfId="162" applyFont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top" wrapText="1"/>
    </xf>
    <xf numFmtId="0" fontId="2" fillId="0" borderId="21" xfId="162" applyFont="1" applyBorder="1" applyAlignment="1">
      <alignment vertical="center" wrapText="1"/>
      <protection/>
    </xf>
    <xf numFmtId="2" fontId="2" fillId="0" borderId="21" xfId="162" applyNumberFormat="1" applyFont="1" applyBorder="1" applyAlignment="1">
      <alignment horizontal="center" vertical="center"/>
      <protection/>
    </xf>
    <xf numFmtId="0" fontId="2" fillId="0" borderId="30" xfId="0" applyFont="1" applyFill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center"/>
    </xf>
    <xf numFmtId="2" fontId="2" fillId="0" borderId="0" xfId="162" applyNumberFormat="1" applyFont="1" applyBorder="1" applyAlignment="1">
      <alignment horizontal="center" vertical="center"/>
      <protection/>
    </xf>
    <xf numFmtId="0" fontId="2" fillId="0" borderId="0" xfId="162" applyFont="1" applyBorder="1" applyAlignment="1">
      <alignment vertical="center"/>
      <protection/>
    </xf>
    <xf numFmtId="0" fontId="2" fillId="0" borderId="28" xfId="0" applyFont="1" applyFill="1" applyBorder="1" applyAlignment="1">
      <alignment horizontal="center" vertical="top" wrapText="1"/>
    </xf>
    <xf numFmtId="2" fontId="2" fillId="0" borderId="22" xfId="162" applyNumberFormat="1" applyFont="1" applyBorder="1" applyAlignment="1">
      <alignment horizontal="center" vertical="center"/>
      <protection/>
    </xf>
    <xf numFmtId="2" fontId="2" fillId="0" borderId="23" xfId="0" applyNumberFormat="1" applyFont="1" applyBorder="1" applyAlignment="1">
      <alignment horizontal="center" vertical="center"/>
    </xf>
    <xf numFmtId="186" fontId="3" fillId="0" borderId="20" xfId="156" applyNumberFormat="1" applyFont="1" applyBorder="1" applyAlignment="1">
      <alignment horizontal="center" vertical="center" wrapText="1"/>
      <protection/>
    </xf>
    <xf numFmtId="186" fontId="3" fillId="0" borderId="19" xfId="156" applyNumberFormat="1" applyFont="1" applyBorder="1" applyAlignment="1">
      <alignment horizontal="center" vertical="center" wrapText="1"/>
      <protection/>
    </xf>
    <xf numFmtId="0" fontId="3" fillId="0" borderId="32" xfId="162" applyFont="1" applyBorder="1" applyAlignment="1">
      <alignment horizontal="left" vertical="center" wrapText="1"/>
      <protection/>
    </xf>
    <xf numFmtId="0" fontId="3" fillId="0" borderId="19" xfId="137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2" fontId="2" fillId="0" borderId="0" xfId="162" applyNumberFormat="1" applyFont="1" applyAlignment="1">
      <alignment horizontal="center" vertical="center"/>
      <protection/>
    </xf>
    <xf numFmtId="0" fontId="2" fillId="0" borderId="0" xfId="162" applyFont="1" applyAlignment="1">
      <alignment vertical="center"/>
      <protection/>
    </xf>
    <xf numFmtId="0" fontId="2" fillId="0" borderId="24" xfId="0" applyNumberFormat="1" applyFont="1" applyBorder="1" applyAlignment="1">
      <alignment horizontal="center" vertical="center"/>
    </xf>
    <xf numFmtId="0" fontId="2" fillId="0" borderId="23" xfId="161" applyFont="1" applyBorder="1" applyAlignment="1">
      <alignment horizontal="left" vertical="center" wrapText="1"/>
      <protection/>
    </xf>
    <xf numFmtId="2" fontId="3" fillId="0" borderId="19" xfId="156" applyNumberFormat="1" applyFont="1" applyBorder="1" applyAlignment="1">
      <alignment horizontal="center" vertical="center" wrapText="1"/>
      <protection/>
    </xf>
    <xf numFmtId="0" fontId="3" fillId="0" borderId="25" xfId="161" applyFont="1" applyBorder="1" applyAlignment="1">
      <alignment horizontal="left" vertical="center" wrapText="1"/>
      <protection/>
    </xf>
    <xf numFmtId="0" fontId="3" fillId="0" borderId="25" xfId="162" applyFont="1" applyBorder="1" applyAlignment="1">
      <alignment vertical="center" wrapText="1"/>
      <protection/>
    </xf>
    <xf numFmtId="2" fontId="2" fillId="0" borderId="19" xfId="161" applyNumberFormat="1" applyFont="1" applyBorder="1" applyAlignment="1">
      <alignment horizontal="center"/>
      <protection/>
    </xf>
    <xf numFmtId="0" fontId="3" fillId="0" borderId="32" xfId="162" applyFont="1" applyBorder="1" applyAlignment="1">
      <alignment vertical="center" wrapText="1"/>
      <protection/>
    </xf>
    <xf numFmtId="0" fontId="1" fillId="0" borderId="0" xfId="137" applyFont="1" applyFill="1" applyAlignment="1">
      <alignment horizontal="center" vertical="center" wrapText="1"/>
      <protection/>
    </xf>
    <xf numFmtId="0" fontId="2" fillId="0" borderId="0" xfId="137" applyFont="1" applyFill="1" applyAlignment="1">
      <alignment horizontal="right" vertical="center" wrapText="1"/>
      <protection/>
    </xf>
    <xf numFmtId="2" fontId="2" fillId="0" borderId="22" xfId="137" applyNumberFormat="1" applyFont="1" applyFill="1" applyBorder="1" applyAlignment="1">
      <alignment horizontal="center" vertical="center" wrapText="1"/>
      <protection/>
    </xf>
    <xf numFmtId="0" fontId="1" fillId="0" borderId="0" xfId="137" applyFont="1" applyFill="1" applyBorder="1" applyAlignment="1">
      <alignment horizontal="center" vertical="center" wrapText="1"/>
      <protection/>
    </xf>
    <xf numFmtId="0" fontId="3" fillId="0" borderId="19" xfId="137" applyFont="1" applyFill="1" applyBorder="1" applyAlignment="1">
      <alignment horizontal="center" vertical="center" wrapText="1"/>
      <protection/>
    </xf>
    <xf numFmtId="2" fontId="3" fillId="0" borderId="19" xfId="162" applyNumberFormat="1" applyFont="1" applyBorder="1" applyAlignment="1">
      <alignment horizontal="center" vertical="center"/>
      <protection/>
    </xf>
    <xf numFmtId="0" fontId="3" fillId="0" borderId="19" xfId="162" applyFont="1" applyBorder="1" applyAlignment="1">
      <alignment vertical="center"/>
      <protection/>
    </xf>
    <xf numFmtId="0" fontId="1" fillId="0" borderId="0" xfId="137" applyFont="1" applyFill="1" applyAlignment="1">
      <alignment horizontal="center" vertical="center"/>
      <protection/>
    </xf>
    <xf numFmtId="0" fontId="6" fillId="0" borderId="19" xfId="156" applyFont="1" applyBorder="1" applyAlignment="1">
      <alignment horizontal="left" vertical="center" wrapText="1"/>
      <protection/>
    </xf>
    <xf numFmtId="0" fontId="2" fillId="0" borderId="24" xfId="156" applyFont="1" applyBorder="1" applyAlignment="1">
      <alignment horizontal="center" vertical="top" wrapText="1"/>
      <protection/>
    </xf>
    <xf numFmtId="49" fontId="2" fillId="0" borderId="24" xfId="162" applyNumberFormat="1" applyFont="1" applyBorder="1" applyAlignment="1">
      <alignment horizontal="center"/>
      <protection/>
    </xf>
    <xf numFmtId="49" fontId="2" fillId="0" borderId="23" xfId="162" applyNumberFormat="1" applyFont="1" applyBorder="1" applyAlignment="1">
      <alignment horizontal="center"/>
      <protection/>
    </xf>
    <xf numFmtId="1" fontId="3" fillId="0" borderId="19" xfId="156" applyNumberFormat="1" applyFont="1" applyBorder="1" applyAlignment="1">
      <alignment horizontal="center" vertical="center" wrapText="1"/>
      <protection/>
    </xf>
    <xf numFmtId="0" fontId="89" fillId="0" borderId="19" xfId="0" applyFont="1" applyFill="1" applyBorder="1" applyAlignment="1">
      <alignment horizontal="center" vertical="center"/>
    </xf>
    <xf numFmtId="0" fontId="3" fillId="0" borderId="19" xfId="162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center" vertical="center" wrapText="1"/>
    </xf>
    <xf numFmtId="0" fontId="2" fillId="0" borderId="19" xfId="161" applyFont="1" applyBorder="1" applyAlignment="1">
      <alignment horizontal="left"/>
      <protection/>
    </xf>
    <xf numFmtId="0" fontId="2" fillId="0" borderId="19" xfId="161" applyFont="1" applyBorder="1" applyAlignment="1">
      <alignment horizontal="center"/>
      <protection/>
    </xf>
    <xf numFmtId="185" fontId="4" fillId="0" borderId="20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2" fillId="0" borderId="19" xfId="156" applyNumberFormat="1" applyFont="1" applyBorder="1" applyAlignment="1">
      <alignment horizontal="center" vertical="center" wrapText="1"/>
      <protection/>
    </xf>
    <xf numFmtId="0" fontId="3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162" applyFont="1" applyAlignment="1">
      <alignment horizontal="center" vertical="center"/>
      <protection/>
    </xf>
    <xf numFmtId="184" fontId="4" fillId="0" borderId="20" xfId="0" applyNumberFormat="1" applyFont="1" applyFill="1" applyBorder="1" applyAlignment="1">
      <alignment horizontal="center" vertical="center" wrapText="1"/>
    </xf>
    <xf numFmtId="0" fontId="3" fillId="0" borderId="23" xfId="162" applyFont="1" applyBorder="1" applyAlignment="1">
      <alignment horizontal="center" vertical="center"/>
      <protection/>
    </xf>
    <xf numFmtId="0" fontId="3" fillId="0" borderId="24" xfId="162" applyFont="1" applyBorder="1" applyAlignment="1">
      <alignment horizontal="center" vertical="center"/>
      <protection/>
    </xf>
    <xf numFmtId="0" fontId="34" fillId="0" borderId="0" xfId="162" applyFont="1">
      <alignment/>
      <protection/>
    </xf>
    <xf numFmtId="0" fontId="34" fillId="0" borderId="0" xfId="162" applyFont="1" applyAlignment="1">
      <alignment horizontal="center"/>
      <protection/>
    </xf>
    <xf numFmtId="0" fontId="3" fillId="0" borderId="0" xfId="162" applyFont="1" applyAlignment="1">
      <alignment horizontal="center"/>
      <protection/>
    </xf>
    <xf numFmtId="0" fontId="3" fillId="0" borderId="0" xfId="162" applyFont="1">
      <alignment/>
      <protection/>
    </xf>
    <xf numFmtId="0" fontId="3" fillId="0" borderId="20" xfId="162" applyFont="1" applyBorder="1" applyAlignment="1">
      <alignment horizontal="center" vertical="top"/>
      <protection/>
    </xf>
    <xf numFmtId="49" fontId="3" fillId="0" borderId="20" xfId="162" applyNumberFormat="1" applyFont="1" applyBorder="1" applyAlignment="1">
      <alignment horizontal="center" vertical="top"/>
      <protection/>
    </xf>
    <xf numFmtId="2" fontId="3" fillId="0" borderId="20" xfId="162" applyNumberFormat="1" applyFont="1" applyBorder="1" applyAlignment="1">
      <alignment horizontal="center" vertical="center"/>
      <protection/>
    </xf>
    <xf numFmtId="0" fontId="3" fillId="0" borderId="24" xfId="162" applyFont="1" applyBorder="1" applyAlignment="1">
      <alignment horizontal="center" vertical="top"/>
      <protection/>
    </xf>
    <xf numFmtId="49" fontId="3" fillId="0" borderId="24" xfId="162" applyNumberFormat="1" applyFont="1" applyBorder="1" applyAlignment="1">
      <alignment horizontal="center" vertical="top"/>
      <protection/>
    </xf>
    <xf numFmtId="0" fontId="3" fillId="0" borderId="24" xfId="162" applyFont="1" applyBorder="1" applyAlignment="1">
      <alignment horizontal="left" vertical="center"/>
      <protection/>
    </xf>
    <xf numFmtId="2" fontId="3" fillId="0" borderId="24" xfId="162" applyNumberFormat="1" applyFont="1" applyBorder="1" applyAlignment="1">
      <alignment horizontal="center" vertical="center"/>
      <protection/>
    </xf>
    <xf numFmtId="49" fontId="46" fillId="0" borderId="24" xfId="162" applyNumberFormat="1" applyFont="1" applyBorder="1" applyAlignment="1">
      <alignment horizontal="center" vertical="top"/>
      <protection/>
    </xf>
    <xf numFmtId="2" fontId="3" fillId="47" borderId="0" xfId="151" applyNumberFormat="1" applyFont="1" applyFill="1" applyBorder="1" applyAlignment="1">
      <alignment horizontal="center" vertical="center" wrapText="1"/>
      <protection/>
    </xf>
    <xf numFmtId="0" fontId="3" fillId="0" borderId="23" xfId="162" applyFont="1" applyBorder="1" applyAlignment="1">
      <alignment horizontal="center" vertical="top"/>
      <protection/>
    </xf>
    <xf numFmtId="0" fontId="3" fillId="0" borderId="23" xfId="162" applyFont="1" applyBorder="1" applyAlignment="1">
      <alignment vertical="center"/>
      <protection/>
    </xf>
    <xf numFmtId="2" fontId="3" fillId="0" borderId="23" xfId="162" applyNumberFormat="1" applyFont="1" applyBorder="1" applyAlignment="1">
      <alignment horizontal="center" vertical="center"/>
      <protection/>
    </xf>
    <xf numFmtId="0" fontId="3" fillId="0" borderId="23" xfId="162" applyFont="1" applyBorder="1" applyAlignment="1">
      <alignment horizontal="center"/>
      <protection/>
    </xf>
    <xf numFmtId="49" fontId="46" fillId="0" borderId="23" xfId="162" applyNumberFormat="1" applyFont="1" applyBorder="1" applyAlignment="1">
      <alignment horizontal="center"/>
      <protection/>
    </xf>
    <xf numFmtId="49" fontId="3" fillId="0" borderId="19" xfId="162" applyNumberFormat="1" applyFont="1" applyBorder="1" applyAlignment="1">
      <alignment horizontal="center" vertical="top"/>
      <protection/>
    </xf>
    <xf numFmtId="2" fontId="3" fillId="0" borderId="26" xfId="162" applyNumberFormat="1" applyFont="1" applyBorder="1" applyAlignment="1">
      <alignment horizontal="center" vertical="center"/>
      <protection/>
    </xf>
    <xf numFmtId="2" fontId="3" fillId="0" borderId="19" xfId="0" applyNumberFormat="1" applyFont="1" applyFill="1" applyBorder="1" applyAlignment="1">
      <alignment horizontal="center" vertical="center" wrapText="1"/>
    </xf>
    <xf numFmtId="0" fontId="34" fillId="0" borderId="0" xfId="162" applyNumberFormat="1" applyFont="1">
      <alignment/>
      <protection/>
    </xf>
    <xf numFmtId="0" fontId="39" fillId="0" borderId="0" xfId="163" applyFont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26" xfId="162" applyFont="1" applyBorder="1" applyAlignment="1">
      <alignment vertical="center"/>
      <protection/>
    </xf>
    <xf numFmtId="0" fontId="2" fillId="0" borderId="27" xfId="14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3" fillId="0" borderId="20" xfId="162" applyFont="1" applyBorder="1" applyAlignment="1">
      <alignment vertical="center" wrapText="1"/>
      <protection/>
    </xf>
    <xf numFmtId="0" fontId="32" fillId="0" borderId="19" xfId="137" applyFont="1" applyFill="1" applyBorder="1" applyAlignment="1">
      <alignment horizontal="center" vertical="center" wrapText="1"/>
      <protection/>
    </xf>
    <xf numFmtId="0" fontId="32" fillId="0" borderId="23" xfId="137" applyFont="1" applyFill="1" applyBorder="1" applyAlignment="1">
      <alignment horizontal="center" vertical="center" wrapText="1"/>
      <protection/>
    </xf>
    <xf numFmtId="0" fontId="32" fillId="0" borderId="19" xfId="162" applyFont="1" applyFill="1" applyBorder="1" applyAlignment="1">
      <alignment horizontal="center" vertical="center"/>
      <protection/>
    </xf>
    <xf numFmtId="186" fontId="32" fillId="0" borderId="19" xfId="137" applyNumberFormat="1" applyFont="1" applyFill="1" applyBorder="1" applyAlignment="1">
      <alignment horizontal="center" vertical="center" wrapText="1"/>
      <protection/>
    </xf>
    <xf numFmtId="186" fontId="32" fillId="0" borderId="19" xfId="162" applyNumberFormat="1" applyFont="1" applyFill="1" applyBorder="1" applyAlignment="1">
      <alignment horizontal="center" vertical="center"/>
      <protection/>
    </xf>
    <xf numFmtId="2" fontId="32" fillId="0" borderId="19" xfId="162" applyNumberFormat="1" applyFont="1" applyFill="1" applyBorder="1" applyAlignment="1">
      <alignment horizontal="center" vertical="center"/>
      <protection/>
    </xf>
    <xf numFmtId="0" fontId="32" fillId="0" borderId="19" xfId="162" applyFont="1" applyFill="1" applyBorder="1" applyAlignment="1">
      <alignment horizontal="center" vertical="top"/>
      <protection/>
    </xf>
    <xf numFmtId="0" fontId="32" fillId="0" borderId="19" xfId="162" applyFont="1" applyFill="1" applyBorder="1" applyAlignment="1">
      <alignment horizontal="left" vertical="center" wrapText="1"/>
      <protection/>
    </xf>
    <xf numFmtId="0" fontId="32" fillId="0" borderId="19" xfId="0" applyFont="1" applyFill="1" applyBorder="1" applyAlignment="1">
      <alignment vertical="center" wrapText="1"/>
    </xf>
    <xf numFmtId="1" fontId="32" fillId="0" borderId="19" xfId="137" applyNumberFormat="1" applyFont="1" applyFill="1" applyBorder="1" applyAlignment="1">
      <alignment horizontal="center" vertical="center"/>
      <protection/>
    </xf>
    <xf numFmtId="186" fontId="32" fillId="0" borderId="19" xfId="137" applyNumberFormat="1" applyFont="1" applyFill="1" applyBorder="1" applyAlignment="1">
      <alignment horizontal="center" vertical="center"/>
      <protection/>
    </xf>
    <xf numFmtId="0" fontId="2" fillId="0" borderId="0" xfId="162" applyFont="1" applyAlignment="1">
      <alignment horizontal="center" vertical="center" wrapText="1"/>
      <protection/>
    </xf>
    <xf numFmtId="2" fontId="3" fillId="0" borderId="20" xfId="156" applyNumberFormat="1" applyFont="1" applyBorder="1" applyAlignment="1">
      <alignment horizontal="center" vertical="center" wrapText="1"/>
      <protection/>
    </xf>
    <xf numFmtId="184" fontId="3" fillId="0" borderId="19" xfId="156" applyNumberFormat="1" applyFont="1" applyBorder="1" applyAlignment="1">
      <alignment horizontal="center" vertical="center" wrapText="1"/>
      <protection/>
    </xf>
    <xf numFmtId="0" fontId="2" fillId="0" borderId="22" xfId="162" applyFont="1" applyBorder="1" applyAlignment="1">
      <alignment horizontal="center" vertical="center"/>
      <protection/>
    </xf>
    <xf numFmtId="2" fontId="2" fillId="0" borderId="20" xfId="162" applyNumberFormat="1" applyFont="1" applyFill="1" applyBorder="1" applyAlignment="1">
      <alignment horizontal="center" vertical="center"/>
      <protection/>
    </xf>
    <xf numFmtId="2" fontId="2" fillId="0" borderId="0" xfId="151" applyNumberFormat="1" applyFont="1" applyFill="1" applyBorder="1" applyAlignment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 wrapText="1"/>
    </xf>
    <xf numFmtId="0" fontId="2" fillId="47" borderId="0" xfId="0" applyFont="1" applyFill="1" applyBorder="1" applyAlignment="1">
      <alignment vertical="center" wrapText="1"/>
    </xf>
    <xf numFmtId="0" fontId="2" fillId="0" borderId="0" xfId="162" applyFont="1" applyBorder="1" applyAlignment="1">
      <alignment horizontal="center" vertical="center"/>
      <protection/>
    </xf>
    <xf numFmtId="0" fontId="2" fillId="0" borderId="0" xfId="161" applyFont="1" applyBorder="1" applyAlignment="1">
      <alignment horizontal="left" vertical="center"/>
      <protection/>
    </xf>
    <xf numFmtId="0" fontId="2" fillId="0" borderId="21" xfId="162" applyFont="1" applyBorder="1" applyAlignment="1">
      <alignment horizontal="center" vertical="center"/>
      <protection/>
    </xf>
    <xf numFmtId="0" fontId="2" fillId="0" borderId="30" xfId="162" applyNumberFormat="1" applyFont="1" applyBorder="1" applyAlignment="1">
      <alignment horizontal="center"/>
      <protection/>
    </xf>
    <xf numFmtId="0" fontId="2" fillId="0" borderId="28" xfId="162" applyNumberFormat="1" applyFont="1" applyBorder="1" applyAlignment="1">
      <alignment horizontal="center"/>
      <protection/>
    </xf>
    <xf numFmtId="0" fontId="4" fillId="0" borderId="22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2" fillId="47" borderId="0" xfId="0" applyNumberFormat="1" applyFont="1" applyFill="1" applyBorder="1" applyAlignment="1">
      <alignment horizontal="center" vertical="center" wrapText="1"/>
    </xf>
    <xf numFmtId="2" fontId="2" fillId="47" borderId="24" xfId="0" applyNumberFormat="1" applyFont="1" applyFill="1" applyBorder="1" applyAlignment="1">
      <alignment horizontal="center" vertical="center"/>
    </xf>
    <xf numFmtId="0" fontId="32" fillId="47" borderId="24" xfId="0" applyFont="1" applyFill="1" applyBorder="1" applyAlignment="1">
      <alignment horizontal="center" vertical="center" wrapText="1"/>
    </xf>
    <xf numFmtId="2" fontId="2" fillId="47" borderId="24" xfId="111" applyNumberFormat="1" applyFont="1" applyFill="1" applyBorder="1" applyAlignment="1">
      <alignment horizontal="center" vertical="center"/>
      <protection/>
    </xf>
    <xf numFmtId="0" fontId="32" fillId="0" borderId="23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center" wrapText="1"/>
    </xf>
    <xf numFmtId="2" fontId="2" fillId="47" borderId="23" xfId="111" applyNumberFormat="1" applyFont="1" applyFill="1" applyBorder="1" applyAlignment="1">
      <alignment horizontal="center" vertical="center"/>
      <protection/>
    </xf>
    <xf numFmtId="0" fontId="2" fillId="47" borderId="24" xfId="107" applyFont="1" applyFill="1" applyBorder="1" applyAlignment="1">
      <alignment horizontal="center" vertical="center" wrapText="1"/>
      <protection/>
    </xf>
    <xf numFmtId="0" fontId="49" fillId="47" borderId="0" xfId="0" applyFont="1" applyFill="1" applyBorder="1" applyAlignment="1">
      <alignment vertical="center" wrapText="1"/>
    </xf>
    <xf numFmtId="0" fontId="49" fillId="47" borderId="21" xfId="0" applyFont="1" applyFill="1" applyBorder="1" applyAlignment="1">
      <alignment vertical="center" wrapText="1"/>
    </xf>
    <xf numFmtId="0" fontId="49" fillId="47" borderId="23" xfId="107" applyFont="1" applyFill="1" applyBorder="1" applyAlignment="1">
      <alignment horizontal="center" vertical="center" wrapText="1"/>
      <protection/>
    </xf>
    <xf numFmtId="0" fontId="2" fillId="0" borderId="29" xfId="162" applyNumberFormat="1" applyFont="1" applyBorder="1" applyAlignment="1">
      <alignment horizontal="center" vertical="top"/>
      <protection/>
    </xf>
    <xf numFmtId="0" fontId="2" fillId="0" borderId="30" xfId="162" applyNumberFormat="1" applyFont="1" applyBorder="1" applyAlignment="1">
      <alignment horizontal="center" vertical="top"/>
      <protection/>
    </xf>
    <xf numFmtId="0" fontId="2" fillId="47" borderId="22" xfId="0" applyFont="1" applyFill="1" applyBorder="1" applyAlignment="1">
      <alignment vertical="center" wrapText="1"/>
    </xf>
    <xf numFmtId="0" fontId="2" fillId="47" borderId="24" xfId="0" applyNumberFormat="1" applyFont="1" applyFill="1" applyBorder="1" applyAlignment="1">
      <alignment horizontal="center" vertical="center" wrapText="1"/>
    </xf>
    <xf numFmtId="186" fontId="2" fillId="47" borderId="24" xfId="111" applyNumberFormat="1" applyFont="1" applyFill="1" applyBorder="1" applyAlignment="1">
      <alignment horizontal="center" vertical="center"/>
      <protection/>
    </xf>
    <xf numFmtId="2" fontId="7" fillId="0" borderId="0" xfId="161" applyNumberFormat="1" applyFont="1">
      <alignment/>
      <protection/>
    </xf>
    <xf numFmtId="0" fontId="2" fillId="0" borderId="0" xfId="162" applyFont="1" applyFill="1" applyAlignment="1">
      <alignment horizontal="center" vertical="center"/>
      <protection/>
    </xf>
    <xf numFmtId="0" fontId="2" fillId="0" borderId="0" xfId="161" applyFont="1" applyBorder="1" applyAlignment="1">
      <alignment horizontal="left"/>
      <protection/>
    </xf>
    <xf numFmtId="0" fontId="2" fillId="0" borderId="0" xfId="161" applyFont="1" applyBorder="1" applyAlignment="1">
      <alignment horizontal="left" vertical="center" wrapText="1"/>
      <protection/>
    </xf>
    <xf numFmtId="2" fontId="2" fillId="0" borderId="0" xfId="161" applyNumberFormat="1" applyFont="1" applyBorder="1" applyAlignment="1">
      <alignment horizontal="center" vertical="center"/>
      <protection/>
    </xf>
    <xf numFmtId="0" fontId="2" fillId="0" borderId="30" xfId="161" applyFont="1" applyBorder="1" applyAlignment="1">
      <alignment horizontal="center" vertical="top"/>
      <protection/>
    </xf>
    <xf numFmtId="2" fontId="6" fillId="0" borderId="20" xfId="161" applyNumberFormat="1" applyFont="1" applyBorder="1" applyAlignment="1">
      <alignment horizontal="center"/>
      <protection/>
    </xf>
    <xf numFmtId="0" fontId="2" fillId="0" borderId="28" xfId="162" applyNumberFormat="1" applyFont="1" applyBorder="1" applyAlignment="1">
      <alignment horizontal="center" vertical="top"/>
      <protection/>
    </xf>
    <xf numFmtId="0" fontId="52" fillId="47" borderId="19" xfId="0" applyFont="1" applyFill="1" applyBorder="1" applyAlignment="1">
      <alignment vertical="center" wrapText="1"/>
    </xf>
    <xf numFmtId="0" fontId="3" fillId="0" borderId="0" xfId="162" applyFont="1" applyBorder="1" applyAlignment="1">
      <alignment horizontal="left" vertical="center" wrapText="1"/>
      <protection/>
    </xf>
    <xf numFmtId="0" fontId="3" fillId="0" borderId="0" xfId="156" applyFont="1" applyBorder="1" applyAlignment="1">
      <alignment horizontal="center" vertical="center" wrapText="1"/>
      <protection/>
    </xf>
    <xf numFmtId="2" fontId="3" fillId="0" borderId="0" xfId="156" applyNumberFormat="1" applyFont="1" applyBorder="1" applyAlignment="1">
      <alignment horizontal="center" vertical="center" wrapText="1"/>
      <protection/>
    </xf>
    <xf numFmtId="49" fontId="2" fillId="0" borderId="20" xfId="162" applyNumberFormat="1" applyFont="1" applyFill="1" applyBorder="1" applyAlignment="1">
      <alignment horizontal="center" vertical="top"/>
      <protection/>
    </xf>
    <xf numFmtId="49" fontId="2" fillId="0" borderId="24" xfId="162" applyNumberFormat="1" applyFont="1" applyFill="1" applyBorder="1" applyAlignment="1">
      <alignment horizontal="center" vertical="top"/>
      <protection/>
    </xf>
    <xf numFmtId="49" fontId="31" fillId="0" borderId="24" xfId="162" applyNumberFormat="1" applyFont="1" applyFill="1" applyBorder="1" applyAlignment="1">
      <alignment horizontal="center" vertical="top"/>
      <protection/>
    </xf>
    <xf numFmtId="0" fontId="2" fillId="0" borderId="23" xfId="162" applyFont="1" applyFill="1" applyBorder="1" applyAlignment="1">
      <alignment horizontal="center" vertical="top"/>
      <protection/>
    </xf>
    <xf numFmtId="0" fontId="2" fillId="0" borderId="20" xfId="162" applyFont="1" applyFill="1" applyBorder="1" applyAlignment="1">
      <alignment horizontal="center" vertical="top"/>
      <protection/>
    </xf>
    <xf numFmtId="0" fontId="2" fillId="0" borderId="0" xfId="161" applyFont="1" applyFill="1" applyAlignment="1">
      <alignment horizontal="center"/>
      <protection/>
    </xf>
    <xf numFmtId="0" fontId="2" fillId="0" borderId="20" xfId="162" applyFont="1" applyFill="1" applyBorder="1" applyAlignment="1">
      <alignment horizontal="left" vertical="center" wrapText="1"/>
      <protection/>
    </xf>
    <xf numFmtId="0" fontId="2" fillId="0" borderId="20" xfId="162" applyFont="1" applyFill="1" applyBorder="1" applyAlignment="1">
      <alignment horizontal="center" vertical="center"/>
      <protection/>
    </xf>
    <xf numFmtId="184" fontId="2" fillId="0" borderId="20" xfId="162" applyNumberFormat="1" applyFont="1" applyFill="1" applyBorder="1" applyAlignment="1">
      <alignment horizontal="center" vertical="center"/>
      <protection/>
    </xf>
    <xf numFmtId="0" fontId="2" fillId="0" borderId="24" xfId="162" applyFont="1" applyFill="1" applyBorder="1" applyAlignment="1">
      <alignment horizontal="center" vertical="top"/>
      <protection/>
    </xf>
    <xf numFmtId="0" fontId="2" fillId="0" borderId="24" xfId="162" applyFont="1" applyFill="1" applyBorder="1" applyAlignment="1">
      <alignment horizontal="left" vertical="center"/>
      <protection/>
    </xf>
    <xf numFmtId="0" fontId="2" fillId="0" borderId="24" xfId="162" applyFont="1" applyFill="1" applyBorder="1" applyAlignment="1">
      <alignment horizontal="center" vertical="center"/>
      <protection/>
    </xf>
    <xf numFmtId="2" fontId="2" fillId="0" borderId="24" xfId="162" applyNumberFormat="1" applyFont="1" applyFill="1" applyBorder="1" applyAlignment="1">
      <alignment horizontal="center" vertical="center"/>
      <protection/>
    </xf>
    <xf numFmtId="2" fontId="3" fillId="0" borderId="0" xfId="151" applyNumberFormat="1" applyFont="1" applyFill="1" applyBorder="1" applyAlignment="1">
      <alignment horizontal="center" vertical="center" wrapText="1"/>
      <protection/>
    </xf>
    <xf numFmtId="0" fontId="2" fillId="0" borderId="23" xfId="162" applyFont="1" applyFill="1" applyBorder="1" applyAlignment="1">
      <alignment vertical="center"/>
      <protection/>
    </xf>
    <xf numFmtId="0" fontId="2" fillId="0" borderId="23" xfId="162" applyFont="1" applyFill="1" applyBorder="1" applyAlignment="1">
      <alignment horizontal="center" vertical="center"/>
      <protection/>
    </xf>
    <xf numFmtId="2" fontId="2" fillId="0" borderId="23" xfId="162" applyNumberFormat="1" applyFont="1" applyFill="1" applyBorder="1" applyAlignment="1">
      <alignment horizontal="center" vertical="center"/>
      <protection/>
    </xf>
    <xf numFmtId="0" fontId="3" fillId="0" borderId="0" xfId="162" applyFont="1" applyFill="1" applyAlignment="1">
      <alignment horizontal="center"/>
      <protection/>
    </xf>
    <xf numFmtId="0" fontId="3" fillId="0" borderId="0" xfId="162" applyFont="1" applyFill="1">
      <alignment/>
      <protection/>
    </xf>
    <xf numFmtId="2" fontId="3" fillId="0" borderId="0" xfId="162" applyNumberFormat="1" applyFont="1" applyFill="1" applyAlignment="1">
      <alignment horizontal="center"/>
      <protection/>
    </xf>
    <xf numFmtId="0" fontId="3" fillId="0" borderId="0" xfId="162" applyFont="1" applyFill="1" applyAlignment="1">
      <alignment/>
      <protection/>
    </xf>
    <xf numFmtId="0" fontId="3" fillId="0" borderId="20" xfId="162" applyFont="1" applyFill="1" applyBorder="1" applyAlignment="1">
      <alignment horizontal="center" vertical="center"/>
      <protection/>
    </xf>
    <xf numFmtId="0" fontId="3" fillId="0" borderId="19" xfId="162" applyFont="1" applyFill="1" applyBorder="1" applyAlignment="1">
      <alignment horizontal="center" vertical="center"/>
      <protection/>
    </xf>
    <xf numFmtId="0" fontId="3" fillId="0" borderId="20" xfId="162" applyFont="1" applyFill="1" applyBorder="1" applyAlignment="1">
      <alignment horizontal="center" vertical="center" wrapText="1"/>
      <protection/>
    </xf>
    <xf numFmtId="0" fontId="3" fillId="0" borderId="24" xfId="162" applyFont="1" applyFill="1" applyBorder="1" applyAlignment="1">
      <alignment horizontal="center" vertical="center"/>
      <protection/>
    </xf>
    <xf numFmtId="0" fontId="2" fillId="0" borderId="0" xfId="162" applyFont="1" applyFill="1" applyBorder="1" applyAlignment="1">
      <alignment horizontal="center" vertical="center"/>
      <protection/>
    </xf>
    <xf numFmtId="0" fontId="2" fillId="48" borderId="19" xfId="156" applyFont="1" applyFill="1" applyBorder="1" applyAlignment="1">
      <alignment horizontal="center" vertical="center" wrapText="1"/>
      <protection/>
    </xf>
    <xf numFmtId="0" fontId="2" fillId="48" borderId="25" xfId="156" applyFont="1" applyFill="1" applyBorder="1" applyAlignment="1">
      <alignment horizontal="center" vertical="center" wrapText="1"/>
      <protection/>
    </xf>
    <xf numFmtId="0" fontId="2" fillId="48" borderId="20" xfId="156" applyFont="1" applyFill="1" applyBorder="1" applyAlignment="1">
      <alignment horizontal="center" vertical="center" wrapText="1"/>
      <protection/>
    </xf>
    <xf numFmtId="0" fontId="32" fillId="0" borderId="22" xfId="137" applyFont="1" applyFill="1" applyBorder="1" applyAlignment="1">
      <alignment horizontal="center" vertical="center" wrapText="1"/>
      <protection/>
    </xf>
    <xf numFmtId="0" fontId="5" fillId="0" borderId="28" xfId="137" applyFont="1" applyFill="1" applyBorder="1" applyAlignment="1">
      <alignment horizontal="right" vertical="center" wrapText="1"/>
      <protection/>
    </xf>
    <xf numFmtId="0" fontId="32" fillId="0" borderId="26" xfId="137" applyFont="1" applyFill="1" applyBorder="1" applyAlignment="1">
      <alignment horizontal="left" vertical="center" wrapText="1"/>
      <protection/>
    </xf>
    <xf numFmtId="0" fontId="32" fillId="0" borderId="19" xfId="162" applyFont="1" applyFill="1" applyBorder="1" applyAlignment="1">
      <alignment vertical="center" wrapText="1"/>
      <protection/>
    </xf>
    <xf numFmtId="2" fontId="32" fillId="0" borderId="19" xfId="137" applyNumberFormat="1" applyFont="1" applyFill="1" applyBorder="1" applyAlignment="1">
      <alignment horizontal="center" vertical="center" wrapText="1"/>
      <protection/>
    </xf>
    <xf numFmtId="2" fontId="90" fillId="0" borderId="1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5" fillId="0" borderId="0" xfId="161" applyFill="1">
      <alignment/>
      <protection/>
    </xf>
    <xf numFmtId="0" fontId="5" fillId="0" borderId="0" xfId="161" applyFont="1">
      <alignment/>
      <protection/>
    </xf>
    <xf numFmtId="0" fontId="5" fillId="0" borderId="33" xfId="161" applyBorder="1">
      <alignment/>
      <protection/>
    </xf>
    <xf numFmtId="0" fontId="5" fillId="0" borderId="34" xfId="161" applyBorder="1">
      <alignment/>
      <protection/>
    </xf>
    <xf numFmtId="0" fontId="5" fillId="0" borderId="35" xfId="161" applyBorder="1">
      <alignment/>
      <protection/>
    </xf>
    <xf numFmtId="0" fontId="5" fillId="0" borderId="36" xfId="161" applyBorder="1">
      <alignment/>
      <protection/>
    </xf>
    <xf numFmtId="0" fontId="5" fillId="0" borderId="37" xfId="161" applyBorder="1">
      <alignment/>
      <protection/>
    </xf>
    <xf numFmtId="0" fontId="5" fillId="0" borderId="0" xfId="161" applyFont="1" applyBorder="1">
      <alignment/>
      <protection/>
    </xf>
    <xf numFmtId="0" fontId="5" fillId="0" borderId="38" xfId="161" applyBorder="1">
      <alignment/>
      <protection/>
    </xf>
    <xf numFmtId="0" fontId="5" fillId="0" borderId="39" xfId="161" applyBorder="1">
      <alignment/>
      <protection/>
    </xf>
    <xf numFmtId="0" fontId="5" fillId="0" borderId="40" xfId="161" applyBorder="1">
      <alignment/>
      <protection/>
    </xf>
    <xf numFmtId="0" fontId="3" fillId="0" borderId="23" xfId="137" applyFont="1" applyFill="1" applyBorder="1" applyAlignment="1">
      <alignment horizontal="center" vertical="center" wrapText="1"/>
      <protection/>
    </xf>
    <xf numFmtId="0" fontId="91" fillId="49" borderId="0" xfId="0" applyFont="1" applyFill="1" applyAlignment="1">
      <alignment horizontal="center" vertical="center"/>
    </xf>
    <xf numFmtId="0" fontId="91" fillId="50" borderId="0" xfId="0" applyFont="1" applyFill="1" applyAlignment="1">
      <alignment horizontal="center" vertical="center"/>
    </xf>
    <xf numFmtId="2" fontId="2" fillId="0" borderId="24" xfId="111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162" applyFont="1" applyBorder="1" applyAlignment="1">
      <alignment horizontal="center" vertical="center"/>
      <protection/>
    </xf>
    <xf numFmtId="0" fontId="3" fillId="0" borderId="21" xfId="162" applyFont="1" applyBorder="1" applyAlignment="1">
      <alignment horizontal="center" vertical="center"/>
      <protection/>
    </xf>
    <xf numFmtId="0" fontId="3" fillId="0" borderId="0" xfId="162" applyFont="1" applyBorder="1" applyAlignment="1">
      <alignment vertical="center"/>
      <protection/>
    </xf>
    <xf numFmtId="0" fontId="3" fillId="0" borderId="29" xfId="161" applyNumberFormat="1" applyFont="1" applyBorder="1" applyAlignment="1">
      <alignment horizontal="center" vertical="top"/>
      <protection/>
    </xf>
    <xf numFmtId="0" fontId="3" fillId="0" borderId="21" xfId="161" applyFont="1" applyBorder="1" applyAlignment="1">
      <alignment vertical="center" wrapText="1"/>
      <protection/>
    </xf>
    <xf numFmtId="0" fontId="44" fillId="0" borderId="21" xfId="0" applyFont="1" applyFill="1" applyBorder="1" applyAlignment="1">
      <alignment horizontal="center" vertical="center" wrapText="1"/>
    </xf>
    <xf numFmtId="184" fontId="3" fillId="0" borderId="20" xfId="0" applyNumberFormat="1" applyFont="1" applyFill="1" applyBorder="1" applyAlignment="1">
      <alignment horizontal="center" vertical="center" wrapText="1"/>
    </xf>
    <xf numFmtId="0" fontId="3" fillId="0" borderId="30" xfId="161" applyNumberFormat="1" applyFont="1" applyBorder="1" applyAlignment="1">
      <alignment horizontal="center" vertical="top"/>
      <protection/>
    </xf>
    <xf numFmtId="49" fontId="3" fillId="0" borderId="24" xfId="161" applyNumberFormat="1" applyFont="1" applyBorder="1" applyAlignment="1">
      <alignment horizontal="center" vertical="top"/>
      <protection/>
    </xf>
    <xf numFmtId="0" fontId="3" fillId="0" borderId="0" xfId="161" applyFont="1" applyBorder="1" applyAlignment="1">
      <alignment vertical="center"/>
      <protection/>
    </xf>
    <xf numFmtId="0" fontId="3" fillId="0" borderId="24" xfId="16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8" xfId="161" applyNumberFormat="1" applyFont="1" applyBorder="1" applyAlignment="1">
      <alignment horizontal="center" vertical="top"/>
      <protection/>
    </xf>
    <xf numFmtId="0" fontId="3" fillId="0" borderId="22" xfId="161" applyFont="1" applyBorder="1" applyAlignment="1">
      <alignment vertical="center"/>
      <protection/>
    </xf>
    <xf numFmtId="0" fontId="3" fillId="0" borderId="23" xfId="161" applyFont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9" xfId="162" applyNumberFormat="1" applyFont="1" applyBorder="1" applyAlignment="1">
      <alignment horizontal="center" vertical="top"/>
      <protection/>
    </xf>
    <xf numFmtId="49" fontId="3" fillId="0" borderId="20" xfId="162" applyNumberFormat="1" applyFont="1" applyBorder="1" applyAlignment="1">
      <alignment horizontal="center" vertical="top" wrapText="1"/>
      <protection/>
    </xf>
    <xf numFmtId="0" fontId="52" fillId="47" borderId="21" xfId="0" applyFont="1" applyFill="1" applyBorder="1" applyAlignment="1">
      <alignment vertical="center" wrapText="1"/>
    </xf>
    <xf numFmtId="184" fontId="3" fillId="0" borderId="20" xfId="162" applyNumberFormat="1" applyFont="1" applyBorder="1" applyAlignment="1">
      <alignment horizontal="center" vertical="center"/>
      <protection/>
    </xf>
    <xf numFmtId="0" fontId="3" fillId="0" borderId="30" xfId="162" applyNumberFormat="1" applyFont="1" applyBorder="1" applyAlignment="1">
      <alignment horizontal="center" vertical="top"/>
      <protection/>
    </xf>
    <xf numFmtId="0" fontId="3" fillId="0" borderId="0" xfId="161" applyFont="1" applyBorder="1" applyAlignment="1">
      <alignment horizontal="left" vertical="center"/>
      <protection/>
    </xf>
    <xf numFmtId="0" fontId="3" fillId="47" borderId="0" xfId="0" applyNumberFormat="1" applyFont="1" applyFill="1" applyBorder="1" applyAlignment="1">
      <alignment horizontal="center" vertical="center" wrapText="1"/>
    </xf>
    <xf numFmtId="2" fontId="3" fillId="47" borderId="24" xfId="0" applyNumberFormat="1" applyFont="1" applyFill="1" applyBorder="1" applyAlignment="1">
      <alignment horizontal="center" vertical="center"/>
    </xf>
    <xf numFmtId="0" fontId="3" fillId="0" borderId="30" xfId="162" applyNumberFormat="1" applyFont="1" applyBorder="1" applyAlignment="1">
      <alignment horizontal="center"/>
      <protection/>
    </xf>
    <xf numFmtId="49" fontId="3" fillId="0" borderId="24" xfId="162" applyNumberFormat="1" applyFont="1" applyBorder="1" applyAlignment="1">
      <alignment horizontal="center"/>
      <protection/>
    </xf>
    <xf numFmtId="0" fontId="3" fillId="47" borderId="0" xfId="0" applyFont="1" applyFill="1" applyBorder="1" applyAlignment="1">
      <alignment vertical="center" wrapText="1"/>
    </xf>
    <xf numFmtId="0" fontId="3" fillId="47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52" fillId="47" borderId="0" xfId="0" applyFont="1" applyFill="1" applyBorder="1" applyAlignment="1">
      <alignment vertical="center" wrapText="1"/>
    </xf>
    <xf numFmtId="2" fontId="3" fillId="47" borderId="24" xfId="111" applyNumberFormat="1" applyFont="1" applyFill="1" applyBorder="1" applyAlignment="1">
      <alignment horizontal="center" vertical="center"/>
      <protection/>
    </xf>
    <xf numFmtId="0" fontId="3" fillId="0" borderId="28" xfId="162" applyNumberFormat="1" applyFont="1" applyBorder="1" applyAlignment="1">
      <alignment horizontal="center"/>
      <protection/>
    </xf>
    <xf numFmtId="49" fontId="3" fillId="0" borderId="23" xfId="162" applyNumberFormat="1" applyFont="1" applyBorder="1" applyAlignment="1">
      <alignment horizontal="center"/>
      <protection/>
    </xf>
    <xf numFmtId="0" fontId="39" fillId="0" borderId="22" xfId="0" applyFont="1" applyFill="1" applyBorder="1" applyAlignment="1">
      <alignment horizontal="left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2" xfId="0" applyNumberFormat="1" applyFont="1" applyFill="1" applyBorder="1" applyAlignment="1">
      <alignment horizontal="center" vertical="center" wrapText="1"/>
    </xf>
    <xf numFmtId="2" fontId="3" fillId="47" borderId="23" xfId="111" applyNumberFormat="1" applyFont="1" applyFill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84" fontId="3" fillId="47" borderId="24" xfId="111" applyNumberFormat="1" applyFont="1" applyFill="1" applyBorder="1" applyAlignment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47" borderId="22" xfId="0" applyFont="1" applyFill="1" applyBorder="1" applyAlignment="1">
      <alignment vertical="center" wrapText="1"/>
    </xf>
    <xf numFmtId="0" fontId="52" fillId="47" borderId="23" xfId="107" applyFont="1" applyFill="1" applyBorder="1" applyAlignment="1">
      <alignment horizontal="center" vertical="center" wrapText="1"/>
      <protection/>
    </xf>
    <xf numFmtId="0" fontId="3" fillId="0" borderId="24" xfId="161" applyFont="1" applyBorder="1" applyAlignment="1">
      <alignment horizontal="center" vertical="top"/>
      <protection/>
    </xf>
    <xf numFmtId="0" fontId="3" fillId="0" borderId="24" xfId="161" applyFont="1" applyBorder="1" applyAlignment="1">
      <alignment horizontal="left" vertical="center" wrapText="1"/>
      <protection/>
    </xf>
    <xf numFmtId="0" fontId="44" fillId="0" borderId="30" xfId="0" applyFont="1" applyFill="1" applyBorder="1" applyAlignment="1">
      <alignment horizontal="center" vertical="center" wrapText="1"/>
    </xf>
    <xf numFmtId="0" fontId="3" fillId="0" borderId="24" xfId="161" applyFont="1" applyBorder="1" applyAlignment="1">
      <alignment horizontal="left" vertical="center"/>
      <protection/>
    </xf>
    <xf numFmtId="0" fontId="3" fillId="0" borderId="30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49" fontId="46" fillId="0" borderId="24" xfId="161" applyNumberFormat="1" applyFont="1" applyBorder="1" applyAlignment="1">
      <alignment horizontal="center" vertical="top"/>
      <protection/>
    </xf>
    <xf numFmtId="0" fontId="3" fillId="0" borderId="24" xfId="161" applyFont="1" applyBorder="1" applyAlignment="1">
      <alignment vertical="center"/>
      <protection/>
    </xf>
    <xf numFmtId="0" fontId="3" fillId="0" borderId="23" xfId="161" applyFont="1" applyBorder="1" applyAlignment="1">
      <alignment horizontal="center" vertical="top"/>
      <protection/>
    </xf>
    <xf numFmtId="0" fontId="3" fillId="0" borderId="23" xfId="161" applyFont="1" applyBorder="1" applyAlignment="1">
      <alignment vertical="center"/>
      <protection/>
    </xf>
    <xf numFmtId="0" fontId="3" fillId="0" borderId="28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9" fillId="0" borderId="32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center" vertical="center"/>
    </xf>
    <xf numFmtId="2" fontId="89" fillId="0" borderId="32" xfId="0" applyNumberFormat="1" applyFont="1" applyFill="1" applyBorder="1" applyAlignment="1">
      <alignment horizontal="center" vertical="center" wrapText="1"/>
    </xf>
    <xf numFmtId="2" fontId="89" fillId="0" borderId="26" xfId="0" applyNumberFormat="1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horizontal="center" vertical="center"/>
    </xf>
    <xf numFmtId="2" fontId="88" fillId="0" borderId="23" xfId="0" applyNumberFormat="1" applyFont="1" applyFill="1" applyBorder="1" applyAlignment="1">
      <alignment horizontal="center" vertical="center"/>
    </xf>
    <xf numFmtId="186" fontId="89" fillId="0" borderId="19" xfId="0" applyNumberFormat="1" applyFont="1" applyFill="1" applyBorder="1" applyAlignment="1">
      <alignment horizontal="center" vertical="center" wrapText="1"/>
    </xf>
    <xf numFmtId="186" fontId="89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0" fillId="0" borderId="19" xfId="0" applyFont="1" applyFill="1" applyBorder="1" applyAlignment="1">
      <alignment horizontal="center" vertical="top"/>
    </xf>
    <xf numFmtId="186" fontId="88" fillId="0" borderId="0" xfId="0" applyNumberFormat="1" applyFont="1" applyFill="1" applyAlignment="1">
      <alignment horizontal="center" vertical="center"/>
    </xf>
    <xf numFmtId="2" fontId="88" fillId="0" borderId="0" xfId="0" applyNumberFormat="1" applyFont="1" applyFill="1" applyAlignment="1">
      <alignment horizontal="center" vertical="center"/>
    </xf>
    <xf numFmtId="0" fontId="3" fillId="0" borderId="19" xfId="162" applyFont="1" applyFill="1" applyBorder="1" applyAlignment="1">
      <alignment horizontal="center" vertical="top"/>
      <protection/>
    </xf>
    <xf numFmtId="0" fontId="3" fillId="0" borderId="20" xfId="162" applyFont="1" applyFill="1" applyBorder="1" applyAlignment="1">
      <alignment horizontal="left" vertical="center" wrapText="1"/>
      <protection/>
    </xf>
    <xf numFmtId="0" fontId="2" fillId="0" borderId="19" xfId="162" applyFont="1" applyFill="1" applyBorder="1" applyAlignment="1">
      <alignment horizontal="center" vertical="center"/>
      <protection/>
    </xf>
    <xf numFmtId="0" fontId="3" fillId="0" borderId="19" xfId="162" applyFont="1" applyFill="1" applyBorder="1" applyAlignment="1">
      <alignment vertical="center"/>
      <protection/>
    </xf>
    <xf numFmtId="0" fontId="3" fillId="0" borderId="19" xfId="162" applyFont="1" applyFill="1" applyBorder="1" applyAlignment="1">
      <alignment vertical="center" wrapText="1"/>
      <protection/>
    </xf>
    <xf numFmtId="0" fontId="3" fillId="0" borderId="19" xfId="137" applyFont="1" applyFill="1" applyBorder="1" applyAlignment="1">
      <alignment vertical="center" wrapText="1"/>
      <protection/>
    </xf>
    <xf numFmtId="0" fontId="2" fillId="0" borderId="19" xfId="137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2" fillId="0" borderId="24" xfId="161" applyFont="1" applyFill="1" applyBorder="1" applyAlignment="1">
      <alignment horizontal="center"/>
      <protection/>
    </xf>
    <xf numFmtId="2" fontId="2" fillId="0" borderId="24" xfId="161" applyNumberFormat="1" applyFont="1" applyFill="1" applyBorder="1" applyAlignment="1">
      <alignment horizontal="center" vertical="center"/>
      <protection/>
    </xf>
    <xf numFmtId="2" fontId="2" fillId="0" borderId="20" xfId="161" applyNumberFormat="1" applyFont="1" applyFill="1" applyBorder="1" applyAlignment="1">
      <alignment horizontal="center"/>
      <protection/>
    </xf>
    <xf numFmtId="2" fontId="2" fillId="0" borderId="24" xfId="161" applyNumberFormat="1" applyFont="1" applyFill="1" applyBorder="1" applyAlignment="1">
      <alignment horizontal="center"/>
      <protection/>
    </xf>
    <xf numFmtId="0" fontId="2" fillId="0" borderId="20" xfId="161" applyFont="1" applyFill="1" applyBorder="1" applyAlignment="1">
      <alignment horizontal="center"/>
      <protection/>
    </xf>
    <xf numFmtId="2" fontId="2" fillId="0" borderId="23" xfId="161" applyNumberFormat="1" applyFont="1" applyFill="1" applyBorder="1" applyAlignment="1">
      <alignment horizontal="center"/>
      <protection/>
    </xf>
    <xf numFmtId="0" fontId="3" fillId="0" borderId="24" xfId="156" applyFont="1" applyBorder="1" applyAlignment="1">
      <alignment horizontal="center" vertical="center" wrapText="1"/>
      <protection/>
    </xf>
    <xf numFmtId="0" fontId="89" fillId="0" borderId="19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" vertical="center"/>
    </xf>
    <xf numFmtId="0" fontId="3" fillId="0" borderId="19" xfId="156" applyFont="1" applyFill="1" applyBorder="1" applyAlignment="1">
      <alignment horizontal="center" vertical="center" wrapText="1"/>
      <protection/>
    </xf>
    <xf numFmtId="2" fontId="3" fillId="0" borderId="19" xfId="156" applyNumberFormat="1" applyFont="1" applyFill="1" applyBorder="1" applyAlignment="1">
      <alignment horizontal="center" vertical="center" wrapText="1"/>
      <protection/>
    </xf>
    <xf numFmtId="0" fontId="3" fillId="0" borderId="20" xfId="162" applyFont="1" applyFill="1" applyBorder="1" applyAlignment="1">
      <alignment horizontal="center" vertical="top"/>
      <protection/>
    </xf>
    <xf numFmtId="0" fontId="3" fillId="0" borderId="19" xfId="162" applyFont="1" applyFill="1" applyBorder="1" applyAlignment="1">
      <alignment horizontal="left" vertical="center" wrapText="1"/>
      <protection/>
    </xf>
    <xf numFmtId="0" fontId="5" fillId="0" borderId="0" xfId="162" applyFill="1">
      <alignment/>
      <protection/>
    </xf>
    <xf numFmtId="0" fontId="30" fillId="0" borderId="0" xfId="162" applyFont="1" applyFill="1" applyAlignment="1">
      <alignment horizontal="center"/>
      <protection/>
    </xf>
    <xf numFmtId="0" fontId="2" fillId="0" borderId="20" xfId="162" applyFont="1" applyFill="1" applyBorder="1" applyAlignment="1">
      <alignment horizontal="center"/>
      <protection/>
    </xf>
    <xf numFmtId="0" fontId="2" fillId="0" borderId="24" xfId="162" applyFont="1" applyFill="1" applyBorder="1" applyAlignment="1">
      <alignment horizontal="center"/>
      <protection/>
    </xf>
    <xf numFmtId="0" fontId="2" fillId="0" borderId="23" xfId="162" applyFont="1" applyFill="1" applyBorder="1" applyAlignment="1">
      <alignment horizontal="center"/>
      <protection/>
    </xf>
    <xf numFmtId="0" fontId="88" fillId="0" borderId="30" xfId="0" applyFont="1" applyFill="1" applyBorder="1" applyAlignment="1">
      <alignment horizontal="left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184" fontId="88" fillId="0" borderId="24" xfId="0" applyNumberFormat="1" applyFont="1" applyFill="1" applyBorder="1" applyAlignment="1">
      <alignment horizontal="center" vertical="center" wrapText="1"/>
    </xf>
    <xf numFmtId="0" fontId="2" fillId="0" borderId="29" xfId="162" applyFont="1" applyFill="1" applyBorder="1" applyAlignment="1">
      <alignment horizontal="left" vertical="center" wrapText="1"/>
      <protection/>
    </xf>
    <xf numFmtId="0" fontId="88" fillId="0" borderId="29" xfId="0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184" fontId="88" fillId="0" borderId="21" xfId="0" applyNumberFormat="1" applyFont="1" applyFill="1" applyBorder="1" applyAlignment="1">
      <alignment horizontal="center" vertical="center" wrapText="1"/>
    </xf>
    <xf numFmtId="2" fontId="2" fillId="0" borderId="25" xfId="162" applyNumberFormat="1" applyFont="1" applyFill="1" applyBorder="1" applyAlignment="1">
      <alignment horizontal="center" vertical="center"/>
      <protection/>
    </xf>
    <xf numFmtId="0" fontId="88" fillId="0" borderId="28" xfId="0" applyFont="1" applyFill="1" applyBorder="1" applyAlignment="1">
      <alignment horizontal="left" vertical="center" wrapText="1"/>
    </xf>
    <xf numFmtId="0" fontId="88" fillId="0" borderId="28" xfId="0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2" fillId="0" borderId="26" xfId="162" applyFont="1" applyFill="1" applyBorder="1" applyAlignment="1">
      <alignment horizontal="center" vertical="center"/>
      <protection/>
    </xf>
    <xf numFmtId="0" fontId="2" fillId="0" borderId="19" xfId="162" applyFont="1" applyFill="1" applyBorder="1" applyAlignment="1">
      <alignment vertical="center"/>
      <protection/>
    </xf>
    <xf numFmtId="2" fontId="2" fillId="0" borderId="0" xfId="162" applyNumberFormat="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141" applyFont="1" applyFill="1" applyBorder="1" applyAlignment="1">
      <alignment vertical="center" wrapText="1"/>
      <protection/>
    </xf>
    <xf numFmtId="0" fontId="2" fillId="0" borderId="2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 wrapText="1"/>
    </xf>
    <xf numFmtId="2" fontId="88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left" vertical="center" wrapText="1"/>
    </xf>
    <xf numFmtId="0" fontId="88" fillId="0" borderId="27" xfId="0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horizontal="left" vertical="center" wrapText="1"/>
    </xf>
    <xf numFmtId="0" fontId="88" fillId="0" borderId="26" xfId="0" applyFont="1" applyFill="1" applyBorder="1" applyAlignment="1">
      <alignment horizontal="center" vertical="center" wrapText="1"/>
    </xf>
    <xf numFmtId="184" fontId="88" fillId="0" borderId="23" xfId="0" applyNumberFormat="1" applyFont="1" applyFill="1" applyBorder="1" applyAlignment="1">
      <alignment horizontal="center" vertical="center" wrapText="1"/>
    </xf>
    <xf numFmtId="0" fontId="2" fillId="0" borderId="22" xfId="162" applyFont="1" applyFill="1" applyBorder="1" applyAlignment="1">
      <alignment horizontal="center" vertical="center"/>
      <protection/>
    </xf>
    <xf numFmtId="0" fontId="2" fillId="0" borderId="30" xfId="0" applyFont="1" applyFill="1" applyBorder="1" applyAlignment="1">
      <alignment vertical="center" wrapText="1"/>
    </xf>
    <xf numFmtId="0" fontId="88" fillId="0" borderId="29" xfId="0" applyFont="1" applyFill="1" applyBorder="1" applyAlignment="1">
      <alignment horizontal="left" vertical="center" wrapText="1"/>
    </xf>
    <xf numFmtId="0" fontId="2" fillId="0" borderId="30" xfId="151" applyFont="1" applyFill="1" applyBorder="1" applyAlignment="1">
      <alignment vertical="center" wrapText="1"/>
      <protection/>
    </xf>
    <xf numFmtId="0" fontId="2" fillId="0" borderId="24" xfId="151" applyFont="1" applyFill="1" applyBorder="1" applyAlignment="1">
      <alignment horizontal="center" vertical="center" wrapText="1"/>
      <protection/>
    </xf>
    <xf numFmtId="0" fontId="2" fillId="0" borderId="0" xfId="151" applyFont="1" applyFill="1" applyBorder="1" applyAlignment="1">
      <alignment horizontal="center" vertical="center" wrapText="1"/>
      <protection/>
    </xf>
    <xf numFmtId="184" fontId="2" fillId="0" borderId="24" xfId="151" applyNumberFormat="1" applyFont="1" applyFill="1" applyBorder="1" applyAlignment="1">
      <alignment horizontal="center" vertical="center" wrapText="1"/>
      <protection/>
    </xf>
    <xf numFmtId="0" fontId="4" fillId="0" borderId="30" xfId="151" applyFont="1" applyFill="1" applyBorder="1" applyAlignment="1">
      <alignment horizontal="left" vertical="center" wrapText="1"/>
      <protection/>
    </xf>
    <xf numFmtId="0" fontId="2" fillId="0" borderId="22" xfId="162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left" vertical="center" wrapText="1"/>
    </xf>
    <xf numFmtId="184" fontId="90" fillId="0" borderId="0" xfId="0" applyNumberFormat="1" applyFont="1" applyFill="1" applyBorder="1" applyAlignment="1">
      <alignment horizontal="center" vertical="center" wrapText="1"/>
    </xf>
    <xf numFmtId="0" fontId="4" fillId="0" borderId="0" xfId="163" applyFont="1" applyFill="1" applyBorder="1" applyAlignment="1">
      <alignment vertical="center" wrapText="1"/>
      <protection/>
    </xf>
    <xf numFmtId="0" fontId="5" fillId="0" borderId="0" xfId="162" applyFill="1" applyAlignment="1">
      <alignment horizontal="center"/>
      <protection/>
    </xf>
    <xf numFmtId="0" fontId="32" fillId="0" borderId="23" xfId="162" applyFont="1" applyFill="1" applyBorder="1" applyAlignment="1">
      <alignment horizontal="center" vertical="top"/>
      <protection/>
    </xf>
    <xf numFmtId="0" fontId="2" fillId="0" borderId="21" xfId="0" applyFont="1" applyBorder="1" applyAlignment="1">
      <alignment horizontal="left" vertical="center" wrapText="1"/>
    </xf>
    <xf numFmtId="184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24" xfId="0" applyNumberFormat="1" applyFont="1" applyBorder="1" applyAlignment="1">
      <alignment horizontal="center"/>
    </xf>
    <xf numFmtId="184" fontId="2" fillId="0" borderId="24" xfId="0" applyNumberFormat="1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84" fontId="3" fillId="47" borderId="23" xfId="111" applyNumberFormat="1" applyFont="1" applyFill="1" applyBorder="1" applyAlignment="1">
      <alignment horizontal="center" vertical="center"/>
      <protection/>
    </xf>
    <xf numFmtId="186" fontId="2" fillId="0" borderId="19" xfId="156" applyNumberFormat="1" applyFont="1" applyBorder="1" applyAlignment="1">
      <alignment horizontal="center" vertical="center" wrapText="1"/>
      <protection/>
    </xf>
    <xf numFmtId="0" fontId="3" fillId="0" borderId="23" xfId="156" applyFont="1" applyFill="1" applyBorder="1" applyAlignment="1">
      <alignment vertical="center" wrapText="1"/>
      <protection/>
    </xf>
    <xf numFmtId="0" fontId="52" fillId="47" borderId="32" xfId="0" applyFont="1" applyFill="1" applyBorder="1" applyAlignment="1">
      <alignment vertical="center" wrapText="1"/>
    </xf>
    <xf numFmtId="0" fontId="30" fillId="0" borderId="24" xfId="156" applyFont="1" applyBorder="1" applyAlignment="1">
      <alignment horizontal="center" vertical="center" wrapText="1"/>
      <protection/>
    </xf>
    <xf numFmtId="0" fontId="49" fillId="47" borderId="0" xfId="0" applyFont="1" applyFill="1" applyBorder="1" applyAlignment="1">
      <alignment vertical="center" wrapText="1"/>
    </xf>
    <xf numFmtId="0" fontId="3" fillId="51" borderId="25" xfId="156" applyFont="1" applyFill="1" applyBorder="1" applyAlignment="1">
      <alignment horizontal="center" vertical="center" wrapText="1"/>
      <protection/>
    </xf>
    <xf numFmtId="2" fontId="3" fillId="51" borderId="20" xfId="156" applyNumberFormat="1" applyFont="1" applyFill="1" applyBorder="1" applyAlignment="1">
      <alignment horizontal="center" vertical="center" wrapText="1"/>
      <protection/>
    </xf>
    <xf numFmtId="0" fontId="44" fillId="0" borderId="25" xfId="156" applyFont="1" applyBorder="1" applyAlignment="1">
      <alignment horizontal="left" vertical="center" wrapText="1"/>
      <protection/>
    </xf>
    <xf numFmtId="0" fontId="3" fillId="52" borderId="20" xfId="162" applyFont="1" applyFill="1" applyBorder="1" applyAlignment="1">
      <alignment horizontal="left" vertical="center" wrapText="1"/>
      <protection/>
    </xf>
    <xf numFmtId="0" fontId="52" fillId="47" borderId="0" xfId="0" applyFont="1" applyFill="1" applyBorder="1" applyAlignment="1">
      <alignment vertical="center" wrapText="1"/>
    </xf>
    <xf numFmtId="0" fontId="3" fillId="0" borderId="20" xfId="162" applyFont="1" applyFill="1" applyBorder="1" applyAlignment="1">
      <alignment horizontal="left" vertical="center"/>
      <protection/>
    </xf>
    <xf numFmtId="2" fontId="3" fillId="0" borderId="20" xfId="162" applyNumberFormat="1" applyFont="1" applyFill="1" applyBorder="1" applyAlignment="1">
      <alignment horizontal="center" vertical="center"/>
      <protection/>
    </xf>
    <xf numFmtId="2" fontId="3" fillId="0" borderId="22" xfId="162" applyNumberFormat="1" applyFont="1" applyBorder="1" applyAlignment="1">
      <alignment horizontal="center" vertical="center"/>
      <protection/>
    </xf>
    <xf numFmtId="0" fontId="90" fillId="0" borderId="32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/>
    </xf>
    <xf numFmtId="186" fontId="32" fillId="0" borderId="41" xfId="162" applyNumberFormat="1" applyFont="1" applyFill="1" applyBorder="1" applyAlignment="1">
      <alignment horizontal="center" vertical="center"/>
      <protection/>
    </xf>
    <xf numFmtId="186" fontId="90" fillId="0" borderId="19" xfId="0" applyNumberFormat="1" applyFont="1" applyFill="1" applyBorder="1" applyAlignment="1">
      <alignment horizontal="center" vertical="center"/>
    </xf>
    <xf numFmtId="0" fontId="54" fillId="53" borderId="42" xfId="0" applyFont="1" applyFill="1" applyBorder="1" applyAlignment="1">
      <alignment/>
    </xf>
    <xf numFmtId="0" fontId="54" fillId="53" borderId="43" xfId="0" applyFont="1" applyFill="1" applyBorder="1" applyAlignment="1">
      <alignment/>
    </xf>
    <xf numFmtId="0" fontId="54" fillId="53" borderId="44" xfId="0" applyFont="1" applyFill="1" applyBorder="1" applyAlignment="1">
      <alignment/>
    </xf>
    <xf numFmtId="0" fontId="54" fillId="0" borderId="0" xfId="0" applyFont="1" applyAlignment="1">
      <alignment/>
    </xf>
    <xf numFmtId="0" fontId="54" fillId="53" borderId="45" xfId="0" applyFont="1" applyFill="1" applyBorder="1" applyAlignment="1">
      <alignment/>
    </xf>
    <xf numFmtId="0" fontId="54" fillId="53" borderId="46" xfId="0" applyFont="1" applyFill="1" applyBorder="1" applyAlignment="1">
      <alignment/>
    </xf>
    <xf numFmtId="0" fontId="54" fillId="53" borderId="47" xfId="0" applyFont="1" applyFill="1" applyBorder="1" applyAlignment="1">
      <alignment/>
    </xf>
    <xf numFmtId="0" fontId="54" fillId="53" borderId="48" xfId="0" applyFont="1" applyFill="1" applyBorder="1" applyAlignment="1">
      <alignment/>
    </xf>
    <xf numFmtId="0" fontId="54" fillId="53" borderId="49" xfId="0" applyFont="1" applyFill="1" applyBorder="1" applyAlignment="1">
      <alignment/>
    </xf>
    <xf numFmtId="0" fontId="54" fillId="53" borderId="50" xfId="0" applyFont="1" applyFill="1" applyBorder="1" applyAlignment="1">
      <alignment/>
    </xf>
    <xf numFmtId="0" fontId="54" fillId="0" borderId="42" xfId="0" applyFont="1" applyBorder="1" applyAlignment="1">
      <alignment/>
    </xf>
    <xf numFmtId="0" fontId="54" fillId="0" borderId="43" xfId="0" applyFont="1" applyBorder="1" applyAlignment="1">
      <alignment/>
    </xf>
    <xf numFmtId="0" fontId="54" fillId="0" borderId="44" xfId="0" applyFont="1" applyBorder="1" applyAlignment="1">
      <alignment/>
    </xf>
    <xf numFmtId="0" fontId="54" fillId="53" borderId="51" xfId="0" applyFont="1" applyFill="1" applyBorder="1" applyAlignment="1">
      <alignment/>
    </xf>
    <xf numFmtId="0" fontId="56" fillId="0" borderId="4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49" xfId="0" applyFont="1" applyBorder="1" applyAlignment="1">
      <alignment/>
    </xf>
    <xf numFmtId="0" fontId="59" fillId="0" borderId="45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49" xfId="0" applyFont="1" applyBorder="1" applyAlignment="1">
      <alignment/>
    </xf>
    <xf numFmtId="0" fontId="56" fillId="0" borderId="52" xfId="0" applyFont="1" applyBorder="1" applyAlignment="1">
      <alignment/>
    </xf>
    <xf numFmtId="0" fontId="56" fillId="0" borderId="53" xfId="0" applyFont="1" applyBorder="1" applyAlignment="1">
      <alignment/>
    </xf>
    <xf numFmtId="0" fontId="56" fillId="0" borderId="54" xfId="0" applyFont="1" applyBorder="1" applyAlignment="1">
      <alignment/>
    </xf>
    <xf numFmtId="0" fontId="54" fillId="53" borderId="55" xfId="0" applyFont="1" applyFill="1" applyBorder="1" applyAlignment="1">
      <alignment/>
    </xf>
    <xf numFmtId="0" fontId="56" fillId="53" borderId="56" xfId="0" applyFont="1" applyFill="1" applyBorder="1" applyAlignment="1">
      <alignment/>
    </xf>
    <xf numFmtId="0" fontId="54" fillId="53" borderId="57" xfId="0" applyFont="1" applyFill="1" applyBorder="1" applyAlignment="1">
      <alignment/>
    </xf>
    <xf numFmtId="0" fontId="54" fillId="53" borderId="52" xfId="0" applyFont="1" applyFill="1" applyBorder="1" applyAlignment="1">
      <alignment/>
    </xf>
    <xf numFmtId="0" fontId="54" fillId="53" borderId="53" xfId="0" applyFont="1" applyFill="1" applyBorder="1" applyAlignment="1">
      <alignment/>
    </xf>
    <xf numFmtId="0" fontId="56" fillId="53" borderId="53" xfId="0" applyFont="1" applyFill="1" applyBorder="1" applyAlignment="1">
      <alignment/>
    </xf>
    <xf numFmtId="0" fontId="54" fillId="53" borderId="54" xfId="0" applyFont="1" applyFill="1" applyBorder="1" applyAlignment="1">
      <alignment/>
    </xf>
    <xf numFmtId="0" fontId="56" fillId="0" borderId="42" xfId="0" applyFont="1" applyBorder="1" applyAlignment="1">
      <alignment/>
    </xf>
    <xf numFmtId="0" fontId="56" fillId="0" borderId="43" xfId="0" applyFont="1" applyBorder="1" applyAlignment="1">
      <alignment/>
    </xf>
    <xf numFmtId="0" fontId="56" fillId="0" borderId="44" xfId="0" applyFont="1" applyBorder="1" applyAlignment="1">
      <alignment/>
    </xf>
    <xf numFmtId="0" fontId="62" fillId="0" borderId="4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56" fillId="0" borderId="45" xfId="0" applyFont="1" applyBorder="1" applyAlignment="1">
      <alignment horizontal="right" vertical="center"/>
    </xf>
    <xf numFmtId="0" fontId="63" fillId="0" borderId="45" xfId="0" applyFont="1" applyBorder="1" applyAlignment="1">
      <alignment horizontal="right" vertical="center"/>
    </xf>
    <xf numFmtId="0" fontId="63" fillId="0" borderId="0" xfId="0" applyFont="1" applyFill="1" applyBorder="1" applyAlignment="1">
      <alignment vertical="center" wrapText="1"/>
    </xf>
    <xf numFmtId="0" fontId="63" fillId="0" borderId="49" xfId="0" applyFont="1" applyFill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3" fillId="0" borderId="49" xfId="0" applyFont="1" applyBorder="1" applyAlignment="1">
      <alignment vertical="center"/>
    </xf>
    <xf numFmtId="0" fontId="61" fillId="0" borderId="45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left" vertical="center"/>
    </xf>
    <xf numFmtId="0" fontId="61" fillId="0" borderId="49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2" fontId="2" fillId="0" borderId="0" xfId="162" applyNumberFormat="1" applyFont="1" applyAlignment="1">
      <alignment horizontal="center"/>
      <protection/>
    </xf>
    <xf numFmtId="0" fontId="3" fillId="0" borderId="41" xfId="137" applyFont="1" applyFill="1" applyBorder="1" applyAlignment="1">
      <alignment horizontal="center" vertical="center" wrapText="1"/>
      <protection/>
    </xf>
    <xf numFmtId="0" fontId="6" fillId="52" borderId="24" xfId="161" applyFont="1" applyFill="1" applyBorder="1" applyAlignment="1">
      <alignment horizontal="left"/>
      <protection/>
    </xf>
    <xf numFmtId="0" fontId="6" fillId="52" borderId="21" xfId="161" applyFont="1" applyFill="1" applyBorder="1" applyAlignment="1">
      <alignment horizontal="left"/>
      <protection/>
    </xf>
    <xf numFmtId="0" fontId="6" fillId="52" borderId="23" xfId="161" applyFont="1" applyFill="1" applyBorder="1" applyAlignment="1">
      <alignment horizontal="left"/>
      <protection/>
    </xf>
    <xf numFmtId="0" fontId="6" fillId="52" borderId="24" xfId="161" applyFont="1" applyFill="1" applyBorder="1" applyAlignment="1">
      <alignment horizontal="center"/>
      <protection/>
    </xf>
    <xf numFmtId="0" fontId="55" fillId="0" borderId="4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56" fillId="0" borderId="45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left" vertical="center"/>
    </xf>
    <xf numFmtId="0" fontId="62" fillId="0" borderId="4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4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32" xfId="156" applyFont="1" applyBorder="1" applyAlignment="1">
      <alignment horizontal="left" vertical="center" wrapText="1"/>
      <protection/>
    </xf>
    <xf numFmtId="0" fontId="6" fillId="0" borderId="19" xfId="156" applyFont="1" applyBorder="1" applyAlignment="1">
      <alignment horizontal="left" vertical="center" wrapText="1"/>
      <protection/>
    </xf>
    <xf numFmtId="0" fontId="3" fillId="0" borderId="20" xfId="156" applyFont="1" applyBorder="1" applyAlignment="1">
      <alignment horizontal="center" vertical="center" wrapText="1"/>
      <protection/>
    </xf>
    <xf numFmtId="0" fontId="3" fillId="0" borderId="24" xfId="156" applyFont="1" applyBorder="1" applyAlignment="1">
      <alignment horizontal="center" vertical="center" wrapText="1"/>
      <protection/>
    </xf>
    <xf numFmtId="0" fontId="3" fillId="0" borderId="19" xfId="156" applyFont="1" applyFill="1" applyBorder="1" applyAlignment="1">
      <alignment horizontal="center" vertical="center" wrapText="1"/>
      <protection/>
    </xf>
    <xf numFmtId="0" fontId="2" fillId="0" borderId="0" xfId="156" applyFont="1" applyAlignment="1">
      <alignment horizontal="center"/>
      <protection/>
    </xf>
    <xf numFmtId="0" fontId="6" fillId="0" borderId="31" xfId="156" applyFont="1" applyBorder="1" applyAlignment="1">
      <alignment horizontal="left" vertical="center" wrapText="1"/>
      <protection/>
    </xf>
    <xf numFmtId="0" fontId="30" fillId="0" borderId="20" xfId="156" applyFont="1" applyBorder="1" applyAlignment="1">
      <alignment horizontal="center" vertical="top" wrapText="1"/>
      <protection/>
    </xf>
    <xf numFmtId="0" fontId="30" fillId="0" borderId="23" xfId="156" applyFont="1" applyBorder="1" applyAlignment="1">
      <alignment horizontal="center" vertical="top" wrapText="1"/>
      <protection/>
    </xf>
    <xf numFmtId="0" fontId="6" fillId="0" borderId="41" xfId="156" applyFont="1" applyBorder="1" applyAlignment="1">
      <alignment horizontal="left" vertical="center" wrapText="1"/>
      <protection/>
    </xf>
    <xf numFmtId="0" fontId="6" fillId="0" borderId="0" xfId="156" applyFont="1" applyBorder="1" applyAlignment="1">
      <alignment horizontal="center" vertical="center" wrapText="1"/>
      <protection/>
    </xf>
    <xf numFmtId="0" fontId="2" fillId="0" borderId="20" xfId="156" applyFont="1" applyBorder="1" applyAlignment="1">
      <alignment horizontal="center" vertical="top" wrapText="1"/>
      <protection/>
    </xf>
    <xf numFmtId="0" fontId="2" fillId="0" borderId="24" xfId="156" applyFont="1" applyBorder="1" applyAlignment="1">
      <alignment horizontal="center" vertical="top" wrapText="1"/>
      <protection/>
    </xf>
    <xf numFmtId="0" fontId="35" fillId="0" borderId="0" xfId="156" applyFont="1" applyAlignment="1">
      <alignment horizontal="center" vertical="center"/>
      <protection/>
    </xf>
    <xf numFmtId="0" fontId="42" fillId="0" borderId="0" xfId="156" applyFont="1" applyAlignment="1">
      <alignment horizontal="center" vertical="center" wrapText="1"/>
      <protection/>
    </xf>
    <xf numFmtId="0" fontId="42" fillId="0" borderId="0" xfId="156" applyFont="1" applyAlignment="1">
      <alignment horizontal="center" vertical="center"/>
      <protection/>
    </xf>
    <xf numFmtId="0" fontId="3" fillId="0" borderId="19" xfId="156" applyFont="1" applyBorder="1" applyAlignment="1">
      <alignment horizontal="center" vertical="center" wrapText="1"/>
      <protection/>
    </xf>
    <xf numFmtId="0" fontId="6" fillId="0" borderId="41" xfId="156" applyFont="1" applyFill="1" applyBorder="1" applyAlignment="1">
      <alignment horizontal="left" vertical="center" wrapText="1"/>
      <protection/>
    </xf>
    <xf numFmtId="0" fontId="6" fillId="0" borderId="31" xfId="156" applyFont="1" applyFill="1" applyBorder="1" applyAlignment="1">
      <alignment horizontal="left" vertical="center" wrapText="1"/>
      <protection/>
    </xf>
    <xf numFmtId="0" fontId="6" fillId="0" borderId="32" xfId="156" applyFont="1" applyFill="1" applyBorder="1" applyAlignment="1">
      <alignment horizontal="left" vertical="center" wrapText="1"/>
      <protection/>
    </xf>
    <xf numFmtId="0" fontId="89" fillId="0" borderId="29" xfId="0" applyFont="1" applyFill="1" applyBorder="1" applyAlignment="1">
      <alignment horizontal="center" vertical="center"/>
    </xf>
    <xf numFmtId="0" fontId="89" fillId="0" borderId="25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/>
    </xf>
    <xf numFmtId="0" fontId="89" fillId="0" borderId="26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8" fillId="0" borderId="28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 wrapText="1"/>
    </xf>
    <xf numFmtId="0" fontId="89" fillId="0" borderId="41" xfId="0" applyFont="1" applyFill="1" applyBorder="1" applyAlignment="1">
      <alignment horizontal="center" vertical="center"/>
    </xf>
    <xf numFmtId="0" fontId="89" fillId="0" borderId="32" xfId="0" applyFont="1" applyFill="1" applyBorder="1" applyAlignment="1">
      <alignment horizontal="center" vertical="center"/>
    </xf>
    <xf numFmtId="0" fontId="93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89" fillId="0" borderId="26" xfId="0" applyFont="1" applyFill="1" applyBorder="1" applyAlignment="1">
      <alignment horizontal="center" vertical="center" wrapText="1"/>
    </xf>
    <xf numFmtId="0" fontId="32" fillId="0" borderId="20" xfId="162" applyFont="1" applyFill="1" applyBorder="1" applyAlignment="1">
      <alignment horizontal="center" vertical="top"/>
      <protection/>
    </xf>
    <xf numFmtId="0" fontId="32" fillId="0" borderId="24" xfId="162" applyFont="1" applyFill="1" applyBorder="1" applyAlignment="1">
      <alignment horizontal="center" vertical="top"/>
      <protection/>
    </xf>
    <xf numFmtId="0" fontId="32" fillId="0" borderId="23" xfId="162" applyFont="1" applyFill="1" applyBorder="1" applyAlignment="1">
      <alignment horizontal="center" vertical="top"/>
      <protection/>
    </xf>
    <xf numFmtId="0" fontId="2" fillId="0" borderId="0" xfId="0" applyFont="1" applyFill="1" applyAlignment="1">
      <alignment horizontal="center" vertical="center"/>
    </xf>
    <xf numFmtId="0" fontId="93" fillId="0" borderId="0" xfId="162" applyFont="1" applyFill="1" applyAlignment="1">
      <alignment horizontal="center" vertical="center" wrapText="1"/>
      <protection/>
    </xf>
    <xf numFmtId="0" fontId="6" fillId="0" borderId="0" xfId="162" applyFont="1" applyFill="1" applyAlignment="1">
      <alignment horizontal="center" vertical="center" wrapText="1"/>
      <protection/>
    </xf>
    <xf numFmtId="0" fontId="2" fillId="0" borderId="0" xfId="137" applyFont="1" applyFill="1" applyAlignment="1">
      <alignment horizontal="right" vertical="center" wrapText="1"/>
      <protection/>
    </xf>
    <xf numFmtId="0" fontId="32" fillId="0" borderId="19" xfId="137" applyFont="1" applyFill="1" applyBorder="1" applyAlignment="1">
      <alignment horizontal="center" vertical="center" wrapText="1"/>
      <protection/>
    </xf>
    <xf numFmtId="0" fontId="32" fillId="0" borderId="41" xfId="137" applyFont="1" applyFill="1" applyBorder="1" applyAlignment="1">
      <alignment horizontal="center" vertical="center" wrapText="1"/>
      <protection/>
    </xf>
    <xf numFmtId="0" fontId="32" fillId="0" borderId="32" xfId="137" applyFont="1" applyFill="1" applyBorder="1" applyAlignment="1">
      <alignment horizontal="center" vertical="center" wrapText="1"/>
      <protection/>
    </xf>
    <xf numFmtId="0" fontId="32" fillId="0" borderId="31" xfId="137" applyFont="1" applyFill="1" applyBorder="1" applyAlignment="1">
      <alignment horizontal="center" vertical="center" wrapText="1"/>
      <protection/>
    </xf>
    <xf numFmtId="0" fontId="32" fillId="0" borderId="20" xfId="137" applyFont="1" applyFill="1" applyBorder="1" applyAlignment="1">
      <alignment horizontal="center" vertical="center" wrapText="1"/>
      <protection/>
    </xf>
    <xf numFmtId="0" fontId="32" fillId="0" borderId="24" xfId="137" applyFont="1" applyFill="1" applyBorder="1" applyAlignment="1">
      <alignment horizontal="center" vertical="center" wrapText="1"/>
      <protection/>
    </xf>
    <xf numFmtId="0" fontId="32" fillId="0" borderId="23" xfId="137" applyFont="1" applyFill="1" applyBorder="1" applyAlignment="1">
      <alignment horizontal="center" vertical="center" wrapText="1"/>
      <protection/>
    </xf>
    <xf numFmtId="0" fontId="32" fillId="0" borderId="41" xfId="162" applyFont="1" applyFill="1" applyBorder="1" applyAlignment="1">
      <alignment horizontal="center" vertical="center" wrapText="1"/>
      <protection/>
    </xf>
    <xf numFmtId="0" fontId="32" fillId="0" borderId="31" xfId="162" applyFont="1" applyFill="1" applyBorder="1" applyAlignment="1">
      <alignment horizontal="center" vertical="center" wrapText="1"/>
      <protection/>
    </xf>
    <xf numFmtId="0" fontId="32" fillId="0" borderId="32" xfId="162" applyFont="1" applyFill="1" applyBorder="1" applyAlignment="1">
      <alignment horizontal="center" vertical="center" wrapText="1"/>
      <protection/>
    </xf>
    <xf numFmtId="0" fontId="93" fillId="0" borderId="22" xfId="162" applyFont="1" applyFill="1" applyBorder="1" applyAlignment="1">
      <alignment horizontal="center" vertical="center" wrapText="1"/>
      <protection/>
    </xf>
    <xf numFmtId="0" fontId="32" fillId="0" borderId="29" xfId="137" applyFont="1" applyFill="1" applyBorder="1" applyAlignment="1">
      <alignment horizontal="center" vertical="center" wrapText="1"/>
      <protection/>
    </xf>
    <xf numFmtId="0" fontId="32" fillId="0" borderId="25" xfId="137" applyFont="1" applyFill="1" applyBorder="1" applyAlignment="1">
      <alignment horizontal="center" vertical="center" wrapText="1"/>
      <protection/>
    </xf>
    <xf numFmtId="0" fontId="32" fillId="0" borderId="30" xfId="137" applyFont="1" applyFill="1" applyBorder="1" applyAlignment="1">
      <alignment horizontal="center" vertical="center" wrapText="1"/>
      <protection/>
    </xf>
    <xf numFmtId="0" fontId="32" fillId="0" borderId="27" xfId="137" applyFont="1" applyFill="1" applyBorder="1" applyAlignment="1">
      <alignment horizontal="center" vertical="center" wrapText="1"/>
      <protection/>
    </xf>
    <xf numFmtId="0" fontId="32" fillId="0" borderId="28" xfId="137" applyFont="1" applyFill="1" applyBorder="1" applyAlignment="1">
      <alignment horizontal="center" vertical="center" wrapText="1"/>
      <protection/>
    </xf>
    <xf numFmtId="0" fontId="32" fillId="0" borderId="26" xfId="137" applyFont="1" applyFill="1" applyBorder="1" applyAlignment="1">
      <alignment horizontal="center" vertical="center" wrapText="1"/>
      <protection/>
    </xf>
    <xf numFmtId="186" fontId="32" fillId="0" borderId="41" xfId="162" applyNumberFormat="1" applyFont="1" applyFill="1" applyBorder="1" applyAlignment="1">
      <alignment horizontal="center" vertical="center"/>
      <protection/>
    </xf>
    <xf numFmtId="186" fontId="32" fillId="0" borderId="32" xfId="162" applyNumberFormat="1" applyFont="1" applyFill="1" applyBorder="1" applyAlignment="1">
      <alignment horizontal="center" vertical="center"/>
      <protection/>
    </xf>
    <xf numFmtId="0" fontId="3" fillId="0" borderId="20" xfId="137" applyFont="1" applyFill="1" applyBorder="1" applyAlignment="1">
      <alignment horizontal="center" vertical="center" wrapText="1"/>
      <protection/>
    </xf>
    <xf numFmtId="0" fontId="3" fillId="0" borderId="24" xfId="137" applyFont="1" applyFill="1" applyBorder="1" applyAlignment="1">
      <alignment horizontal="center" vertical="center" wrapText="1"/>
      <protection/>
    </xf>
    <xf numFmtId="0" fontId="35" fillId="0" borderId="0" xfId="162" applyFont="1" applyFill="1" applyAlignment="1">
      <alignment horizontal="center" vertical="center" wrapText="1"/>
      <protection/>
    </xf>
    <xf numFmtId="0" fontId="35" fillId="0" borderId="0" xfId="162" applyFont="1" applyFill="1" applyAlignment="1">
      <alignment horizontal="center" vertical="center"/>
      <protection/>
    </xf>
    <xf numFmtId="0" fontId="2" fillId="0" borderId="20" xfId="137" applyFont="1" applyFill="1" applyBorder="1" applyAlignment="1">
      <alignment horizontal="center" vertical="center" wrapText="1"/>
      <protection/>
    </xf>
    <xf numFmtId="0" fontId="2" fillId="0" borderId="24" xfId="137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3" fillId="0" borderId="23" xfId="137" applyFont="1" applyFill="1" applyBorder="1" applyAlignment="1">
      <alignment horizontal="center" vertical="center" wrapText="1"/>
      <protection/>
    </xf>
    <xf numFmtId="0" fontId="3" fillId="0" borderId="41" xfId="137" applyFont="1" applyFill="1" applyBorder="1" applyAlignment="1">
      <alignment horizontal="center" vertical="center" wrapText="1"/>
      <protection/>
    </xf>
    <xf numFmtId="0" fontId="3" fillId="0" borderId="31" xfId="137" applyFont="1" applyFill="1" applyBorder="1" applyAlignment="1">
      <alignment horizontal="center" vertical="center" wrapText="1"/>
      <protection/>
    </xf>
    <xf numFmtId="0" fontId="3" fillId="0" borderId="20" xfId="162" applyFont="1" applyFill="1" applyBorder="1" applyAlignment="1">
      <alignment horizontal="center" vertical="top"/>
      <protection/>
    </xf>
    <xf numFmtId="0" fontId="3" fillId="0" borderId="24" xfId="162" applyFont="1" applyFill="1" applyBorder="1" applyAlignment="1">
      <alignment horizontal="center" vertical="top"/>
      <protection/>
    </xf>
    <xf numFmtId="0" fontId="32" fillId="0" borderId="0" xfId="0" applyFont="1" applyFill="1" applyAlignment="1">
      <alignment horizontal="center"/>
    </xf>
    <xf numFmtId="0" fontId="90" fillId="0" borderId="20" xfId="0" applyFont="1" applyFill="1" applyBorder="1" applyAlignment="1">
      <alignment horizontal="center" vertical="center"/>
    </xf>
    <xf numFmtId="0" fontId="90" fillId="0" borderId="23" xfId="0" applyFont="1" applyFill="1" applyBorder="1" applyAlignment="1">
      <alignment horizontal="center" vertical="center"/>
    </xf>
    <xf numFmtId="0" fontId="90" fillId="0" borderId="41" xfId="0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90" fillId="0" borderId="29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90" fillId="0" borderId="20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90" fillId="0" borderId="41" xfId="0" applyFont="1" applyFill="1" applyBorder="1" applyAlignment="1">
      <alignment horizontal="center" vertical="center"/>
    </xf>
    <xf numFmtId="0" fontId="90" fillId="0" borderId="31" xfId="0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horizontal="center" vertical="center"/>
    </xf>
    <xf numFmtId="0" fontId="90" fillId="0" borderId="31" xfId="0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0" fontId="90" fillId="0" borderId="41" xfId="0" applyFont="1" applyFill="1" applyBorder="1" applyAlignment="1">
      <alignment horizontal="left" vertical="center"/>
    </xf>
    <xf numFmtId="0" fontId="90" fillId="0" borderId="31" xfId="0" applyFont="1" applyFill="1" applyBorder="1" applyAlignment="1">
      <alignment horizontal="left" vertical="center"/>
    </xf>
    <xf numFmtId="0" fontId="90" fillId="0" borderId="32" xfId="0" applyFont="1" applyFill="1" applyBorder="1" applyAlignment="1">
      <alignment horizontal="left" vertical="center"/>
    </xf>
    <xf numFmtId="0" fontId="96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horizontal="center" vertical="center"/>
    </xf>
    <xf numFmtId="0" fontId="89" fillId="0" borderId="31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 wrapText="1"/>
    </xf>
    <xf numFmtId="0" fontId="89" fillId="0" borderId="0" xfId="0" applyFont="1" applyFill="1" applyAlignment="1">
      <alignment horizontal="left" vertical="center"/>
    </xf>
    <xf numFmtId="0" fontId="2" fillId="0" borderId="0" xfId="161" applyFont="1" applyAlignment="1">
      <alignment horizontal="center"/>
      <protection/>
    </xf>
    <xf numFmtId="0" fontId="2" fillId="0" borderId="0" xfId="161" applyFont="1" applyFill="1" applyAlignment="1">
      <alignment horizontal="center"/>
      <protection/>
    </xf>
    <xf numFmtId="0" fontId="2" fillId="0" borderId="0" xfId="162" applyFont="1" applyFill="1" applyAlignment="1">
      <alignment horizontal="center" vertical="center" wrapText="1"/>
      <protection/>
    </xf>
    <xf numFmtId="0" fontId="2" fillId="0" borderId="22" xfId="161" applyFont="1" applyBorder="1" applyAlignment="1">
      <alignment horizontal="center"/>
      <protection/>
    </xf>
    <xf numFmtId="0" fontId="2" fillId="0" borderId="0" xfId="162" applyFont="1" applyAlignment="1">
      <alignment horizontal="center" vertical="center" wrapText="1"/>
      <protection/>
    </xf>
    <xf numFmtId="0" fontId="2" fillId="0" borderId="0" xfId="162" applyFont="1" applyFill="1" applyAlignment="1">
      <alignment horizontal="center" vertical="center"/>
      <protection/>
    </xf>
    <xf numFmtId="0" fontId="2" fillId="0" borderId="0" xfId="162" applyFont="1" applyAlignment="1">
      <alignment horizontal="center" vertical="center"/>
      <protection/>
    </xf>
    <xf numFmtId="0" fontId="3" fillId="0" borderId="21" xfId="161" applyFont="1" applyBorder="1" applyAlignment="1">
      <alignment horizontal="center"/>
      <protection/>
    </xf>
    <xf numFmtId="0" fontId="2" fillId="0" borderId="0" xfId="161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9" fillId="0" borderId="41" xfId="163" applyFont="1" applyBorder="1" applyAlignment="1">
      <alignment horizontal="center" vertical="center" wrapText="1"/>
      <protection/>
    </xf>
    <xf numFmtId="0" fontId="39" fillId="0" borderId="31" xfId="163" applyFont="1" applyBorder="1" applyAlignment="1">
      <alignment horizontal="center" vertical="center" wrapText="1"/>
      <protection/>
    </xf>
    <xf numFmtId="0" fontId="39" fillId="0" borderId="32" xfId="16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41" xfId="162" applyFont="1" applyFill="1" applyBorder="1" applyAlignment="1">
      <alignment horizontal="center" vertical="center"/>
      <protection/>
    </xf>
    <xf numFmtId="0" fontId="3" fillId="0" borderId="32" xfId="162" applyFont="1" applyFill="1" applyBorder="1" applyAlignment="1">
      <alignment horizontal="center" vertical="center"/>
      <protection/>
    </xf>
    <xf numFmtId="0" fontId="3" fillId="0" borderId="19" xfId="162" applyFont="1" applyFill="1" applyBorder="1" applyAlignment="1">
      <alignment horizontal="center" vertical="center"/>
      <protection/>
    </xf>
    <xf numFmtId="0" fontId="3" fillId="0" borderId="41" xfId="162" applyFont="1" applyBorder="1" applyAlignment="1">
      <alignment horizontal="center" vertical="center"/>
      <protection/>
    </xf>
    <xf numFmtId="0" fontId="3" fillId="0" borderId="31" xfId="162" applyFont="1" applyBorder="1" applyAlignment="1">
      <alignment horizontal="center" vertical="center"/>
      <protection/>
    </xf>
    <xf numFmtId="0" fontId="3" fillId="0" borderId="32" xfId="162" applyFont="1" applyBorder="1" applyAlignment="1">
      <alignment horizontal="center" vertical="center"/>
      <protection/>
    </xf>
    <xf numFmtId="0" fontId="3" fillId="0" borderId="20" xfId="162" applyFont="1" applyFill="1" applyBorder="1" applyAlignment="1">
      <alignment horizontal="center" vertical="center"/>
      <protection/>
    </xf>
    <xf numFmtId="0" fontId="3" fillId="0" borderId="23" xfId="162" applyFont="1" applyFill="1" applyBorder="1" applyAlignment="1">
      <alignment horizontal="center" vertical="center"/>
      <protection/>
    </xf>
    <xf numFmtId="0" fontId="3" fillId="47" borderId="0" xfId="162" applyFont="1" applyFill="1" applyAlignment="1">
      <alignment horizontal="center" vertical="center" wrapText="1"/>
      <protection/>
    </xf>
    <xf numFmtId="0" fontId="3" fillId="47" borderId="0" xfId="162" applyFont="1" applyFill="1" applyAlignment="1">
      <alignment horizontal="center" vertical="center"/>
      <protection/>
    </xf>
    <xf numFmtId="0" fontId="3" fillId="0" borderId="0" xfId="162" applyFont="1" applyAlignment="1">
      <alignment horizontal="center"/>
      <protection/>
    </xf>
    <xf numFmtId="0" fontId="3" fillId="0" borderId="0" xfId="162" applyFont="1" applyFill="1" applyAlignment="1">
      <alignment horizontal="center"/>
      <protection/>
    </xf>
    <xf numFmtId="0" fontId="3" fillId="0" borderId="22" xfId="162" applyFont="1" applyFill="1" applyBorder="1" applyAlignment="1">
      <alignment horizontal="left" vertical="center"/>
      <protection/>
    </xf>
    <xf numFmtId="0" fontId="3" fillId="0" borderId="22" xfId="162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47" borderId="0" xfId="162" applyFont="1" applyFill="1" applyAlignment="1">
      <alignment horizontal="center" wrapText="1"/>
      <protection/>
    </xf>
    <xf numFmtId="0" fontId="2" fillId="47" borderId="0" xfId="162" applyFont="1" applyFill="1" applyAlignment="1">
      <alignment horizontal="center"/>
      <protection/>
    </xf>
    <xf numFmtId="0" fontId="2" fillId="0" borderId="0" xfId="162" applyFont="1" applyAlignment="1">
      <alignment horizont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2" fillId="0" borderId="41" xfId="137" applyFont="1" applyFill="1" applyBorder="1" applyAlignment="1">
      <alignment horizontal="center" vertical="center" wrapText="1"/>
      <protection/>
    </xf>
    <xf numFmtId="0" fontId="2" fillId="0" borderId="31" xfId="137" applyFont="1" applyFill="1" applyBorder="1" applyAlignment="1">
      <alignment horizontal="center" vertical="center" wrapText="1"/>
      <protection/>
    </xf>
    <xf numFmtId="0" fontId="2" fillId="0" borderId="32" xfId="137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2" fillId="47" borderId="25" xfId="151" applyNumberFormat="1" applyFont="1" applyFill="1" applyBorder="1" applyAlignment="1">
      <alignment horizontal="center" vertical="top" wrapText="1"/>
      <protection/>
    </xf>
    <xf numFmtId="49" fontId="2" fillId="47" borderId="27" xfId="151" applyNumberFormat="1" applyFont="1" applyFill="1" applyBorder="1" applyAlignment="1">
      <alignment horizontal="center" vertical="top" wrapText="1"/>
      <protection/>
    </xf>
    <xf numFmtId="49" fontId="2" fillId="47" borderId="26" xfId="151" applyNumberFormat="1" applyFont="1" applyFill="1" applyBorder="1" applyAlignment="1">
      <alignment horizontal="center" vertical="top" wrapText="1"/>
      <protection/>
    </xf>
    <xf numFmtId="0" fontId="2" fillId="0" borderId="28" xfId="137" applyFont="1" applyFill="1" applyBorder="1" applyAlignment="1">
      <alignment horizontal="center" vertical="center" wrapText="1"/>
      <protection/>
    </xf>
    <xf numFmtId="0" fontId="2" fillId="0" borderId="22" xfId="137" applyFont="1" applyFill="1" applyBorder="1" applyAlignment="1">
      <alignment horizontal="center" vertical="center" wrapText="1"/>
      <protection/>
    </xf>
    <xf numFmtId="0" fontId="2" fillId="0" borderId="26" xfId="137" applyFont="1" applyFill="1" applyBorder="1" applyAlignment="1">
      <alignment horizontal="center" vertical="center" wrapText="1"/>
      <protection/>
    </xf>
    <xf numFmtId="14" fontId="4" fillId="0" borderId="29" xfId="0" applyNumberFormat="1" applyFont="1" applyFill="1" applyBorder="1" applyAlignment="1">
      <alignment horizontal="center" vertical="top" wrapText="1"/>
    </xf>
    <xf numFmtId="14" fontId="4" fillId="0" borderId="30" xfId="0" applyNumberFormat="1" applyFont="1" applyFill="1" applyBorder="1" applyAlignment="1">
      <alignment horizontal="center" vertical="top" wrapText="1"/>
    </xf>
    <xf numFmtId="14" fontId="4" fillId="0" borderId="28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top" wrapText="1"/>
    </xf>
    <xf numFmtId="14" fontId="4" fillId="0" borderId="24" xfId="0" applyNumberFormat="1" applyFont="1" applyFill="1" applyBorder="1" applyAlignment="1">
      <alignment horizontal="center" vertical="top" wrapText="1"/>
    </xf>
    <xf numFmtId="14" fontId="4" fillId="0" borderId="23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center" wrapText="1"/>
    </xf>
    <xf numFmtId="0" fontId="2" fillId="47" borderId="0" xfId="162" applyFont="1" applyFill="1" applyAlignment="1">
      <alignment horizontal="center" vertical="center" wrapText="1"/>
      <protection/>
    </xf>
    <xf numFmtId="0" fontId="2" fillId="47" borderId="0" xfId="16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162" applyFont="1" applyFill="1" applyAlignment="1">
      <alignment horizontal="center"/>
      <protection/>
    </xf>
    <xf numFmtId="2" fontId="2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1" xfId="162" applyFont="1" applyFill="1" applyBorder="1" applyAlignment="1">
      <alignment horizontal="center" vertical="center"/>
      <protection/>
    </xf>
    <xf numFmtId="0" fontId="2" fillId="0" borderId="32" xfId="162" applyFont="1" applyFill="1" applyBorder="1" applyAlignment="1">
      <alignment horizontal="center" vertical="center"/>
      <protection/>
    </xf>
    <xf numFmtId="0" fontId="2" fillId="0" borderId="19" xfId="162" applyFont="1" applyFill="1" applyBorder="1" applyAlignment="1">
      <alignment horizontal="center" vertical="center"/>
      <protection/>
    </xf>
    <xf numFmtId="0" fontId="2" fillId="0" borderId="20" xfId="162" applyFont="1" applyFill="1" applyBorder="1" applyAlignment="1">
      <alignment horizontal="center" vertical="top"/>
      <protection/>
    </xf>
    <xf numFmtId="0" fontId="2" fillId="0" borderId="23" xfId="162" applyFont="1" applyFill="1" applyBorder="1" applyAlignment="1">
      <alignment horizontal="center" vertical="top"/>
      <protection/>
    </xf>
    <xf numFmtId="0" fontId="2" fillId="0" borderId="24" xfId="162" applyFont="1" applyFill="1" applyBorder="1" applyAlignment="1">
      <alignment horizontal="center" vertical="top"/>
      <protection/>
    </xf>
    <xf numFmtId="14" fontId="88" fillId="0" borderId="28" xfId="0" applyNumberFormat="1" applyFont="1" applyFill="1" applyBorder="1" applyAlignment="1">
      <alignment horizontal="center" vertical="top" wrapText="1"/>
    </xf>
    <xf numFmtId="0" fontId="88" fillId="0" borderId="41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49" fontId="2" fillId="0" borderId="25" xfId="151" applyNumberFormat="1" applyFont="1" applyFill="1" applyBorder="1" applyAlignment="1">
      <alignment horizontal="center" vertical="top" wrapText="1"/>
      <protection/>
    </xf>
    <xf numFmtId="49" fontId="2" fillId="0" borderId="27" xfId="151" applyNumberFormat="1" applyFont="1" applyFill="1" applyBorder="1" applyAlignment="1">
      <alignment horizontal="center" vertical="top" wrapText="1"/>
      <protection/>
    </xf>
    <xf numFmtId="49" fontId="2" fillId="0" borderId="26" xfId="151" applyNumberFormat="1" applyFont="1" applyFill="1" applyBorder="1" applyAlignment="1">
      <alignment horizontal="center" vertical="top" wrapText="1"/>
      <protection/>
    </xf>
    <xf numFmtId="0" fontId="97" fillId="0" borderId="20" xfId="0" applyFont="1" applyFill="1" applyBorder="1" applyAlignment="1">
      <alignment horizontal="center" vertical="top" wrapText="1"/>
    </xf>
    <xf numFmtId="0" fontId="97" fillId="0" borderId="24" xfId="0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97" fillId="0" borderId="19" xfId="0" applyFont="1" applyFill="1" applyBorder="1" applyAlignment="1">
      <alignment horizontal="center" vertical="top" wrapText="1"/>
    </xf>
    <xf numFmtId="0" fontId="4" fillId="0" borderId="41" xfId="163" applyFont="1" applyFill="1" applyBorder="1" applyAlignment="1">
      <alignment horizontal="center" vertical="center" wrapText="1"/>
      <protection/>
    </xf>
    <xf numFmtId="0" fontId="4" fillId="0" borderId="31" xfId="163" applyFont="1" applyFill="1" applyBorder="1" applyAlignment="1">
      <alignment horizontal="center" vertical="center" wrapText="1"/>
      <protection/>
    </xf>
    <xf numFmtId="0" fontId="4" fillId="0" borderId="22" xfId="163" applyFont="1" applyFill="1" applyBorder="1" applyAlignment="1">
      <alignment horizontal="center" vertical="center" wrapText="1"/>
      <protection/>
    </xf>
    <xf numFmtId="0" fontId="4" fillId="0" borderId="26" xfId="163" applyFont="1" applyFill="1" applyBorder="1" applyAlignment="1">
      <alignment horizontal="center" vertical="center" wrapText="1"/>
      <protection/>
    </xf>
    <xf numFmtId="0" fontId="4" fillId="0" borderId="41" xfId="163" applyFont="1" applyBorder="1" applyAlignment="1">
      <alignment horizontal="center" vertical="center" wrapText="1"/>
      <protection/>
    </xf>
    <xf numFmtId="0" fontId="4" fillId="0" borderId="31" xfId="163" applyFont="1" applyBorder="1" applyAlignment="1">
      <alignment horizontal="center" vertical="center" wrapText="1"/>
      <protection/>
    </xf>
    <xf numFmtId="0" fontId="4" fillId="0" borderId="32" xfId="163" applyFont="1" applyBorder="1" applyAlignment="1">
      <alignment horizontal="center" vertical="center" wrapText="1"/>
      <protection/>
    </xf>
    <xf numFmtId="0" fontId="2" fillId="0" borderId="41" xfId="161" applyFont="1" applyBorder="1" applyAlignment="1">
      <alignment horizontal="center" vertical="center"/>
      <protection/>
    </xf>
    <xf numFmtId="0" fontId="2" fillId="0" borderId="32" xfId="161" applyFont="1" applyBorder="1" applyAlignment="1">
      <alignment horizontal="center" vertical="center"/>
      <protection/>
    </xf>
    <xf numFmtId="0" fontId="2" fillId="0" borderId="19" xfId="161" applyFont="1" applyBorder="1" applyAlignment="1">
      <alignment horizontal="center" vertical="center"/>
      <protection/>
    </xf>
    <xf numFmtId="0" fontId="2" fillId="0" borderId="20" xfId="162" applyFont="1" applyBorder="1" applyAlignment="1">
      <alignment horizontal="center" vertical="top"/>
      <protection/>
    </xf>
    <xf numFmtId="0" fontId="2" fillId="0" borderId="24" xfId="162" applyFont="1" applyBorder="1" applyAlignment="1">
      <alignment horizontal="center" vertical="top"/>
      <protection/>
    </xf>
    <xf numFmtId="49" fontId="2" fillId="0" borderId="20" xfId="162" applyNumberFormat="1" applyFont="1" applyBorder="1" applyAlignment="1">
      <alignment horizontal="center" vertical="top"/>
      <protection/>
    </xf>
    <xf numFmtId="49" fontId="2" fillId="0" borderId="24" xfId="162" applyNumberFormat="1" applyFont="1" applyBorder="1" applyAlignment="1">
      <alignment horizontal="center" vertical="top"/>
      <protection/>
    </xf>
    <xf numFmtId="49" fontId="2" fillId="0" borderId="23" xfId="162" applyNumberFormat="1" applyFont="1" applyBorder="1" applyAlignment="1">
      <alignment horizontal="center" vertical="top"/>
      <protection/>
    </xf>
    <xf numFmtId="49" fontId="2" fillId="0" borderId="20" xfId="161" applyNumberFormat="1" applyFont="1" applyBorder="1" applyAlignment="1">
      <alignment horizontal="center" vertical="top" wrapText="1"/>
      <protection/>
    </xf>
    <xf numFmtId="49" fontId="2" fillId="0" borderId="24" xfId="161" applyNumberFormat="1" applyFont="1" applyBorder="1" applyAlignment="1">
      <alignment horizontal="center" vertical="top" wrapText="1"/>
      <protection/>
    </xf>
    <xf numFmtId="49" fontId="2" fillId="0" borderId="23" xfId="161" applyNumberFormat="1" applyFont="1" applyBorder="1" applyAlignment="1">
      <alignment horizontal="center" vertical="top" wrapText="1"/>
      <protection/>
    </xf>
    <xf numFmtId="49" fontId="3" fillId="0" borderId="20" xfId="161" applyNumberFormat="1" applyFont="1" applyBorder="1" applyAlignment="1">
      <alignment horizontal="center" vertical="top" wrapText="1"/>
      <protection/>
    </xf>
    <xf numFmtId="49" fontId="3" fillId="0" borderId="24" xfId="161" applyNumberFormat="1" applyFont="1" applyBorder="1" applyAlignment="1">
      <alignment horizontal="center" vertical="top" wrapText="1"/>
      <protection/>
    </xf>
    <xf numFmtId="49" fontId="3" fillId="0" borderId="23" xfId="161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2" fillId="0" borderId="41" xfId="162" applyFont="1" applyBorder="1" applyAlignment="1">
      <alignment horizontal="center" vertical="center"/>
      <protection/>
    </xf>
    <xf numFmtId="0" fontId="2" fillId="0" borderId="31" xfId="162" applyFont="1" applyBorder="1" applyAlignment="1">
      <alignment horizontal="center" vertical="center"/>
      <protection/>
    </xf>
    <xf numFmtId="0" fontId="2" fillId="0" borderId="32" xfId="162" applyFont="1" applyBorder="1" applyAlignment="1">
      <alignment horizontal="center" vertical="center"/>
      <protection/>
    </xf>
    <xf numFmtId="0" fontId="2" fillId="0" borderId="20" xfId="162" applyFont="1" applyBorder="1" applyAlignment="1">
      <alignment horizontal="center" vertical="center"/>
      <protection/>
    </xf>
    <xf numFmtId="0" fontId="2" fillId="0" borderId="23" xfId="162" applyFont="1" applyBorder="1" applyAlignment="1">
      <alignment horizontal="center" vertical="center"/>
      <protection/>
    </xf>
    <xf numFmtId="0" fontId="2" fillId="0" borderId="19" xfId="162" applyFont="1" applyBorder="1" applyAlignment="1">
      <alignment horizontal="center" vertical="center"/>
      <protection/>
    </xf>
    <xf numFmtId="0" fontId="2" fillId="0" borderId="22" xfId="162" applyFont="1" applyBorder="1" applyAlignment="1">
      <alignment horizontal="left" vertical="center"/>
      <protection/>
    </xf>
    <xf numFmtId="0" fontId="2" fillId="0" borderId="22" xfId="162" applyFont="1" applyBorder="1" applyAlignment="1">
      <alignment horizontal="center" vertical="center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_A.BETONI " xfId="23"/>
    <cellStyle name="20% - Акцент2" xfId="24"/>
    <cellStyle name="20% — акцент2" xfId="25"/>
    <cellStyle name="20% - Акцент2_A.BETONI " xfId="26"/>
    <cellStyle name="20% - Акцент3" xfId="27"/>
    <cellStyle name="20% — акцент3" xfId="28"/>
    <cellStyle name="20% - Акцент3_A.BETONI " xfId="29"/>
    <cellStyle name="20% - Акцент4" xfId="30"/>
    <cellStyle name="20% — акцент4" xfId="31"/>
    <cellStyle name="20% - Акцент4_A.BETONI " xfId="32"/>
    <cellStyle name="20% - Акцент5" xfId="33"/>
    <cellStyle name="20% — акцент5" xfId="34"/>
    <cellStyle name="20% - Акцент5_A.BETONI " xfId="35"/>
    <cellStyle name="20% - Акцент6" xfId="36"/>
    <cellStyle name="20% — акцент6" xfId="37"/>
    <cellStyle name="20% - Акцент6_A.BETONI 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_A.BETONI " xfId="47"/>
    <cellStyle name="40% - Акцент2" xfId="48"/>
    <cellStyle name="40% — акцент2" xfId="49"/>
    <cellStyle name="40% - Акцент2_A.BETONI " xfId="50"/>
    <cellStyle name="40% - Акцент3" xfId="51"/>
    <cellStyle name="40% — акцент3" xfId="52"/>
    <cellStyle name="40% - Акцент3_A.BETONI " xfId="53"/>
    <cellStyle name="40% - Акцент4" xfId="54"/>
    <cellStyle name="40% — акцент4" xfId="55"/>
    <cellStyle name="40% - Акцент4_A.BETONI " xfId="56"/>
    <cellStyle name="40% - Акцент5" xfId="57"/>
    <cellStyle name="40% — акцент5" xfId="58"/>
    <cellStyle name="40% - Акцент5_A.BETONI " xfId="59"/>
    <cellStyle name="40% - Акцент6" xfId="60"/>
    <cellStyle name="40% — акцент6" xfId="61"/>
    <cellStyle name="40% - Акцент6_A.BETONI 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urrency" xfId="92"/>
    <cellStyle name="Currency [0]" xfId="93"/>
    <cellStyle name="Explanatory Text" xfId="94"/>
    <cellStyle name="Followed Hyperlink" xfId="95"/>
    <cellStyle name="Good" xfId="96"/>
    <cellStyle name="Heading 1" xfId="97"/>
    <cellStyle name="Heading 2" xfId="98"/>
    <cellStyle name="Heading 3" xfId="99"/>
    <cellStyle name="Heading 4" xfId="100"/>
    <cellStyle name="Hyperlink" xfId="101"/>
    <cellStyle name="Input" xfId="102"/>
    <cellStyle name="Linked Cell" xfId="103"/>
    <cellStyle name="Neutral" xfId="104"/>
    <cellStyle name="Normal 10" xfId="105"/>
    <cellStyle name="Normal 2" xfId="106"/>
    <cellStyle name="Normal 2 2" xfId="107"/>
    <cellStyle name="Normal 2 3" xfId="108"/>
    <cellStyle name="Normal 7" xfId="109"/>
    <cellStyle name="Normal 8" xfId="110"/>
    <cellStyle name="Normal_3-1----6-4" xfId="111"/>
    <cellStyle name="Note" xfId="112"/>
    <cellStyle name="Output" xfId="113"/>
    <cellStyle name="Percen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ывод" xfId="125"/>
    <cellStyle name="Вычисление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2 10" xfId="136"/>
    <cellStyle name="Обычный 2 2" xfId="137"/>
    <cellStyle name="Обычный 2 2 2" xfId="138"/>
    <cellStyle name="Обычный 2 2 3" xfId="139"/>
    <cellStyle name="Обычный 2 2_A BETONI1" xfId="140"/>
    <cellStyle name="Обычный 2 2_XIDI" xfId="141"/>
    <cellStyle name="Обычный 2 3" xfId="142"/>
    <cellStyle name="Обычный 2 4" xfId="143"/>
    <cellStyle name="Обычный 2 5" xfId="144"/>
    <cellStyle name="Обычный 2 6" xfId="145"/>
    <cellStyle name="Обычный 2 7" xfId="146"/>
    <cellStyle name="Обычный 2 8" xfId="147"/>
    <cellStyle name="Обычный 2 9" xfId="148"/>
    <cellStyle name="Обычный 2_A.BETONI " xfId="149"/>
    <cellStyle name="Обычный 3" xfId="150"/>
    <cellStyle name="Обычный 3 2" xfId="151"/>
    <cellStyle name="Обычный 3 2 2" xfId="152"/>
    <cellStyle name="Обычный 3_A BETONI1" xfId="153"/>
    <cellStyle name="Обычный 4" xfId="154"/>
    <cellStyle name="Обычный 4 2" xfId="155"/>
    <cellStyle name="Обычный 5" xfId="156"/>
    <cellStyle name="Обычный 6" xfId="157"/>
    <cellStyle name="Обычный 6 2" xfId="158"/>
    <cellStyle name="Обычный 7" xfId="159"/>
    <cellStyle name="Обычный 7 2" xfId="160"/>
    <cellStyle name="Обычный_FERIIS~1" xfId="161"/>
    <cellStyle name="Обычный_FERIIS~1 2" xfId="162"/>
    <cellStyle name="Обычный_SPIKEROVIZI  forma 2 " xfId="163"/>
    <cellStyle name="Открывавшаяся гиперссыл" xfId="164"/>
    <cellStyle name="Плохой" xfId="165"/>
    <cellStyle name="Пояснение" xfId="166"/>
    <cellStyle name="Примечание" xfId="167"/>
    <cellStyle name="Связанная ячейка" xfId="168"/>
    <cellStyle name="Текст предупреждения" xfId="169"/>
    <cellStyle name="Финансовый 2" xfId="170"/>
    <cellStyle name="Финансовый 3" xfId="171"/>
    <cellStyle name="Хороший" xfId="172"/>
    <cellStyle name="მძიმე 2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22</xdr:row>
      <xdr:rowOff>0</xdr:rowOff>
    </xdr:from>
    <xdr:to>
      <xdr:col>9</xdr:col>
      <xdr:colOff>457200</xdr:colOff>
      <xdr:row>23</xdr:row>
      <xdr:rowOff>76200</xdr:rowOff>
    </xdr:to>
    <xdr:pic>
      <xdr:nvPicPr>
        <xdr:cNvPr id="1" name="Picture 62" descr="BD2131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067300"/>
          <a:ext cx="500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</xdr:row>
      <xdr:rowOff>76200</xdr:rowOff>
    </xdr:from>
    <xdr:to>
      <xdr:col>4</xdr:col>
      <xdr:colOff>400050</xdr:colOff>
      <xdr:row>4</xdr:row>
      <xdr:rowOff>152400</xdr:rowOff>
    </xdr:to>
    <xdr:pic>
      <xdr:nvPicPr>
        <xdr:cNvPr id="2" name="Picture 53" descr="uks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36195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22</xdr:row>
      <xdr:rowOff>0</xdr:rowOff>
    </xdr:from>
    <xdr:to>
      <xdr:col>9</xdr:col>
      <xdr:colOff>457200</xdr:colOff>
      <xdr:row>23</xdr:row>
      <xdr:rowOff>76200</xdr:rowOff>
    </xdr:to>
    <xdr:pic>
      <xdr:nvPicPr>
        <xdr:cNvPr id="3" name="Picture 62" descr="BD2131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067300"/>
          <a:ext cx="500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3</xdr:row>
      <xdr:rowOff>19050</xdr:rowOff>
    </xdr:from>
    <xdr:to>
      <xdr:col>4</xdr:col>
      <xdr:colOff>333375</xdr:colOff>
      <xdr:row>5</xdr:row>
      <xdr:rowOff>85725</xdr:rowOff>
    </xdr:to>
    <xdr:pic>
      <xdr:nvPicPr>
        <xdr:cNvPr id="1" name="Picture 53" descr="uk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85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4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7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8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9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0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1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4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5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6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7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8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9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0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1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2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3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4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5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6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8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29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30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31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32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33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3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35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3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37" name="Text Box 19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38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3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40" name="Text Box 194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41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4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43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44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4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46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47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4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4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5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5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5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5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5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5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5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5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5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5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6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6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6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6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6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6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6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6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6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6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79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80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82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83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84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85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86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87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88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89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4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95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96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0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0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0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0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0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0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0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0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0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0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1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1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1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1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14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1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1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1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1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1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2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2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2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2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2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2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2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2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2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2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3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3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3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3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95275" cy="47625"/>
    <xdr:sp fLocksText="0">
      <xdr:nvSpPr>
        <xdr:cNvPr id="134" name="Text Box 2"/>
        <xdr:cNvSpPr txBox="1">
          <a:spLocks noChangeArrowheads="1"/>
        </xdr:cNvSpPr>
      </xdr:nvSpPr>
      <xdr:spPr>
        <a:xfrm>
          <a:off x="619125" y="1316355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135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136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3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3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3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4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4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142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4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144" name="Text Box 3155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145" name="Text Box 3156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4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4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4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4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5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5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5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5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5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5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5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5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5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5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6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6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6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6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6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6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6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6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6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6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7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7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7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7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7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7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7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7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7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7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8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8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8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95275" cy="47625"/>
    <xdr:sp fLocksText="0">
      <xdr:nvSpPr>
        <xdr:cNvPr id="183" name="Text Box 2"/>
        <xdr:cNvSpPr txBox="1">
          <a:spLocks noChangeArrowheads="1"/>
        </xdr:cNvSpPr>
      </xdr:nvSpPr>
      <xdr:spPr>
        <a:xfrm>
          <a:off x="619125" y="1316355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184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8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186" name="Text Box 3155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187" name="Text Box 3156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8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8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9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9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9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9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9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9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9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19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19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19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0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0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0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0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0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0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0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0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0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0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1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1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1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1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1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1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1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1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1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1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2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2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2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2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2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95275" cy="47625"/>
    <xdr:sp fLocksText="0">
      <xdr:nvSpPr>
        <xdr:cNvPr id="225" name="Text Box 2"/>
        <xdr:cNvSpPr txBox="1">
          <a:spLocks noChangeArrowheads="1"/>
        </xdr:cNvSpPr>
      </xdr:nvSpPr>
      <xdr:spPr>
        <a:xfrm>
          <a:off x="619125" y="1316355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226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2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228" name="Text Box 3155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229" name="Text Box 3156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3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3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3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3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3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3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3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3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3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3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4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4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4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4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4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4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4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4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4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4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5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5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5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5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5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5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5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5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5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5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6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6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6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6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6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6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6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6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6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95275" cy="47625"/>
    <xdr:sp fLocksText="0">
      <xdr:nvSpPr>
        <xdr:cNvPr id="269" name="Text Box 2"/>
        <xdr:cNvSpPr txBox="1">
          <a:spLocks noChangeArrowheads="1"/>
        </xdr:cNvSpPr>
      </xdr:nvSpPr>
      <xdr:spPr>
        <a:xfrm>
          <a:off x="619125" y="1316355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270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7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272" name="Text Box 3155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273" name="Text Box 3156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74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7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7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7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7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7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8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8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8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8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8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8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8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8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8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8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9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9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9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9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9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9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9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29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29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29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30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30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30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30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30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30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30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30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30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30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31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31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31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95275" cy="47625"/>
    <xdr:sp fLocksText="0">
      <xdr:nvSpPr>
        <xdr:cNvPr id="313" name="Text Box 2"/>
        <xdr:cNvSpPr txBox="1">
          <a:spLocks noChangeArrowheads="1"/>
        </xdr:cNvSpPr>
      </xdr:nvSpPr>
      <xdr:spPr>
        <a:xfrm>
          <a:off x="619125" y="1316355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314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31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316" name="Text Box 3155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317" name="Text Box 3156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31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31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20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21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22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23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24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25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26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27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28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29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30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31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32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33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34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35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36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37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38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39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40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41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42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43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44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45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46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47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48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49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50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351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352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5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354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5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356" name="Text Box 19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357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5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359" name="Text Box 194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360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6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362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363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6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365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366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6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6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6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7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7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7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7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7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7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7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7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7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7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8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8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8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8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8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8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8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8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8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8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9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9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9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9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9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39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39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39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398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399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0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01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02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03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04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05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06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07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08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0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1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1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12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1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14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15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1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1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1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1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2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2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2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2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2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2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2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2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2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2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3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3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3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3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3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3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3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3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3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3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4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4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4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4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4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4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4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4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4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4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5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5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5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95275" cy="47625"/>
    <xdr:sp fLocksText="0">
      <xdr:nvSpPr>
        <xdr:cNvPr id="453" name="Text Box 2"/>
        <xdr:cNvSpPr txBox="1">
          <a:spLocks noChangeArrowheads="1"/>
        </xdr:cNvSpPr>
      </xdr:nvSpPr>
      <xdr:spPr>
        <a:xfrm>
          <a:off x="619125" y="1832610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54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455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5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5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5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5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6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461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6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463" name="Text Box 3155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464" name="Text Box 3156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6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6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6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6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6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7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7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7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7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7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7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7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7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7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7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8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8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82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8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8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8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8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8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8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8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9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9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9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9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9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9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49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9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49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49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0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0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95275" cy="47625"/>
    <xdr:sp fLocksText="0">
      <xdr:nvSpPr>
        <xdr:cNvPr id="502" name="Text Box 2"/>
        <xdr:cNvSpPr txBox="1">
          <a:spLocks noChangeArrowheads="1"/>
        </xdr:cNvSpPr>
      </xdr:nvSpPr>
      <xdr:spPr>
        <a:xfrm>
          <a:off x="619125" y="1832610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503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0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505" name="Text Box 3155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506" name="Text Box 3156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0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0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0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1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1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12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1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1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1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1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1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1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1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2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2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2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2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2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2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2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2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2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2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3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3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32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3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3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3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3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3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3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3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4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4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4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4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95275" cy="47625"/>
    <xdr:sp fLocksText="0">
      <xdr:nvSpPr>
        <xdr:cNvPr id="544" name="Text Box 2"/>
        <xdr:cNvSpPr txBox="1">
          <a:spLocks noChangeArrowheads="1"/>
        </xdr:cNvSpPr>
      </xdr:nvSpPr>
      <xdr:spPr>
        <a:xfrm>
          <a:off x="619125" y="1832610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545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4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547" name="Text Box 3155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548" name="Text Box 3156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4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5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5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52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5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5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5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5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5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5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5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6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6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6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6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6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6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6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6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6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6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7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7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72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7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7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7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7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7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7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7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8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8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8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8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8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8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8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8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95275" cy="47625"/>
    <xdr:sp fLocksText="0">
      <xdr:nvSpPr>
        <xdr:cNvPr id="588" name="Text Box 2"/>
        <xdr:cNvSpPr txBox="1">
          <a:spLocks noChangeArrowheads="1"/>
        </xdr:cNvSpPr>
      </xdr:nvSpPr>
      <xdr:spPr>
        <a:xfrm>
          <a:off x="619125" y="1832610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589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9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591" name="Text Box 3155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592" name="Text Box 3156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9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9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9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59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9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59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59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60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0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60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0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60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0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60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0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60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60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1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61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612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1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61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1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61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1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61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1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62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62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2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62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62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2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62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2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62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2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63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3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95275" cy="47625"/>
    <xdr:sp fLocksText="0">
      <xdr:nvSpPr>
        <xdr:cNvPr id="632" name="Text Box 2"/>
        <xdr:cNvSpPr txBox="1">
          <a:spLocks noChangeArrowheads="1"/>
        </xdr:cNvSpPr>
      </xdr:nvSpPr>
      <xdr:spPr>
        <a:xfrm>
          <a:off x="619125" y="1832610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633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63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635" name="Text Box 3155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636" name="Text Box 3156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63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63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39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40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41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42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43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44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45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46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47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48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49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50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51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52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53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54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55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56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57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58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59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60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61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62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63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64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65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66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67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68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69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670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671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67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673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67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675" name="Text Box 19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676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3209925</xdr:colOff>
      <xdr:row>38</xdr:row>
      <xdr:rowOff>0</xdr:rowOff>
    </xdr:from>
    <xdr:ext cx="1752600" cy="47625"/>
    <xdr:sp fLocksText="0">
      <xdr:nvSpPr>
        <xdr:cNvPr id="677" name="Text Box 2"/>
        <xdr:cNvSpPr txBox="1">
          <a:spLocks noChangeArrowheads="1"/>
        </xdr:cNvSpPr>
      </xdr:nvSpPr>
      <xdr:spPr>
        <a:xfrm>
          <a:off x="3448050" y="13163550"/>
          <a:ext cx="1752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678" name="Text Box 194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679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1457325</xdr:colOff>
      <xdr:row>38</xdr:row>
      <xdr:rowOff>0</xdr:rowOff>
    </xdr:from>
    <xdr:ext cx="847725" cy="47625"/>
    <xdr:sp fLocksText="0">
      <xdr:nvSpPr>
        <xdr:cNvPr id="680" name="Text Box 2"/>
        <xdr:cNvSpPr txBox="1">
          <a:spLocks noChangeArrowheads="1"/>
        </xdr:cNvSpPr>
      </xdr:nvSpPr>
      <xdr:spPr>
        <a:xfrm>
          <a:off x="1695450" y="13163550"/>
          <a:ext cx="847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681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682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68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684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685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68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68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68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68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69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69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69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69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69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69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69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69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69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69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0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0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0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0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0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0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0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0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0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0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1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1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1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1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1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1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1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717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18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1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20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21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22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23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24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25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26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27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2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2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3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3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3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33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34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3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3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3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3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3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4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4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4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4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44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4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4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4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4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4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5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5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5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5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5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5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5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5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5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5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6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6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6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6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64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6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6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6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6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6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7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7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1123950</xdr:colOff>
      <xdr:row>38</xdr:row>
      <xdr:rowOff>0</xdr:rowOff>
    </xdr:from>
    <xdr:ext cx="657225" cy="47625"/>
    <xdr:sp fLocksText="0">
      <xdr:nvSpPr>
        <xdr:cNvPr id="772" name="Text Box 2"/>
        <xdr:cNvSpPr txBox="1">
          <a:spLocks noChangeArrowheads="1"/>
        </xdr:cNvSpPr>
      </xdr:nvSpPr>
      <xdr:spPr>
        <a:xfrm>
          <a:off x="1362075" y="13163550"/>
          <a:ext cx="657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73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285875" cy="47625"/>
    <xdr:sp fLocksText="0">
      <xdr:nvSpPr>
        <xdr:cNvPr id="774" name="Text Box 2"/>
        <xdr:cNvSpPr txBox="1">
          <a:spLocks noChangeArrowheads="1"/>
        </xdr:cNvSpPr>
      </xdr:nvSpPr>
      <xdr:spPr>
        <a:xfrm>
          <a:off x="2590800" y="1316355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7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7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7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7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7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780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8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782" name="Text Box 3155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783" name="Text Box 3156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84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8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8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8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8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8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9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9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9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9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9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9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9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79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79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79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0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0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0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0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0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0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0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0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0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0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1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1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1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1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1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1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1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1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1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1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2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95275" cy="47625"/>
    <xdr:sp fLocksText="0">
      <xdr:nvSpPr>
        <xdr:cNvPr id="821" name="Text Box 2"/>
        <xdr:cNvSpPr txBox="1">
          <a:spLocks noChangeArrowheads="1"/>
        </xdr:cNvSpPr>
      </xdr:nvSpPr>
      <xdr:spPr>
        <a:xfrm>
          <a:off x="619125" y="1316355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822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2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824" name="Text Box 3155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825" name="Text Box 3156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2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2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2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2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3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3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3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3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3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3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3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3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3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3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4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4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4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4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4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4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4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4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4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4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5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5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5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5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5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5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5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5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5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5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6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6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6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95275" cy="47625"/>
    <xdr:sp fLocksText="0">
      <xdr:nvSpPr>
        <xdr:cNvPr id="863" name="Text Box 2"/>
        <xdr:cNvSpPr txBox="1">
          <a:spLocks noChangeArrowheads="1"/>
        </xdr:cNvSpPr>
      </xdr:nvSpPr>
      <xdr:spPr>
        <a:xfrm>
          <a:off x="619125" y="1316355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864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6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866" name="Text Box 3155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867" name="Text Box 3156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68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6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70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7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7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7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7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7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7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7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7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7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8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8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8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8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84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85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8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8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8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8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9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9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9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9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9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9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9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89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89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89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0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0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0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0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0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0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0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95275" cy="47625"/>
    <xdr:sp fLocksText="0">
      <xdr:nvSpPr>
        <xdr:cNvPr id="907" name="Text Box 2"/>
        <xdr:cNvSpPr txBox="1">
          <a:spLocks noChangeArrowheads="1"/>
        </xdr:cNvSpPr>
      </xdr:nvSpPr>
      <xdr:spPr>
        <a:xfrm>
          <a:off x="619125" y="1316355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908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0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910" name="Text Box 3155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911" name="Text Box 3156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12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1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14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1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16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17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1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1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2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21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2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2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2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2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2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2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28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29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3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31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32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33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3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35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3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37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3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39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40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41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42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43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44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45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46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47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48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71550" cy="47625"/>
    <xdr:sp fLocksText="0">
      <xdr:nvSpPr>
        <xdr:cNvPr id="949" name="Text Box 1"/>
        <xdr:cNvSpPr txBox="1">
          <a:spLocks noChangeArrowheads="1"/>
        </xdr:cNvSpPr>
      </xdr:nvSpPr>
      <xdr:spPr>
        <a:xfrm>
          <a:off x="1943100" y="1316355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50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228600</xdr:colOff>
      <xdr:row>38</xdr:row>
      <xdr:rowOff>0</xdr:rowOff>
    </xdr:from>
    <xdr:ext cx="190500" cy="47625"/>
    <xdr:sp fLocksText="0">
      <xdr:nvSpPr>
        <xdr:cNvPr id="951" name="Text Box 2"/>
        <xdr:cNvSpPr txBox="1">
          <a:spLocks noChangeArrowheads="1"/>
        </xdr:cNvSpPr>
      </xdr:nvSpPr>
      <xdr:spPr>
        <a:xfrm>
          <a:off x="5210175" y="13163550"/>
          <a:ext cx="190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952" name="Text Box 1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304925" cy="47625"/>
    <xdr:sp fLocksText="0">
      <xdr:nvSpPr>
        <xdr:cNvPr id="953" name="Text Box 2"/>
        <xdr:cNvSpPr txBox="1">
          <a:spLocks noChangeArrowheads="1"/>
        </xdr:cNvSpPr>
      </xdr:nvSpPr>
      <xdr:spPr>
        <a:xfrm>
          <a:off x="2628900" y="1316355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954" name="Text Box 3155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962025" cy="47625"/>
    <xdr:sp fLocksText="0">
      <xdr:nvSpPr>
        <xdr:cNvPr id="955" name="Text Box 3156"/>
        <xdr:cNvSpPr txBox="1">
          <a:spLocks noChangeArrowheads="1"/>
        </xdr:cNvSpPr>
      </xdr:nvSpPr>
      <xdr:spPr>
        <a:xfrm>
          <a:off x="1943100" y="1316355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80975" cy="47625"/>
    <xdr:sp fLocksText="0">
      <xdr:nvSpPr>
        <xdr:cNvPr id="956" name="Text Box 2"/>
        <xdr:cNvSpPr txBox="1">
          <a:spLocks noChangeArrowheads="1"/>
        </xdr:cNvSpPr>
      </xdr:nvSpPr>
      <xdr:spPr>
        <a:xfrm>
          <a:off x="42862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3276600</xdr:colOff>
      <xdr:row>38</xdr:row>
      <xdr:rowOff>0</xdr:rowOff>
    </xdr:from>
    <xdr:ext cx="1762125" cy="47625"/>
    <xdr:sp fLocksText="0">
      <xdr:nvSpPr>
        <xdr:cNvPr id="957" name="Text Box 2"/>
        <xdr:cNvSpPr txBox="1">
          <a:spLocks noChangeArrowheads="1"/>
        </xdr:cNvSpPr>
      </xdr:nvSpPr>
      <xdr:spPr>
        <a:xfrm>
          <a:off x="3514725" y="13163550"/>
          <a:ext cx="1762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228600</xdr:colOff>
      <xdr:row>38</xdr:row>
      <xdr:rowOff>0</xdr:rowOff>
    </xdr:from>
    <xdr:ext cx="190500" cy="47625"/>
    <xdr:sp fLocksText="0">
      <xdr:nvSpPr>
        <xdr:cNvPr id="958" name="Text Box 2"/>
        <xdr:cNvSpPr txBox="1">
          <a:spLocks noChangeArrowheads="1"/>
        </xdr:cNvSpPr>
      </xdr:nvSpPr>
      <xdr:spPr>
        <a:xfrm>
          <a:off x="5210175" y="13163550"/>
          <a:ext cx="190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59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60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61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62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63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64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65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66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67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68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69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70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71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72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73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74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75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76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77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78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79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80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81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82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83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84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85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86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87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88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47625"/>
    <xdr:sp fLocksText="0">
      <xdr:nvSpPr>
        <xdr:cNvPr id="989" name="Text Box 1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47625"/>
    <xdr:sp fLocksText="0">
      <xdr:nvSpPr>
        <xdr:cNvPr id="990" name="Text Box 2"/>
        <xdr:cNvSpPr txBox="1">
          <a:spLocks noChangeArrowheads="1"/>
        </xdr:cNvSpPr>
      </xdr:nvSpPr>
      <xdr:spPr>
        <a:xfrm>
          <a:off x="238125" y="183261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991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99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993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99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995" name="Text Box 19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996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99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998" name="Text Box 194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999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0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001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02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0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004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05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0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0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0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0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1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1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1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1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1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1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1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1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1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1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2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2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2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2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2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2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2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2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2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2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3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3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3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3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3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3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3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037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38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3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40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41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42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43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44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45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46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47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4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4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5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5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52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53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54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5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5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5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5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5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6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6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6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6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6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6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6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6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6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6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7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7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72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7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7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7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7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7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7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7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8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8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8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8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8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8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8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8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8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8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09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09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95275" cy="47625"/>
    <xdr:sp fLocksText="0">
      <xdr:nvSpPr>
        <xdr:cNvPr id="1092" name="Text Box 2"/>
        <xdr:cNvSpPr txBox="1">
          <a:spLocks noChangeArrowheads="1"/>
        </xdr:cNvSpPr>
      </xdr:nvSpPr>
      <xdr:spPr>
        <a:xfrm>
          <a:off x="619125" y="1832610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285875" cy="47625"/>
    <xdr:sp fLocksText="0">
      <xdr:nvSpPr>
        <xdr:cNvPr id="1093" name="Text Box 2"/>
        <xdr:cNvSpPr txBox="1">
          <a:spLocks noChangeArrowheads="1"/>
        </xdr:cNvSpPr>
      </xdr:nvSpPr>
      <xdr:spPr>
        <a:xfrm>
          <a:off x="2590800" y="18326100"/>
          <a:ext cx="12858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2447925</xdr:colOff>
      <xdr:row>50</xdr:row>
      <xdr:rowOff>0</xdr:rowOff>
    </xdr:from>
    <xdr:ext cx="1362075" cy="47625"/>
    <xdr:sp fLocksText="0">
      <xdr:nvSpPr>
        <xdr:cNvPr id="1094" name="Text Box 2"/>
        <xdr:cNvSpPr txBox="1">
          <a:spLocks noChangeArrowheads="1"/>
        </xdr:cNvSpPr>
      </xdr:nvSpPr>
      <xdr:spPr>
        <a:xfrm>
          <a:off x="2686050" y="18326100"/>
          <a:ext cx="1362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9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9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9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9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09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100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0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102" name="Text Box 3155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103" name="Text Box 3156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0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0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0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0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0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0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1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1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1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1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1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1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1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1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1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1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2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2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2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2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2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2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2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2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2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2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3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3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3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3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3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3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3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3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3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3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4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95275" cy="47625"/>
    <xdr:sp fLocksText="0">
      <xdr:nvSpPr>
        <xdr:cNvPr id="1141" name="Text Box 2"/>
        <xdr:cNvSpPr txBox="1">
          <a:spLocks noChangeArrowheads="1"/>
        </xdr:cNvSpPr>
      </xdr:nvSpPr>
      <xdr:spPr>
        <a:xfrm>
          <a:off x="619125" y="1832610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142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4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144" name="Text Box 3155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145" name="Text Box 3156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4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4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4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4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5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5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5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5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5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5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5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5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5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5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6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6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6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6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6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6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6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6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6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6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7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7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7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7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7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7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7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7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7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7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8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8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8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95275" cy="47625"/>
    <xdr:sp fLocksText="0">
      <xdr:nvSpPr>
        <xdr:cNvPr id="1183" name="Text Box 2"/>
        <xdr:cNvSpPr txBox="1">
          <a:spLocks noChangeArrowheads="1"/>
        </xdr:cNvSpPr>
      </xdr:nvSpPr>
      <xdr:spPr>
        <a:xfrm>
          <a:off x="619125" y="1832610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184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8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186" name="Text Box 3155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187" name="Text Box 3156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88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8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90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9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9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9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9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9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9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19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19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19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0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0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0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0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04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05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0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0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0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0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1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1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1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1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1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1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1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1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1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1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2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2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2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2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2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2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2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95275" cy="47625"/>
    <xdr:sp fLocksText="0">
      <xdr:nvSpPr>
        <xdr:cNvPr id="1227" name="Text Box 2"/>
        <xdr:cNvSpPr txBox="1">
          <a:spLocks noChangeArrowheads="1"/>
        </xdr:cNvSpPr>
      </xdr:nvSpPr>
      <xdr:spPr>
        <a:xfrm>
          <a:off x="619125" y="1832610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228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2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230" name="Text Box 3155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231" name="Text Box 3156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32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3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34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3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36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37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3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3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4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41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4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4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4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4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4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4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48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49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5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51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52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53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5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55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5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57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5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59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60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61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62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63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64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65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66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6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68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71550" cy="47625"/>
    <xdr:sp fLocksText="0">
      <xdr:nvSpPr>
        <xdr:cNvPr id="1269" name="Text Box 1"/>
        <xdr:cNvSpPr txBox="1">
          <a:spLocks noChangeArrowheads="1"/>
        </xdr:cNvSpPr>
      </xdr:nvSpPr>
      <xdr:spPr>
        <a:xfrm>
          <a:off x="1943100" y="18326100"/>
          <a:ext cx="971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70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95275" cy="47625"/>
    <xdr:sp fLocksText="0">
      <xdr:nvSpPr>
        <xdr:cNvPr id="1271" name="Text Box 2"/>
        <xdr:cNvSpPr txBox="1">
          <a:spLocks noChangeArrowheads="1"/>
        </xdr:cNvSpPr>
      </xdr:nvSpPr>
      <xdr:spPr>
        <a:xfrm>
          <a:off x="619125" y="18326100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272" name="Text Box 1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304925" cy="47625"/>
    <xdr:sp fLocksText="0">
      <xdr:nvSpPr>
        <xdr:cNvPr id="1273" name="Text Box 2"/>
        <xdr:cNvSpPr txBox="1">
          <a:spLocks noChangeArrowheads="1"/>
        </xdr:cNvSpPr>
      </xdr:nvSpPr>
      <xdr:spPr>
        <a:xfrm>
          <a:off x="2628900" y="18326100"/>
          <a:ext cx="1304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274" name="Text Box 3155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962025" cy="47625"/>
    <xdr:sp fLocksText="0">
      <xdr:nvSpPr>
        <xdr:cNvPr id="1275" name="Text Box 3156"/>
        <xdr:cNvSpPr txBox="1">
          <a:spLocks noChangeArrowheads="1"/>
        </xdr:cNvSpPr>
      </xdr:nvSpPr>
      <xdr:spPr>
        <a:xfrm>
          <a:off x="1943100" y="18326100"/>
          <a:ext cx="9620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76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80975" cy="47625"/>
    <xdr:sp fLocksText="0">
      <xdr:nvSpPr>
        <xdr:cNvPr id="1277" name="Text Box 2"/>
        <xdr:cNvSpPr txBox="1">
          <a:spLocks noChangeArrowheads="1"/>
        </xdr:cNvSpPr>
      </xdr:nvSpPr>
      <xdr:spPr>
        <a:xfrm>
          <a:off x="428625" y="1832610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78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79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80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81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82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83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84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85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86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87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88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89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90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91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92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93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94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95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96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97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98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299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00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01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02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03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04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05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06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07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08" name="Text Box 1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38</xdr:row>
      <xdr:rowOff>0</xdr:rowOff>
    </xdr:from>
    <xdr:ext cx="76200" cy="47625"/>
    <xdr:sp fLocksText="0">
      <xdr:nvSpPr>
        <xdr:cNvPr id="1309" name="Text Box 2"/>
        <xdr:cNvSpPr txBox="1">
          <a:spLocks noChangeArrowheads="1"/>
        </xdr:cNvSpPr>
      </xdr:nvSpPr>
      <xdr:spPr>
        <a:xfrm>
          <a:off x="238125" y="13163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310" name="Text Box 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1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312" name="Text Box 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1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314" name="Text Box 19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15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3209925</xdr:colOff>
      <xdr:row>38</xdr:row>
      <xdr:rowOff>0</xdr:rowOff>
    </xdr:from>
    <xdr:ext cx="1581150" cy="9525"/>
    <xdr:sp fLocksText="0">
      <xdr:nvSpPr>
        <xdr:cNvPr id="1316" name="Text Box 2"/>
        <xdr:cNvSpPr txBox="1">
          <a:spLocks noChangeArrowheads="1"/>
        </xdr:cNvSpPr>
      </xdr:nvSpPr>
      <xdr:spPr>
        <a:xfrm>
          <a:off x="3448050" y="13163550"/>
          <a:ext cx="1581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317" name="Text Box 194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18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1457325</xdr:colOff>
      <xdr:row>38</xdr:row>
      <xdr:rowOff>0</xdr:rowOff>
    </xdr:from>
    <xdr:ext cx="771525" cy="9525"/>
    <xdr:sp fLocksText="0">
      <xdr:nvSpPr>
        <xdr:cNvPr id="1319" name="Text Box 2"/>
        <xdr:cNvSpPr txBox="1">
          <a:spLocks noChangeArrowheads="1"/>
        </xdr:cNvSpPr>
      </xdr:nvSpPr>
      <xdr:spPr>
        <a:xfrm>
          <a:off x="1695450" y="13163550"/>
          <a:ext cx="771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320" name="Text Box 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21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2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323" name="Text Box 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24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25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26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2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28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29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30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3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3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33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34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35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36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3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38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39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40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4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4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43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44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45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46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4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48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49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50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5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5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53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54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55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356" name="Text Box 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57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5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59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60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61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62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63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64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65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66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67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6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69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70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71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72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373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74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75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76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7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78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79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80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81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82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83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84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85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86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87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88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89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90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91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92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93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94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95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96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397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398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399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00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0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02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03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04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05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06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07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08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09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10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1123950</xdr:colOff>
      <xdr:row>38</xdr:row>
      <xdr:rowOff>0</xdr:rowOff>
    </xdr:from>
    <xdr:ext cx="609600" cy="9525"/>
    <xdr:sp fLocksText="0">
      <xdr:nvSpPr>
        <xdr:cNvPr id="1411" name="Text Box 2"/>
        <xdr:cNvSpPr txBox="1">
          <a:spLocks noChangeArrowheads="1"/>
        </xdr:cNvSpPr>
      </xdr:nvSpPr>
      <xdr:spPr>
        <a:xfrm>
          <a:off x="1362075" y="131635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412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38</xdr:row>
      <xdr:rowOff>0</xdr:rowOff>
    </xdr:from>
    <xdr:ext cx="1152525" cy="47625"/>
    <xdr:sp fLocksText="0">
      <xdr:nvSpPr>
        <xdr:cNvPr id="1413" name="Text Box 2"/>
        <xdr:cNvSpPr txBox="1">
          <a:spLocks noChangeArrowheads="1"/>
        </xdr:cNvSpPr>
      </xdr:nvSpPr>
      <xdr:spPr>
        <a:xfrm>
          <a:off x="2590800" y="13163550"/>
          <a:ext cx="1152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14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15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16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17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1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419" name="Text Box 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20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421" name="Text Box 3155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422" name="Text Box 3156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23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24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25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26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27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2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29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30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3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3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3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34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3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36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37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38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39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40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4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42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4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44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4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46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4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4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49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50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51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5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5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54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5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56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5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58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59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57175" cy="47625"/>
    <xdr:sp fLocksText="0">
      <xdr:nvSpPr>
        <xdr:cNvPr id="1460" name="Text Box 2"/>
        <xdr:cNvSpPr txBox="1">
          <a:spLocks noChangeArrowheads="1"/>
        </xdr:cNvSpPr>
      </xdr:nvSpPr>
      <xdr:spPr>
        <a:xfrm>
          <a:off x="619125" y="1316355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461" name="Text Box 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62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463" name="Text Box 3155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464" name="Text Box 3156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65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66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67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68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69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70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7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72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7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74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7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76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7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7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79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80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81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8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8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84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8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86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8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88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89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90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91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92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93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94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9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496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9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49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499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00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0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57175" cy="47625"/>
    <xdr:sp fLocksText="0">
      <xdr:nvSpPr>
        <xdr:cNvPr id="1502" name="Text Box 2"/>
        <xdr:cNvSpPr txBox="1">
          <a:spLocks noChangeArrowheads="1"/>
        </xdr:cNvSpPr>
      </xdr:nvSpPr>
      <xdr:spPr>
        <a:xfrm>
          <a:off x="619125" y="1316355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503" name="Text Box 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04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505" name="Text Box 3155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506" name="Text Box 3156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07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0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09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10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11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12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13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14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1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16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1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1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19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20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2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2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23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24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25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26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2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28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29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30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3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32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3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34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35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36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37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3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39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40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4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4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4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44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4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38</xdr:row>
      <xdr:rowOff>0</xdr:rowOff>
    </xdr:from>
    <xdr:ext cx="257175" cy="47625"/>
    <xdr:sp fLocksText="0">
      <xdr:nvSpPr>
        <xdr:cNvPr id="1546" name="Text Box 2"/>
        <xdr:cNvSpPr txBox="1">
          <a:spLocks noChangeArrowheads="1"/>
        </xdr:cNvSpPr>
      </xdr:nvSpPr>
      <xdr:spPr>
        <a:xfrm>
          <a:off x="619125" y="1316355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547" name="Text Box 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48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549" name="Text Box 3155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550" name="Text Box 3156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51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5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53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54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55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56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57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5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59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60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6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6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6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64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6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66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67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68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69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70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71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72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7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74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7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76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7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78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79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80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81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82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83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84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85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86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87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76300" cy="47625"/>
    <xdr:sp fLocksText="0">
      <xdr:nvSpPr>
        <xdr:cNvPr id="1588" name="Text Box 1"/>
        <xdr:cNvSpPr txBox="1">
          <a:spLocks noChangeArrowheads="1"/>
        </xdr:cNvSpPr>
      </xdr:nvSpPr>
      <xdr:spPr>
        <a:xfrm>
          <a:off x="1943100" y="13163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89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228600</xdr:colOff>
      <xdr:row>38</xdr:row>
      <xdr:rowOff>0</xdr:rowOff>
    </xdr:from>
    <xdr:ext cx="180975" cy="9525"/>
    <xdr:sp fLocksText="0">
      <xdr:nvSpPr>
        <xdr:cNvPr id="1590" name="Text Box 2"/>
        <xdr:cNvSpPr txBox="1">
          <a:spLocks noChangeArrowheads="1"/>
        </xdr:cNvSpPr>
      </xdr:nvSpPr>
      <xdr:spPr>
        <a:xfrm>
          <a:off x="5210175" y="13163550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591" name="Text Box 1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38</xdr:row>
      <xdr:rowOff>0</xdr:rowOff>
    </xdr:from>
    <xdr:ext cx="1209675" cy="47625"/>
    <xdr:sp fLocksText="0">
      <xdr:nvSpPr>
        <xdr:cNvPr id="1592" name="Text Box 2"/>
        <xdr:cNvSpPr txBox="1">
          <a:spLocks noChangeArrowheads="1"/>
        </xdr:cNvSpPr>
      </xdr:nvSpPr>
      <xdr:spPr>
        <a:xfrm>
          <a:off x="2628900" y="13163550"/>
          <a:ext cx="1209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593" name="Text Box 3155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38</xdr:row>
      <xdr:rowOff>0</xdr:rowOff>
    </xdr:from>
    <xdr:ext cx="866775" cy="47625"/>
    <xdr:sp fLocksText="0">
      <xdr:nvSpPr>
        <xdr:cNvPr id="1594" name="Text Box 3156"/>
        <xdr:cNvSpPr txBox="1">
          <a:spLocks noChangeArrowheads="1"/>
        </xdr:cNvSpPr>
      </xdr:nvSpPr>
      <xdr:spPr>
        <a:xfrm>
          <a:off x="1943100" y="13163550"/>
          <a:ext cx="866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61925" cy="47625"/>
    <xdr:sp fLocksText="0">
      <xdr:nvSpPr>
        <xdr:cNvPr id="1595" name="Text Box 2"/>
        <xdr:cNvSpPr txBox="1">
          <a:spLocks noChangeArrowheads="1"/>
        </xdr:cNvSpPr>
      </xdr:nvSpPr>
      <xdr:spPr>
        <a:xfrm>
          <a:off x="428625" y="13163550"/>
          <a:ext cx="1619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3276600</xdr:colOff>
      <xdr:row>38</xdr:row>
      <xdr:rowOff>0</xdr:rowOff>
    </xdr:from>
    <xdr:ext cx="1609725" cy="9525"/>
    <xdr:sp fLocksText="0">
      <xdr:nvSpPr>
        <xdr:cNvPr id="1596" name="Text Box 2"/>
        <xdr:cNvSpPr txBox="1">
          <a:spLocks noChangeArrowheads="1"/>
        </xdr:cNvSpPr>
      </xdr:nvSpPr>
      <xdr:spPr>
        <a:xfrm>
          <a:off x="3514725" y="13163550"/>
          <a:ext cx="1609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228600</xdr:colOff>
      <xdr:row>38</xdr:row>
      <xdr:rowOff>0</xdr:rowOff>
    </xdr:from>
    <xdr:ext cx="180975" cy="47625"/>
    <xdr:sp fLocksText="0">
      <xdr:nvSpPr>
        <xdr:cNvPr id="1597" name="Text Box 2"/>
        <xdr:cNvSpPr txBox="1">
          <a:spLocks noChangeArrowheads="1"/>
        </xdr:cNvSpPr>
      </xdr:nvSpPr>
      <xdr:spPr>
        <a:xfrm>
          <a:off x="5210175" y="13163550"/>
          <a:ext cx="1809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598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599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00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01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02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03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04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05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06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07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08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09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10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11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12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13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14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15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16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17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18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19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20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21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22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23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24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25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26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27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28" name="Text Box 1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238125</xdr:colOff>
      <xdr:row>50</xdr:row>
      <xdr:rowOff>0</xdr:rowOff>
    </xdr:from>
    <xdr:ext cx="76200" cy="66675"/>
    <xdr:sp fLocksText="0">
      <xdr:nvSpPr>
        <xdr:cNvPr id="1629" name="Text Box 2"/>
        <xdr:cNvSpPr txBox="1">
          <a:spLocks noChangeArrowheads="1"/>
        </xdr:cNvSpPr>
      </xdr:nvSpPr>
      <xdr:spPr>
        <a:xfrm>
          <a:off x="238125" y="183261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630" name="Text Box 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3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632" name="Text Box 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3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634" name="Text Box 19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35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36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637" name="Text Box 194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38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39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640" name="Text Box 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41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4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643" name="Text Box 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44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45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46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4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48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49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50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5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5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53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54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55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56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5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58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59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60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6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6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63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64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65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66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6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68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69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70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7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7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73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74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75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676" name="Text Box 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77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7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79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80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81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82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83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84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85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86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87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8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89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90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91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92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693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94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95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96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69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698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699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00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01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02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03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04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05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06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07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08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09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10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11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12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13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14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15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16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17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18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19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20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2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22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23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24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25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26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27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28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29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30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57175" cy="66675"/>
    <xdr:sp fLocksText="0">
      <xdr:nvSpPr>
        <xdr:cNvPr id="1731" name="Text Box 2"/>
        <xdr:cNvSpPr txBox="1">
          <a:spLocks noChangeArrowheads="1"/>
        </xdr:cNvSpPr>
      </xdr:nvSpPr>
      <xdr:spPr>
        <a:xfrm>
          <a:off x="619125" y="18326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732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2352675</xdr:colOff>
      <xdr:row>50</xdr:row>
      <xdr:rowOff>0</xdr:rowOff>
    </xdr:from>
    <xdr:ext cx="1152525" cy="66675"/>
    <xdr:sp fLocksText="0">
      <xdr:nvSpPr>
        <xdr:cNvPr id="1733" name="Text Box 2"/>
        <xdr:cNvSpPr txBox="1">
          <a:spLocks noChangeArrowheads="1"/>
        </xdr:cNvSpPr>
      </xdr:nvSpPr>
      <xdr:spPr>
        <a:xfrm>
          <a:off x="2590800" y="18326100"/>
          <a:ext cx="1152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34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35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36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37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3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739" name="Text Box 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40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741" name="Text Box 3155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742" name="Text Box 3156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43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44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45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46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47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4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49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50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5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5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5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54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5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56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57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58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59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60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6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62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6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64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6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66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6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6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69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70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71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7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7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74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7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76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7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78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79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57175" cy="66675"/>
    <xdr:sp fLocksText="0">
      <xdr:nvSpPr>
        <xdr:cNvPr id="1780" name="Text Box 2"/>
        <xdr:cNvSpPr txBox="1">
          <a:spLocks noChangeArrowheads="1"/>
        </xdr:cNvSpPr>
      </xdr:nvSpPr>
      <xdr:spPr>
        <a:xfrm>
          <a:off x="619125" y="18326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781" name="Text Box 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82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783" name="Text Box 3155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784" name="Text Box 3156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85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86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87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88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89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90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9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92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9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94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9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96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79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79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799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00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01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0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0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04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0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06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0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08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09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10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11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12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13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14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1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16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1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1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19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20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2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57175" cy="66675"/>
    <xdr:sp fLocksText="0">
      <xdr:nvSpPr>
        <xdr:cNvPr id="1822" name="Text Box 2"/>
        <xdr:cNvSpPr txBox="1">
          <a:spLocks noChangeArrowheads="1"/>
        </xdr:cNvSpPr>
      </xdr:nvSpPr>
      <xdr:spPr>
        <a:xfrm>
          <a:off x="619125" y="18326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823" name="Text Box 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24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825" name="Text Box 3155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826" name="Text Box 3156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27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2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29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30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31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32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33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34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3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36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3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3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39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40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4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4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43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44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45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46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4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48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49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50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5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52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5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54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55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56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57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5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59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60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6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6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6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64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6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57175" cy="66675"/>
    <xdr:sp fLocksText="0">
      <xdr:nvSpPr>
        <xdr:cNvPr id="1866" name="Text Box 2"/>
        <xdr:cNvSpPr txBox="1">
          <a:spLocks noChangeArrowheads="1"/>
        </xdr:cNvSpPr>
      </xdr:nvSpPr>
      <xdr:spPr>
        <a:xfrm>
          <a:off x="619125" y="18326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867" name="Text Box 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68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869" name="Text Box 3155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870" name="Text Box 3156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71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7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73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74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75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76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77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7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79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80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8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8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8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84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8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86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87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88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89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90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91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92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9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94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9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96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89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898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899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900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901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902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903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904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905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906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907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76300" cy="66675"/>
    <xdr:sp fLocksText="0">
      <xdr:nvSpPr>
        <xdr:cNvPr id="1908" name="Text Box 1"/>
        <xdr:cNvSpPr txBox="1">
          <a:spLocks noChangeArrowheads="1"/>
        </xdr:cNvSpPr>
      </xdr:nvSpPr>
      <xdr:spPr>
        <a:xfrm>
          <a:off x="1943100" y="18326100"/>
          <a:ext cx="876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909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381000</xdr:colOff>
      <xdr:row>50</xdr:row>
      <xdr:rowOff>0</xdr:rowOff>
    </xdr:from>
    <xdr:ext cx="257175" cy="66675"/>
    <xdr:sp fLocksText="0">
      <xdr:nvSpPr>
        <xdr:cNvPr id="1910" name="Text Box 2"/>
        <xdr:cNvSpPr txBox="1">
          <a:spLocks noChangeArrowheads="1"/>
        </xdr:cNvSpPr>
      </xdr:nvSpPr>
      <xdr:spPr>
        <a:xfrm>
          <a:off x="619125" y="18326100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911" name="Text Box 1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2390775</xdr:colOff>
      <xdr:row>50</xdr:row>
      <xdr:rowOff>0</xdr:rowOff>
    </xdr:from>
    <xdr:ext cx="1209675" cy="66675"/>
    <xdr:sp fLocksText="0">
      <xdr:nvSpPr>
        <xdr:cNvPr id="1912" name="Text Box 2"/>
        <xdr:cNvSpPr txBox="1">
          <a:spLocks noChangeArrowheads="1"/>
        </xdr:cNvSpPr>
      </xdr:nvSpPr>
      <xdr:spPr>
        <a:xfrm>
          <a:off x="2628900" y="18326100"/>
          <a:ext cx="1209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913" name="Text Box 3155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1704975</xdr:colOff>
      <xdr:row>50</xdr:row>
      <xdr:rowOff>0</xdr:rowOff>
    </xdr:from>
    <xdr:ext cx="866775" cy="66675"/>
    <xdr:sp fLocksText="0">
      <xdr:nvSpPr>
        <xdr:cNvPr id="1914" name="Text Box 3156"/>
        <xdr:cNvSpPr txBox="1">
          <a:spLocks noChangeArrowheads="1"/>
        </xdr:cNvSpPr>
      </xdr:nvSpPr>
      <xdr:spPr>
        <a:xfrm>
          <a:off x="1943100" y="18326100"/>
          <a:ext cx="866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915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50</xdr:row>
      <xdr:rowOff>0</xdr:rowOff>
    </xdr:from>
    <xdr:ext cx="161925" cy="66675"/>
    <xdr:sp fLocksText="0">
      <xdr:nvSpPr>
        <xdr:cNvPr id="1916" name="Text Box 2"/>
        <xdr:cNvSpPr txBox="1">
          <a:spLocks noChangeArrowheads="1"/>
        </xdr:cNvSpPr>
      </xdr:nvSpPr>
      <xdr:spPr>
        <a:xfrm>
          <a:off x="428625" y="18326100"/>
          <a:ext cx="1619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3209925</xdr:colOff>
      <xdr:row>19</xdr:row>
      <xdr:rowOff>228600</xdr:rowOff>
    </xdr:from>
    <xdr:ext cx="15811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4162425" y="5648325"/>
          <a:ext cx="15811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3276600</xdr:colOff>
      <xdr:row>19</xdr:row>
      <xdr:rowOff>238125</xdr:rowOff>
    </xdr:from>
    <xdr:ext cx="160020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4229100" y="5657850"/>
          <a:ext cx="1600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3209925</xdr:colOff>
      <xdr:row>40</xdr:row>
      <xdr:rowOff>0</xdr:rowOff>
    </xdr:from>
    <xdr:ext cx="1571625" cy="47625"/>
    <xdr:sp fLocksText="0">
      <xdr:nvSpPr>
        <xdr:cNvPr id="3" name="Text Box 2"/>
        <xdr:cNvSpPr txBox="1">
          <a:spLocks noChangeArrowheads="1"/>
        </xdr:cNvSpPr>
      </xdr:nvSpPr>
      <xdr:spPr>
        <a:xfrm>
          <a:off x="4162425" y="10782300"/>
          <a:ext cx="1571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3276600</xdr:colOff>
      <xdr:row>40</xdr:row>
      <xdr:rowOff>0</xdr:rowOff>
    </xdr:from>
    <xdr:ext cx="1600200" cy="47625"/>
    <xdr:sp fLocksText="0">
      <xdr:nvSpPr>
        <xdr:cNvPr id="4" name="Text Box 2"/>
        <xdr:cNvSpPr txBox="1">
          <a:spLocks noChangeArrowheads="1"/>
        </xdr:cNvSpPr>
      </xdr:nvSpPr>
      <xdr:spPr>
        <a:xfrm>
          <a:off x="4229100" y="10782300"/>
          <a:ext cx="1600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3209925</xdr:colOff>
      <xdr:row>40</xdr:row>
      <xdr:rowOff>0</xdr:rowOff>
    </xdr:from>
    <xdr:ext cx="1571625" cy="47625"/>
    <xdr:sp fLocksText="0">
      <xdr:nvSpPr>
        <xdr:cNvPr id="5" name="Text Box 2"/>
        <xdr:cNvSpPr txBox="1">
          <a:spLocks noChangeArrowheads="1"/>
        </xdr:cNvSpPr>
      </xdr:nvSpPr>
      <xdr:spPr>
        <a:xfrm>
          <a:off x="4162425" y="10782300"/>
          <a:ext cx="1571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3276600</xdr:colOff>
      <xdr:row>40</xdr:row>
      <xdr:rowOff>0</xdr:rowOff>
    </xdr:from>
    <xdr:ext cx="1600200" cy="38100"/>
    <xdr:sp fLocksText="0">
      <xdr:nvSpPr>
        <xdr:cNvPr id="6" name="Text Box 2"/>
        <xdr:cNvSpPr txBox="1">
          <a:spLocks noChangeArrowheads="1"/>
        </xdr:cNvSpPr>
      </xdr:nvSpPr>
      <xdr:spPr>
        <a:xfrm>
          <a:off x="4229100" y="10782300"/>
          <a:ext cx="1600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38</xdr:row>
      <xdr:rowOff>0</xdr:rowOff>
    </xdr:from>
    <xdr:ext cx="142875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81057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81057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4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9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0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2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3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21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22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161925</xdr:colOff>
      <xdr:row>38</xdr:row>
      <xdr:rowOff>114300</xdr:rowOff>
    </xdr:from>
    <xdr:ext cx="142875" cy="0"/>
    <xdr:sp fLocksText="0">
      <xdr:nvSpPr>
        <xdr:cNvPr id="27" name="Text Box 4134"/>
        <xdr:cNvSpPr txBox="1">
          <a:spLocks noChangeArrowheads="1"/>
        </xdr:cNvSpPr>
      </xdr:nvSpPr>
      <xdr:spPr>
        <a:xfrm>
          <a:off x="419100" y="101250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30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32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42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44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45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48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50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51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54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56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57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38</xdr:row>
      <xdr:rowOff>0</xdr:rowOff>
    </xdr:from>
    <xdr:ext cx="180975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590550" y="10010775"/>
          <a:ext cx="180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0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1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4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5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6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7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69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0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2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3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4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5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6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8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79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81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82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83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84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85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87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09550" cy="0"/>
    <xdr:sp fLocksText="0">
      <xdr:nvSpPr>
        <xdr:cNvPr id="89" name="Text Box 1"/>
        <xdr:cNvSpPr txBox="1">
          <a:spLocks noChangeArrowheads="1"/>
        </xdr:cNvSpPr>
      </xdr:nvSpPr>
      <xdr:spPr>
        <a:xfrm>
          <a:off x="657225" y="101631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90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91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92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93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94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95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96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97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98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99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00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02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03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04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05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09550" cy="0"/>
    <xdr:sp fLocksText="0">
      <xdr:nvSpPr>
        <xdr:cNvPr id="106" name="Text Box 1"/>
        <xdr:cNvSpPr txBox="1">
          <a:spLocks noChangeArrowheads="1"/>
        </xdr:cNvSpPr>
      </xdr:nvSpPr>
      <xdr:spPr>
        <a:xfrm>
          <a:off x="657225" y="101631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07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08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09550" cy="0"/>
    <xdr:sp fLocksText="0">
      <xdr:nvSpPr>
        <xdr:cNvPr id="109" name="Text Box 1"/>
        <xdr:cNvSpPr txBox="1">
          <a:spLocks noChangeArrowheads="1"/>
        </xdr:cNvSpPr>
      </xdr:nvSpPr>
      <xdr:spPr>
        <a:xfrm>
          <a:off x="657225" y="101631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10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11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09550" cy="0"/>
    <xdr:sp fLocksText="0">
      <xdr:nvSpPr>
        <xdr:cNvPr id="112" name="Text Box 1"/>
        <xdr:cNvSpPr txBox="1">
          <a:spLocks noChangeArrowheads="1"/>
        </xdr:cNvSpPr>
      </xdr:nvSpPr>
      <xdr:spPr>
        <a:xfrm>
          <a:off x="657225" y="101631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13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14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15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16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17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18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19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20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21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22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09550" cy="0"/>
    <xdr:sp fLocksText="0">
      <xdr:nvSpPr>
        <xdr:cNvPr id="123" name="Text Box 1"/>
        <xdr:cNvSpPr txBox="1">
          <a:spLocks noChangeArrowheads="1"/>
        </xdr:cNvSpPr>
      </xdr:nvSpPr>
      <xdr:spPr>
        <a:xfrm>
          <a:off x="657225" y="101631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24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25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26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27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28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29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30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31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32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33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09550" cy="0"/>
    <xdr:sp fLocksText="0">
      <xdr:nvSpPr>
        <xdr:cNvPr id="134" name="Text Box 1"/>
        <xdr:cNvSpPr txBox="1">
          <a:spLocks noChangeArrowheads="1"/>
        </xdr:cNvSpPr>
      </xdr:nvSpPr>
      <xdr:spPr>
        <a:xfrm>
          <a:off x="657225" y="101631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35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36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38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39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1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2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4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5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7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8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49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50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09550" cy="0"/>
    <xdr:sp fLocksText="0">
      <xdr:nvSpPr>
        <xdr:cNvPr id="151" name="Text Box 1"/>
        <xdr:cNvSpPr txBox="1">
          <a:spLocks noChangeArrowheads="1"/>
        </xdr:cNvSpPr>
      </xdr:nvSpPr>
      <xdr:spPr>
        <a:xfrm>
          <a:off x="657225" y="101631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52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53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09550" cy="0"/>
    <xdr:sp fLocksText="0">
      <xdr:nvSpPr>
        <xdr:cNvPr id="154" name="Text Box 1"/>
        <xdr:cNvSpPr txBox="1">
          <a:spLocks noChangeArrowheads="1"/>
        </xdr:cNvSpPr>
      </xdr:nvSpPr>
      <xdr:spPr>
        <a:xfrm>
          <a:off x="657225" y="101631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55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56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0</xdr:rowOff>
    </xdr:from>
    <xdr:ext cx="17145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495300" y="1001077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59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0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2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3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5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6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8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69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38</xdr:row>
      <xdr:rowOff>0</xdr:rowOff>
    </xdr:from>
    <xdr:ext cx="142875" cy="28575"/>
    <xdr:sp fLocksText="0">
      <xdr:nvSpPr>
        <xdr:cNvPr id="171" name="Text Box 2"/>
        <xdr:cNvSpPr txBox="1">
          <a:spLocks noChangeArrowheads="1"/>
        </xdr:cNvSpPr>
      </xdr:nvSpPr>
      <xdr:spPr>
        <a:xfrm>
          <a:off x="447675" y="10010775"/>
          <a:ext cx="142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0</xdr:rowOff>
    </xdr:from>
    <xdr:ext cx="17145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495300" y="10010775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73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74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75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76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77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78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79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80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0</xdr:rowOff>
    </xdr:from>
    <xdr:ext cx="219075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657225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0</xdr:rowOff>
    </xdr:from>
    <xdr:ext cx="219075" cy="28575"/>
    <xdr:sp fLocksText="0">
      <xdr:nvSpPr>
        <xdr:cNvPr id="182" name="Text Box 1"/>
        <xdr:cNvSpPr txBox="1">
          <a:spLocks noChangeArrowheads="1"/>
        </xdr:cNvSpPr>
      </xdr:nvSpPr>
      <xdr:spPr>
        <a:xfrm>
          <a:off x="657225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0</xdr:rowOff>
    </xdr:from>
    <xdr:ext cx="219075" cy="28575"/>
    <xdr:sp fLocksText="0">
      <xdr:nvSpPr>
        <xdr:cNvPr id="183" name="Text Box 1"/>
        <xdr:cNvSpPr txBox="1">
          <a:spLocks noChangeArrowheads="1"/>
        </xdr:cNvSpPr>
      </xdr:nvSpPr>
      <xdr:spPr>
        <a:xfrm>
          <a:off x="657225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09550" cy="0"/>
    <xdr:sp fLocksText="0">
      <xdr:nvSpPr>
        <xdr:cNvPr id="184" name="Text Box 1"/>
        <xdr:cNvSpPr txBox="1">
          <a:spLocks noChangeArrowheads="1"/>
        </xdr:cNvSpPr>
      </xdr:nvSpPr>
      <xdr:spPr>
        <a:xfrm>
          <a:off x="657225" y="101631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85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38</xdr:row>
      <xdr:rowOff>152400</xdr:rowOff>
    </xdr:from>
    <xdr:ext cx="219075" cy="0"/>
    <xdr:sp fLocksText="0">
      <xdr:nvSpPr>
        <xdr:cNvPr id="186" name="Text Box 1"/>
        <xdr:cNvSpPr txBox="1">
          <a:spLocks noChangeArrowheads="1"/>
        </xdr:cNvSpPr>
      </xdr:nvSpPr>
      <xdr:spPr>
        <a:xfrm>
          <a:off x="657225" y="101631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87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88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89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90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91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92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93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38</xdr:row>
      <xdr:rowOff>333375</xdr:rowOff>
    </xdr:from>
    <xdr:ext cx="171450" cy="19050"/>
    <xdr:sp fLocksText="0">
      <xdr:nvSpPr>
        <xdr:cNvPr id="194" name="Text Box 1"/>
        <xdr:cNvSpPr txBox="1">
          <a:spLocks noChangeArrowheads="1"/>
        </xdr:cNvSpPr>
      </xdr:nvSpPr>
      <xdr:spPr>
        <a:xfrm>
          <a:off x="495300" y="103441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196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198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00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02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04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06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08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28575"/>
    <xdr:sp fLocksText="0">
      <xdr:nvSpPr>
        <xdr:cNvPr id="210" name="Text Box 1"/>
        <xdr:cNvSpPr txBox="1">
          <a:spLocks noChangeArrowheads="1"/>
        </xdr:cNvSpPr>
      </xdr:nvSpPr>
      <xdr:spPr>
        <a:xfrm>
          <a:off x="8324850" y="10010775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1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1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1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1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1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1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1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1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1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2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2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2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2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2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2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2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2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2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2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3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3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3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3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3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3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3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3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3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3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4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4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4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4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4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4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4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4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4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4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5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5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5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5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5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5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5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5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5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5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6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6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6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6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6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6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6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6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6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6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7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7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7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7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7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7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7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7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7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7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8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8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8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8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8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8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8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8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8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8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9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9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9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9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9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114300"/>
    <xdr:sp fLocksText="0">
      <xdr:nvSpPr>
        <xdr:cNvPr id="295" name="Text Box 1"/>
        <xdr:cNvSpPr txBox="1">
          <a:spLocks noChangeArrowheads="1"/>
        </xdr:cNvSpPr>
      </xdr:nvSpPr>
      <xdr:spPr>
        <a:xfrm>
          <a:off x="8324850" y="100107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114300"/>
    <xdr:sp fLocksText="0">
      <xdr:nvSpPr>
        <xdr:cNvPr id="296" name="Text Box 1"/>
        <xdr:cNvSpPr txBox="1">
          <a:spLocks noChangeArrowheads="1"/>
        </xdr:cNvSpPr>
      </xdr:nvSpPr>
      <xdr:spPr>
        <a:xfrm>
          <a:off x="8324850" y="100107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9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9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29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0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0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0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0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0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0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0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0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0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0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1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1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1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1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1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1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1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1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1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1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2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2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2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2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2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2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2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2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2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2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3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3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3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3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3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3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3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3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3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3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4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4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4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4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4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4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4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4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4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4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5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5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5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5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5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5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5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5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5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5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6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6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6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6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6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6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6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6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6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6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7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7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7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7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7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7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7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7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7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7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8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114300"/>
    <xdr:sp fLocksText="0">
      <xdr:nvSpPr>
        <xdr:cNvPr id="381" name="Text Box 1"/>
        <xdr:cNvSpPr txBox="1">
          <a:spLocks noChangeArrowheads="1"/>
        </xdr:cNvSpPr>
      </xdr:nvSpPr>
      <xdr:spPr>
        <a:xfrm>
          <a:off x="8324850" y="100107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114300"/>
    <xdr:sp fLocksText="0">
      <xdr:nvSpPr>
        <xdr:cNvPr id="382" name="Text Box 1"/>
        <xdr:cNvSpPr txBox="1">
          <a:spLocks noChangeArrowheads="1"/>
        </xdr:cNvSpPr>
      </xdr:nvSpPr>
      <xdr:spPr>
        <a:xfrm>
          <a:off x="8324850" y="100107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114300"/>
    <xdr:sp fLocksText="0">
      <xdr:nvSpPr>
        <xdr:cNvPr id="383" name="Text Box 1"/>
        <xdr:cNvSpPr txBox="1">
          <a:spLocks noChangeArrowheads="1"/>
        </xdr:cNvSpPr>
      </xdr:nvSpPr>
      <xdr:spPr>
        <a:xfrm>
          <a:off x="8324850" y="100107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8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8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8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8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8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8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9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9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9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9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9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9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9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9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9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39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0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0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0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0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0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0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0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0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0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0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1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1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1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1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1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1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1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1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1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1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2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2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2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2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2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2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2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2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2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2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3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3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3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3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3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3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3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3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3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3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4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4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4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4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4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4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4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4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4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4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5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5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5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5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5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5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5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5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58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59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60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61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62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63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64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65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66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38</xdr:row>
      <xdr:rowOff>0</xdr:rowOff>
    </xdr:from>
    <xdr:ext cx="142875" cy="104775"/>
    <xdr:sp fLocksText="0">
      <xdr:nvSpPr>
        <xdr:cNvPr id="467" name="Text Box 2"/>
        <xdr:cNvSpPr txBox="1">
          <a:spLocks noChangeArrowheads="1"/>
        </xdr:cNvSpPr>
      </xdr:nvSpPr>
      <xdr:spPr>
        <a:xfrm>
          <a:off x="8105775" y="10010775"/>
          <a:ext cx="142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114300"/>
    <xdr:sp fLocksText="0">
      <xdr:nvSpPr>
        <xdr:cNvPr id="468" name="Text Box 1"/>
        <xdr:cNvSpPr txBox="1">
          <a:spLocks noChangeArrowheads="1"/>
        </xdr:cNvSpPr>
      </xdr:nvSpPr>
      <xdr:spPr>
        <a:xfrm>
          <a:off x="8324850" y="100107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114300"/>
    <xdr:sp fLocksText="0">
      <xdr:nvSpPr>
        <xdr:cNvPr id="469" name="Text Box 1"/>
        <xdr:cNvSpPr txBox="1">
          <a:spLocks noChangeArrowheads="1"/>
        </xdr:cNvSpPr>
      </xdr:nvSpPr>
      <xdr:spPr>
        <a:xfrm>
          <a:off x="8324850" y="100107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38</xdr:row>
      <xdr:rowOff>0</xdr:rowOff>
    </xdr:from>
    <xdr:ext cx="219075" cy="114300"/>
    <xdr:sp fLocksText="0">
      <xdr:nvSpPr>
        <xdr:cNvPr id="470" name="Text Box 1"/>
        <xdr:cNvSpPr txBox="1">
          <a:spLocks noChangeArrowheads="1"/>
        </xdr:cNvSpPr>
      </xdr:nvSpPr>
      <xdr:spPr>
        <a:xfrm>
          <a:off x="8324850" y="1001077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39</xdr:row>
      <xdr:rowOff>247650</xdr:rowOff>
    </xdr:from>
    <xdr:ext cx="95250" cy="390525"/>
    <xdr:sp fLocksText="0">
      <xdr:nvSpPr>
        <xdr:cNvPr id="471" name="Text Box 1"/>
        <xdr:cNvSpPr txBox="1">
          <a:spLocks noChangeArrowheads="1"/>
        </xdr:cNvSpPr>
      </xdr:nvSpPr>
      <xdr:spPr>
        <a:xfrm>
          <a:off x="495300" y="105918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39</xdr:row>
      <xdr:rowOff>247650</xdr:rowOff>
    </xdr:from>
    <xdr:ext cx="95250" cy="390525"/>
    <xdr:sp fLocksText="0">
      <xdr:nvSpPr>
        <xdr:cNvPr id="472" name="Text Box 1"/>
        <xdr:cNvSpPr txBox="1">
          <a:spLocks noChangeArrowheads="1"/>
        </xdr:cNvSpPr>
      </xdr:nvSpPr>
      <xdr:spPr>
        <a:xfrm>
          <a:off x="495300" y="105918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39</xdr:row>
      <xdr:rowOff>247650</xdr:rowOff>
    </xdr:from>
    <xdr:ext cx="95250" cy="390525"/>
    <xdr:sp fLocksText="0">
      <xdr:nvSpPr>
        <xdr:cNvPr id="473" name="Text Box 1"/>
        <xdr:cNvSpPr txBox="1">
          <a:spLocks noChangeArrowheads="1"/>
        </xdr:cNvSpPr>
      </xdr:nvSpPr>
      <xdr:spPr>
        <a:xfrm>
          <a:off x="495300" y="105918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39</xdr:row>
      <xdr:rowOff>247650</xdr:rowOff>
    </xdr:from>
    <xdr:ext cx="95250" cy="390525"/>
    <xdr:sp fLocksText="0">
      <xdr:nvSpPr>
        <xdr:cNvPr id="474" name="Text Box 1"/>
        <xdr:cNvSpPr txBox="1">
          <a:spLocks noChangeArrowheads="1"/>
        </xdr:cNvSpPr>
      </xdr:nvSpPr>
      <xdr:spPr>
        <a:xfrm>
          <a:off x="495300" y="10591800"/>
          <a:ext cx="95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75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76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77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78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79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80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81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82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83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84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85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714375"/>
    <xdr:sp fLocksText="0">
      <xdr:nvSpPr>
        <xdr:cNvPr id="486" name="Text Box 1"/>
        <xdr:cNvSpPr txBox="1">
          <a:spLocks noChangeArrowheads="1"/>
        </xdr:cNvSpPr>
      </xdr:nvSpPr>
      <xdr:spPr>
        <a:xfrm>
          <a:off x="590550" y="105918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457200"/>
    <xdr:sp fLocksText="0">
      <xdr:nvSpPr>
        <xdr:cNvPr id="487" name="Text Box 1"/>
        <xdr:cNvSpPr txBox="1">
          <a:spLocks noChangeArrowheads="1"/>
        </xdr:cNvSpPr>
      </xdr:nvSpPr>
      <xdr:spPr>
        <a:xfrm>
          <a:off x="495300" y="108394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457200"/>
    <xdr:sp fLocksText="0">
      <xdr:nvSpPr>
        <xdr:cNvPr id="488" name="Text Box 1"/>
        <xdr:cNvSpPr txBox="1">
          <a:spLocks noChangeArrowheads="1"/>
        </xdr:cNvSpPr>
      </xdr:nvSpPr>
      <xdr:spPr>
        <a:xfrm>
          <a:off x="495300" y="108394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489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490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491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492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493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494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495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496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497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498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499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500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501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502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503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90525"/>
    <xdr:sp fLocksText="0">
      <xdr:nvSpPr>
        <xdr:cNvPr id="504" name="Text Box 2"/>
        <xdr:cNvSpPr txBox="1">
          <a:spLocks noChangeArrowheads="1"/>
        </xdr:cNvSpPr>
      </xdr:nvSpPr>
      <xdr:spPr>
        <a:xfrm>
          <a:off x="447675" y="105918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05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06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07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08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09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10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11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12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13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14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15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16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17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18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19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20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21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22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23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24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25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26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27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28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29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30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31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32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33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34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35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36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37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38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39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40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41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42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43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44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45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46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47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48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49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50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51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52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53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54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55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56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57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58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59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60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61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62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63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64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65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66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67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68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69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70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71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72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73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74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75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76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77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78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79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80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81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82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83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84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85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86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87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857250"/>
    <xdr:sp fLocksText="0">
      <xdr:nvSpPr>
        <xdr:cNvPr id="588" name="Text Box 2"/>
        <xdr:cNvSpPr txBox="1">
          <a:spLocks noChangeArrowheads="1"/>
        </xdr:cNvSpPr>
      </xdr:nvSpPr>
      <xdr:spPr>
        <a:xfrm>
          <a:off x="447675" y="10591800"/>
          <a:ext cx="857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40</xdr:row>
      <xdr:rowOff>0</xdr:rowOff>
    </xdr:from>
    <xdr:ext cx="85725" cy="314325"/>
    <xdr:sp fLocksText="0">
      <xdr:nvSpPr>
        <xdr:cNvPr id="589" name="Text Box 1"/>
        <xdr:cNvSpPr txBox="1">
          <a:spLocks noChangeArrowheads="1"/>
        </xdr:cNvSpPr>
      </xdr:nvSpPr>
      <xdr:spPr>
        <a:xfrm>
          <a:off x="514350" y="10591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40</xdr:row>
      <xdr:rowOff>0</xdr:rowOff>
    </xdr:from>
    <xdr:ext cx="85725" cy="314325"/>
    <xdr:sp fLocksText="0">
      <xdr:nvSpPr>
        <xdr:cNvPr id="590" name="Text Box 1"/>
        <xdr:cNvSpPr txBox="1">
          <a:spLocks noChangeArrowheads="1"/>
        </xdr:cNvSpPr>
      </xdr:nvSpPr>
      <xdr:spPr>
        <a:xfrm>
          <a:off x="514350" y="10591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71475"/>
    <xdr:sp fLocksText="0">
      <xdr:nvSpPr>
        <xdr:cNvPr id="591" name="Text Box 2"/>
        <xdr:cNvSpPr txBox="1">
          <a:spLocks noChangeArrowheads="1"/>
        </xdr:cNvSpPr>
      </xdr:nvSpPr>
      <xdr:spPr>
        <a:xfrm>
          <a:off x="447675" y="105918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190500</xdr:colOff>
      <xdr:row>40</xdr:row>
      <xdr:rowOff>0</xdr:rowOff>
    </xdr:from>
    <xdr:ext cx="85725" cy="371475"/>
    <xdr:sp fLocksText="0">
      <xdr:nvSpPr>
        <xdr:cNvPr id="592" name="Text Box 2"/>
        <xdr:cNvSpPr txBox="1">
          <a:spLocks noChangeArrowheads="1"/>
        </xdr:cNvSpPr>
      </xdr:nvSpPr>
      <xdr:spPr>
        <a:xfrm>
          <a:off x="447675" y="105918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295275"/>
    <xdr:sp fLocksText="0">
      <xdr:nvSpPr>
        <xdr:cNvPr id="593" name="Text Box 1"/>
        <xdr:cNvSpPr txBox="1">
          <a:spLocks noChangeArrowheads="1"/>
        </xdr:cNvSpPr>
      </xdr:nvSpPr>
      <xdr:spPr>
        <a:xfrm>
          <a:off x="590550" y="105918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333375</xdr:colOff>
      <xdr:row>40</xdr:row>
      <xdr:rowOff>0</xdr:rowOff>
    </xdr:from>
    <xdr:ext cx="85725" cy="295275"/>
    <xdr:sp fLocksText="0">
      <xdr:nvSpPr>
        <xdr:cNvPr id="594" name="Text Box 1"/>
        <xdr:cNvSpPr txBox="1">
          <a:spLocks noChangeArrowheads="1"/>
        </xdr:cNvSpPr>
      </xdr:nvSpPr>
      <xdr:spPr>
        <a:xfrm>
          <a:off x="590550" y="105918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40</xdr:row>
      <xdr:rowOff>0</xdr:rowOff>
    </xdr:from>
    <xdr:ext cx="85725" cy="314325"/>
    <xdr:sp fLocksText="0">
      <xdr:nvSpPr>
        <xdr:cNvPr id="595" name="Text Box 1"/>
        <xdr:cNvSpPr txBox="1">
          <a:spLocks noChangeArrowheads="1"/>
        </xdr:cNvSpPr>
      </xdr:nvSpPr>
      <xdr:spPr>
        <a:xfrm>
          <a:off x="514350" y="10591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40</xdr:row>
      <xdr:rowOff>0</xdr:rowOff>
    </xdr:from>
    <xdr:ext cx="85725" cy="314325"/>
    <xdr:sp fLocksText="0">
      <xdr:nvSpPr>
        <xdr:cNvPr id="596" name="Text Box 1"/>
        <xdr:cNvSpPr txBox="1">
          <a:spLocks noChangeArrowheads="1"/>
        </xdr:cNvSpPr>
      </xdr:nvSpPr>
      <xdr:spPr>
        <a:xfrm>
          <a:off x="514350" y="10591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40</xdr:row>
      <xdr:rowOff>95250</xdr:rowOff>
    </xdr:from>
    <xdr:ext cx="85725" cy="304800"/>
    <xdr:sp fLocksText="0">
      <xdr:nvSpPr>
        <xdr:cNvPr id="597" name="Text Box 1"/>
        <xdr:cNvSpPr txBox="1">
          <a:spLocks noChangeArrowheads="1"/>
        </xdr:cNvSpPr>
      </xdr:nvSpPr>
      <xdr:spPr>
        <a:xfrm>
          <a:off x="514350" y="10687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247650</xdr:rowOff>
    </xdr:from>
    <xdr:ext cx="85725" cy="276225"/>
    <xdr:sp fLocksText="0">
      <xdr:nvSpPr>
        <xdr:cNvPr id="598" name="Text Box 1"/>
        <xdr:cNvSpPr txBox="1">
          <a:spLocks noChangeArrowheads="1"/>
        </xdr:cNvSpPr>
      </xdr:nvSpPr>
      <xdr:spPr>
        <a:xfrm>
          <a:off x="352425" y="10839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599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00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40</xdr:row>
      <xdr:rowOff>152400</xdr:rowOff>
    </xdr:from>
    <xdr:ext cx="95250" cy="371475"/>
    <xdr:sp fLocksText="0">
      <xdr:nvSpPr>
        <xdr:cNvPr id="601" name="Text Box 1"/>
        <xdr:cNvSpPr txBox="1">
          <a:spLocks noChangeArrowheads="1"/>
        </xdr:cNvSpPr>
      </xdr:nvSpPr>
      <xdr:spPr>
        <a:xfrm>
          <a:off x="657225" y="107442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02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03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04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05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06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07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08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09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10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11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552450"/>
    <xdr:sp fLocksText="0">
      <xdr:nvSpPr>
        <xdr:cNvPr id="612" name="Text Box 1"/>
        <xdr:cNvSpPr txBox="1">
          <a:spLocks noChangeArrowheads="1"/>
        </xdr:cNvSpPr>
      </xdr:nvSpPr>
      <xdr:spPr>
        <a:xfrm>
          <a:off x="495300" y="10839450"/>
          <a:ext cx="95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552450"/>
    <xdr:sp fLocksText="0">
      <xdr:nvSpPr>
        <xdr:cNvPr id="613" name="Text Box 1"/>
        <xdr:cNvSpPr txBox="1">
          <a:spLocks noChangeArrowheads="1"/>
        </xdr:cNvSpPr>
      </xdr:nvSpPr>
      <xdr:spPr>
        <a:xfrm>
          <a:off x="495300" y="10839450"/>
          <a:ext cx="95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14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15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552450"/>
    <xdr:sp fLocksText="0">
      <xdr:nvSpPr>
        <xdr:cNvPr id="616" name="Text Box 1"/>
        <xdr:cNvSpPr txBox="1">
          <a:spLocks noChangeArrowheads="1"/>
        </xdr:cNvSpPr>
      </xdr:nvSpPr>
      <xdr:spPr>
        <a:xfrm>
          <a:off x="495300" y="10839450"/>
          <a:ext cx="95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17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40</xdr:row>
      <xdr:rowOff>247650</xdr:rowOff>
    </xdr:from>
    <xdr:ext cx="95250" cy="276225"/>
    <xdr:sp fLocksText="0">
      <xdr:nvSpPr>
        <xdr:cNvPr id="618" name="Text Box 1"/>
        <xdr:cNvSpPr txBox="1">
          <a:spLocks noChangeArrowheads="1"/>
        </xdr:cNvSpPr>
      </xdr:nvSpPr>
      <xdr:spPr>
        <a:xfrm>
          <a:off x="495300" y="108394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29</xdr:row>
      <xdr:rowOff>0</xdr:rowOff>
    </xdr:from>
    <xdr:ext cx="32385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8401050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8401050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4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9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0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2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3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21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22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161925</xdr:colOff>
      <xdr:row>29</xdr:row>
      <xdr:rowOff>114300</xdr:rowOff>
    </xdr:from>
    <xdr:ext cx="314325" cy="0"/>
    <xdr:sp fLocksText="0">
      <xdr:nvSpPr>
        <xdr:cNvPr id="27" name="Text Box 4134"/>
        <xdr:cNvSpPr txBox="1">
          <a:spLocks noChangeArrowheads="1"/>
        </xdr:cNvSpPr>
      </xdr:nvSpPr>
      <xdr:spPr>
        <a:xfrm>
          <a:off x="409575" y="73914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30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32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42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44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45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48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50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51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54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56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57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29</xdr:row>
      <xdr:rowOff>0</xdr:rowOff>
    </xdr:from>
    <xdr:ext cx="504825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590550" y="7277100"/>
          <a:ext cx="5048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0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1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4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5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6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7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69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0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2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3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4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5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6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7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8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79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81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82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83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84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85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87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61975" cy="0"/>
    <xdr:sp fLocksText="0">
      <xdr:nvSpPr>
        <xdr:cNvPr id="89" name="Text Box 1"/>
        <xdr:cNvSpPr txBox="1">
          <a:spLocks noChangeArrowheads="1"/>
        </xdr:cNvSpPr>
      </xdr:nvSpPr>
      <xdr:spPr>
        <a:xfrm>
          <a:off x="647700" y="74295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90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91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92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93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94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95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96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97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98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99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00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02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03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04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05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61975" cy="0"/>
    <xdr:sp fLocksText="0">
      <xdr:nvSpPr>
        <xdr:cNvPr id="106" name="Text Box 1"/>
        <xdr:cNvSpPr txBox="1">
          <a:spLocks noChangeArrowheads="1"/>
        </xdr:cNvSpPr>
      </xdr:nvSpPr>
      <xdr:spPr>
        <a:xfrm>
          <a:off x="647700" y="74295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07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08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61975" cy="0"/>
    <xdr:sp fLocksText="0">
      <xdr:nvSpPr>
        <xdr:cNvPr id="109" name="Text Box 1"/>
        <xdr:cNvSpPr txBox="1">
          <a:spLocks noChangeArrowheads="1"/>
        </xdr:cNvSpPr>
      </xdr:nvSpPr>
      <xdr:spPr>
        <a:xfrm>
          <a:off x="647700" y="74295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10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11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61975" cy="0"/>
    <xdr:sp fLocksText="0">
      <xdr:nvSpPr>
        <xdr:cNvPr id="112" name="Text Box 1"/>
        <xdr:cNvSpPr txBox="1">
          <a:spLocks noChangeArrowheads="1"/>
        </xdr:cNvSpPr>
      </xdr:nvSpPr>
      <xdr:spPr>
        <a:xfrm>
          <a:off x="647700" y="74295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13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14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20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22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61975" cy="0"/>
    <xdr:sp fLocksText="0">
      <xdr:nvSpPr>
        <xdr:cNvPr id="123" name="Text Box 1"/>
        <xdr:cNvSpPr txBox="1">
          <a:spLocks noChangeArrowheads="1"/>
        </xdr:cNvSpPr>
      </xdr:nvSpPr>
      <xdr:spPr>
        <a:xfrm>
          <a:off x="647700" y="74295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24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25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26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28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29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31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32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61975" cy="0"/>
    <xdr:sp fLocksText="0">
      <xdr:nvSpPr>
        <xdr:cNvPr id="134" name="Text Box 1"/>
        <xdr:cNvSpPr txBox="1">
          <a:spLocks noChangeArrowheads="1"/>
        </xdr:cNvSpPr>
      </xdr:nvSpPr>
      <xdr:spPr>
        <a:xfrm>
          <a:off x="647700" y="74295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35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36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37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38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39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1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2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4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5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7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8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49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50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61975" cy="0"/>
    <xdr:sp fLocksText="0">
      <xdr:nvSpPr>
        <xdr:cNvPr id="151" name="Text Box 1"/>
        <xdr:cNvSpPr txBox="1">
          <a:spLocks noChangeArrowheads="1"/>
        </xdr:cNvSpPr>
      </xdr:nvSpPr>
      <xdr:spPr>
        <a:xfrm>
          <a:off x="647700" y="74295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52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53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61975" cy="0"/>
    <xdr:sp fLocksText="0">
      <xdr:nvSpPr>
        <xdr:cNvPr id="154" name="Text Box 1"/>
        <xdr:cNvSpPr txBox="1">
          <a:spLocks noChangeArrowheads="1"/>
        </xdr:cNvSpPr>
      </xdr:nvSpPr>
      <xdr:spPr>
        <a:xfrm>
          <a:off x="647700" y="74295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55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56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0</xdr:rowOff>
    </xdr:from>
    <xdr:ext cx="428625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485775" y="72771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59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0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2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3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5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6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8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69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29</xdr:row>
      <xdr:rowOff>0</xdr:rowOff>
    </xdr:from>
    <xdr:ext cx="323850" cy="28575"/>
    <xdr:sp fLocksText="0">
      <xdr:nvSpPr>
        <xdr:cNvPr id="171" name="Text Box 2"/>
        <xdr:cNvSpPr txBox="1">
          <a:spLocks noChangeArrowheads="1"/>
        </xdr:cNvSpPr>
      </xdr:nvSpPr>
      <xdr:spPr>
        <a:xfrm>
          <a:off x="447675" y="72771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0</xdr:rowOff>
    </xdr:from>
    <xdr:ext cx="428625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485775" y="7277100"/>
          <a:ext cx="428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73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74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76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77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79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80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0</xdr:rowOff>
    </xdr:from>
    <xdr:ext cx="5715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647700" y="7277100"/>
          <a:ext cx="571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0</xdr:rowOff>
    </xdr:from>
    <xdr:ext cx="571500" cy="28575"/>
    <xdr:sp fLocksText="0">
      <xdr:nvSpPr>
        <xdr:cNvPr id="182" name="Text Box 1"/>
        <xdr:cNvSpPr txBox="1">
          <a:spLocks noChangeArrowheads="1"/>
        </xdr:cNvSpPr>
      </xdr:nvSpPr>
      <xdr:spPr>
        <a:xfrm>
          <a:off x="647700" y="7277100"/>
          <a:ext cx="571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0</xdr:rowOff>
    </xdr:from>
    <xdr:ext cx="571500" cy="28575"/>
    <xdr:sp fLocksText="0">
      <xdr:nvSpPr>
        <xdr:cNvPr id="183" name="Text Box 1"/>
        <xdr:cNvSpPr txBox="1">
          <a:spLocks noChangeArrowheads="1"/>
        </xdr:cNvSpPr>
      </xdr:nvSpPr>
      <xdr:spPr>
        <a:xfrm>
          <a:off x="647700" y="7277100"/>
          <a:ext cx="571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61975" cy="0"/>
    <xdr:sp fLocksText="0">
      <xdr:nvSpPr>
        <xdr:cNvPr id="184" name="Text Box 1"/>
        <xdr:cNvSpPr txBox="1">
          <a:spLocks noChangeArrowheads="1"/>
        </xdr:cNvSpPr>
      </xdr:nvSpPr>
      <xdr:spPr>
        <a:xfrm>
          <a:off x="647700" y="74295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85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29</xdr:row>
      <xdr:rowOff>152400</xdr:rowOff>
    </xdr:from>
    <xdr:ext cx="571500" cy="0"/>
    <xdr:sp fLocksText="0">
      <xdr:nvSpPr>
        <xdr:cNvPr id="186" name="Text Box 1"/>
        <xdr:cNvSpPr txBox="1">
          <a:spLocks noChangeArrowheads="1"/>
        </xdr:cNvSpPr>
      </xdr:nvSpPr>
      <xdr:spPr>
        <a:xfrm>
          <a:off x="647700" y="74295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87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88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89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90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91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92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93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352425</xdr:rowOff>
    </xdr:from>
    <xdr:ext cx="419100" cy="28575"/>
    <xdr:sp fLocksText="0">
      <xdr:nvSpPr>
        <xdr:cNvPr id="194" name="Text Box 1"/>
        <xdr:cNvSpPr txBox="1">
          <a:spLocks noChangeArrowheads="1"/>
        </xdr:cNvSpPr>
      </xdr:nvSpPr>
      <xdr:spPr>
        <a:xfrm>
          <a:off x="485775" y="7629525"/>
          <a:ext cx="419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196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198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00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02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04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06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08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28575"/>
    <xdr:sp fLocksText="0">
      <xdr:nvSpPr>
        <xdr:cNvPr id="210" name="Text Box 1"/>
        <xdr:cNvSpPr txBox="1">
          <a:spLocks noChangeArrowheads="1"/>
        </xdr:cNvSpPr>
      </xdr:nvSpPr>
      <xdr:spPr>
        <a:xfrm>
          <a:off x="8610600" y="7277100"/>
          <a:ext cx="609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1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1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1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1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1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1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1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1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1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2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2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2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2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2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2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2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2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2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2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3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3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3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3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3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3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3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3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3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3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4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4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4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4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4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4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4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4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4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4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5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5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5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5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5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5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5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5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5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5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6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6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6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6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6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6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6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6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6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6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7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7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7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7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7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7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7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7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7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7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8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8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8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8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8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8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8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8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8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8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9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9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9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9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9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57150"/>
    <xdr:sp fLocksText="0">
      <xdr:nvSpPr>
        <xdr:cNvPr id="295" name="Text Box 1"/>
        <xdr:cNvSpPr txBox="1">
          <a:spLocks noChangeArrowheads="1"/>
        </xdr:cNvSpPr>
      </xdr:nvSpPr>
      <xdr:spPr>
        <a:xfrm>
          <a:off x="8610600" y="7277100"/>
          <a:ext cx="6096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57150"/>
    <xdr:sp fLocksText="0">
      <xdr:nvSpPr>
        <xdr:cNvPr id="296" name="Text Box 1"/>
        <xdr:cNvSpPr txBox="1">
          <a:spLocks noChangeArrowheads="1"/>
        </xdr:cNvSpPr>
      </xdr:nvSpPr>
      <xdr:spPr>
        <a:xfrm>
          <a:off x="8610600" y="7277100"/>
          <a:ext cx="6096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9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9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29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0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0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0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0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0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0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0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0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0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0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1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1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1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1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1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1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1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1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1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1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2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2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2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2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2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2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2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2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2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2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3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3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3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3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3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3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3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3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3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3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4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4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4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4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4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4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4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4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4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4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5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5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5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5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5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5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5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5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5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5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6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6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6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6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6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6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6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6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6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6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7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7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7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7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7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7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7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7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7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7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8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57150"/>
    <xdr:sp fLocksText="0">
      <xdr:nvSpPr>
        <xdr:cNvPr id="381" name="Text Box 1"/>
        <xdr:cNvSpPr txBox="1">
          <a:spLocks noChangeArrowheads="1"/>
        </xdr:cNvSpPr>
      </xdr:nvSpPr>
      <xdr:spPr>
        <a:xfrm>
          <a:off x="8610600" y="7277100"/>
          <a:ext cx="6096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57150"/>
    <xdr:sp fLocksText="0">
      <xdr:nvSpPr>
        <xdr:cNvPr id="382" name="Text Box 1"/>
        <xdr:cNvSpPr txBox="1">
          <a:spLocks noChangeArrowheads="1"/>
        </xdr:cNvSpPr>
      </xdr:nvSpPr>
      <xdr:spPr>
        <a:xfrm>
          <a:off x="8610600" y="7277100"/>
          <a:ext cx="6096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57150"/>
    <xdr:sp fLocksText="0">
      <xdr:nvSpPr>
        <xdr:cNvPr id="383" name="Text Box 1"/>
        <xdr:cNvSpPr txBox="1">
          <a:spLocks noChangeArrowheads="1"/>
        </xdr:cNvSpPr>
      </xdr:nvSpPr>
      <xdr:spPr>
        <a:xfrm>
          <a:off x="8610600" y="7277100"/>
          <a:ext cx="6096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8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8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8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8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8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8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9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9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9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9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9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9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9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9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9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39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0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0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0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0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0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0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0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0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0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0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1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1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1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1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1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1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1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1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1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1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2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2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2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2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2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2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2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2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2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2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3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3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3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3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3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3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3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3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3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3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4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4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4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4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4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4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4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4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4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4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5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5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5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5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5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5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5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5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58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59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60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61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62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63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64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65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66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190500</xdr:colOff>
      <xdr:row>29</xdr:row>
      <xdr:rowOff>0</xdr:rowOff>
    </xdr:from>
    <xdr:ext cx="323850" cy="57150"/>
    <xdr:sp fLocksText="0">
      <xdr:nvSpPr>
        <xdr:cNvPr id="467" name="Text Box 2"/>
        <xdr:cNvSpPr txBox="1">
          <a:spLocks noChangeArrowheads="1"/>
        </xdr:cNvSpPr>
      </xdr:nvSpPr>
      <xdr:spPr>
        <a:xfrm>
          <a:off x="8401050" y="7277100"/>
          <a:ext cx="323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57150"/>
    <xdr:sp fLocksText="0">
      <xdr:nvSpPr>
        <xdr:cNvPr id="468" name="Text Box 1"/>
        <xdr:cNvSpPr txBox="1">
          <a:spLocks noChangeArrowheads="1"/>
        </xdr:cNvSpPr>
      </xdr:nvSpPr>
      <xdr:spPr>
        <a:xfrm>
          <a:off x="8610600" y="7277100"/>
          <a:ext cx="6096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57150"/>
    <xdr:sp fLocksText="0">
      <xdr:nvSpPr>
        <xdr:cNvPr id="469" name="Text Box 1"/>
        <xdr:cNvSpPr txBox="1">
          <a:spLocks noChangeArrowheads="1"/>
        </xdr:cNvSpPr>
      </xdr:nvSpPr>
      <xdr:spPr>
        <a:xfrm>
          <a:off x="8610600" y="7277100"/>
          <a:ext cx="6096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29</xdr:row>
      <xdr:rowOff>0</xdr:rowOff>
    </xdr:from>
    <xdr:ext cx="609600" cy="57150"/>
    <xdr:sp fLocksText="0">
      <xdr:nvSpPr>
        <xdr:cNvPr id="470" name="Text Box 1"/>
        <xdr:cNvSpPr txBox="1">
          <a:spLocks noChangeArrowheads="1"/>
        </xdr:cNvSpPr>
      </xdr:nvSpPr>
      <xdr:spPr>
        <a:xfrm>
          <a:off x="8610600" y="7277100"/>
          <a:ext cx="6096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30</xdr:row>
      <xdr:rowOff>276225</xdr:rowOff>
    </xdr:from>
    <xdr:ext cx="342900" cy="38100"/>
    <xdr:sp fLocksText="0">
      <xdr:nvSpPr>
        <xdr:cNvPr id="471" name="Text Box 1"/>
        <xdr:cNvSpPr txBox="1">
          <a:spLocks noChangeArrowheads="1"/>
        </xdr:cNvSpPr>
      </xdr:nvSpPr>
      <xdr:spPr>
        <a:xfrm>
          <a:off x="485775" y="7905750"/>
          <a:ext cx="342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30</xdr:row>
      <xdr:rowOff>276225</xdr:rowOff>
    </xdr:from>
    <xdr:ext cx="342900" cy="38100"/>
    <xdr:sp fLocksText="0">
      <xdr:nvSpPr>
        <xdr:cNvPr id="472" name="Text Box 1"/>
        <xdr:cNvSpPr txBox="1">
          <a:spLocks noChangeArrowheads="1"/>
        </xdr:cNvSpPr>
      </xdr:nvSpPr>
      <xdr:spPr>
        <a:xfrm>
          <a:off x="485775" y="7905750"/>
          <a:ext cx="342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30</xdr:row>
      <xdr:rowOff>276225</xdr:rowOff>
    </xdr:from>
    <xdr:ext cx="342900" cy="38100"/>
    <xdr:sp fLocksText="0">
      <xdr:nvSpPr>
        <xdr:cNvPr id="473" name="Text Box 1"/>
        <xdr:cNvSpPr txBox="1">
          <a:spLocks noChangeArrowheads="1"/>
        </xdr:cNvSpPr>
      </xdr:nvSpPr>
      <xdr:spPr>
        <a:xfrm>
          <a:off x="485775" y="7905750"/>
          <a:ext cx="342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30</xdr:row>
      <xdr:rowOff>276225</xdr:rowOff>
    </xdr:from>
    <xdr:ext cx="342900" cy="38100"/>
    <xdr:sp fLocksText="0">
      <xdr:nvSpPr>
        <xdr:cNvPr id="474" name="Text Box 1"/>
        <xdr:cNvSpPr txBox="1">
          <a:spLocks noChangeArrowheads="1"/>
        </xdr:cNvSpPr>
      </xdr:nvSpPr>
      <xdr:spPr>
        <a:xfrm>
          <a:off x="485775" y="7905750"/>
          <a:ext cx="3429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75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76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77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78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79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80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81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82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83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84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85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486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487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488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489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490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49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49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493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494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495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496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497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498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499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00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0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0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03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04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05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06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07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08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09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10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1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1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13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14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15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16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17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18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19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20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2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2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23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24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25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26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27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28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29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30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3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3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33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34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35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36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37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38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39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40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4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4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43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44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45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46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47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48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49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50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5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5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53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54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55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56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57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58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59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60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6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6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63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64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65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66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67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68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69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70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7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7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73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74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75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76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77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78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79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80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8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8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83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84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85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86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87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88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266700</xdr:colOff>
      <xdr:row>31</xdr:row>
      <xdr:rowOff>0</xdr:rowOff>
    </xdr:from>
    <xdr:ext cx="352425" cy="38100"/>
    <xdr:sp fLocksText="0">
      <xdr:nvSpPr>
        <xdr:cNvPr id="589" name="Text Box 1"/>
        <xdr:cNvSpPr txBox="1">
          <a:spLocks noChangeArrowheads="1"/>
        </xdr:cNvSpPr>
      </xdr:nvSpPr>
      <xdr:spPr>
        <a:xfrm>
          <a:off x="514350" y="7905750"/>
          <a:ext cx="3524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266700</xdr:colOff>
      <xdr:row>31</xdr:row>
      <xdr:rowOff>0</xdr:rowOff>
    </xdr:from>
    <xdr:ext cx="352425" cy="38100"/>
    <xdr:sp fLocksText="0">
      <xdr:nvSpPr>
        <xdr:cNvPr id="590" name="Text Box 1"/>
        <xdr:cNvSpPr txBox="1">
          <a:spLocks noChangeArrowheads="1"/>
        </xdr:cNvSpPr>
      </xdr:nvSpPr>
      <xdr:spPr>
        <a:xfrm>
          <a:off x="514350" y="7905750"/>
          <a:ext cx="3524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91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200025</xdr:colOff>
      <xdr:row>31</xdr:row>
      <xdr:rowOff>0</xdr:rowOff>
    </xdr:from>
    <xdr:ext cx="276225" cy="38100"/>
    <xdr:sp fLocksText="0">
      <xdr:nvSpPr>
        <xdr:cNvPr id="592" name="Text Box 2"/>
        <xdr:cNvSpPr txBox="1">
          <a:spLocks noChangeArrowheads="1"/>
        </xdr:cNvSpPr>
      </xdr:nvSpPr>
      <xdr:spPr>
        <a:xfrm>
          <a:off x="447675" y="7905750"/>
          <a:ext cx="276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593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342900</xdr:colOff>
      <xdr:row>31</xdr:row>
      <xdr:rowOff>0</xdr:rowOff>
    </xdr:from>
    <xdr:ext cx="409575" cy="38100"/>
    <xdr:sp fLocksText="0">
      <xdr:nvSpPr>
        <xdr:cNvPr id="594" name="Text Box 1"/>
        <xdr:cNvSpPr txBox="1">
          <a:spLocks noChangeArrowheads="1"/>
        </xdr:cNvSpPr>
      </xdr:nvSpPr>
      <xdr:spPr>
        <a:xfrm>
          <a:off x="590550" y="7905750"/>
          <a:ext cx="409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266700</xdr:colOff>
      <xdr:row>31</xdr:row>
      <xdr:rowOff>0</xdr:rowOff>
    </xdr:from>
    <xdr:ext cx="352425" cy="38100"/>
    <xdr:sp fLocksText="0">
      <xdr:nvSpPr>
        <xdr:cNvPr id="595" name="Text Box 1"/>
        <xdr:cNvSpPr txBox="1">
          <a:spLocks noChangeArrowheads="1"/>
        </xdr:cNvSpPr>
      </xdr:nvSpPr>
      <xdr:spPr>
        <a:xfrm>
          <a:off x="514350" y="7905750"/>
          <a:ext cx="3524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266700</xdr:colOff>
      <xdr:row>31</xdr:row>
      <xdr:rowOff>0</xdr:rowOff>
    </xdr:from>
    <xdr:ext cx="352425" cy="38100"/>
    <xdr:sp fLocksText="0">
      <xdr:nvSpPr>
        <xdr:cNvPr id="596" name="Text Box 1"/>
        <xdr:cNvSpPr txBox="1">
          <a:spLocks noChangeArrowheads="1"/>
        </xdr:cNvSpPr>
      </xdr:nvSpPr>
      <xdr:spPr>
        <a:xfrm>
          <a:off x="514350" y="7905750"/>
          <a:ext cx="3524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266700</xdr:colOff>
      <xdr:row>31</xdr:row>
      <xdr:rowOff>95250</xdr:rowOff>
    </xdr:from>
    <xdr:ext cx="352425" cy="0"/>
    <xdr:sp fLocksText="0">
      <xdr:nvSpPr>
        <xdr:cNvPr id="597" name="Text Box 1"/>
        <xdr:cNvSpPr txBox="1">
          <a:spLocks noChangeArrowheads="1"/>
        </xdr:cNvSpPr>
      </xdr:nvSpPr>
      <xdr:spPr>
        <a:xfrm>
          <a:off x="514350" y="8001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</xdr:colOff>
      <xdr:row>31</xdr:row>
      <xdr:rowOff>276225</xdr:rowOff>
    </xdr:from>
    <xdr:ext cx="171450" cy="57150"/>
    <xdr:sp fLocksText="0">
      <xdr:nvSpPr>
        <xdr:cNvPr id="598" name="Text Box 1"/>
        <xdr:cNvSpPr txBox="1">
          <a:spLocks noChangeArrowheads="1"/>
        </xdr:cNvSpPr>
      </xdr:nvSpPr>
      <xdr:spPr>
        <a:xfrm>
          <a:off x="342900" y="8181975"/>
          <a:ext cx="1714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599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00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400050</xdr:colOff>
      <xdr:row>31</xdr:row>
      <xdr:rowOff>152400</xdr:rowOff>
    </xdr:from>
    <xdr:ext cx="447675" cy="0"/>
    <xdr:sp fLocksText="0">
      <xdr:nvSpPr>
        <xdr:cNvPr id="601" name="Text Box 1"/>
        <xdr:cNvSpPr txBox="1">
          <a:spLocks noChangeArrowheads="1"/>
        </xdr:cNvSpPr>
      </xdr:nvSpPr>
      <xdr:spPr>
        <a:xfrm>
          <a:off x="647700" y="80581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02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03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04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05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06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07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08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09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10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11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12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13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14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15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16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17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31</xdr:row>
      <xdr:rowOff>276225</xdr:rowOff>
    </xdr:from>
    <xdr:ext cx="342900" cy="57150"/>
    <xdr:sp fLocksText="0">
      <xdr:nvSpPr>
        <xdr:cNvPr id="618" name="Text Box 1"/>
        <xdr:cNvSpPr txBox="1">
          <a:spLocks noChangeArrowheads="1"/>
        </xdr:cNvSpPr>
      </xdr:nvSpPr>
      <xdr:spPr>
        <a:xfrm>
          <a:off x="485775" y="8181975"/>
          <a:ext cx="3429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h\2013\05.12.13\CHAQVI%20#2%20FABRIKA\As.BETONI%20KAPANDIB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Users\Public\&#4306;&#4310;&#4308;&#4305;&#4312;--%2015.06.2018\&#4321;&#4308;&#4325;&#4322;&#4308;&#4315;&#4305;&#4308;&#4320;&#4312;\DABEJDILEBI\&#4317;&#4329;&#4334;&#4304;&#4315;&#4323;&#4320;&#4312;%20&#4306;&#4310;&#4304;%20&#4313;&#4315;0+000-&#4313;&#4315;0+000\&#4317;&#4329;&#4334;&#4304;&#4315;&#4323;&#4320;&#4312;%20&#4306;&#4310;&#4304;%20&#4313;&#4315;0+000-&#4313;&#4315;0+000-gagzavnil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\kapandid\G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kapandid\As.BETONI%20KAPANDIB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TENDERI%20(I)%202012\BOBOYVATI-DAGVA\BOBOYVATI-DAG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1\IV%20t\GABIONI%20IV\MAXALAKIZEEBI%202011\MAXALAKIZEEBI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GEGMIURI%2030.10.12\BOBOYVATI-SINASKURA\TUNAZEEBI-AXALI%20UBANI-xidi\OQRUASVILEBI-TAVARTQILAZEEB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h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უწყისი"/>
      <sheetName val="kiu"/>
      <sheetName val="rk.kiu"/>
      <sheetName val="cxau"/>
      <sheetName val="mili"/>
      <sheetName val="XIDI (129+65)"/>
      <sheetName val="savali"/>
      <sheetName val="Sesasv"/>
      <sheetName val="krepsiTi"/>
      <sheetName val="კიუვეტი"/>
      <sheetName val="რკ.ბეტონის კიუვეტი"/>
      <sheetName val="მილი"/>
      <sheetName val="xidi 1 (2)"/>
      <sheetName val="2"/>
      <sheetName val="3"/>
      <sheetName val="ა.ბეტონი (2)"/>
      <sheetName val="ა.ბეტონი ტროტუა"/>
      <sheetName val="ა.ბეტონი"/>
      <sheetName val="მიერთ."/>
      <sheetName val="MONISHVNA"/>
      <sheetName val="კალკულაცია"/>
      <sheetName val="გადაზიდ. კალკულაცია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PIKETI"/>
      <sheetName val="GRAFIKI"/>
      <sheetName val="MASALEBI"/>
      <sheetName val="KIUVETI (1)"/>
      <sheetName val="KIUVETI (2)"/>
      <sheetName val="KIUVETI (3)"/>
      <sheetName val="KIUVETI (4)"/>
      <sheetName val="GVERDULEBI(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Sheet2 (15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krepsiTi (3)"/>
      <sheetName val="KALAPOTI"/>
      <sheetName val="XIDI "/>
      <sheetName val="YRILI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7">
      <selection activeCell="O18" sqref="O18"/>
    </sheetView>
  </sheetViews>
  <sheetFormatPr defaultColWidth="9.00390625" defaultRowHeight="12.75"/>
  <cols>
    <col min="1" max="1" width="1.875" style="0" customWidth="1"/>
    <col min="2" max="2" width="2.25390625" style="0" customWidth="1"/>
    <col min="11" max="11" width="2.625" style="0" customWidth="1"/>
    <col min="12" max="12" width="2.25390625" style="0" customWidth="1"/>
    <col min="13" max="13" width="8.875" style="0" customWidth="1"/>
  </cols>
  <sheetData>
    <row r="1" spans="1:13" ht="11.25" customHeight="1" thickBot="1" thickTop="1">
      <c r="A1" s="590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2"/>
      <c r="M1" s="593"/>
    </row>
    <row r="2" spans="1:13" ht="11.25" customHeight="1" thickBot="1" thickTop="1">
      <c r="A2" s="594"/>
      <c r="B2" s="595"/>
      <c r="C2" s="596"/>
      <c r="D2" s="596"/>
      <c r="E2" s="596"/>
      <c r="F2" s="596"/>
      <c r="G2" s="596"/>
      <c r="H2" s="596"/>
      <c r="I2" s="596"/>
      <c r="J2" s="596"/>
      <c r="K2" s="597"/>
      <c r="L2" s="598"/>
      <c r="M2" s="593"/>
    </row>
    <row r="3" spans="1:13" ht="13.5" thickTop="1">
      <c r="A3" s="594"/>
      <c r="B3" s="599"/>
      <c r="C3" s="600"/>
      <c r="D3" s="601"/>
      <c r="E3" s="601"/>
      <c r="F3" s="601"/>
      <c r="G3" s="601"/>
      <c r="H3" s="601"/>
      <c r="I3" s="601"/>
      <c r="J3" s="602"/>
      <c r="K3" s="603"/>
      <c r="L3" s="598"/>
      <c r="M3" s="593"/>
    </row>
    <row r="4" spans="1:13" ht="20.25">
      <c r="A4" s="594"/>
      <c r="B4" s="599"/>
      <c r="C4" s="644" t="s">
        <v>331</v>
      </c>
      <c r="D4" s="645"/>
      <c r="E4" s="645"/>
      <c r="F4" s="645"/>
      <c r="G4" s="645"/>
      <c r="H4" s="645"/>
      <c r="I4" s="645"/>
      <c r="J4" s="646"/>
      <c r="K4" s="603"/>
      <c r="L4" s="598"/>
      <c r="M4" s="593"/>
    </row>
    <row r="5" spans="1:13" ht="12.75">
      <c r="A5" s="594"/>
      <c r="B5" s="599"/>
      <c r="C5" s="604"/>
      <c r="D5" s="605"/>
      <c r="E5" s="605"/>
      <c r="F5" s="605"/>
      <c r="G5" s="605"/>
      <c r="H5" s="605"/>
      <c r="I5" s="605"/>
      <c r="J5" s="606"/>
      <c r="K5" s="603"/>
      <c r="L5" s="598"/>
      <c r="M5" s="593"/>
    </row>
    <row r="6" spans="1:13" ht="13.5">
      <c r="A6" s="594"/>
      <c r="B6" s="599"/>
      <c r="C6" s="604"/>
      <c r="D6" s="605"/>
      <c r="E6" s="605"/>
      <c r="F6" s="605"/>
      <c r="G6" s="605"/>
      <c r="H6" s="605"/>
      <c r="I6" s="605"/>
      <c r="J6" s="606"/>
      <c r="K6" s="603"/>
      <c r="L6" s="598"/>
      <c r="M6" s="593"/>
    </row>
    <row r="7" spans="1:13" ht="13.5">
      <c r="A7" s="594"/>
      <c r="B7" s="599"/>
      <c r="C7" s="604"/>
      <c r="D7" s="605"/>
      <c r="E7" s="605"/>
      <c r="F7" s="605"/>
      <c r="G7" s="605"/>
      <c r="H7" s="605"/>
      <c r="I7" s="605"/>
      <c r="J7" s="606"/>
      <c r="K7" s="603"/>
      <c r="L7" s="598"/>
      <c r="M7" s="593"/>
    </row>
    <row r="8" spans="1:13" ht="13.5">
      <c r="A8" s="594"/>
      <c r="B8" s="599"/>
      <c r="C8" s="604"/>
      <c r="D8" s="605"/>
      <c r="E8" s="605"/>
      <c r="F8" s="605"/>
      <c r="G8" s="605"/>
      <c r="H8" s="605"/>
      <c r="I8" s="605"/>
      <c r="J8" s="606"/>
      <c r="K8" s="603"/>
      <c r="L8" s="598"/>
      <c r="M8" s="593"/>
    </row>
    <row r="9" spans="1:13" ht="13.5">
      <c r="A9" s="594"/>
      <c r="B9" s="599"/>
      <c r="C9" s="604"/>
      <c r="D9" s="605"/>
      <c r="E9" s="605"/>
      <c r="F9" s="605"/>
      <c r="G9" s="605"/>
      <c r="H9" s="605"/>
      <c r="I9" s="605"/>
      <c r="J9" s="606"/>
      <c r="K9" s="603"/>
      <c r="L9" s="598"/>
      <c r="M9" s="593"/>
    </row>
    <row r="10" spans="1:13" ht="13.5">
      <c r="A10" s="594"/>
      <c r="B10" s="599"/>
      <c r="C10" s="604"/>
      <c r="D10" s="605"/>
      <c r="E10" s="605"/>
      <c r="F10" s="605"/>
      <c r="G10" s="605"/>
      <c r="H10" s="605"/>
      <c r="I10" s="605"/>
      <c r="J10" s="606"/>
      <c r="K10" s="603"/>
      <c r="L10" s="598"/>
      <c r="M10" s="593"/>
    </row>
    <row r="11" spans="1:13" ht="13.5">
      <c r="A11" s="594"/>
      <c r="B11" s="599"/>
      <c r="C11" s="604"/>
      <c r="D11" s="605"/>
      <c r="E11" s="605"/>
      <c r="F11" s="605"/>
      <c r="G11" s="605"/>
      <c r="H11" s="605"/>
      <c r="I11" s="605"/>
      <c r="J11" s="606"/>
      <c r="K11" s="603"/>
      <c r="L11" s="598"/>
      <c r="M11" s="593"/>
    </row>
    <row r="12" spans="1:13" ht="13.5">
      <c r="A12" s="594"/>
      <c r="B12" s="599"/>
      <c r="C12" s="604"/>
      <c r="D12" s="605"/>
      <c r="E12" s="605"/>
      <c r="F12" s="605"/>
      <c r="G12" s="605"/>
      <c r="H12" s="605"/>
      <c r="I12" s="605"/>
      <c r="J12" s="606"/>
      <c r="K12" s="603"/>
      <c r="L12" s="598"/>
      <c r="M12" s="593"/>
    </row>
    <row r="13" spans="1:13" ht="13.5">
      <c r="A13" s="594"/>
      <c r="B13" s="599"/>
      <c r="C13" s="604"/>
      <c r="D13" s="605"/>
      <c r="E13" s="605"/>
      <c r="F13" s="605"/>
      <c r="G13" s="605"/>
      <c r="H13" s="605"/>
      <c r="I13" s="605"/>
      <c r="J13" s="606"/>
      <c r="K13" s="603"/>
      <c r="L13" s="598"/>
      <c r="M13" s="593"/>
    </row>
    <row r="14" spans="1:13" ht="13.5">
      <c r="A14" s="594"/>
      <c r="B14" s="599"/>
      <c r="C14" s="604"/>
      <c r="D14" s="605"/>
      <c r="E14" s="605"/>
      <c r="F14" s="605"/>
      <c r="G14" s="605"/>
      <c r="H14" s="605"/>
      <c r="I14" s="605"/>
      <c r="J14" s="606"/>
      <c r="K14" s="603"/>
      <c r="L14" s="598"/>
      <c r="M14" s="593"/>
    </row>
    <row r="15" spans="1:13" ht="13.5">
      <c r="A15" s="594"/>
      <c r="B15" s="599"/>
      <c r="C15" s="604"/>
      <c r="D15" s="605"/>
      <c r="E15" s="605"/>
      <c r="F15" s="605"/>
      <c r="G15" s="605"/>
      <c r="H15" s="605"/>
      <c r="I15" s="605"/>
      <c r="J15" s="606"/>
      <c r="K15" s="603"/>
      <c r="L15" s="598"/>
      <c r="M15" s="593"/>
    </row>
    <row r="16" spans="1:13" ht="13.5">
      <c r="A16" s="594"/>
      <c r="B16" s="599"/>
      <c r="C16" s="604"/>
      <c r="D16" s="605"/>
      <c r="E16" s="605"/>
      <c r="F16" s="605"/>
      <c r="G16" s="605"/>
      <c r="H16" s="605"/>
      <c r="I16" s="605"/>
      <c r="J16" s="606"/>
      <c r="K16" s="603"/>
      <c r="L16" s="598"/>
      <c r="M16" s="593"/>
    </row>
    <row r="17" spans="1:13" ht="45" customHeight="1">
      <c r="A17" s="594"/>
      <c r="B17" s="599"/>
      <c r="C17" s="647" t="s">
        <v>351</v>
      </c>
      <c r="D17" s="648"/>
      <c r="E17" s="648"/>
      <c r="F17" s="648"/>
      <c r="G17" s="648"/>
      <c r="H17" s="648"/>
      <c r="I17" s="648"/>
      <c r="J17" s="649"/>
      <c r="K17" s="603"/>
      <c r="L17" s="598"/>
      <c r="M17" s="593"/>
    </row>
    <row r="18" spans="1:13" ht="28.5">
      <c r="A18" s="594"/>
      <c r="B18" s="599"/>
      <c r="C18" s="607"/>
      <c r="D18" s="608"/>
      <c r="E18" s="608"/>
      <c r="F18" s="608"/>
      <c r="G18" s="608"/>
      <c r="H18" s="608"/>
      <c r="I18" s="608"/>
      <c r="J18" s="609"/>
      <c r="K18" s="603"/>
      <c r="L18" s="598"/>
      <c r="M18" s="593"/>
    </row>
    <row r="19" spans="1:13" ht="28.5">
      <c r="A19" s="594"/>
      <c r="B19" s="599"/>
      <c r="C19" s="607"/>
      <c r="D19" s="608"/>
      <c r="E19" s="608"/>
      <c r="F19" s="608"/>
      <c r="G19" s="608"/>
      <c r="H19" s="608"/>
      <c r="I19" s="608"/>
      <c r="J19" s="609"/>
      <c r="K19" s="603"/>
      <c r="L19" s="598"/>
      <c r="M19" s="593"/>
    </row>
    <row r="20" spans="1:13" ht="28.5">
      <c r="A20" s="594"/>
      <c r="B20" s="599"/>
      <c r="C20" s="607"/>
      <c r="D20" s="608"/>
      <c r="E20" s="608"/>
      <c r="F20" s="608"/>
      <c r="G20" s="608"/>
      <c r="H20" s="608"/>
      <c r="I20" s="608"/>
      <c r="J20" s="609"/>
      <c r="K20" s="603"/>
      <c r="L20" s="598"/>
      <c r="M20" s="593"/>
    </row>
    <row r="21" spans="1:13" ht="28.5">
      <c r="A21" s="594"/>
      <c r="B21" s="599"/>
      <c r="C21" s="607"/>
      <c r="D21" s="608"/>
      <c r="E21" s="608"/>
      <c r="F21" s="608"/>
      <c r="G21" s="608"/>
      <c r="H21" s="608"/>
      <c r="I21" s="608"/>
      <c r="J21" s="609"/>
      <c r="K21" s="603"/>
      <c r="L21" s="598"/>
      <c r="M21" s="593"/>
    </row>
    <row r="22" spans="1:13" ht="22.5">
      <c r="A22" s="594"/>
      <c r="B22" s="599"/>
      <c r="C22" s="650" t="s">
        <v>332</v>
      </c>
      <c r="D22" s="651"/>
      <c r="E22" s="651"/>
      <c r="F22" s="651"/>
      <c r="G22" s="651"/>
      <c r="H22" s="651"/>
      <c r="I22" s="651"/>
      <c r="J22" s="652"/>
      <c r="K22" s="603"/>
      <c r="L22" s="598"/>
      <c r="M22" s="593"/>
    </row>
    <row r="23" spans="1:13" ht="13.5">
      <c r="A23" s="594"/>
      <c r="B23" s="599"/>
      <c r="C23" s="604"/>
      <c r="D23" s="605"/>
      <c r="E23" s="605"/>
      <c r="F23" s="605"/>
      <c r="G23" s="605"/>
      <c r="H23" s="605"/>
      <c r="I23" s="605"/>
      <c r="J23" s="606"/>
      <c r="K23" s="603"/>
      <c r="L23" s="598"/>
      <c r="M23" s="593"/>
    </row>
    <row r="24" spans="1:13" ht="13.5">
      <c r="A24" s="594"/>
      <c r="B24" s="599"/>
      <c r="C24" s="604"/>
      <c r="D24" s="605"/>
      <c r="E24" s="605"/>
      <c r="F24" s="605"/>
      <c r="G24" s="605"/>
      <c r="H24" s="605"/>
      <c r="I24" s="605"/>
      <c r="J24" s="606"/>
      <c r="K24" s="603"/>
      <c r="L24" s="598"/>
      <c r="M24" s="593"/>
    </row>
    <row r="25" spans="1:13" ht="13.5">
      <c r="A25" s="594"/>
      <c r="B25" s="599"/>
      <c r="C25" s="604"/>
      <c r="D25" s="605"/>
      <c r="E25" s="605"/>
      <c r="F25" s="605"/>
      <c r="G25" s="605"/>
      <c r="H25" s="605"/>
      <c r="I25" s="605"/>
      <c r="J25" s="606"/>
      <c r="K25" s="603"/>
      <c r="L25" s="598"/>
      <c r="M25" s="593"/>
    </row>
    <row r="26" spans="1:13" ht="13.5">
      <c r="A26" s="594"/>
      <c r="B26" s="599"/>
      <c r="C26" s="604"/>
      <c r="D26" s="605"/>
      <c r="E26" s="605"/>
      <c r="F26" s="605"/>
      <c r="G26" s="605"/>
      <c r="H26" s="605"/>
      <c r="I26" s="605"/>
      <c r="J26" s="606"/>
      <c r="K26" s="603"/>
      <c r="L26" s="598"/>
      <c r="M26" s="593"/>
    </row>
    <row r="27" spans="1:13" ht="13.5">
      <c r="A27" s="594"/>
      <c r="B27" s="599"/>
      <c r="C27" s="604"/>
      <c r="D27" s="605"/>
      <c r="E27" s="605"/>
      <c r="F27" s="605"/>
      <c r="G27" s="605"/>
      <c r="H27" s="605"/>
      <c r="I27" s="605"/>
      <c r="J27" s="606"/>
      <c r="K27" s="603"/>
      <c r="L27" s="598"/>
      <c r="M27" s="593"/>
    </row>
    <row r="28" spans="1:13" ht="13.5">
      <c r="A28" s="594"/>
      <c r="B28" s="599"/>
      <c r="C28" s="604"/>
      <c r="D28" s="605"/>
      <c r="E28" s="605"/>
      <c r="F28" s="605"/>
      <c r="G28" s="605"/>
      <c r="H28" s="605"/>
      <c r="I28" s="605"/>
      <c r="J28" s="606"/>
      <c r="K28" s="603"/>
      <c r="L28" s="598"/>
      <c r="M28" s="593"/>
    </row>
    <row r="29" spans="1:13" ht="3" customHeight="1">
      <c r="A29" s="594"/>
      <c r="B29" s="599"/>
      <c r="C29" s="604"/>
      <c r="D29" s="605"/>
      <c r="E29" s="605"/>
      <c r="F29" s="605"/>
      <c r="G29" s="605"/>
      <c r="H29" s="605"/>
      <c r="I29" s="605"/>
      <c r="J29" s="606"/>
      <c r="K29" s="603"/>
      <c r="L29" s="598"/>
      <c r="M29" s="593"/>
    </row>
    <row r="30" spans="1:13" ht="13.5" hidden="1">
      <c r="A30" s="594"/>
      <c r="B30" s="599"/>
      <c r="C30" s="604"/>
      <c r="D30" s="605"/>
      <c r="E30" s="605"/>
      <c r="F30" s="605"/>
      <c r="G30" s="605"/>
      <c r="H30" s="605"/>
      <c r="I30" s="605"/>
      <c r="J30" s="606"/>
      <c r="K30" s="603"/>
      <c r="L30" s="598"/>
      <c r="M30" s="593"/>
    </row>
    <row r="31" spans="1:13" ht="13.5" hidden="1">
      <c r="A31" s="594"/>
      <c r="B31" s="599"/>
      <c r="C31" s="604"/>
      <c r="D31" s="605"/>
      <c r="E31" s="605"/>
      <c r="F31" s="605"/>
      <c r="G31" s="605"/>
      <c r="H31" s="605"/>
      <c r="I31" s="605"/>
      <c r="J31" s="606"/>
      <c r="K31" s="603"/>
      <c r="L31" s="598"/>
      <c r="M31" s="593"/>
    </row>
    <row r="32" spans="1:13" ht="13.5" hidden="1">
      <c r="A32" s="594"/>
      <c r="B32" s="599"/>
      <c r="C32" s="604"/>
      <c r="D32" s="605"/>
      <c r="E32" s="605"/>
      <c r="F32" s="605"/>
      <c r="G32" s="605"/>
      <c r="H32" s="605"/>
      <c r="I32" s="605"/>
      <c r="J32" s="606"/>
      <c r="K32" s="603"/>
      <c r="L32" s="598"/>
      <c r="M32" s="593"/>
    </row>
    <row r="33" spans="1:13" ht="13.5" hidden="1">
      <c r="A33" s="594"/>
      <c r="B33" s="599"/>
      <c r="C33" s="604"/>
      <c r="D33" s="605"/>
      <c r="E33" s="605"/>
      <c r="F33" s="605"/>
      <c r="G33" s="605"/>
      <c r="H33" s="605"/>
      <c r="I33" s="605"/>
      <c r="J33" s="606"/>
      <c r="K33" s="603"/>
      <c r="L33" s="598"/>
      <c r="M33" s="593"/>
    </row>
    <row r="34" spans="1:13" ht="13.5" hidden="1">
      <c r="A34" s="594"/>
      <c r="B34" s="599"/>
      <c r="C34" s="604"/>
      <c r="D34" s="605"/>
      <c r="E34" s="605"/>
      <c r="F34" s="605"/>
      <c r="G34" s="605"/>
      <c r="H34" s="605"/>
      <c r="I34" s="605"/>
      <c r="J34" s="606"/>
      <c r="K34" s="603"/>
      <c r="L34" s="598"/>
      <c r="M34" s="593"/>
    </row>
    <row r="35" spans="1:13" ht="13.5" hidden="1">
      <c r="A35" s="594"/>
      <c r="B35" s="599"/>
      <c r="C35" s="604"/>
      <c r="D35" s="605"/>
      <c r="E35" s="605"/>
      <c r="F35" s="605"/>
      <c r="G35" s="605"/>
      <c r="H35" s="605"/>
      <c r="I35" s="605"/>
      <c r="J35" s="606"/>
      <c r="K35" s="603"/>
      <c r="L35" s="598"/>
      <c r="M35" s="593"/>
    </row>
    <row r="36" spans="1:13" ht="13.5" hidden="1">
      <c r="A36" s="594"/>
      <c r="B36" s="599"/>
      <c r="C36" s="604"/>
      <c r="D36" s="605"/>
      <c r="E36" s="605"/>
      <c r="F36" s="605"/>
      <c r="G36" s="605"/>
      <c r="H36" s="605"/>
      <c r="I36" s="605"/>
      <c r="J36" s="606"/>
      <c r="K36" s="603"/>
      <c r="L36" s="598"/>
      <c r="M36" s="593"/>
    </row>
    <row r="37" spans="1:13" ht="13.5" hidden="1">
      <c r="A37" s="594"/>
      <c r="B37" s="599"/>
      <c r="C37" s="604"/>
      <c r="D37" s="605"/>
      <c r="E37" s="605"/>
      <c r="F37" s="605"/>
      <c r="G37" s="605"/>
      <c r="H37" s="605"/>
      <c r="I37" s="605"/>
      <c r="J37" s="606"/>
      <c r="K37" s="603"/>
      <c r="L37" s="598"/>
      <c r="M37" s="593"/>
    </row>
    <row r="38" spans="1:13" ht="13.5" hidden="1">
      <c r="A38" s="594"/>
      <c r="B38" s="599"/>
      <c r="C38" s="604"/>
      <c r="D38" s="605"/>
      <c r="E38" s="605"/>
      <c r="F38" s="605"/>
      <c r="G38" s="605"/>
      <c r="H38" s="605"/>
      <c r="I38" s="605"/>
      <c r="J38" s="606"/>
      <c r="K38" s="603"/>
      <c r="L38" s="598"/>
      <c r="M38" s="593"/>
    </row>
    <row r="39" spans="1:13" ht="13.5" hidden="1">
      <c r="A39" s="594"/>
      <c r="B39" s="599"/>
      <c r="C39" s="604"/>
      <c r="D39" s="605"/>
      <c r="E39" s="605"/>
      <c r="F39" s="605"/>
      <c r="G39" s="605"/>
      <c r="H39" s="605"/>
      <c r="I39" s="605"/>
      <c r="J39" s="606"/>
      <c r="K39" s="603"/>
      <c r="L39" s="598"/>
      <c r="M39" s="593"/>
    </row>
    <row r="40" spans="1:13" ht="13.5" hidden="1">
      <c r="A40" s="594"/>
      <c r="B40" s="599"/>
      <c r="C40" s="604"/>
      <c r="D40" s="605"/>
      <c r="E40" s="605"/>
      <c r="F40" s="605"/>
      <c r="G40" s="605"/>
      <c r="H40" s="605"/>
      <c r="I40" s="605"/>
      <c r="J40" s="606"/>
      <c r="K40" s="603"/>
      <c r="L40" s="598"/>
      <c r="M40" s="593"/>
    </row>
    <row r="41" spans="1:13" ht="13.5" hidden="1">
      <c r="A41" s="594"/>
      <c r="B41" s="599"/>
      <c r="C41" s="604"/>
      <c r="D41" s="605"/>
      <c r="E41" s="605"/>
      <c r="F41" s="605"/>
      <c r="G41" s="605"/>
      <c r="H41" s="605"/>
      <c r="I41" s="605"/>
      <c r="J41" s="606"/>
      <c r="K41" s="603"/>
      <c r="L41" s="598"/>
      <c r="M41" s="593"/>
    </row>
    <row r="42" spans="1:13" ht="13.5" hidden="1">
      <c r="A42" s="594"/>
      <c r="B42" s="599"/>
      <c r="C42" s="604"/>
      <c r="D42" s="605"/>
      <c r="E42" s="605"/>
      <c r="F42" s="605"/>
      <c r="G42" s="605"/>
      <c r="H42" s="605"/>
      <c r="I42" s="605"/>
      <c r="J42" s="606"/>
      <c r="K42" s="603"/>
      <c r="L42" s="598"/>
      <c r="M42" s="593"/>
    </row>
    <row r="43" spans="1:13" ht="13.5" hidden="1">
      <c r="A43" s="594"/>
      <c r="B43" s="599"/>
      <c r="C43" s="604"/>
      <c r="D43" s="605"/>
      <c r="E43" s="605"/>
      <c r="F43" s="605"/>
      <c r="G43" s="605"/>
      <c r="H43" s="605"/>
      <c r="I43" s="605"/>
      <c r="J43" s="606"/>
      <c r="K43" s="603"/>
      <c r="L43" s="598"/>
      <c r="M43" s="593"/>
    </row>
    <row r="44" spans="1:13" ht="13.5">
      <c r="A44" s="594"/>
      <c r="B44" s="599"/>
      <c r="C44" s="604"/>
      <c r="D44" s="605"/>
      <c r="E44" s="605"/>
      <c r="F44" s="605"/>
      <c r="G44" s="605"/>
      <c r="H44" s="605"/>
      <c r="I44" s="605"/>
      <c r="J44" s="606"/>
      <c r="K44" s="603"/>
      <c r="L44" s="598"/>
      <c r="M44" s="593"/>
    </row>
    <row r="45" spans="1:13" ht="13.5">
      <c r="A45" s="594"/>
      <c r="B45" s="599"/>
      <c r="C45" s="604"/>
      <c r="D45" s="605"/>
      <c r="E45" s="605"/>
      <c r="F45" s="605"/>
      <c r="G45" s="605"/>
      <c r="H45" s="605"/>
      <c r="I45" s="605"/>
      <c r="J45" s="606"/>
      <c r="K45" s="603"/>
      <c r="L45" s="598"/>
      <c r="M45" s="593"/>
    </row>
    <row r="46" spans="1:13" ht="13.5">
      <c r="A46" s="594"/>
      <c r="B46" s="599"/>
      <c r="C46" s="604"/>
      <c r="D46" s="605"/>
      <c r="E46" s="605"/>
      <c r="F46" s="605"/>
      <c r="G46" s="605"/>
      <c r="H46" s="605"/>
      <c r="I46" s="605"/>
      <c r="J46" s="606"/>
      <c r="K46" s="603"/>
      <c r="L46" s="598"/>
      <c r="M46" s="593"/>
    </row>
    <row r="47" spans="1:13" ht="13.5">
      <c r="A47" s="594"/>
      <c r="B47" s="599"/>
      <c r="C47" s="604"/>
      <c r="D47" s="605"/>
      <c r="E47" s="605"/>
      <c r="F47" s="605"/>
      <c r="G47" s="605"/>
      <c r="H47" s="605"/>
      <c r="I47" s="605"/>
      <c r="J47" s="606"/>
      <c r="K47" s="603"/>
      <c r="L47" s="598"/>
      <c r="M47" s="593"/>
    </row>
    <row r="48" spans="1:13" ht="13.5">
      <c r="A48" s="594"/>
      <c r="B48" s="599"/>
      <c r="C48" s="604"/>
      <c r="D48" s="605"/>
      <c r="E48" s="605"/>
      <c r="F48" s="605"/>
      <c r="G48" s="605"/>
      <c r="H48" s="605"/>
      <c r="I48" s="605"/>
      <c r="J48" s="606"/>
      <c r="K48" s="603"/>
      <c r="L48" s="598"/>
      <c r="M48" s="593"/>
    </row>
    <row r="49" spans="1:13" ht="13.5">
      <c r="A49" s="594"/>
      <c r="B49" s="599"/>
      <c r="C49" s="604"/>
      <c r="D49" s="605"/>
      <c r="E49" s="605"/>
      <c r="F49" s="605"/>
      <c r="G49" s="605"/>
      <c r="H49" s="605"/>
      <c r="I49" s="605"/>
      <c r="J49" s="606"/>
      <c r="K49" s="603"/>
      <c r="L49" s="598"/>
      <c r="M49" s="593"/>
    </row>
    <row r="50" spans="1:13" ht="13.5">
      <c r="A50" s="594"/>
      <c r="B50" s="599"/>
      <c r="C50" s="604"/>
      <c r="D50" s="605"/>
      <c r="E50" s="605"/>
      <c r="F50" s="605"/>
      <c r="G50" s="605"/>
      <c r="H50" s="605"/>
      <c r="I50" s="605"/>
      <c r="J50" s="606"/>
      <c r="K50" s="603"/>
      <c r="L50" s="598"/>
      <c r="M50" s="593"/>
    </row>
    <row r="51" spans="1:13" ht="13.5">
      <c r="A51" s="594"/>
      <c r="B51" s="599"/>
      <c r="C51" s="604"/>
      <c r="D51" s="605"/>
      <c r="E51" s="605"/>
      <c r="F51" s="605"/>
      <c r="G51" s="605"/>
      <c r="H51" s="605"/>
      <c r="I51" s="605"/>
      <c r="J51" s="606"/>
      <c r="K51" s="603"/>
      <c r="L51" s="598"/>
      <c r="M51" s="593"/>
    </row>
    <row r="52" spans="1:13" ht="13.5">
      <c r="A52" s="594"/>
      <c r="B52" s="599"/>
      <c r="C52" s="604"/>
      <c r="D52" s="605"/>
      <c r="E52" s="605"/>
      <c r="F52" s="605"/>
      <c r="G52" s="605"/>
      <c r="H52" s="605"/>
      <c r="I52" s="605"/>
      <c r="J52" s="606"/>
      <c r="K52" s="603"/>
      <c r="L52" s="598"/>
      <c r="M52" s="593"/>
    </row>
    <row r="53" spans="1:13" ht="0" customHeight="1" hidden="1">
      <c r="A53" s="594"/>
      <c r="B53" s="599"/>
      <c r="C53" s="604"/>
      <c r="D53" s="605"/>
      <c r="E53" s="605"/>
      <c r="F53" s="605"/>
      <c r="G53" s="605"/>
      <c r="H53" s="605"/>
      <c r="I53" s="605"/>
      <c r="J53" s="606"/>
      <c r="K53" s="603"/>
      <c r="L53" s="598"/>
      <c r="M53" s="593"/>
    </row>
    <row r="54" spans="1:13" ht="13.5" hidden="1">
      <c r="A54" s="594"/>
      <c r="B54" s="599"/>
      <c r="C54" s="604"/>
      <c r="D54" s="605"/>
      <c r="E54" s="605"/>
      <c r="F54" s="605"/>
      <c r="G54" s="605"/>
      <c r="H54" s="605"/>
      <c r="I54" s="605"/>
      <c r="J54" s="606"/>
      <c r="K54" s="603"/>
      <c r="L54" s="598"/>
      <c r="M54" s="593"/>
    </row>
    <row r="55" spans="1:13" ht="21">
      <c r="A55" s="594"/>
      <c r="B55" s="599"/>
      <c r="C55" s="653" t="s">
        <v>333</v>
      </c>
      <c r="D55" s="654"/>
      <c r="E55" s="654"/>
      <c r="F55" s="654"/>
      <c r="G55" s="654"/>
      <c r="H55" s="654"/>
      <c r="I55" s="654"/>
      <c r="J55" s="655"/>
      <c r="K55" s="603"/>
      <c r="L55" s="598"/>
      <c r="M55" s="593"/>
    </row>
    <row r="56" spans="1:13" ht="14.25" thickBot="1">
      <c r="A56" s="594"/>
      <c r="B56" s="599"/>
      <c r="C56" s="610"/>
      <c r="D56" s="611"/>
      <c r="E56" s="611"/>
      <c r="F56" s="611"/>
      <c r="G56" s="611"/>
      <c r="H56" s="611"/>
      <c r="I56" s="611"/>
      <c r="J56" s="612"/>
      <c r="K56" s="603"/>
      <c r="L56" s="598"/>
      <c r="M56" s="593"/>
    </row>
    <row r="57" spans="1:13" ht="12" customHeight="1" thickBot="1" thickTop="1">
      <c r="A57" s="594"/>
      <c r="B57" s="613"/>
      <c r="C57" s="614"/>
      <c r="D57" s="614"/>
      <c r="E57" s="614"/>
      <c r="F57" s="614"/>
      <c r="G57" s="614"/>
      <c r="H57" s="614"/>
      <c r="I57" s="614"/>
      <c r="J57" s="614"/>
      <c r="K57" s="615"/>
      <c r="L57" s="598"/>
      <c r="M57" s="593"/>
    </row>
    <row r="58" spans="1:13" ht="12" customHeight="1" thickBot="1" thickTop="1">
      <c r="A58" s="616"/>
      <c r="B58" s="617"/>
      <c r="C58" s="618"/>
      <c r="D58" s="618"/>
      <c r="E58" s="618"/>
      <c r="F58" s="618"/>
      <c r="G58" s="618"/>
      <c r="H58" s="618"/>
      <c r="I58" s="618"/>
      <c r="J58" s="618"/>
      <c r="K58" s="617"/>
      <c r="L58" s="619"/>
      <c r="M58" s="593"/>
    </row>
    <row r="59" spans="1:13" ht="13.5" thickTop="1">
      <c r="A59" s="593"/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</row>
  </sheetData>
  <sheetProtection/>
  <mergeCells count="4">
    <mergeCell ref="C4:J4"/>
    <mergeCell ref="C17:J17"/>
    <mergeCell ref="C22:J22"/>
    <mergeCell ref="C55:J5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zoomScalePageLayoutView="0" workbookViewId="0" topLeftCell="A1">
      <selection activeCell="G20" sqref="G20"/>
    </sheetView>
  </sheetViews>
  <sheetFormatPr defaultColWidth="9.00390625" defaultRowHeight="12.75"/>
  <cols>
    <col min="1" max="1" width="4.75390625" style="475" customWidth="1"/>
    <col min="2" max="2" width="14.00390625" style="475" customWidth="1"/>
    <col min="3" max="3" width="13.375" style="475" customWidth="1"/>
    <col min="4" max="4" width="9.75390625" style="475" customWidth="1"/>
    <col min="5" max="5" width="22.75390625" style="475" customWidth="1"/>
    <col min="6" max="6" width="25.125" style="475" customWidth="1"/>
    <col min="7" max="16384" width="9.125" style="475" customWidth="1"/>
  </cols>
  <sheetData>
    <row r="1" spans="1:6" ht="34.5" customHeight="1">
      <c r="A1" s="770" t="s">
        <v>320</v>
      </c>
      <c r="B1" s="771"/>
      <c r="C1" s="771"/>
      <c r="D1" s="771"/>
      <c r="E1" s="771"/>
      <c r="F1" s="771"/>
    </row>
    <row r="2" spans="1:6" ht="26.25" customHeight="1">
      <c r="A2" s="770" t="str">
        <f>კრებსითი!A4</f>
        <v>adigenis municipalitetSi sof. varxanis gzebis monakveTebi (monakveTi II)</v>
      </c>
      <c r="B2" s="771"/>
      <c r="C2" s="771"/>
      <c r="D2" s="771"/>
      <c r="E2" s="771"/>
      <c r="F2" s="771"/>
    </row>
    <row r="3" ht="21.75" customHeight="1"/>
    <row r="4" spans="1:6" ht="24" customHeight="1">
      <c r="A4" s="702" t="s">
        <v>0</v>
      </c>
      <c r="B4" s="702" t="s">
        <v>153</v>
      </c>
      <c r="C4" s="702"/>
      <c r="D4" s="690" t="s">
        <v>154</v>
      </c>
      <c r="E4" s="690" t="s">
        <v>155</v>
      </c>
      <c r="F4" s="697" t="s">
        <v>79</v>
      </c>
    </row>
    <row r="5" spans="1:6" ht="21.75" customHeight="1">
      <c r="A5" s="702"/>
      <c r="B5" s="261" t="s">
        <v>156</v>
      </c>
      <c r="C5" s="261" t="s">
        <v>157</v>
      </c>
      <c r="D5" s="692"/>
      <c r="E5" s="692"/>
      <c r="F5" s="697"/>
    </row>
    <row r="6" spans="1:6" ht="21.75" customHeight="1">
      <c r="A6" s="503"/>
      <c r="B6" s="698" t="s">
        <v>260</v>
      </c>
      <c r="C6" s="699"/>
      <c r="D6" s="505"/>
      <c r="E6" s="505"/>
      <c r="F6" s="504"/>
    </row>
    <row r="7" spans="1:6" ht="21.75" customHeight="1">
      <c r="A7" s="261">
        <v>1</v>
      </c>
      <c r="B7" s="261"/>
      <c r="C7" s="261" t="s">
        <v>254</v>
      </c>
      <c r="D7" s="261">
        <v>9</v>
      </c>
      <c r="E7" s="482"/>
      <c r="F7" s="482" t="s">
        <v>272</v>
      </c>
    </row>
    <row r="8" spans="1:6" ht="21.75" customHeight="1">
      <c r="A8" s="261">
        <v>2</v>
      </c>
      <c r="B8" s="261" t="s">
        <v>255</v>
      </c>
      <c r="C8" s="261"/>
      <c r="D8" s="261">
        <v>141</v>
      </c>
      <c r="E8" s="482"/>
      <c r="F8" s="482" t="s">
        <v>273</v>
      </c>
    </row>
    <row r="9" spans="1:6" ht="21" customHeight="1">
      <c r="A9" s="698" t="s">
        <v>33</v>
      </c>
      <c r="B9" s="772"/>
      <c r="C9" s="699"/>
      <c r="D9" s="261">
        <f>SUM(D7:D8)</f>
        <v>150</v>
      </c>
      <c r="E9" s="483"/>
      <c r="F9" s="483"/>
    </row>
    <row r="10" ht="16.5" customHeight="1"/>
    <row r="11" spans="2:6" ht="69.75" customHeight="1">
      <c r="B11" s="773" t="s">
        <v>326</v>
      </c>
      <c r="C11" s="774"/>
      <c r="D11" s="774"/>
      <c r="E11" s="774"/>
      <c r="F11" s="774"/>
    </row>
    <row r="12" ht="10.5" customHeight="1"/>
    <row r="13" spans="1:8" ht="16.5">
      <c r="A13" s="693" t="e">
        <f>#REF!</f>
        <v>#REF!</v>
      </c>
      <c r="B13" s="693"/>
      <c r="C13" s="693"/>
      <c r="D13" s="693"/>
      <c r="E13" s="693"/>
      <c r="F13" s="693"/>
      <c r="G13" s="484"/>
      <c r="H13" s="484"/>
    </row>
  </sheetData>
  <sheetProtection/>
  <mergeCells count="11">
    <mergeCell ref="B6:C6"/>
    <mergeCell ref="A9:C9"/>
    <mergeCell ref="B11:F11"/>
    <mergeCell ref="A13:F13"/>
    <mergeCell ref="A1:F1"/>
    <mergeCell ref="A2:F2"/>
    <mergeCell ref="A4:A5"/>
    <mergeCell ref="B4:C4"/>
    <mergeCell ref="D4:D5"/>
    <mergeCell ref="E4:E5"/>
    <mergeCell ref="F4:F5"/>
  </mergeCells>
  <printOptions horizontalCentered="1"/>
  <pageMargins left="0.4724409448818898" right="0.1968503937007874" top="0.52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110" zoomScaleSheetLayoutView="110" zoomScalePageLayoutView="0" workbookViewId="0" topLeftCell="A4">
      <selection activeCell="C25" sqref="C25"/>
    </sheetView>
  </sheetViews>
  <sheetFormatPr defaultColWidth="9.00390625" defaultRowHeight="12.75"/>
  <cols>
    <col min="1" max="1" width="4.25390625" style="31" customWidth="1"/>
    <col min="2" max="2" width="16.75390625" style="31" customWidth="1"/>
    <col min="3" max="3" width="44.75390625" style="31" customWidth="1"/>
    <col min="4" max="4" width="11.25390625" style="31" customWidth="1"/>
    <col min="5" max="5" width="12.25390625" style="31" customWidth="1"/>
    <col min="6" max="6" width="12.75390625" style="31" customWidth="1"/>
    <col min="7" max="7" width="10.875" style="31" customWidth="1"/>
    <col min="8" max="8" width="11.375" style="31" customWidth="1"/>
    <col min="9" max="9" width="12.125" style="31" customWidth="1"/>
    <col min="10" max="10" width="10.25390625" style="31" bestFit="1" customWidth="1"/>
    <col min="11" max="16384" width="9.125" style="31" customWidth="1"/>
  </cols>
  <sheetData>
    <row r="1" spans="1:9" s="50" customFormat="1" ht="0.75" customHeight="1">
      <c r="A1" s="49"/>
      <c r="B1" s="49"/>
      <c r="C1" s="49"/>
      <c r="D1" s="49"/>
      <c r="E1" s="49"/>
      <c r="F1" s="49"/>
      <c r="G1" s="49"/>
      <c r="H1" s="49"/>
      <c r="I1" s="49"/>
    </row>
    <row r="2" spans="1:9" s="50" customFormat="1" ht="16.5" customHeight="1">
      <c r="A2" s="775" t="s">
        <v>106</v>
      </c>
      <c r="B2" s="776"/>
      <c r="C2" s="775"/>
      <c r="D2" s="775"/>
      <c r="E2" s="775"/>
      <c r="F2" s="775"/>
      <c r="G2" s="775"/>
      <c r="H2" s="775"/>
      <c r="I2" s="51"/>
    </row>
    <row r="3" spans="1:9" s="50" customFormat="1" ht="0.75" customHeight="1">
      <c r="A3" s="30"/>
      <c r="B3" s="369"/>
      <c r="C3" s="30"/>
      <c r="D3" s="30"/>
      <c r="E3" s="30"/>
      <c r="F3" s="30"/>
      <c r="G3" s="30"/>
      <c r="H3" s="30"/>
      <c r="I3" s="30"/>
    </row>
    <row r="4" spans="1:8" ht="18" customHeight="1">
      <c r="A4" s="779" t="s">
        <v>350</v>
      </c>
      <c r="B4" s="780"/>
      <c r="C4" s="781"/>
      <c r="D4" s="781"/>
      <c r="E4" s="781"/>
      <c r="F4" s="781"/>
      <c r="G4" s="781"/>
      <c r="H4" s="781"/>
    </row>
    <row r="5" spans="1:8" ht="0.75" customHeight="1">
      <c r="A5" s="319"/>
      <c r="B5" s="353"/>
      <c r="C5" s="274"/>
      <c r="D5" s="274"/>
      <c r="E5" s="274"/>
      <c r="F5" s="274"/>
      <c r="G5" s="274"/>
      <c r="H5" s="274"/>
    </row>
    <row r="6" spans="1:8" ht="15" customHeight="1">
      <c r="A6" s="777" t="s">
        <v>225</v>
      </c>
      <c r="B6" s="777"/>
      <c r="C6" s="777"/>
      <c r="D6" s="777"/>
      <c r="E6" s="777"/>
      <c r="F6" s="777"/>
      <c r="G6" s="777"/>
      <c r="H6" s="777"/>
    </row>
    <row r="7" spans="1:8" ht="0.75" customHeight="1">
      <c r="A7" s="777"/>
      <c r="B7" s="777"/>
      <c r="C7" s="777"/>
      <c r="D7" s="777"/>
      <c r="E7" s="777"/>
      <c r="F7" s="777"/>
      <c r="G7" s="777"/>
      <c r="H7" s="777"/>
    </row>
    <row r="8" spans="1:9" s="50" customFormat="1" ht="16.5" customHeight="1">
      <c r="A8" s="30"/>
      <c r="B8" s="30"/>
      <c r="C8" s="30"/>
      <c r="D8" s="778" t="s">
        <v>359</v>
      </c>
      <c r="E8" s="778"/>
      <c r="F8" s="778"/>
      <c r="G8" s="778"/>
      <c r="H8" s="778"/>
      <c r="I8" s="30"/>
    </row>
    <row r="9" spans="1:9" s="50" customFormat="1" ht="16.5" customHeight="1">
      <c r="A9" s="52"/>
      <c r="B9" s="52"/>
      <c r="C9" s="52"/>
      <c r="D9" s="782" t="s">
        <v>104</v>
      </c>
      <c r="E9" s="782"/>
      <c r="F9" s="782"/>
      <c r="G9" s="782"/>
      <c r="H9" s="52" t="s">
        <v>11</v>
      </c>
      <c r="I9" s="53"/>
    </row>
    <row r="10" spans="1:9" s="50" customFormat="1" ht="15.75" customHeight="1">
      <c r="A10" s="54"/>
      <c r="B10" s="54"/>
      <c r="C10" s="54" t="s">
        <v>12</v>
      </c>
      <c r="D10" s="52" t="s">
        <v>13</v>
      </c>
      <c r="E10" s="52"/>
      <c r="F10" s="52" t="s">
        <v>14</v>
      </c>
      <c r="G10" s="52"/>
      <c r="H10" s="54" t="s">
        <v>105</v>
      </c>
      <c r="I10" s="53"/>
    </row>
    <row r="11" spans="1:9" s="50" customFormat="1" ht="15.75" customHeight="1">
      <c r="A11" s="54" t="s">
        <v>15</v>
      </c>
      <c r="B11" s="54" t="s">
        <v>5</v>
      </c>
      <c r="C11" s="54" t="s">
        <v>16</v>
      </c>
      <c r="D11" s="54" t="s">
        <v>17</v>
      </c>
      <c r="E11" s="54" t="s">
        <v>18</v>
      </c>
      <c r="F11" s="54" t="s">
        <v>19</v>
      </c>
      <c r="G11" s="54" t="s">
        <v>20</v>
      </c>
      <c r="H11" s="54" t="s">
        <v>21</v>
      </c>
      <c r="I11" s="53"/>
    </row>
    <row r="12" spans="1:9" s="50" customFormat="1" ht="15" customHeight="1">
      <c r="A12" s="54"/>
      <c r="B12" s="54"/>
      <c r="C12" s="54"/>
      <c r="D12" s="54" t="s">
        <v>22</v>
      </c>
      <c r="E12" s="54" t="s">
        <v>23</v>
      </c>
      <c r="F12" s="54" t="s">
        <v>24</v>
      </c>
      <c r="G12" s="54" t="s">
        <v>23</v>
      </c>
      <c r="H12" s="54"/>
      <c r="I12" s="53"/>
    </row>
    <row r="13" spans="1:9" s="50" customFormat="1" ht="0.75" customHeight="1">
      <c r="A13" s="55"/>
      <c r="B13" s="55"/>
      <c r="C13" s="55"/>
      <c r="D13" s="55"/>
      <c r="E13" s="55"/>
      <c r="F13" s="55"/>
      <c r="G13" s="55"/>
      <c r="H13" s="55"/>
      <c r="I13" s="53"/>
    </row>
    <row r="14" spans="1:9" s="50" customFormat="1" ht="14.25" customHeight="1">
      <c r="A14" s="125">
        <v>1</v>
      </c>
      <c r="B14" s="125">
        <v>2</v>
      </c>
      <c r="C14" s="126">
        <v>3</v>
      </c>
      <c r="D14" s="126">
        <v>4</v>
      </c>
      <c r="E14" s="126">
        <v>5</v>
      </c>
      <c r="F14" s="126">
        <v>6</v>
      </c>
      <c r="G14" s="126">
        <v>7</v>
      </c>
      <c r="H14" s="126">
        <v>8</v>
      </c>
      <c r="I14" s="53"/>
    </row>
    <row r="15" spans="1:9" s="50" customFormat="1" ht="14.25" customHeight="1">
      <c r="A15" s="45"/>
      <c r="B15" s="48"/>
      <c r="C15" s="640" t="s">
        <v>353</v>
      </c>
      <c r="D15" s="496"/>
      <c r="E15" s="45"/>
      <c r="F15" s="45"/>
      <c r="G15" s="45"/>
      <c r="H15" s="58"/>
      <c r="I15" s="49"/>
    </row>
    <row r="16" spans="1:9" s="50" customFormat="1" ht="19.5" customHeight="1">
      <c r="A16" s="35">
        <v>1</v>
      </c>
      <c r="B16" s="207" t="s">
        <v>134</v>
      </c>
      <c r="C16" s="208" t="s">
        <v>127</v>
      </c>
      <c r="D16" s="497">
        <f>კიუვეტი!G9</f>
        <v>0</v>
      </c>
      <c r="E16" s="35"/>
      <c r="F16" s="35"/>
      <c r="G16" s="35"/>
      <c r="H16" s="39">
        <f>D16</f>
        <v>0</v>
      </c>
      <c r="I16" s="49"/>
    </row>
    <row r="17" spans="1:9" s="50" customFormat="1" ht="24" customHeight="1">
      <c r="A17" s="35">
        <v>2</v>
      </c>
      <c r="B17" s="48" t="s">
        <v>113</v>
      </c>
      <c r="C17" s="208" t="s">
        <v>302</v>
      </c>
      <c r="D17" s="497">
        <f>'რკ.ბეტონის კიუვეტი'!F5</f>
        <v>0</v>
      </c>
      <c r="E17" s="35"/>
      <c r="F17" s="35"/>
      <c r="G17" s="35"/>
      <c r="H17" s="39">
        <f>D17</f>
        <v>0</v>
      </c>
      <c r="I17" s="49"/>
    </row>
    <row r="18" spans="1:9" s="50" customFormat="1" ht="15.75" customHeight="1">
      <c r="A18" s="45"/>
      <c r="B18" s="48"/>
      <c r="C18" s="103" t="s">
        <v>354</v>
      </c>
      <c r="D18" s="498">
        <f>SUM(D16:D17)</f>
        <v>0</v>
      </c>
      <c r="E18" s="47"/>
      <c r="F18" s="47"/>
      <c r="G18" s="47"/>
      <c r="H18" s="104">
        <f>D18</f>
        <v>0</v>
      </c>
      <c r="I18" s="49"/>
    </row>
    <row r="19" spans="1:9" s="50" customFormat="1" ht="15.75" customHeight="1">
      <c r="A19" s="45"/>
      <c r="B19" s="48"/>
      <c r="C19" s="640" t="s">
        <v>355</v>
      </c>
      <c r="D19" s="496"/>
      <c r="E19" s="45"/>
      <c r="F19" s="45"/>
      <c r="G19" s="45"/>
      <c r="H19" s="57"/>
      <c r="I19" s="49"/>
    </row>
    <row r="20" spans="1:9" s="50" customFormat="1" ht="18.75" customHeight="1">
      <c r="A20" s="45">
        <v>3</v>
      </c>
      <c r="B20" s="48" t="s">
        <v>240</v>
      </c>
      <c r="C20" s="56" t="s">
        <v>243</v>
      </c>
      <c r="D20" s="499">
        <f>'ა.ბეტონი'!F5</f>
        <v>0</v>
      </c>
      <c r="E20" s="45"/>
      <c r="F20" s="45"/>
      <c r="G20" s="45"/>
      <c r="H20" s="57">
        <f>D20</f>
        <v>0</v>
      </c>
      <c r="I20" s="354"/>
    </row>
    <row r="21" spans="1:9" s="50" customFormat="1" ht="30.75" customHeight="1">
      <c r="A21" s="35">
        <v>4</v>
      </c>
      <c r="B21" s="207" t="s">
        <v>241</v>
      </c>
      <c r="C21" s="242" t="s">
        <v>245</v>
      </c>
      <c r="D21" s="497">
        <f>'ა.ბეტონი (2)'!F5</f>
        <v>0</v>
      </c>
      <c r="E21" s="35"/>
      <c r="F21" s="35"/>
      <c r="G21" s="35"/>
      <c r="H21" s="39">
        <f>D21</f>
        <v>0</v>
      </c>
      <c r="I21" s="49"/>
    </row>
    <row r="22" spans="1:9" s="50" customFormat="1" ht="24.75" customHeight="1">
      <c r="A22" s="45"/>
      <c r="B22" s="66"/>
      <c r="C22" s="64" t="s">
        <v>69</v>
      </c>
      <c r="D22" s="498">
        <f>SUM(D20:D21)</f>
        <v>0</v>
      </c>
      <c r="E22" s="47"/>
      <c r="F22" s="47"/>
      <c r="G22" s="47"/>
      <c r="H22" s="104">
        <f>D22</f>
        <v>0</v>
      </c>
      <c r="I22" s="49"/>
    </row>
    <row r="23" spans="1:9" s="50" customFormat="1" ht="15.75" customHeight="1">
      <c r="A23" s="181"/>
      <c r="B23" s="47"/>
      <c r="C23" s="641" t="s">
        <v>356</v>
      </c>
      <c r="D23" s="500"/>
      <c r="E23" s="182"/>
      <c r="F23" s="47"/>
      <c r="G23" s="182"/>
      <c r="H23" s="358"/>
      <c r="I23" s="49"/>
    </row>
    <row r="24" spans="1:9" s="50" customFormat="1" ht="18.75" customHeight="1">
      <c r="A24" s="357">
        <v>5</v>
      </c>
      <c r="B24" s="36" t="s">
        <v>192</v>
      </c>
      <c r="C24" s="355" t="str">
        <f>მილი!A6</f>
        <v>liTonis milebis mowyoba </v>
      </c>
      <c r="D24" s="497">
        <f>მილი!F7</f>
        <v>0</v>
      </c>
      <c r="E24" s="356"/>
      <c r="F24" s="39"/>
      <c r="G24" s="356"/>
      <c r="H24" s="39">
        <f>D24</f>
        <v>0</v>
      </c>
      <c r="I24" s="49"/>
    </row>
    <row r="25" spans="1:9" s="50" customFormat="1" ht="18.75" customHeight="1">
      <c r="A25" s="357">
        <v>6</v>
      </c>
      <c r="B25" s="36" t="s">
        <v>172</v>
      </c>
      <c r="C25" s="355" t="str">
        <f>'რკ.ბეტონის ჭები'!A4</f>
        <v>rk.betonis Webis mowyoba</v>
      </c>
      <c r="D25" s="497">
        <f>'რკ.ბეტონის ჭები'!F5</f>
        <v>0</v>
      </c>
      <c r="E25" s="356"/>
      <c r="F25" s="39"/>
      <c r="G25" s="356"/>
      <c r="H25" s="39">
        <f>D25</f>
        <v>0</v>
      </c>
      <c r="I25" s="49"/>
    </row>
    <row r="26" spans="1:9" s="50" customFormat="1" ht="15.75" customHeight="1">
      <c r="A26" s="43"/>
      <c r="B26" s="67"/>
      <c r="C26" s="65" t="s">
        <v>70</v>
      </c>
      <c r="D26" s="501">
        <f>SUM(D24:D25)</f>
        <v>0</v>
      </c>
      <c r="E26" s="43"/>
      <c r="F26" s="43"/>
      <c r="G26" s="43"/>
      <c r="H26" s="59">
        <f>D26</f>
        <v>0</v>
      </c>
      <c r="I26" s="49"/>
    </row>
    <row r="27" spans="1:9" s="50" customFormat="1" ht="15.75" customHeight="1">
      <c r="A27" s="45"/>
      <c r="B27" s="45"/>
      <c r="C27" s="640" t="s">
        <v>357</v>
      </c>
      <c r="D27" s="496"/>
      <c r="E27" s="45"/>
      <c r="F27" s="45"/>
      <c r="G27" s="45"/>
      <c r="H27" s="57"/>
      <c r="I27" s="49"/>
    </row>
    <row r="28" spans="1:9" s="50" customFormat="1" ht="19.5" customHeight="1">
      <c r="A28" s="45">
        <v>7</v>
      </c>
      <c r="B28" s="48" t="s">
        <v>242</v>
      </c>
      <c r="C28" s="56" t="s">
        <v>128</v>
      </c>
      <c r="D28" s="499">
        <f>მონიშვნა!G5</f>
        <v>0</v>
      </c>
      <c r="E28" s="45"/>
      <c r="F28" s="45"/>
      <c r="G28" s="45"/>
      <c r="H28" s="57">
        <f>D28</f>
        <v>0</v>
      </c>
      <c r="I28" s="49"/>
    </row>
    <row r="29" spans="1:9" s="50" customFormat="1" ht="19.5" customHeight="1">
      <c r="A29" s="45"/>
      <c r="B29" s="45"/>
      <c r="C29" s="264" t="s">
        <v>25</v>
      </c>
      <c r="D29" s="246">
        <f>SUM(D28:D28)</f>
        <v>0</v>
      </c>
      <c r="E29" s="265"/>
      <c r="F29" s="265"/>
      <c r="G29" s="265"/>
      <c r="H29" s="246">
        <f>D29</f>
        <v>0</v>
      </c>
      <c r="I29" s="49"/>
    </row>
    <row r="30" spans="1:9" s="50" customFormat="1" ht="19.5" customHeight="1">
      <c r="A30" s="43"/>
      <c r="B30" s="43"/>
      <c r="C30" s="642" t="s">
        <v>358</v>
      </c>
      <c r="D30" s="246">
        <f>D26+D22+D18+D29</f>
        <v>0</v>
      </c>
      <c r="E30" s="43"/>
      <c r="F30" s="43"/>
      <c r="G30" s="59"/>
      <c r="H30" s="59">
        <f>D30</f>
        <v>0</v>
      </c>
      <c r="I30" s="49"/>
    </row>
    <row r="31" spans="1:9" s="60" customFormat="1" ht="12.75" customHeight="1">
      <c r="A31" s="45"/>
      <c r="B31" s="45"/>
      <c r="C31" s="65"/>
      <c r="D31" s="59"/>
      <c r="E31" s="59"/>
      <c r="F31" s="59"/>
      <c r="G31" s="59"/>
      <c r="H31" s="59"/>
      <c r="I31" s="49"/>
    </row>
    <row r="32" spans="1:9" s="62" customFormat="1" ht="19.5" customHeight="1">
      <c r="A32" s="45">
        <v>9</v>
      </c>
      <c r="B32" s="45"/>
      <c r="C32" s="61" t="s">
        <v>139</v>
      </c>
      <c r="D32" s="57">
        <f>D30*0.03+0.003</f>
        <v>0.003</v>
      </c>
      <c r="E32" s="45"/>
      <c r="F32" s="45"/>
      <c r="G32" s="57"/>
      <c r="H32" s="57">
        <f>D32</f>
        <v>0.003</v>
      </c>
      <c r="I32" s="49"/>
    </row>
    <row r="33" spans="1:9" s="62" customFormat="1" ht="19.5" customHeight="1">
      <c r="A33" s="45"/>
      <c r="B33" s="45"/>
      <c r="C33" s="61" t="s">
        <v>140</v>
      </c>
      <c r="D33" s="57">
        <f>D30+D32</f>
        <v>0.003</v>
      </c>
      <c r="E33" s="45"/>
      <c r="F33" s="45"/>
      <c r="G33" s="57"/>
      <c r="H33" s="57">
        <f>H30+H32</f>
        <v>0.003</v>
      </c>
      <c r="I33" s="49"/>
    </row>
    <row r="34" spans="1:9" s="62" customFormat="1" ht="19.5" customHeight="1">
      <c r="A34" s="45"/>
      <c r="B34" s="45"/>
      <c r="C34" s="175" t="s">
        <v>26</v>
      </c>
      <c r="D34" s="174">
        <f>D33*0.18</f>
        <v>0.00054</v>
      </c>
      <c r="E34" s="173"/>
      <c r="F34" s="173"/>
      <c r="G34" s="174"/>
      <c r="H34" s="174">
        <f>H33*0.18</f>
        <v>0.00054</v>
      </c>
      <c r="I34" s="53"/>
    </row>
    <row r="35" spans="1:13" s="62" customFormat="1" ht="19.5" customHeight="1">
      <c r="A35" s="45"/>
      <c r="B35" s="45"/>
      <c r="C35" s="643" t="s">
        <v>27</v>
      </c>
      <c r="D35" s="57">
        <f>D33+D34</f>
        <v>0.00354</v>
      </c>
      <c r="E35" s="45"/>
      <c r="F35" s="45"/>
      <c r="G35" s="57"/>
      <c r="H35" s="57">
        <f>H33+H34</f>
        <v>0.00354</v>
      </c>
      <c r="I35" s="53"/>
      <c r="M35" s="352"/>
    </row>
    <row r="36" spans="1:9" s="62" customFormat="1" ht="38.25" customHeight="1">
      <c r="A36" s="48"/>
      <c r="B36" s="48"/>
      <c r="C36" s="48"/>
      <c r="D36" s="48"/>
      <c r="E36" s="48"/>
      <c r="F36" s="48"/>
      <c r="G36" s="48"/>
      <c r="H36" s="48"/>
      <c r="I36" s="53"/>
    </row>
    <row r="37" spans="1:9" s="60" customFormat="1" ht="19.5" customHeight="1">
      <c r="A37" s="783"/>
      <c r="B37" s="783"/>
      <c r="C37" s="783"/>
      <c r="D37" s="783"/>
      <c r="E37" s="783"/>
      <c r="F37" s="783"/>
      <c r="G37" s="783"/>
      <c r="H37" s="783"/>
      <c r="I37" s="53"/>
    </row>
    <row r="38" spans="1:8" s="53" customFormat="1" ht="16.5">
      <c r="A38" s="48"/>
      <c r="B38" s="48"/>
      <c r="C38" s="63"/>
      <c r="D38" s="63"/>
      <c r="E38" s="63"/>
      <c r="F38" s="63"/>
      <c r="G38" s="63"/>
      <c r="H38" s="48"/>
    </row>
    <row r="39" spans="1:9" s="60" customFormat="1" ht="16.5">
      <c r="A39" s="48"/>
      <c r="B39" s="48"/>
      <c r="C39" s="63"/>
      <c r="D39" s="124"/>
      <c r="E39" s="63"/>
      <c r="F39" s="63"/>
      <c r="G39" s="63"/>
      <c r="H39" s="127"/>
      <c r="I39" s="53"/>
    </row>
    <row r="40" spans="1:9" s="62" customFormat="1" ht="16.5">
      <c r="A40" s="48"/>
      <c r="B40" s="48"/>
      <c r="C40" s="63"/>
      <c r="D40" s="124"/>
      <c r="E40" s="63"/>
      <c r="F40" s="63"/>
      <c r="G40" s="63"/>
      <c r="H40" s="127"/>
      <c r="I40" s="53"/>
    </row>
    <row r="41" spans="1:9" s="62" customFormat="1" ht="16.5">
      <c r="A41" s="48"/>
      <c r="B41" s="48"/>
      <c r="C41" s="63"/>
      <c r="D41" s="412"/>
      <c r="E41" s="352"/>
      <c r="F41" s="63"/>
      <c r="G41" s="413"/>
      <c r="H41" s="127"/>
      <c r="I41" s="53"/>
    </row>
    <row r="42" spans="1:9" s="62" customFormat="1" ht="16.5">
      <c r="A42" s="48"/>
      <c r="B42" s="48"/>
      <c r="C42" s="63"/>
      <c r="D42" s="124"/>
      <c r="E42" s="63"/>
      <c r="F42" s="63"/>
      <c r="G42" s="63"/>
      <c r="H42" s="127"/>
      <c r="I42" s="53"/>
    </row>
    <row r="43" spans="3:7" ht="12.75" customHeight="1">
      <c r="C43" s="63"/>
      <c r="D43" s="63"/>
      <c r="E43" s="124"/>
      <c r="F43" s="63"/>
      <c r="G43" s="63"/>
    </row>
    <row r="44" spans="3:7" ht="12.75" customHeight="1">
      <c r="C44" s="63"/>
      <c r="D44" s="63"/>
      <c r="E44" s="63"/>
      <c r="F44" s="63"/>
      <c r="G44" s="63"/>
    </row>
    <row r="45" spans="3:7" ht="19.5" customHeight="1">
      <c r="C45" s="63"/>
      <c r="D45" s="63"/>
      <c r="E45" s="124"/>
      <c r="F45" s="63"/>
      <c r="G45" s="63"/>
    </row>
    <row r="46" spans="3:7" ht="12.75" customHeight="1">
      <c r="C46" s="63"/>
      <c r="D46" s="63"/>
      <c r="E46" s="63"/>
      <c r="F46" s="63"/>
      <c r="G46" s="63"/>
    </row>
    <row r="47" spans="3:7" ht="12.75" customHeight="1">
      <c r="C47" s="63"/>
      <c r="D47" s="63"/>
      <c r="E47" s="63"/>
      <c r="F47" s="63"/>
      <c r="G47" s="63"/>
    </row>
  </sheetData>
  <sheetProtection/>
  <mergeCells count="6">
    <mergeCell ref="A2:H2"/>
    <mergeCell ref="A6:H7"/>
    <mergeCell ref="D8:H8"/>
    <mergeCell ref="A4:H4"/>
    <mergeCell ref="D9:G9"/>
    <mergeCell ref="A37:H37"/>
  </mergeCells>
  <printOptions horizontalCentered="1"/>
  <pageMargins left="0.1968503937007874" right="0.1968503937007874" top="0.3937007874015748" bottom="0.1968503937007874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7"/>
  <sheetViews>
    <sheetView zoomScale="85" zoomScaleNormal="85" zoomScaleSheetLayoutView="100" zoomScalePageLayoutView="0" workbookViewId="0" topLeftCell="A1">
      <selection activeCell="A27" sqref="A27:H27"/>
    </sheetView>
  </sheetViews>
  <sheetFormatPr defaultColWidth="9.00390625" defaultRowHeight="12.75"/>
  <cols>
    <col min="1" max="1" width="4.625" style="278" customWidth="1"/>
    <col min="2" max="2" width="8.375" style="278" customWidth="1"/>
    <col min="3" max="3" width="68.25390625" style="279" customWidth="1"/>
    <col min="4" max="4" width="9.125" style="278" customWidth="1"/>
    <col min="5" max="5" width="8.75390625" style="278" customWidth="1"/>
    <col min="6" max="6" width="14.375" style="278" customWidth="1"/>
    <col min="7" max="7" width="10.75390625" style="278" customWidth="1"/>
    <col min="8" max="8" width="14.125" style="278" customWidth="1"/>
    <col min="9" max="10" width="9.125" style="278" customWidth="1"/>
    <col min="11" max="11" width="11.00390625" style="278" bestFit="1" customWidth="1"/>
    <col min="12" max="16384" width="9.125" style="278" customWidth="1"/>
  </cols>
  <sheetData>
    <row r="1" ht="0.75" customHeight="1"/>
    <row r="2" spans="1:8" ht="18" customHeight="1">
      <c r="A2" s="797" t="str">
        <f>კრებსითი!A4</f>
        <v>adigenis municipalitetSi sof. varxanis gzebis monakveTebi (monakveTi II)</v>
      </c>
      <c r="B2" s="798"/>
      <c r="C2" s="798"/>
      <c r="D2" s="798"/>
      <c r="E2" s="798"/>
      <c r="F2" s="798"/>
      <c r="G2" s="798"/>
      <c r="H2" s="798"/>
    </row>
    <row r="3" spans="1:8" ht="19.5" customHeight="1">
      <c r="A3" s="799" t="str">
        <f>კრებსითი!A6</f>
        <v>gzis reabilitacia</v>
      </c>
      <c r="B3" s="799"/>
      <c r="C3" s="799"/>
      <c r="D3" s="799"/>
      <c r="E3" s="799"/>
      <c r="F3" s="799"/>
      <c r="G3" s="799"/>
      <c r="H3" s="799"/>
    </row>
    <row r="4" spans="1:8" ht="2.25" customHeight="1">
      <c r="A4" s="281"/>
      <c r="B4" s="281"/>
      <c r="C4" s="280"/>
      <c r="D4" s="281"/>
      <c r="E4" s="281"/>
      <c r="F4" s="281"/>
      <c r="G4" s="281"/>
      <c r="H4" s="281"/>
    </row>
    <row r="5" spans="1:8" ht="18" customHeight="1">
      <c r="A5" s="800" t="s">
        <v>135</v>
      </c>
      <c r="B5" s="800"/>
      <c r="C5" s="800"/>
      <c r="D5" s="800"/>
      <c r="E5" s="800"/>
      <c r="F5" s="800"/>
      <c r="G5" s="800"/>
      <c r="H5" s="800"/>
    </row>
    <row r="6" spans="1:8" ht="2.25" customHeight="1">
      <c r="A6" s="382"/>
      <c r="B6" s="382"/>
      <c r="C6" s="381"/>
      <c r="D6" s="382"/>
      <c r="E6" s="382"/>
      <c r="F6" s="382"/>
      <c r="G6" s="382"/>
      <c r="H6" s="382"/>
    </row>
    <row r="7" spans="1:8" ht="19.5" customHeight="1">
      <c r="A7" s="800" t="s">
        <v>230</v>
      </c>
      <c r="B7" s="800"/>
      <c r="C7" s="800"/>
      <c r="D7" s="800"/>
      <c r="E7" s="800"/>
      <c r="F7" s="800"/>
      <c r="G7" s="800"/>
      <c r="H7" s="800"/>
    </row>
    <row r="8" spans="1:8" ht="2.25" customHeight="1">
      <c r="A8" s="382"/>
      <c r="B8" s="382"/>
      <c r="C8" s="381"/>
      <c r="D8" s="382"/>
      <c r="E8" s="382"/>
      <c r="F8" s="382"/>
      <c r="G8" s="382"/>
      <c r="H8" s="382"/>
    </row>
    <row r="9" spans="1:8" ht="18" customHeight="1">
      <c r="A9" s="801" t="s">
        <v>46</v>
      </c>
      <c r="B9" s="801"/>
      <c r="C9" s="801"/>
      <c r="D9" s="802" t="s">
        <v>4</v>
      </c>
      <c r="E9" s="802"/>
      <c r="F9" s="802"/>
      <c r="G9" s="383">
        <f>H25</f>
        <v>0</v>
      </c>
      <c r="H9" s="384" t="s">
        <v>39</v>
      </c>
    </row>
    <row r="10" spans="1:8" ht="19.5" customHeight="1">
      <c r="A10" s="795" t="s">
        <v>15</v>
      </c>
      <c r="B10" s="795" t="s">
        <v>5</v>
      </c>
      <c r="C10" s="795" t="s">
        <v>47</v>
      </c>
      <c r="D10" s="788" t="s">
        <v>125</v>
      </c>
      <c r="E10" s="789" t="s">
        <v>7</v>
      </c>
      <c r="F10" s="790"/>
      <c r="G10" s="791" t="s">
        <v>2</v>
      </c>
      <c r="H10" s="791"/>
    </row>
    <row r="11" spans="1:8" ht="36" customHeight="1">
      <c r="A11" s="796"/>
      <c r="B11" s="796"/>
      <c r="C11" s="796"/>
      <c r="D11" s="788"/>
      <c r="E11" s="385" t="s">
        <v>10</v>
      </c>
      <c r="F11" s="387" t="s">
        <v>48</v>
      </c>
      <c r="G11" s="388" t="s">
        <v>10</v>
      </c>
      <c r="H11" s="388" t="s">
        <v>1</v>
      </c>
    </row>
    <row r="12" spans="1:8" ht="16.5" customHeight="1">
      <c r="A12" s="386">
        <v>1</v>
      </c>
      <c r="B12" s="386">
        <v>2</v>
      </c>
      <c r="C12" s="386">
        <v>3</v>
      </c>
      <c r="D12" s="386">
        <v>4</v>
      </c>
      <c r="E12" s="386">
        <v>5</v>
      </c>
      <c r="F12" s="386">
        <v>6</v>
      </c>
      <c r="G12" s="386">
        <v>7</v>
      </c>
      <c r="H12" s="386">
        <v>8</v>
      </c>
    </row>
    <row r="13" spans="1:8" ht="27" customHeight="1">
      <c r="A13" s="282">
        <v>1</v>
      </c>
      <c r="B13" s="385" t="s">
        <v>308</v>
      </c>
      <c r="C13" s="582" t="str">
        <f>უწყისი!B8</f>
        <v>trasis aRdgena damagreba koordinatTa sistemaSi</v>
      </c>
      <c r="D13" s="385" t="str">
        <f>უწყისი!C8</f>
        <v>grZ.m</v>
      </c>
      <c r="E13" s="385"/>
      <c r="F13" s="583">
        <f>უწყისი!D8</f>
        <v>104</v>
      </c>
      <c r="G13" s="385"/>
      <c r="H13" s="385"/>
    </row>
    <row r="14" spans="1:8" ht="37.5" customHeight="1">
      <c r="A14" s="282">
        <v>2</v>
      </c>
      <c r="B14" s="283" t="s">
        <v>90</v>
      </c>
      <c r="C14" s="167" t="s">
        <v>190</v>
      </c>
      <c r="D14" s="168" t="s">
        <v>109</v>
      </c>
      <c r="E14" s="168"/>
      <c r="F14" s="284">
        <f>ვაკისის!F9</f>
        <v>15.6</v>
      </c>
      <c r="G14" s="168"/>
      <c r="H14" s="284"/>
    </row>
    <row r="15" spans="1:8" ht="15.75" customHeight="1">
      <c r="A15" s="285"/>
      <c r="B15" s="286"/>
      <c r="C15" s="287" t="s">
        <v>41</v>
      </c>
      <c r="D15" s="277" t="s">
        <v>42</v>
      </c>
      <c r="E15" s="277">
        <f>27/1000</f>
        <v>0.027</v>
      </c>
      <c r="F15" s="288">
        <f>E15*F14</f>
        <v>0.42119999999999996</v>
      </c>
      <c r="G15" s="277"/>
      <c r="H15" s="288"/>
    </row>
    <row r="16" spans="1:8" ht="18.75" customHeight="1">
      <c r="A16" s="285"/>
      <c r="B16" s="289"/>
      <c r="C16" s="287" t="s">
        <v>191</v>
      </c>
      <c r="D16" s="277" t="s">
        <v>49</v>
      </c>
      <c r="E16" s="277">
        <f>60.5/1000</f>
        <v>0.0605</v>
      </c>
      <c r="F16" s="288">
        <f>E16*F14</f>
        <v>0.9438</v>
      </c>
      <c r="G16" s="290"/>
      <c r="H16" s="288"/>
    </row>
    <row r="17" spans="1:8" ht="15.75" customHeight="1">
      <c r="A17" s="291"/>
      <c r="B17" s="291"/>
      <c r="C17" s="292" t="s">
        <v>44</v>
      </c>
      <c r="D17" s="276" t="s">
        <v>29</v>
      </c>
      <c r="E17" s="276">
        <f>2.21/1000</f>
        <v>0.00221</v>
      </c>
      <c r="F17" s="293">
        <f>E17*F14</f>
        <v>0.034476</v>
      </c>
      <c r="G17" s="276"/>
      <c r="H17" s="288"/>
    </row>
    <row r="18" spans="1:8" ht="37.5" customHeight="1">
      <c r="A18" s="282">
        <v>3</v>
      </c>
      <c r="B18" s="282" t="s">
        <v>89</v>
      </c>
      <c r="C18" s="167" t="s">
        <v>180</v>
      </c>
      <c r="D18" s="168" t="s">
        <v>109</v>
      </c>
      <c r="E18" s="168"/>
      <c r="F18" s="284">
        <f>ვაკისის!G9</f>
        <v>1.56</v>
      </c>
      <c r="G18" s="168"/>
      <c r="H18" s="284"/>
    </row>
    <row r="19" spans="1:8" ht="16.5" customHeight="1">
      <c r="A19" s="294"/>
      <c r="B19" s="295"/>
      <c r="C19" s="292" t="s">
        <v>41</v>
      </c>
      <c r="D19" s="276" t="s">
        <v>42</v>
      </c>
      <c r="E19" s="276">
        <v>2.99</v>
      </c>
      <c r="F19" s="293">
        <f>E19*F18</f>
        <v>4.6644000000000005</v>
      </c>
      <c r="G19" s="276"/>
      <c r="H19" s="293"/>
    </row>
    <row r="20" spans="1:8" ht="21.75" customHeight="1">
      <c r="A20" s="262">
        <v>4</v>
      </c>
      <c r="B20" s="296" t="s">
        <v>75</v>
      </c>
      <c r="C20" s="254" t="s">
        <v>220</v>
      </c>
      <c r="D20" s="172" t="s">
        <v>50</v>
      </c>
      <c r="E20" s="172" t="s">
        <v>345</v>
      </c>
      <c r="F20" s="253">
        <f>(ვაკისის!F9+ვაკისის!G9)*1.75</f>
        <v>30.03</v>
      </c>
      <c r="G20" s="172"/>
      <c r="H20" s="253"/>
    </row>
    <row r="21" spans="1:8" ht="21" customHeight="1">
      <c r="A21" s="792" t="s">
        <v>33</v>
      </c>
      <c r="B21" s="793"/>
      <c r="C21" s="793"/>
      <c r="D21" s="793"/>
      <c r="E21" s="793"/>
      <c r="F21" s="793"/>
      <c r="G21" s="794"/>
      <c r="H21" s="297">
        <f>H20+H18+H14+H13</f>
        <v>0</v>
      </c>
    </row>
    <row r="22" spans="1:10" ht="21" customHeight="1">
      <c r="A22" s="785" t="s">
        <v>360</v>
      </c>
      <c r="B22" s="786"/>
      <c r="C22" s="786"/>
      <c r="D22" s="786"/>
      <c r="E22" s="786"/>
      <c r="F22" s="786"/>
      <c r="G22" s="787"/>
      <c r="H22" s="298">
        <f>H21*0.1</f>
        <v>0</v>
      </c>
      <c r="I22" s="299"/>
      <c r="J22" s="299"/>
    </row>
    <row r="23" spans="1:10" ht="21" customHeight="1">
      <c r="A23" s="785" t="s">
        <v>53</v>
      </c>
      <c r="B23" s="786"/>
      <c r="C23" s="786"/>
      <c r="D23" s="786"/>
      <c r="E23" s="786"/>
      <c r="F23" s="786"/>
      <c r="G23" s="787"/>
      <c r="H23" s="298">
        <f>H21+H22</f>
        <v>0</v>
      </c>
      <c r="I23" s="299"/>
      <c r="J23" s="299"/>
    </row>
    <row r="24" spans="1:8" ht="21" customHeight="1">
      <c r="A24" s="785" t="s">
        <v>361</v>
      </c>
      <c r="B24" s="786"/>
      <c r="C24" s="786"/>
      <c r="D24" s="786"/>
      <c r="E24" s="786"/>
      <c r="F24" s="786"/>
      <c r="G24" s="787"/>
      <c r="H24" s="298">
        <f>H23*0.08</f>
        <v>0</v>
      </c>
    </row>
    <row r="25" spans="1:8" ht="21" customHeight="1">
      <c r="A25" s="785" t="s">
        <v>54</v>
      </c>
      <c r="B25" s="786"/>
      <c r="C25" s="786"/>
      <c r="D25" s="786"/>
      <c r="E25" s="786"/>
      <c r="F25" s="786"/>
      <c r="G25" s="787"/>
      <c r="H25" s="298">
        <f>H23+H24</f>
        <v>0</v>
      </c>
    </row>
    <row r="26" spans="1:8" ht="36.75" customHeight="1">
      <c r="A26" s="300"/>
      <c r="B26" s="300"/>
      <c r="C26" s="300"/>
      <c r="D26" s="300"/>
      <c r="E26" s="300"/>
      <c r="F26" s="300"/>
      <c r="G26" s="300"/>
      <c r="H26" s="301"/>
    </row>
    <row r="27" spans="1:8" ht="18" customHeight="1">
      <c r="A27" s="784"/>
      <c r="B27" s="784"/>
      <c r="C27" s="784"/>
      <c r="D27" s="784"/>
      <c r="E27" s="784"/>
      <c r="F27" s="784"/>
      <c r="G27" s="784"/>
      <c r="H27" s="784"/>
    </row>
  </sheetData>
  <sheetProtection/>
  <mergeCells count="18">
    <mergeCell ref="B10:B11"/>
    <mergeCell ref="C10:C11"/>
    <mergeCell ref="A2:H2"/>
    <mergeCell ref="A3:H3"/>
    <mergeCell ref="A5:H5"/>
    <mergeCell ref="A7:H7"/>
    <mergeCell ref="A9:C9"/>
    <mergeCell ref="D9:F9"/>
    <mergeCell ref="A27:H27"/>
    <mergeCell ref="A24:G24"/>
    <mergeCell ref="A25:G25"/>
    <mergeCell ref="D10:D11"/>
    <mergeCell ref="E10:F10"/>
    <mergeCell ref="G10:H10"/>
    <mergeCell ref="A21:G21"/>
    <mergeCell ref="A22:G22"/>
    <mergeCell ref="A23:G23"/>
    <mergeCell ref="A10:A11"/>
  </mergeCells>
  <printOptions horizontalCentered="1"/>
  <pageMargins left="0.1968503937007874" right="0.1968503937007874" top="0.3937007874015748" bottom="0.1968503937007874" header="0.2362204724409449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SheetLayoutView="80" zoomScalePageLayoutView="0" workbookViewId="0" topLeftCell="A39">
      <selection activeCell="A55" sqref="A55:H55"/>
    </sheetView>
  </sheetViews>
  <sheetFormatPr defaultColWidth="9.00390625" defaultRowHeight="12.75"/>
  <cols>
    <col min="1" max="1" width="4.75390625" style="2" customWidth="1"/>
    <col min="2" max="2" width="11.625" style="3" customWidth="1"/>
    <col min="3" max="3" width="64.625" style="2" customWidth="1"/>
    <col min="4" max="4" width="10.375" style="2" customWidth="1"/>
    <col min="5" max="5" width="12.875" style="2" customWidth="1"/>
    <col min="6" max="6" width="13.875" style="2" customWidth="1"/>
    <col min="7" max="7" width="11.125" style="2" customWidth="1"/>
    <col min="8" max="8" width="12.125" style="2" customWidth="1"/>
    <col min="9" max="9" width="15.875" style="2" customWidth="1"/>
    <col min="10" max="10" width="13.75390625" style="1" customWidth="1"/>
    <col min="11" max="11" width="14.625" style="2" bestFit="1" customWidth="1"/>
    <col min="12" max="12" width="10.125" style="2" bestFit="1" customWidth="1"/>
    <col min="13" max="16384" width="9.125" style="2" customWidth="1"/>
  </cols>
  <sheetData>
    <row r="1" spans="1:8" ht="29.25" customHeight="1">
      <c r="A1" s="804" t="str">
        <f>კრებსითი!A4</f>
        <v>adigenis municipalitetSi sof. varxanis gzebis monakveTebi (monakveTi II)</v>
      </c>
      <c r="B1" s="805"/>
      <c r="C1" s="805"/>
      <c r="D1" s="805"/>
      <c r="E1" s="805"/>
      <c r="F1" s="805"/>
      <c r="G1" s="805"/>
      <c r="H1" s="805"/>
    </row>
    <row r="2" spans="1:8" ht="23.25" customHeight="1">
      <c r="A2" s="806" t="str">
        <f>კრებსითი!A6</f>
        <v>gzis reabilitacia</v>
      </c>
      <c r="B2" s="806"/>
      <c r="C2" s="806"/>
      <c r="D2" s="806"/>
      <c r="E2" s="806"/>
      <c r="F2" s="806"/>
      <c r="G2" s="806"/>
      <c r="H2" s="806"/>
    </row>
    <row r="3" spans="1:8" ht="24" customHeight="1">
      <c r="A3" s="780" t="s">
        <v>112</v>
      </c>
      <c r="B3" s="780"/>
      <c r="C3" s="780"/>
      <c r="D3" s="780"/>
      <c r="E3" s="780"/>
      <c r="F3" s="780"/>
      <c r="G3" s="780"/>
      <c r="H3" s="780"/>
    </row>
    <row r="4" spans="1:8" ht="24" customHeight="1">
      <c r="A4" s="807" t="s">
        <v>284</v>
      </c>
      <c r="B4" s="807"/>
      <c r="C4" s="807"/>
      <c r="D4" s="807"/>
      <c r="E4" s="807"/>
      <c r="F4" s="807"/>
      <c r="G4" s="807"/>
      <c r="H4" s="807"/>
    </row>
    <row r="5" spans="1:8" ht="23.25" customHeight="1">
      <c r="A5" s="3"/>
      <c r="B5" s="808" t="s">
        <v>4</v>
      </c>
      <c r="C5" s="808"/>
      <c r="D5" s="808"/>
      <c r="E5" s="808"/>
      <c r="F5" s="132">
        <f>H54</f>
        <v>0</v>
      </c>
      <c r="G5" s="809" t="s">
        <v>87</v>
      </c>
      <c r="H5" s="809"/>
    </row>
    <row r="6" spans="1:8" ht="22.5" customHeight="1">
      <c r="A6" s="803" t="s">
        <v>0</v>
      </c>
      <c r="B6" s="803" t="s">
        <v>5</v>
      </c>
      <c r="C6" s="803" t="s">
        <v>6</v>
      </c>
      <c r="D6" s="803" t="s">
        <v>125</v>
      </c>
      <c r="E6" s="803" t="s">
        <v>7</v>
      </c>
      <c r="F6" s="803"/>
      <c r="G6" s="803" t="s">
        <v>2</v>
      </c>
      <c r="H6" s="803"/>
    </row>
    <row r="7" spans="1:8" ht="73.5" customHeight="1">
      <c r="A7" s="803"/>
      <c r="B7" s="803"/>
      <c r="C7" s="803"/>
      <c r="D7" s="803"/>
      <c r="E7" s="4" t="s">
        <v>8</v>
      </c>
      <c r="F7" s="4" t="s">
        <v>9</v>
      </c>
      <c r="G7" s="4" t="s">
        <v>10</v>
      </c>
      <c r="H7" s="4" t="s">
        <v>1</v>
      </c>
    </row>
    <row r="8" spans="1:8" ht="18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36" customHeight="1">
      <c r="A9" s="368">
        <v>1</v>
      </c>
      <c r="B9" s="364" t="s">
        <v>90</v>
      </c>
      <c r="C9" s="370" t="s">
        <v>175</v>
      </c>
      <c r="D9" s="371" t="s">
        <v>35</v>
      </c>
      <c r="E9" s="371"/>
      <c r="F9" s="372">
        <f>'რკ.ბ კიუვეტი'!F8/1000</f>
        <v>0.042699999999999995</v>
      </c>
      <c r="G9" s="371"/>
      <c r="H9" s="284"/>
    </row>
    <row r="10" spans="1:11" ht="19.5" customHeight="1">
      <c r="A10" s="373"/>
      <c r="B10" s="365"/>
      <c r="C10" s="374" t="s">
        <v>41</v>
      </c>
      <c r="D10" s="375" t="s">
        <v>42</v>
      </c>
      <c r="E10" s="375">
        <v>27</v>
      </c>
      <c r="F10" s="376">
        <f>E10*F9</f>
        <v>1.1528999999999998</v>
      </c>
      <c r="G10" s="375"/>
      <c r="H10" s="376"/>
      <c r="I10" s="184"/>
      <c r="J10" s="185"/>
      <c r="K10" s="184"/>
    </row>
    <row r="11" spans="1:11" ht="19.5" customHeight="1">
      <c r="A11" s="373"/>
      <c r="B11" s="366"/>
      <c r="C11" s="374" t="s">
        <v>71</v>
      </c>
      <c r="D11" s="375" t="s">
        <v>49</v>
      </c>
      <c r="E11" s="375">
        <v>60.5</v>
      </c>
      <c r="F11" s="376">
        <f>E11*F9</f>
        <v>2.58335</v>
      </c>
      <c r="G11" s="377"/>
      <c r="H11" s="376"/>
      <c r="I11" s="184"/>
      <c r="J11" s="185"/>
      <c r="K11" s="184"/>
    </row>
    <row r="12" spans="1:11" ht="19.5" customHeight="1">
      <c r="A12" s="367"/>
      <c r="B12" s="367"/>
      <c r="C12" s="378" t="s">
        <v>44</v>
      </c>
      <c r="D12" s="379" t="s">
        <v>29</v>
      </c>
      <c r="E12" s="379">
        <v>2.21</v>
      </c>
      <c r="F12" s="380">
        <f>E12*F9</f>
        <v>0.09436699999999999</v>
      </c>
      <c r="G12" s="379"/>
      <c r="H12" s="376"/>
      <c r="I12" s="184"/>
      <c r="J12" s="185"/>
      <c r="K12" s="184"/>
    </row>
    <row r="13" spans="1:11" ht="25.5" customHeight="1">
      <c r="A13" s="368">
        <v>2</v>
      </c>
      <c r="B13" s="368" t="s">
        <v>89</v>
      </c>
      <c r="C13" s="370" t="s">
        <v>176</v>
      </c>
      <c r="D13" s="371" t="s">
        <v>37</v>
      </c>
      <c r="E13" s="371"/>
      <c r="F13" s="323">
        <f>'რკ.ბ კიუვეტი'!F9/100</f>
        <v>0.03416</v>
      </c>
      <c r="G13" s="371"/>
      <c r="H13" s="284"/>
      <c r="I13" s="184"/>
      <c r="J13" s="185"/>
      <c r="K13" s="184"/>
    </row>
    <row r="14" spans="1:11" ht="19.5" customHeight="1">
      <c r="A14" s="88"/>
      <c r="B14" s="89"/>
      <c r="C14" s="85" t="s">
        <v>41</v>
      </c>
      <c r="D14" s="86" t="s">
        <v>42</v>
      </c>
      <c r="E14" s="86">
        <v>299</v>
      </c>
      <c r="F14" s="87">
        <f>E14*F13</f>
        <v>10.213840000000001</v>
      </c>
      <c r="G14" s="86"/>
      <c r="H14" s="87"/>
      <c r="I14" s="184"/>
      <c r="J14" s="185"/>
      <c r="K14" s="184"/>
    </row>
    <row r="15" spans="1:11" ht="25.5" customHeight="1">
      <c r="A15" s="90">
        <v>3</v>
      </c>
      <c r="B15" s="91" t="s">
        <v>75</v>
      </c>
      <c r="C15" s="92" t="s">
        <v>220</v>
      </c>
      <c r="D15" s="93" t="s">
        <v>50</v>
      </c>
      <c r="E15" s="93" t="s">
        <v>346</v>
      </c>
      <c r="F15" s="94">
        <f>'რკ.ბ კიუვეტი'!F10</f>
        <v>80.703</v>
      </c>
      <c r="G15" s="93"/>
      <c r="H15" s="94"/>
      <c r="I15" s="184"/>
      <c r="J15" s="185"/>
      <c r="K15" s="184"/>
    </row>
    <row r="16" spans="1:8" ht="25.5" customHeight="1">
      <c r="A16" s="813">
        <v>4</v>
      </c>
      <c r="B16" s="816" t="s">
        <v>94</v>
      </c>
      <c r="C16" s="137" t="s">
        <v>133</v>
      </c>
      <c r="D16" s="5" t="s">
        <v>37</v>
      </c>
      <c r="E16" s="138"/>
      <c r="F16" s="139">
        <f>'რკ.ბ კიუვეტი'!F11/100</f>
        <v>0.08539999999999999</v>
      </c>
      <c r="G16" s="138"/>
      <c r="H16" s="284"/>
    </row>
    <row r="17" spans="1:8" ht="19.5" customHeight="1">
      <c r="A17" s="814"/>
      <c r="B17" s="817"/>
      <c r="C17" s="141" t="s">
        <v>3</v>
      </c>
      <c r="D17" s="11" t="s">
        <v>28</v>
      </c>
      <c r="E17" s="142">
        <v>212</v>
      </c>
      <c r="F17" s="143">
        <f>E17*F16</f>
        <v>18.104799999999997</v>
      </c>
      <c r="G17" s="142"/>
      <c r="H17" s="143"/>
    </row>
    <row r="18" spans="1:8" ht="19.5" customHeight="1">
      <c r="A18" s="814"/>
      <c r="B18" s="817"/>
      <c r="C18" s="141" t="s">
        <v>91</v>
      </c>
      <c r="D18" s="142" t="s">
        <v>29</v>
      </c>
      <c r="E18" s="142">
        <v>10.1</v>
      </c>
      <c r="F18" s="143">
        <f>E18*F16</f>
        <v>0.8625399999999999</v>
      </c>
      <c r="G18" s="143"/>
      <c r="H18" s="143"/>
    </row>
    <row r="19" spans="1:8" ht="19.5" customHeight="1">
      <c r="A19" s="815"/>
      <c r="B19" s="818"/>
      <c r="C19" s="145" t="s">
        <v>96</v>
      </c>
      <c r="D19" s="15" t="s">
        <v>36</v>
      </c>
      <c r="E19" s="146">
        <v>122</v>
      </c>
      <c r="F19" s="147">
        <f>E19*F16</f>
        <v>10.4188</v>
      </c>
      <c r="G19" s="147"/>
      <c r="H19" s="147"/>
    </row>
    <row r="20" spans="1:8" ht="25.5" customHeight="1">
      <c r="A20" s="231">
        <v>5</v>
      </c>
      <c r="B20" s="810" t="s">
        <v>291</v>
      </c>
      <c r="C20" s="562" t="s">
        <v>292</v>
      </c>
      <c r="D20" s="68" t="s">
        <v>38</v>
      </c>
      <c r="E20" s="101"/>
      <c r="F20" s="563">
        <f>('რკ.ბ კიუვეტი'!F14)/1000</f>
        <v>1.0492000000000001</v>
      </c>
      <c r="G20" s="233"/>
      <c r="H20" s="70"/>
    </row>
    <row r="21" spans="1:8" ht="19.5" customHeight="1">
      <c r="A21" s="232"/>
      <c r="B21" s="811"/>
      <c r="C21" s="564" t="s">
        <v>41</v>
      </c>
      <c r="D21" s="25" t="s">
        <v>42</v>
      </c>
      <c r="E21" s="18">
        <f>2360/100</f>
        <v>23.6</v>
      </c>
      <c r="F21" s="26">
        <f>E21*F20</f>
        <v>24.761120000000005</v>
      </c>
      <c r="G21" s="18"/>
      <c r="H21" s="26"/>
    </row>
    <row r="22" spans="1:8" ht="19.5" customHeight="1">
      <c r="A22" s="232"/>
      <c r="B22" s="811"/>
      <c r="C22" s="564" t="s">
        <v>43</v>
      </c>
      <c r="D22" s="25" t="s">
        <v>29</v>
      </c>
      <c r="E22" s="18">
        <f>104/100</f>
        <v>1.04</v>
      </c>
      <c r="F22" s="26">
        <f>E22*F20</f>
        <v>1.0911680000000001</v>
      </c>
      <c r="G22" s="18"/>
      <c r="H22" s="26"/>
    </row>
    <row r="23" spans="1:8" ht="19.5" customHeight="1">
      <c r="A23" s="232"/>
      <c r="B23" s="811"/>
      <c r="C23" s="564" t="s">
        <v>197</v>
      </c>
      <c r="D23" s="565" t="s">
        <v>38</v>
      </c>
      <c r="E23" s="27">
        <f>100/100</f>
        <v>1</v>
      </c>
      <c r="F23" s="566">
        <f>E23*F20</f>
        <v>1.0492000000000001</v>
      </c>
      <c r="G23" s="69"/>
      <c r="H23" s="26"/>
    </row>
    <row r="24" spans="1:8" ht="19.5" customHeight="1">
      <c r="A24" s="236"/>
      <c r="B24" s="812"/>
      <c r="C24" s="567" t="s">
        <v>44</v>
      </c>
      <c r="D24" s="28" t="s">
        <v>29</v>
      </c>
      <c r="E24" s="134">
        <f>23.4/100</f>
        <v>0.23399999999999999</v>
      </c>
      <c r="F24" s="135">
        <f>E24*F20</f>
        <v>0.2455128</v>
      </c>
      <c r="G24" s="134"/>
      <c r="H24" s="135"/>
    </row>
    <row r="25" spans="1:8" ht="24.75" customHeight="1">
      <c r="A25" s="231">
        <v>6</v>
      </c>
      <c r="B25" s="810" t="s">
        <v>293</v>
      </c>
      <c r="C25" s="19" t="s">
        <v>298</v>
      </c>
      <c r="D25" s="186" t="s">
        <v>36</v>
      </c>
      <c r="E25" s="568"/>
      <c r="F25" s="70">
        <f>('რკ.ბ კიუვეტი'!F13)</f>
        <v>18.299999999999997</v>
      </c>
      <c r="G25" s="233"/>
      <c r="H25" s="70"/>
    </row>
    <row r="26" spans="1:8" ht="16.5" customHeight="1">
      <c r="A26" s="232"/>
      <c r="B26" s="811"/>
      <c r="C26" s="23" t="s">
        <v>41</v>
      </c>
      <c r="D26" s="128" t="s">
        <v>28</v>
      </c>
      <c r="E26" s="25">
        <f>844/100</f>
        <v>8.44</v>
      </c>
      <c r="F26" s="26">
        <f>E26*F25</f>
        <v>154.45199999999997</v>
      </c>
      <c r="G26" s="18"/>
      <c r="H26" s="26"/>
    </row>
    <row r="27" spans="1:8" ht="16.5" customHeight="1">
      <c r="A27" s="232"/>
      <c r="B27" s="811"/>
      <c r="C27" s="141" t="s">
        <v>91</v>
      </c>
      <c r="D27" s="569" t="s">
        <v>29</v>
      </c>
      <c r="E27" s="25">
        <v>1.1</v>
      </c>
      <c r="F27" s="26">
        <f>E27*F25</f>
        <v>20.13</v>
      </c>
      <c r="G27" s="18"/>
      <c r="H27" s="26"/>
    </row>
    <row r="28" spans="1:8" ht="16.5" customHeight="1">
      <c r="A28" s="232"/>
      <c r="B28" s="811"/>
      <c r="C28" s="23" t="s">
        <v>294</v>
      </c>
      <c r="D28" s="187" t="s">
        <v>36</v>
      </c>
      <c r="E28" s="565">
        <v>1.015</v>
      </c>
      <c r="F28" s="566">
        <f>E28*F25</f>
        <v>18.574499999999997</v>
      </c>
      <c r="G28" s="69"/>
      <c r="H28" s="26"/>
    </row>
    <row r="29" spans="1:8" ht="16.5" customHeight="1">
      <c r="A29" s="232"/>
      <c r="B29" s="811"/>
      <c r="C29" s="23" t="s">
        <v>295</v>
      </c>
      <c r="D29" s="187" t="s">
        <v>194</v>
      </c>
      <c r="E29" s="565">
        <v>1.84</v>
      </c>
      <c r="F29" s="566">
        <f>E29*F25</f>
        <v>33.672</v>
      </c>
      <c r="G29" s="69"/>
      <c r="H29" s="26"/>
    </row>
    <row r="30" spans="1:8" ht="16.5" customHeight="1">
      <c r="A30" s="232"/>
      <c r="B30" s="811"/>
      <c r="C30" s="23" t="s">
        <v>95</v>
      </c>
      <c r="D30" s="187" t="s">
        <v>36</v>
      </c>
      <c r="E30" s="565">
        <v>0.0425</v>
      </c>
      <c r="F30" s="566">
        <f>E30*F25</f>
        <v>0.7777499999999999</v>
      </c>
      <c r="G30" s="69"/>
      <c r="H30" s="26"/>
    </row>
    <row r="31" spans="1:8" ht="16.5" customHeight="1">
      <c r="A31" s="232"/>
      <c r="B31" s="811"/>
      <c r="C31" s="23" t="s">
        <v>296</v>
      </c>
      <c r="D31" s="187" t="s">
        <v>31</v>
      </c>
      <c r="E31" s="565">
        <f>0.22/100</f>
        <v>0.0022</v>
      </c>
      <c r="F31" s="566">
        <f>E31*F25</f>
        <v>0.04026</v>
      </c>
      <c r="G31" s="69"/>
      <c r="H31" s="26"/>
    </row>
    <row r="32" spans="1:8" ht="16.5" customHeight="1">
      <c r="A32" s="232"/>
      <c r="B32" s="811"/>
      <c r="C32" s="23" t="s">
        <v>115</v>
      </c>
      <c r="D32" s="187" t="s">
        <v>31</v>
      </c>
      <c r="E32" s="565">
        <v>0.1</v>
      </c>
      <c r="F32" s="566">
        <f>E32*F25</f>
        <v>1.8299999999999998</v>
      </c>
      <c r="G32" s="69"/>
      <c r="H32" s="26"/>
    </row>
    <row r="33" spans="1:8" ht="16.5" customHeight="1">
      <c r="A33" s="236"/>
      <c r="B33" s="812"/>
      <c r="C33" s="133" t="s">
        <v>44</v>
      </c>
      <c r="D33" s="238" t="s">
        <v>29</v>
      </c>
      <c r="E33" s="28">
        <f>46/100</f>
        <v>0.46</v>
      </c>
      <c r="F33" s="566">
        <f>E33*F25</f>
        <v>8.418</v>
      </c>
      <c r="G33" s="134"/>
      <c r="H33" s="135"/>
    </row>
    <row r="34" spans="1:8" ht="24.75" customHeight="1">
      <c r="A34" s="231">
        <v>7</v>
      </c>
      <c r="B34" s="234" t="s">
        <v>100</v>
      </c>
      <c r="C34" s="153" t="s">
        <v>297</v>
      </c>
      <c r="D34" s="5" t="s">
        <v>239</v>
      </c>
      <c r="E34" s="570"/>
      <c r="F34" s="70">
        <f>'რკ.ბ კიუვეტი'!F15</f>
        <v>146.39999999999998</v>
      </c>
      <c r="G34" s="233"/>
      <c r="H34" s="70"/>
    </row>
    <row r="35" spans="1:8" ht="16.5" customHeight="1">
      <c r="A35" s="232"/>
      <c r="B35" s="235"/>
      <c r="C35" s="141" t="s">
        <v>3</v>
      </c>
      <c r="D35" s="11" t="s">
        <v>28</v>
      </c>
      <c r="E35" s="156">
        <f>56.4/100</f>
        <v>0.564</v>
      </c>
      <c r="F35" s="566">
        <f>E35*$F$34</f>
        <v>82.56959999999998</v>
      </c>
      <c r="G35" s="149"/>
      <c r="H35" s="26"/>
    </row>
    <row r="36" spans="1:8" ht="16.5" customHeight="1">
      <c r="A36" s="232"/>
      <c r="B36" s="235"/>
      <c r="C36" s="141" t="s">
        <v>91</v>
      </c>
      <c r="D36" s="142" t="s">
        <v>29</v>
      </c>
      <c r="E36" s="156">
        <f>4.09/100</f>
        <v>0.0409</v>
      </c>
      <c r="F36" s="566">
        <f>E36*$F$34</f>
        <v>5.987759999999999</v>
      </c>
      <c r="G36" s="149"/>
      <c r="H36" s="26"/>
    </row>
    <row r="37" spans="1:8" ht="16.5" customHeight="1">
      <c r="A37" s="232"/>
      <c r="B37" s="235"/>
      <c r="C37" s="157" t="s">
        <v>102</v>
      </c>
      <c r="D37" s="142" t="s">
        <v>38</v>
      </c>
      <c r="E37" s="156">
        <f>0.45/100</f>
        <v>0.0045000000000000005</v>
      </c>
      <c r="F37" s="566">
        <f>E37*$F$34</f>
        <v>0.6587999999999999</v>
      </c>
      <c r="G37" s="149"/>
      <c r="H37" s="26"/>
    </row>
    <row r="38" spans="1:8" ht="16.5" customHeight="1">
      <c r="A38" s="236"/>
      <c r="B38" s="237"/>
      <c r="C38" s="150" t="s">
        <v>30</v>
      </c>
      <c r="D38" s="146" t="s">
        <v>29</v>
      </c>
      <c r="E38" s="159">
        <f>26.5/100</f>
        <v>0.265</v>
      </c>
      <c r="F38" s="566">
        <f>E38*$F$34</f>
        <v>38.796</v>
      </c>
      <c r="G38" s="151"/>
      <c r="H38" s="26"/>
    </row>
    <row r="39" spans="1:8" ht="33" customHeight="1">
      <c r="A39" s="823">
        <v>8</v>
      </c>
      <c r="B39" s="826" t="s">
        <v>103</v>
      </c>
      <c r="C39" s="19" t="s">
        <v>118</v>
      </c>
      <c r="D39" s="192" t="s">
        <v>35</v>
      </c>
      <c r="E39" s="6"/>
      <c r="F39" s="209">
        <f>'რკ.ბ კიუვეტი'!F16/1000</f>
        <v>0.036599999999999994</v>
      </c>
      <c r="G39" s="6"/>
      <c r="H39" s="77"/>
    </row>
    <row r="40" spans="1:8" ht="16.5" customHeight="1">
      <c r="A40" s="824"/>
      <c r="B40" s="827"/>
      <c r="C40" s="193" t="s">
        <v>3</v>
      </c>
      <c r="D40" s="194" t="s">
        <v>28</v>
      </c>
      <c r="E40" s="195">
        <v>16.5</v>
      </c>
      <c r="F40" s="196">
        <f>E40*F39</f>
        <v>0.6038999999999999</v>
      </c>
      <c r="G40" s="197"/>
      <c r="H40" s="198"/>
    </row>
    <row r="41" spans="1:8" ht="16.5" customHeight="1">
      <c r="A41" s="824"/>
      <c r="B41" s="827"/>
      <c r="C41" s="199" t="s">
        <v>116</v>
      </c>
      <c r="D41" s="194" t="s">
        <v>98</v>
      </c>
      <c r="E41" s="195">
        <v>37</v>
      </c>
      <c r="F41" s="196">
        <f>E41*F39</f>
        <v>1.3541999999999998</v>
      </c>
      <c r="G41" s="197"/>
      <c r="H41" s="198"/>
    </row>
    <row r="42" spans="1:8" ht="16.5" customHeight="1">
      <c r="A42" s="825"/>
      <c r="B42" s="828"/>
      <c r="C42" s="200" t="s">
        <v>86</v>
      </c>
      <c r="D42" s="201" t="s">
        <v>68</v>
      </c>
      <c r="E42" s="202">
        <v>1000</v>
      </c>
      <c r="F42" s="203">
        <f>E42*F39</f>
        <v>36.599999999999994</v>
      </c>
      <c r="G42" s="204"/>
      <c r="H42" s="205"/>
    </row>
    <row r="43" spans="1:8" ht="33" customHeight="1">
      <c r="A43" s="217">
        <v>9</v>
      </c>
      <c r="B43" s="213" t="s">
        <v>119</v>
      </c>
      <c r="C43" s="218" t="s">
        <v>235</v>
      </c>
      <c r="D43" s="75" t="s">
        <v>38</v>
      </c>
      <c r="E43" s="5"/>
      <c r="F43" s="10">
        <f>(F46+F47+F48)/1000</f>
        <v>4.552796</v>
      </c>
      <c r="G43" s="219"/>
      <c r="H43" s="77"/>
    </row>
    <row r="44" spans="1:8" ht="16.5" customHeight="1">
      <c r="A44" s="220"/>
      <c r="B44" s="214"/>
      <c r="C44" s="23" t="s">
        <v>41</v>
      </c>
      <c r="D44" s="11" t="s">
        <v>28</v>
      </c>
      <c r="E44" s="11">
        <v>51</v>
      </c>
      <c r="F44" s="26">
        <f>E44*F43</f>
        <v>232.19259599999998</v>
      </c>
      <c r="G44" s="18"/>
      <c r="H44" s="221"/>
    </row>
    <row r="45" spans="1:8" ht="16.5" customHeight="1">
      <c r="A45" s="220"/>
      <c r="B45" s="214"/>
      <c r="C45" s="23" t="s">
        <v>43</v>
      </c>
      <c r="D45" s="25" t="s">
        <v>29</v>
      </c>
      <c r="E45" s="11">
        <v>23.3</v>
      </c>
      <c r="F45" s="13">
        <f>F43*E45</f>
        <v>106.0801468</v>
      </c>
      <c r="G45" s="222"/>
      <c r="H45" s="221"/>
    </row>
    <row r="46" spans="1:8" ht="16.5" customHeight="1">
      <c r="A46" s="220"/>
      <c r="B46" s="214"/>
      <c r="C46" s="223" t="s">
        <v>236</v>
      </c>
      <c r="D46" s="81" t="s">
        <v>31</v>
      </c>
      <c r="E46" s="11" t="s">
        <v>232</v>
      </c>
      <c r="F46" s="13">
        <f>ცხაური!K9</f>
        <v>2076.44</v>
      </c>
      <c r="G46" s="222"/>
      <c r="H46" s="221"/>
    </row>
    <row r="47" spans="1:8" ht="16.5" customHeight="1">
      <c r="A47" s="220"/>
      <c r="B47" s="214"/>
      <c r="C47" s="223" t="s">
        <v>188</v>
      </c>
      <c r="D47" s="81" t="s">
        <v>31</v>
      </c>
      <c r="E47" s="11" t="s">
        <v>232</v>
      </c>
      <c r="F47" s="13">
        <f>ცხაური!K10</f>
        <v>1022.116</v>
      </c>
      <c r="G47" s="222"/>
      <c r="H47" s="221"/>
    </row>
    <row r="48" spans="1:8" ht="16.5" customHeight="1">
      <c r="A48" s="220"/>
      <c r="B48" s="214"/>
      <c r="C48" s="223" t="s">
        <v>189</v>
      </c>
      <c r="D48" s="81" t="s">
        <v>31</v>
      </c>
      <c r="E48" s="11" t="s">
        <v>232</v>
      </c>
      <c r="F48" s="13">
        <f>ცხაური!K11</f>
        <v>1454.2399999999998</v>
      </c>
      <c r="G48" s="222"/>
      <c r="H48" s="221"/>
    </row>
    <row r="49" spans="1:8" ht="16.5" customHeight="1">
      <c r="A49" s="224"/>
      <c r="B49" s="215"/>
      <c r="C49" s="216" t="s">
        <v>115</v>
      </c>
      <c r="D49" s="86" t="s">
        <v>31</v>
      </c>
      <c r="E49" s="15">
        <v>11</v>
      </c>
      <c r="F49" s="9">
        <f>F43*E49</f>
        <v>50.080756</v>
      </c>
      <c r="G49" s="225"/>
      <c r="H49" s="226"/>
    </row>
    <row r="50" spans="1:8" ht="16.5" customHeight="1">
      <c r="A50" s="829" t="s">
        <v>32</v>
      </c>
      <c r="B50" s="830"/>
      <c r="C50" s="830"/>
      <c r="D50" s="830"/>
      <c r="E50" s="830"/>
      <c r="F50" s="831"/>
      <c r="G50" s="189"/>
      <c r="H50" s="9">
        <f>H39+H34+H25+H20+H16+H15+H9+H13+H43</f>
        <v>0</v>
      </c>
    </row>
    <row r="51" spans="1:8" ht="16.5" customHeight="1">
      <c r="A51" s="819" t="s">
        <v>362</v>
      </c>
      <c r="B51" s="820"/>
      <c r="C51" s="820"/>
      <c r="D51" s="820"/>
      <c r="E51" s="820"/>
      <c r="F51" s="821"/>
      <c r="G51" s="190"/>
      <c r="H51" s="16">
        <f>H50*0.1</f>
        <v>0</v>
      </c>
    </row>
    <row r="52" spans="1:8" ht="16.5" customHeight="1">
      <c r="A52" s="819" t="s">
        <v>33</v>
      </c>
      <c r="B52" s="820"/>
      <c r="C52" s="820"/>
      <c r="D52" s="820"/>
      <c r="E52" s="820"/>
      <c r="F52" s="821"/>
      <c r="G52" s="190"/>
      <c r="H52" s="16">
        <f>H51+H50</f>
        <v>0</v>
      </c>
    </row>
    <row r="53" spans="1:8" ht="16.5" customHeight="1">
      <c r="A53" s="819" t="s">
        <v>363</v>
      </c>
      <c r="B53" s="820"/>
      <c r="C53" s="820"/>
      <c r="D53" s="820"/>
      <c r="E53" s="820"/>
      <c r="F53" s="821"/>
      <c r="G53" s="190"/>
      <c r="H53" s="16">
        <f>H52*0.08</f>
        <v>0</v>
      </c>
    </row>
    <row r="54" spans="1:8" ht="16.5" customHeight="1">
      <c r="A54" s="819" t="s">
        <v>34</v>
      </c>
      <c r="B54" s="820"/>
      <c r="C54" s="820"/>
      <c r="D54" s="820"/>
      <c r="E54" s="820"/>
      <c r="F54" s="821"/>
      <c r="G54" s="190"/>
      <c r="H54" s="16">
        <f>H53+H52</f>
        <v>0</v>
      </c>
    </row>
    <row r="55" spans="1:8" ht="22.5" customHeight="1">
      <c r="A55" s="822"/>
      <c r="B55" s="822"/>
      <c r="C55" s="822"/>
      <c r="D55" s="822"/>
      <c r="E55" s="822"/>
      <c r="F55" s="822"/>
      <c r="G55" s="822"/>
      <c r="H55" s="822"/>
    </row>
  </sheetData>
  <sheetProtection/>
  <mergeCells count="24">
    <mergeCell ref="A55:H55"/>
    <mergeCell ref="A39:A42"/>
    <mergeCell ref="B39:B42"/>
    <mergeCell ref="A50:F50"/>
    <mergeCell ref="A51:F51"/>
    <mergeCell ref="A52:F52"/>
    <mergeCell ref="A53:F53"/>
    <mergeCell ref="D6:D7"/>
    <mergeCell ref="E6:F6"/>
    <mergeCell ref="B20:B24"/>
    <mergeCell ref="A16:A19"/>
    <mergeCell ref="B16:B19"/>
    <mergeCell ref="A54:F54"/>
    <mergeCell ref="B25:B33"/>
    <mergeCell ref="G6:H6"/>
    <mergeCell ref="A1:H1"/>
    <mergeCell ref="A2:H2"/>
    <mergeCell ref="A3:H3"/>
    <mergeCell ref="A4:H4"/>
    <mergeCell ref="B5:E5"/>
    <mergeCell ref="G5:H5"/>
    <mergeCell ref="A6:A7"/>
    <mergeCell ref="B6:B7"/>
    <mergeCell ref="C6:C7"/>
  </mergeCells>
  <printOptions horizontalCentered="1"/>
  <pageMargins left="0.1968503937007874" right="0.1968503937007874" top="0.3937007874015748" bottom="0.1968503937007874" header="0.1968503937007874" footer="0.23622047244094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zoomScale="70" zoomScaleNormal="70" zoomScaleSheetLayoutView="75" workbookViewId="0" topLeftCell="A40">
      <selection activeCell="G53" sqref="G53"/>
    </sheetView>
  </sheetViews>
  <sheetFormatPr defaultColWidth="9.00390625" defaultRowHeight="12.75"/>
  <cols>
    <col min="1" max="1" width="4.75390625" style="2" customWidth="1"/>
    <col min="2" max="2" width="11.25390625" style="3" customWidth="1"/>
    <col min="3" max="3" width="61.00390625" style="2" customWidth="1"/>
    <col min="4" max="4" width="11.375" style="2" customWidth="1"/>
    <col min="5" max="5" width="14.75390625" style="2" customWidth="1"/>
    <col min="6" max="6" width="12.75390625" style="2" customWidth="1"/>
    <col min="7" max="7" width="11.625" style="2" customWidth="1"/>
    <col min="8" max="8" width="11.375" style="2" customWidth="1"/>
    <col min="9" max="9" width="9.125" style="2" customWidth="1"/>
    <col min="10" max="10" width="13.25390625" style="2" bestFit="1" customWidth="1"/>
    <col min="11" max="11" width="9.125" style="2" customWidth="1"/>
    <col min="12" max="12" width="14.25390625" style="2" customWidth="1"/>
    <col min="13" max="16384" width="9.125" style="2" customWidth="1"/>
  </cols>
  <sheetData>
    <row r="1" spans="1:8" ht="21.75" customHeight="1">
      <c r="A1" s="845" t="str">
        <f>კრებსითი!A4</f>
        <v>adigenis municipalitetSi sof. varxanis gzebis monakveTebi (monakveTi II)</v>
      </c>
      <c r="B1" s="846"/>
      <c r="C1" s="846"/>
      <c r="D1" s="846"/>
      <c r="E1" s="846"/>
      <c r="F1" s="846"/>
      <c r="G1" s="846"/>
      <c r="H1" s="846"/>
    </row>
    <row r="2" spans="1:8" ht="19.5" customHeight="1">
      <c r="A2" s="806" t="str">
        <f>კრებსითი!A6</f>
        <v>gzis reabilitacia</v>
      </c>
      <c r="B2" s="806"/>
      <c r="C2" s="806"/>
      <c r="D2" s="806"/>
      <c r="E2" s="806"/>
      <c r="F2" s="806"/>
      <c r="G2" s="806"/>
      <c r="H2" s="806"/>
    </row>
    <row r="3" spans="1:8" ht="1.5" customHeight="1">
      <c r="A3" s="105"/>
      <c r="B3" s="105"/>
      <c r="C3" s="71"/>
      <c r="D3" s="105"/>
      <c r="E3" s="105"/>
      <c r="F3" s="105"/>
      <c r="G3" s="105"/>
      <c r="H3" s="105"/>
    </row>
    <row r="4" spans="1:8" ht="20.25" customHeight="1">
      <c r="A4" s="806" t="s">
        <v>193</v>
      </c>
      <c r="B4" s="806"/>
      <c r="C4" s="806"/>
      <c r="D4" s="806"/>
      <c r="E4" s="806"/>
      <c r="F4" s="806"/>
      <c r="G4" s="806"/>
      <c r="H4" s="806"/>
    </row>
    <row r="5" spans="1:8" ht="1.5" customHeight="1">
      <c r="A5" s="106"/>
      <c r="B5" s="106"/>
      <c r="C5" s="106"/>
      <c r="D5" s="106"/>
      <c r="E5" s="106"/>
      <c r="F5" s="106"/>
      <c r="G5" s="106"/>
      <c r="H5" s="106"/>
    </row>
    <row r="6" spans="1:8" ht="23.25" customHeight="1">
      <c r="A6" s="777" t="s">
        <v>169</v>
      </c>
      <c r="B6" s="780"/>
      <c r="C6" s="780"/>
      <c r="D6" s="780"/>
      <c r="E6" s="780"/>
      <c r="F6" s="780"/>
      <c r="G6" s="780"/>
      <c r="H6" s="780"/>
    </row>
    <row r="7" spans="2:8" ht="21.75" customHeight="1">
      <c r="B7" s="847" t="s">
        <v>4</v>
      </c>
      <c r="C7" s="847"/>
      <c r="D7" s="847"/>
      <c r="E7" s="847"/>
      <c r="F7" s="17">
        <f>H49</f>
        <v>0</v>
      </c>
      <c r="G7" s="848" t="s">
        <v>40</v>
      </c>
      <c r="H7" s="848"/>
    </row>
    <row r="8" spans="1:10" ht="19.5" customHeight="1">
      <c r="A8" s="803" t="s">
        <v>0</v>
      </c>
      <c r="B8" s="803" t="s">
        <v>5</v>
      </c>
      <c r="C8" s="803" t="s">
        <v>6</v>
      </c>
      <c r="D8" s="803" t="s">
        <v>125</v>
      </c>
      <c r="E8" s="803" t="s">
        <v>7</v>
      </c>
      <c r="F8" s="803"/>
      <c r="G8" s="803" t="s">
        <v>2</v>
      </c>
      <c r="H8" s="803"/>
      <c r="J8" s="1"/>
    </row>
    <row r="9" spans="1:10" ht="30" customHeight="1">
      <c r="A9" s="803"/>
      <c r="B9" s="803"/>
      <c r="C9" s="803"/>
      <c r="D9" s="803"/>
      <c r="E9" s="4" t="s">
        <v>8</v>
      </c>
      <c r="F9" s="273" t="s">
        <v>9</v>
      </c>
      <c r="G9" s="4" t="s">
        <v>10</v>
      </c>
      <c r="H9" s="4" t="s">
        <v>1</v>
      </c>
      <c r="J9" s="1"/>
    </row>
    <row r="10" spans="1:10" ht="16.5" customHeight="1">
      <c r="A10" s="272">
        <v>1</v>
      </c>
      <c r="B10" s="272">
        <v>2</v>
      </c>
      <c r="C10" s="272">
        <v>3</v>
      </c>
      <c r="D10" s="272">
        <v>4</v>
      </c>
      <c r="E10" s="272">
        <v>5</v>
      </c>
      <c r="F10" s="272">
        <v>6</v>
      </c>
      <c r="G10" s="272">
        <v>7</v>
      </c>
      <c r="H10" s="272">
        <v>8</v>
      </c>
      <c r="J10" s="1"/>
    </row>
    <row r="11" spans="1:10" ht="33" customHeight="1">
      <c r="A11" s="72">
        <v>1</v>
      </c>
      <c r="B11" s="73" t="s">
        <v>90</v>
      </c>
      <c r="C11" s="74" t="s">
        <v>92</v>
      </c>
      <c r="D11" s="75" t="s">
        <v>35</v>
      </c>
      <c r="E11" s="75"/>
      <c r="F11" s="76">
        <f>'1 მილი'!E8/1000</f>
        <v>0.0032</v>
      </c>
      <c r="G11" s="75"/>
      <c r="H11" s="77"/>
      <c r="J11" s="1"/>
    </row>
    <row r="12" spans="1:10" ht="21" customHeight="1">
      <c r="A12" s="78"/>
      <c r="B12" s="79"/>
      <c r="C12" s="80" t="s">
        <v>41</v>
      </c>
      <c r="D12" s="81" t="s">
        <v>42</v>
      </c>
      <c r="E12" s="81">
        <v>27</v>
      </c>
      <c r="F12" s="82">
        <f>E12*F11</f>
        <v>0.0864</v>
      </c>
      <c r="G12" s="81"/>
      <c r="H12" s="82"/>
      <c r="J12" s="1"/>
    </row>
    <row r="13" spans="1:10" ht="21" customHeight="1">
      <c r="A13" s="78"/>
      <c r="B13" s="83"/>
      <c r="C13" s="199" t="s">
        <v>116</v>
      </c>
      <c r="D13" s="81" t="s">
        <v>49</v>
      </c>
      <c r="E13" s="81">
        <v>60.5</v>
      </c>
      <c r="F13" s="82">
        <f>E13*F11</f>
        <v>0.19360000000000002</v>
      </c>
      <c r="G13" s="197"/>
      <c r="H13" s="82"/>
      <c r="J13" s="1"/>
    </row>
    <row r="14" spans="1:10" ht="21" customHeight="1">
      <c r="A14" s="84"/>
      <c r="B14" s="84"/>
      <c r="C14" s="85" t="s">
        <v>44</v>
      </c>
      <c r="D14" s="86" t="s">
        <v>29</v>
      </c>
      <c r="E14" s="86">
        <v>2.21</v>
      </c>
      <c r="F14" s="87">
        <f>E14*F11</f>
        <v>0.007072</v>
      </c>
      <c r="G14" s="86"/>
      <c r="H14" s="82"/>
      <c r="J14" s="1"/>
    </row>
    <row r="15" spans="1:10" ht="21.75" customHeight="1">
      <c r="A15" s="72">
        <v>2</v>
      </c>
      <c r="B15" s="72" t="s">
        <v>89</v>
      </c>
      <c r="C15" s="74" t="s">
        <v>93</v>
      </c>
      <c r="D15" s="75" t="s">
        <v>37</v>
      </c>
      <c r="E15" s="75"/>
      <c r="F15" s="76">
        <f>'1 მილი'!E9/100</f>
        <v>0.00256</v>
      </c>
      <c r="G15" s="75"/>
      <c r="H15" s="284"/>
      <c r="J15" s="1"/>
    </row>
    <row r="16" spans="1:10" ht="17.25" customHeight="1">
      <c r="A16" s="88"/>
      <c r="B16" s="89"/>
      <c r="C16" s="85" t="s">
        <v>41</v>
      </c>
      <c r="D16" s="86" t="s">
        <v>42</v>
      </c>
      <c r="E16" s="86">
        <v>299</v>
      </c>
      <c r="F16" s="87">
        <f>E16*F15</f>
        <v>0.76544</v>
      </c>
      <c r="G16" s="86"/>
      <c r="H16" s="87"/>
      <c r="J16" s="1"/>
    </row>
    <row r="17" spans="1:10" ht="27.75" customHeight="1">
      <c r="A17" s="90">
        <v>3</v>
      </c>
      <c r="B17" s="91" t="s">
        <v>75</v>
      </c>
      <c r="C17" s="92" t="s">
        <v>220</v>
      </c>
      <c r="D17" s="93" t="s">
        <v>50</v>
      </c>
      <c r="E17" s="93" t="s">
        <v>347</v>
      </c>
      <c r="F17" s="94">
        <f>(F11+F15/10)*1000*1.75</f>
        <v>6.048000000000001</v>
      </c>
      <c r="G17" s="93"/>
      <c r="H17" s="94"/>
      <c r="J17" s="1"/>
    </row>
    <row r="18" spans="1:10" ht="23.25" customHeight="1">
      <c r="A18" s="813">
        <v>4</v>
      </c>
      <c r="B18" s="838" t="s">
        <v>94</v>
      </c>
      <c r="C18" s="137" t="s">
        <v>108</v>
      </c>
      <c r="D18" s="5" t="s">
        <v>37</v>
      </c>
      <c r="E18" s="138"/>
      <c r="F18" s="139">
        <f>'1 მილი'!E11/100</f>
        <v>0.005</v>
      </c>
      <c r="G18" s="138"/>
      <c r="H18" s="284"/>
      <c r="J18" s="1"/>
    </row>
    <row r="19" spans="1:10" ht="21" customHeight="1">
      <c r="A19" s="814"/>
      <c r="B19" s="839"/>
      <c r="C19" s="141" t="s">
        <v>3</v>
      </c>
      <c r="D19" s="11" t="s">
        <v>28</v>
      </c>
      <c r="E19" s="142">
        <v>212</v>
      </c>
      <c r="F19" s="143">
        <f>E19*F18</f>
        <v>1.06</v>
      </c>
      <c r="G19" s="142"/>
      <c r="H19" s="143"/>
      <c r="J19" s="1"/>
    </row>
    <row r="20" spans="1:10" ht="21" customHeight="1">
      <c r="A20" s="814"/>
      <c r="B20" s="839"/>
      <c r="C20" s="141" t="s">
        <v>91</v>
      </c>
      <c r="D20" s="142" t="s">
        <v>29</v>
      </c>
      <c r="E20" s="142">
        <v>10.1</v>
      </c>
      <c r="F20" s="143">
        <f>E20*F18</f>
        <v>0.050499999999999996</v>
      </c>
      <c r="G20" s="143"/>
      <c r="H20" s="143"/>
      <c r="J20" s="1"/>
    </row>
    <row r="21" spans="1:10" ht="21" customHeight="1">
      <c r="A21" s="815"/>
      <c r="B21" s="840"/>
      <c r="C21" s="145" t="s">
        <v>96</v>
      </c>
      <c r="D21" s="15" t="s">
        <v>36</v>
      </c>
      <c r="E21" s="146">
        <v>110</v>
      </c>
      <c r="F21" s="147">
        <f>E21*F18</f>
        <v>0.55</v>
      </c>
      <c r="G21" s="147"/>
      <c r="H21" s="147"/>
      <c r="J21" s="1"/>
    </row>
    <row r="22" spans="1:10" ht="27.75" customHeight="1">
      <c r="A22" s="136">
        <v>5</v>
      </c>
      <c r="B22" s="152" t="s">
        <v>100</v>
      </c>
      <c r="C22" s="153" t="s">
        <v>123</v>
      </c>
      <c r="D22" s="5" t="s">
        <v>101</v>
      </c>
      <c r="E22" s="148"/>
      <c r="F22" s="154">
        <f>'1 მილი'!E12/100</f>
        <v>0.0785</v>
      </c>
      <c r="G22" s="154"/>
      <c r="H22" s="284"/>
      <c r="J22" s="1"/>
    </row>
    <row r="23" spans="1:10" ht="21" customHeight="1">
      <c r="A23" s="140"/>
      <c r="B23" s="155"/>
      <c r="C23" s="141" t="s">
        <v>3</v>
      </c>
      <c r="D23" s="11" t="s">
        <v>28</v>
      </c>
      <c r="E23" s="156">
        <v>56.4</v>
      </c>
      <c r="F23" s="149">
        <f>E23*F22</f>
        <v>4.4274</v>
      </c>
      <c r="G23" s="149"/>
      <c r="H23" s="143"/>
      <c r="J23" s="1"/>
    </row>
    <row r="24" spans="1:10" ht="21" customHeight="1">
      <c r="A24" s="140"/>
      <c r="B24" s="155"/>
      <c r="C24" s="141" t="s">
        <v>91</v>
      </c>
      <c r="D24" s="142" t="s">
        <v>29</v>
      </c>
      <c r="E24" s="156">
        <v>4.09</v>
      </c>
      <c r="F24" s="149">
        <f>E24*F22</f>
        <v>0.321065</v>
      </c>
      <c r="G24" s="149"/>
      <c r="H24" s="143"/>
      <c r="J24" s="1"/>
    </row>
    <row r="25" spans="1:10" ht="21" customHeight="1">
      <c r="A25" s="140"/>
      <c r="B25" s="155"/>
      <c r="C25" s="157" t="s">
        <v>102</v>
      </c>
      <c r="D25" s="156" t="s">
        <v>38</v>
      </c>
      <c r="E25" s="156">
        <f>0.45</f>
        <v>0.45</v>
      </c>
      <c r="F25" s="149">
        <f>E25*F22</f>
        <v>0.035325</v>
      </c>
      <c r="G25" s="149"/>
      <c r="H25" s="143"/>
      <c r="J25" s="1"/>
    </row>
    <row r="26" spans="1:10" ht="21" customHeight="1">
      <c r="A26" s="144"/>
      <c r="B26" s="158"/>
      <c r="C26" s="150" t="s">
        <v>30</v>
      </c>
      <c r="D26" s="146" t="s">
        <v>29</v>
      </c>
      <c r="E26" s="159">
        <v>26.5</v>
      </c>
      <c r="F26" s="151">
        <f>E26*F22</f>
        <v>2.08025</v>
      </c>
      <c r="G26" s="151"/>
      <c r="H26" s="147"/>
      <c r="J26" s="1"/>
    </row>
    <row r="27" spans="1:11" s="22" customFormat="1" ht="31.5" customHeight="1">
      <c r="A27" s="841">
        <v>6</v>
      </c>
      <c r="B27" s="810" t="s">
        <v>182</v>
      </c>
      <c r="C27" s="19" t="s">
        <v>343</v>
      </c>
      <c r="D27" s="68" t="s">
        <v>121</v>
      </c>
      <c r="E27" s="24"/>
      <c r="F27" s="70">
        <f>'1 მილი'!E13</f>
        <v>5</v>
      </c>
      <c r="G27" s="24"/>
      <c r="H27" s="284"/>
      <c r="I27" s="20"/>
      <c r="J27" s="21"/>
      <c r="K27" s="20"/>
    </row>
    <row r="28" spans="1:11" s="22" customFormat="1" ht="21" customHeight="1">
      <c r="A28" s="842"/>
      <c r="B28" s="811"/>
      <c r="C28" s="23" t="s">
        <v>41</v>
      </c>
      <c r="D28" s="25" t="s">
        <v>42</v>
      </c>
      <c r="E28" s="18">
        <v>0.741</v>
      </c>
      <c r="F28" s="26">
        <f>E28*F27</f>
        <v>3.705</v>
      </c>
      <c r="G28" s="206"/>
      <c r="H28" s="26"/>
      <c r="I28" s="20"/>
      <c r="J28" s="21"/>
      <c r="K28" s="20"/>
    </row>
    <row r="29" spans="1:11" s="22" customFormat="1" ht="21" customHeight="1">
      <c r="A29" s="842"/>
      <c r="B29" s="811"/>
      <c r="C29" s="23" t="s">
        <v>97</v>
      </c>
      <c r="D29" s="11" t="s">
        <v>98</v>
      </c>
      <c r="E29" s="18">
        <v>0.0797</v>
      </c>
      <c r="F29" s="26">
        <f>E29*F27</f>
        <v>0.39849999999999997</v>
      </c>
      <c r="G29" s="69"/>
      <c r="H29" s="26"/>
      <c r="I29" s="20"/>
      <c r="J29" s="21"/>
      <c r="K29" s="20"/>
    </row>
    <row r="30" spans="1:11" s="22" customFormat="1" ht="21" customHeight="1">
      <c r="A30" s="842"/>
      <c r="B30" s="811"/>
      <c r="C30" s="23" t="s">
        <v>43</v>
      </c>
      <c r="D30" s="25" t="s">
        <v>29</v>
      </c>
      <c r="E30" s="18">
        <v>0.019</v>
      </c>
      <c r="F30" s="26">
        <f>E30*F27</f>
        <v>0.095</v>
      </c>
      <c r="G30" s="18"/>
      <c r="H30" s="26"/>
      <c r="I30" s="20"/>
      <c r="J30" s="21"/>
      <c r="K30" s="20"/>
    </row>
    <row r="31" spans="1:11" s="22" customFormat="1" ht="21" customHeight="1">
      <c r="A31" s="842"/>
      <c r="B31" s="811"/>
      <c r="C31" s="23" t="s">
        <v>322</v>
      </c>
      <c r="D31" s="241" t="s">
        <v>121</v>
      </c>
      <c r="E31" s="27">
        <v>1</v>
      </c>
      <c r="F31" s="26">
        <f>E31*F27</f>
        <v>5</v>
      </c>
      <c r="G31" s="69"/>
      <c r="H31" s="26"/>
      <c r="I31" s="20"/>
      <c r="J31" s="21"/>
      <c r="K31" s="20"/>
    </row>
    <row r="32" spans="1:11" s="22" customFormat="1" ht="21" customHeight="1">
      <c r="A32" s="843"/>
      <c r="B32" s="812"/>
      <c r="C32" s="133" t="s">
        <v>44</v>
      </c>
      <c r="D32" s="28" t="s">
        <v>29</v>
      </c>
      <c r="E32" s="134">
        <v>0.0578</v>
      </c>
      <c r="F32" s="135">
        <f>E32*F27</f>
        <v>0.289</v>
      </c>
      <c r="G32" s="134"/>
      <c r="H32" s="135"/>
      <c r="I32" s="20"/>
      <c r="J32" s="21"/>
      <c r="K32" s="20"/>
    </row>
    <row r="33" spans="1:11" s="22" customFormat="1" ht="37.5" customHeight="1">
      <c r="A33" s="813">
        <v>7</v>
      </c>
      <c r="B33" s="832" t="s">
        <v>111</v>
      </c>
      <c r="C33" s="307" t="s">
        <v>238</v>
      </c>
      <c r="D33" s="12" t="s">
        <v>37</v>
      </c>
      <c r="E33" s="138"/>
      <c r="F33" s="266">
        <f>'1 მილი'!E14/100</f>
        <v>0.024</v>
      </c>
      <c r="G33" s="148"/>
      <c r="H33" s="284"/>
      <c r="I33" s="20"/>
      <c r="J33" s="21"/>
      <c r="K33" s="20"/>
    </row>
    <row r="34" spans="1:11" s="22" customFormat="1" ht="21" customHeight="1">
      <c r="A34" s="814"/>
      <c r="B34" s="833"/>
      <c r="C34" s="141" t="s">
        <v>3</v>
      </c>
      <c r="D34" s="12" t="s">
        <v>28</v>
      </c>
      <c r="E34" s="142">
        <v>518</v>
      </c>
      <c r="F34" s="143">
        <f>E34*F33</f>
        <v>12.432</v>
      </c>
      <c r="G34" s="149"/>
      <c r="H34" s="143"/>
      <c r="I34" s="20"/>
      <c r="J34" s="21"/>
      <c r="K34" s="20"/>
    </row>
    <row r="35" spans="1:11" s="22" customFormat="1" ht="21" customHeight="1">
      <c r="A35" s="814"/>
      <c r="B35" s="833"/>
      <c r="C35" s="267" t="s">
        <v>97</v>
      </c>
      <c r="D35" s="12" t="s">
        <v>98</v>
      </c>
      <c r="E35" s="142">
        <v>9.6</v>
      </c>
      <c r="F35" s="143">
        <f>E35*F33</f>
        <v>0.2304</v>
      </c>
      <c r="G35" s="69"/>
      <c r="H35" s="143"/>
      <c r="I35" s="20"/>
      <c r="J35" s="21"/>
      <c r="K35" s="20"/>
    </row>
    <row r="36" spans="1:11" s="22" customFormat="1" ht="21" customHeight="1">
      <c r="A36" s="814"/>
      <c r="B36" s="833"/>
      <c r="C36" s="141" t="s">
        <v>91</v>
      </c>
      <c r="D36" s="268" t="s">
        <v>29</v>
      </c>
      <c r="E36" s="142">
        <v>23.1</v>
      </c>
      <c r="F36" s="143">
        <f>E36*F33</f>
        <v>0.5544</v>
      </c>
      <c r="G36" s="149"/>
      <c r="H36" s="143"/>
      <c r="I36" s="20"/>
      <c r="J36" s="21"/>
      <c r="K36" s="20"/>
    </row>
    <row r="37" spans="1:11" s="22" customFormat="1" ht="15" customHeight="1">
      <c r="A37" s="814"/>
      <c r="B37" s="833"/>
      <c r="C37" s="269" t="s">
        <v>237</v>
      </c>
      <c r="D37" s="12" t="s">
        <v>36</v>
      </c>
      <c r="E37" s="142">
        <v>101.5</v>
      </c>
      <c r="F37" s="143">
        <f>E37*F33</f>
        <v>2.436</v>
      </c>
      <c r="G37" s="149"/>
      <c r="H37" s="143"/>
      <c r="I37" s="20"/>
      <c r="J37" s="21"/>
      <c r="K37" s="20"/>
    </row>
    <row r="38" spans="1:11" s="22" customFormat="1" ht="21" customHeight="1">
      <c r="A38" s="814"/>
      <c r="B38" s="833"/>
      <c r="C38" s="267" t="s">
        <v>95</v>
      </c>
      <c r="D38" s="12" t="s">
        <v>36</v>
      </c>
      <c r="E38" s="142">
        <f>6.02*0.5</f>
        <v>3.01</v>
      </c>
      <c r="F38" s="143">
        <f>E38*F33</f>
        <v>0.07224</v>
      </c>
      <c r="G38" s="149"/>
      <c r="H38" s="143"/>
      <c r="I38" s="20"/>
      <c r="J38" s="21"/>
      <c r="K38" s="20"/>
    </row>
    <row r="39" spans="1:11" s="22" customFormat="1" ht="21" customHeight="1">
      <c r="A39" s="814"/>
      <c r="B39" s="833"/>
      <c r="C39" s="267" t="s">
        <v>99</v>
      </c>
      <c r="D39" s="268" t="s">
        <v>31</v>
      </c>
      <c r="E39" s="142">
        <v>49</v>
      </c>
      <c r="F39" s="143">
        <f>E39*F33</f>
        <v>1.176</v>
      </c>
      <c r="G39" s="149"/>
      <c r="H39" s="143"/>
      <c r="I39" s="20"/>
      <c r="J39" s="21"/>
      <c r="K39" s="20"/>
    </row>
    <row r="40" spans="1:11" s="22" customFormat="1" ht="21" customHeight="1">
      <c r="A40" s="815"/>
      <c r="B40" s="834"/>
      <c r="C40" s="150" t="s">
        <v>30</v>
      </c>
      <c r="D40" s="270" t="s">
        <v>29</v>
      </c>
      <c r="E40" s="146">
        <v>61.2</v>
      </c>
      <c r="F40" s="147">
        <f>E40*F33</f>
        <v>1.4688</v>
      </c>
      <c r="G40" s="151"/>
      <c r="H40" s="147"/>
      <c r="I40" s="20"/>
      <c r="J40" s="21"/>
      <c r="K40" s="20"/>
    </row>
    <row r="41" spans="1:8" ht="30" customHeight="1">
      <c r="A41" s="823">
        <v>8</v>
      </c>
      <c r="B41" s="826" t="s">
        <v>103</v>
      </c>
      <c r="C41" s="19" t="s">
        <v>118</v>
      </c>
      <c r="D41" s="192" t="s">
        <v>35</v>
      </c>
      <c r="E41" s="6"/>
      <c r="F41" s="10">
        <f>'1 მილი'!E15/1000</f>
        <v>0.002</v>
      </c>
      <c r="G41" s="6"/>
      <c r="H41" s="77"/>
    </row>
    <row r="42" spans="1:8" ht="21" customHeight="1">
      <c r="A42" s="824"/>
      <c r="B42" s="827"/>
      <c r="C42" s="193" t="s">
        <v>3</v>
      </c>
      <c r="D42" s="194" t="s">
        <v>28</v>
      </c>
      <c r="E42" s="195">
        <v>16.5</v>
      </c>
      <c r="F42" s="196">
        <f>E42*F41</f>
        <v>0.033</v>
      </c>
      <c r="G42" s="197"/>
      <c r="H42" s="198"/>
    </row>
    <row r="43" spans="1:8" ht="21" customHeight="1">
      <c r="A43" s="183"/>
      <c r="B43" s="827"/>
      <c r="C43" s="199" t="s">
        <v>116</v>
      </c>
      <c r="D43" s="194" t="s">
        <v>98</v>
      </c>
      <c r="E43" s="195">
        <v>37</v>
      </c>
      <c r="F43" s="196">
        <f>E43*F41</f>
        <v>0.074</v>
      </c>
      <c r="G43" s="197"/>
      <c r="H43" s="198"/>
    </row>
    <row r="44" spans="1:8" ht="21" customHeight="1">
      <c r="A44" s="188"/>
      <c r="B44" s="828"/>
      <c r="C44" s="200" t="s">
        <v>86</v>
      </c>
      <c r="D44" s="201" t="s">
        <v>68</v>
      </c>
      <c r="E44" s="202">
        <v>1000</v>
      </c>
      <c r="F44" s="203">
        <f>E44*F41</f>
        <v>2</v>
      </c>
      <c r="G44" s="204"/>
      <c r="H44" s="205"/>
    </row>
    <row r="45" spans="1:8" ht="21" customHeight="1">
      <c r="A45" s="835" t="s">
        <v>32</v>
      </c>
      <c r="B45" s="836"/>
      <c r="C45" s="836"/>
      <c r="D45" s="836"/>
      <c r="E45" s="836"/>
      <c r="F45" s="837"/>
      <c r="G45" s="29"/>
      <c r="H45" s="9">
        <f>H11+H15+H17+H27+H41+H22+H18+H33</f>
        <v>0</v>
      </c>
    </row>
    <row r="46" spans="1:8" ht="21" customHeight="1">
      <c r="A46" s="819" t="s">
        <v>362</v>
      </c>
      <c r="B46" s="820"/>
      <c r="C46" s="820"/>
      <c r="D46" s="820"/>
      <c r="E46" s="820"/>
      <c r="F46" s="821"/>
      <c r="G46" s="190"/>
      <c r="H46" s="16">
        <f>H45*0.1</f>
        <v>0</v>
      </c>
    </row>
    <row r="47" spans="1:8" ht="21" customHeight="1">
      <c r="A47" s="819" t="s">
        <v>33</v>
      </c>
      <c r="B47" s="820"/>
      <c r="C47" s="820"/>
      <c r="D47" s="820"/>
      <c r="E47" s="820"/>
      <c r="F47" s="821"/>
      <c r="G47" s="190"/>
      <c r="H47" s="16">
        <f>H46+H45</f>
        <v>0</v>
      </c>
    </row>
    <row r="48" spans="1:8" ht="20.25" customHeight="1">
      <c r="A48" s="819" t="s">
        <v>363</v>
      </c>
      <c r="B48" s="820"/>
      <c r="C48" s="820"/>
      <c r="D48" s="820"/>
      <c r="E48" s="820"/>
      <c r="F48" s="821"/>
      <c r="G48" s="190"/>
      <c r="H48" s="16">
        <f>H47*0.08</f>
        <v>0</v>
      </c>
    </row>
    <row r="49" spans="1:8" ht="21" customHeight="1">
      <c r="A49" s="819" t="s">
        <v>34</v>
      </c>
      <c r="B49" s="820"/>
      <c r="C49" s="820"/>
      <c r="D49" s="820"/>
      <c r="E49" s="820"/>
      <c r="F49" s="821"/>
      <c r="G49" s="190"/>
      <c r="H49" s="16">
        <f>H48+H47</f>
        <v>0</v>
      </c>
    </row>
    <row r="50" spans="1:8" ht="35.25" customHeight="1">
      <c r="A50" s="822"/>
      <c r="B50" s="822"/>
      <c r="C50" s="822"/>
      <c r="D50" s="822"/>
      <c r="E50" s="822"/>
      <c r="F50" s="822"/>
      <c r="G50" s="822"/>
      <c r="H50" s="822"/>
    </row>
    <row r="51" spans="2:8" ht="16.5">
      <c r="B51" s="844"/>
      <c r="C51" s="844"/>
      <c r="D51" s="844"/>
      <c r="E51" s="844"/>
      <c r="F51" s="844"/>
      <c r="G51" s="844"/>
      <c r="H51" s="844"/>
    </row>
  </sheetData>
  <sheetProtection/>
  <mergeCells count="27">
    <mergeCell ref="B51:H51"/>
    <mergeCell ref="A1:H1"/>
    <mergeCell ref="A2:H2"/>
    <mergeCell ref="A4:H4"/>
    <mergeCell ref="A6:H6"/>
    <mergeCell ref="B7:E7"/>
    <mergeCell ref="G7:H7"/>
    <mergeCell ref="A8:A9"/>
    <mergeCell ref="D8:D9"/>
    <mergeCell ref="E8:F8"/>
    <mergeCell ref="G8:H8"/>
    <mergeCell ref="A18:A21"/>
    <mergeCell ref="B18:B21"/>
    <mergeCell ref="A27:A32"/>
    <mergeCell ref="B27:B32"/>
    <mergeCell ref="B8:B9"/>
    <mergeCell ref="C8:C9"/>
    <mergeCell ref="A47:F47"/>
    <mergeCell ref="A48:F48"/>
    <mergeCell ref="A49:F49"/>
    <mergeCell ref="A50:H50"/>
    <mergeCell ref="A33:A40"/>
    <mergeCell ref="B33:B40"/>
    <mergeCell ref="A41:A42"/>
    <mergeCell ref="B41:B44"/>
    <mergeCell ref="A45:F45"/>
    <mergeCell ref="A46:F46"/>
  </mergeCells>
  <printOptions horizontalCentered="1"/>
  <pageMargins left="0.1968503937007874" right="0.1968503937007874" top="0.3937007874015748" bottom="0.1968503937007874" header="0.1968503937007874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7"/>
  <sheetViews>
    <sheetView zoomScale="70" zoomScaleNormal="70" zoomScaleSheetLayoutView="90" zoomScalePageLayoutView="0" workbookViewId="0" topLeftCell="A34">
      <selection activeCell="A44" sqref="A44:G44"/>
    </sheetView>
  </sheetViews>
  <sheetFormatPr defaultColWidth="9.00390625" defaultRowHeight="12.75"/>
  <cols>
    <col min="1" max="1" width="3.375" style="512" customWidth="1"/>
    <col min="2" max="2" width="9.125" style="512" customWidth="1"/>
    <col min="3" max="3" width="77.00390625" style="560" customWidth="1"/>
    <col min="4" max="4" width="8.625" style="512" customWidth="1"/>
    <col min="5" max="5" width="10.75390625" style="512" customWidth="1"/>
    <col min="6" max="6" width="11.75390625" style="512" customWidth="1"/>
    <col min="7" max="7" width="7.25390625" style="512" customWidth="1"/>
    <col min="8" max="8" width="11.00390625" style="512" customWidth="1"/>
    <col min="9" max="9" width="12.125" style="512" customWidth="1"/>
    <col min="10" max="10" width="11.00390625" style="512" customWidth="1"/>
    <col min="11" max="11" width="10.00390625" style="512" bestFit="1" customWidth="1"/>
    <col min="12" max="16384" width="9.125" style="512" customWidth="1"/>
  </cols>
  <sheetData>
    <row r="1" spans="1:8" ht="26.25" customHeight="1">
      <c r="A1" s="777" t="str">
        <f>კრებსითი!A4</f>
        <v>adigenis municipalitetSi sof. varxanis gzebis monakveTebi (monakveTi II)</v>
      </c>
      <c r="B1" s="780"/>
      <c r="C1" s="780"/>
      <c r="D1" s="780"/>
      <c r="E1" s="780"/>
      <c r="F1" s="780"/>
      <c r="G1" s="780"/>
      <c r="H1" s="780"/>
    </row>
    <row r="2" spans="1:8" ht="26.25" customHeight="1">
      <c r="A2" s="777" t="str">
        <f>მილი!A2</f>
        <v>gzis reabilitacia</v>
      </c>
      <c r="B2" s="777"/>
      <c r="C2" s="777"/>
      <c r="D2" s="777"/>
      <c r="E2" s="777"/>
      <c r="F2" s="777"/>
      <c r="G2" s="777"/>
      <c r="H2" s="777"/>
    </row>
    <row r="3" spans="1:8" ht="21" customHeight="1">
      <c r="A3" s="708" t="s">
        <v>312</v>
      </c>
      <c r="B3" s="708"/>
      <c r="C3" s="708"/>
      <c r="D3" s="708"/>
      <c r="E3" s="708"/>
      <c r="F3" s="708"/>
      <c r="G3" s="708"/>
      <c r="H3" s="708"/>
    </row>
    <row r="4" spans="1:8" ht="23.25" customHeight="1">
      <c r="A4" s="849" t="s">
        <v>311</v>
      </c>
      <c r="B4" s="849"/>
      <c r="C4" s="849"/>
      <c r="D4" s="849"/>
      <c r="E4" s="849"/>
      <c r="F4" s="849"/>
      <c r="G4" s="849"/>
      <c r="H4" s="849"/>
    </row>
    <row r="5" spans="1:8" ht="24.75" customHeight="1">
      <c r="A5" s="513"/>
      <c r="B5" s="847" t="s">
        <v>4</v>
      </c>
      <c r="C5" s="847"/>
      <c r="D5" s="847"/>
      <c r="E5" s="847"/>
      <c r="F5" s="17">
        <f>H45</f>
        <v>0</v>
      </c>
      <c r="G5" s="850" t="s">
        <v>40</v>
      </c>
      <c r="H5" s="850"/>
    </row>
    <row r="6" spans="1:8" ht="20.25" customHeight="1">
      <c r="A6" s="514"/>
      <c r="B6" s="514"/>
      <c r="C6" s="514"/>
      <c r="D6" s="851" t="s">
        <v>125</v>
      </c>
      <c r="E6" s="854" t="s">
        <v>7</v>
      </c>
      <c r="F6" s="855"/>
      <c r="G6" s="856" t="s">
        <v>2</v>
      </c>
      <c r="H6" s="856"/>
    </row>
    <row r="7" spans="1:8" ht="17.25" customHeight="1">
      <c r="A7" s="515" t="s">
        <v>0</v>
      </c>
      <c r="B7" s="515" t="s">
        <v>5</v>
      </c>
      <c r="C7" s="515" t="s">
        <v>47</v>
      </c>
      <c r="D7" s="852"/>
      <c r="E7" s="857" t="s">
        <v>8</v>
      </c>
      <c r="F7" s="514" t="s">
        <v>55</v>
      </c>
      <c r="G7" s="515" t="s">
        <v>10</v>
      </c>
      <c r="H7" s="515" t="s">
        <v>1</v>
      </c>
    </row>
    <row r="8" spans="1:8" ht="23.25" customHeight="1">
      <c r="A8" s="516"/>
      <c r="B8" s="516"/>
      <c r="C8" s="516"/>
      <c r="D8" s="853"/>
      <c r="E8" s="858"/>
      <c r="F8" s="379" t="s">
        <v>56</v>
      </c>
      <c r="G8" s="516"/>
      <c r="H8" s="516"/>
    </row>
    <row r="9" spans="1:8" ht="18" customHeight="1">
      <c r="A9" s="490">
        <v>1</v>
      </c>
      <c r="B9" s="490">
        <v>2</v>
      </c>
      <c r="C9" s="490">
        <v>3</v>
      </c>
      <c r="D9" s="490">
        <v>4</v>
      </c>
      <c r="E9" s="490">
        <v>5</v>
      </c>
      <c r="F9" s="490">
        <v>6</v>
      </c>
      <c r="G9" s="490">
        <v>7</v>
      </c>
      <c r="H9" s="490">
        <v>8</v>
      </c>
    </row>
    <row r="10" spans="1:8" ht="37.5" customHeight="1">
      <c r="A10" s="859">
        <v>1</v>
      </c>
      <c r="B10" s="860" t="s">
        <v>90</v>
      </c>
      <c r="C10" s="517" t="str">
        <f>სანიღვრე!B8</f>
        <v>me-IV jg. gruntis moWra eqskavatoriT V-0.5m3 datvirTviT avtoTvTmclelebze</v>
      </c>
      <c r="D10" s="518" t="s">
        <v>274</v>
      </c>
      <c r="E10" s="519"/>
      <c r="F10" s="520">
        <f>სანიღვრე!F8/1000</f>
        <v>0.002</v>
      </c>
      <c r="G10" s="389"/>
      <c r="H10" s="376"/>
    </row>
    <row r="11" spans="1:8" ht="18.75" customHeight="1">
      <c r="A11" s="859"/>
      <c r="B11" s="861"/>
      <c r="C11" s="374" t="s">
        <v>41</v>
      </c>
      <c r="D11" s="375" t="s">
        <v>42</v>
      </c>
      <c r="E11" s="375">
        <v>27</v>
      </c>
      <c r="F11" s="376">
        <f>E11*F10</f>
        <v>0.054</v>
      </c>
      <c r="G11" s="375"/>
      <c r="H11" s="376"/>
    </row>
    <row r="12" spans="1:8" ht="18.75" customHeight="1">
      <c r="A12" s="859"/>
      <c r="B12" s="861"/>
      <c r="C12" s="374" t="s">
        <v>71</v>
      </c>
      <c r="D12" s="375" t="s">
        <v>49</v>
      </c>
      <c r="E12" s="375">
        <v>60.5</v>
      </c>
      <c r="F12" s="376">
        <f>E12*F10</f>
        <v>0.121</v>
      </c>
      <c r="G12" s="324"/>
      <c r="H12" s="376"/>
    </row>
    <row r="13" spans="1:8" ht="18.75" customHeight="1">
      <c r="A13" s="859"/>
      <c r="B13" s="861"/>
      <c r="C13" s="378" t="s">
        <v>44</v>
      </c>
      <c r="D13" s="375" t="s">
        <v>29</v>
      </c>
      <c r="E13" s="375">
        <v>2.21</v>
      </c>
      <c r="F13" s="376">
        <f>E13*F10</f>
        <v>0.00442</v>
      </c>
      <c r="G13" s="375"/>
      <c r="H13" s="376"/>
    </row>
    <row r="14" spans="1:8" ht="25.5" customHeight="1">
      <c r="A14" s="857">
        <v>2</v>
      </c>
      <c r="B14" s="862" t="s">
        <v>206</v>
      </c>
      <c r="C14" s="521" t="str">
        <f>სანიღვრე!B9</f>
        <v>III jg. gruntis damuSaveba xeliT </v>
      </c>
      <c r="D14" s="522" t="s">
        <v>36</v>
      </c>
      <c r="E14" s="523"/>
      <c r="F14" s="524">
        <f>სანიღვრე!F9</f>
        <v>0.2</v>
      </c>
      <c r="G14" s="323"/>
      <c r="H14" s="525"/>
    </row>
    <row r="15" spans="1:8" ht="18.75" customHeight="1">
      <c r="A15" s="858"/>
      <c r="B15" s="862"/>
      <c r="C15" s="526" t="s">
        <v>275</v>
      </c>
      <c r="D15" s="527" t="s">
        <v>276</v>
      </c>
      <c r="E15" s="528">
        <v>2.06</v>
      </c>
      <c r="F15" s="529">
        <f>E15*F14</f>
        <v>0.41200000000000003</v>
      </c>
      <c r="G15" s="379"/>
      <c r="H15" s="530"/>
    </row>
    <row r="16" spans="1:8" ht="25.5" customHeight="1">
      <c r="A16" s="368">
        <v>3</v>
      </c>
      <c r="B16" s="364" t="s">
        <v>75</v>
      </c>
      <c r="C16" s="531" t="s">
        <v>277</v>
      </c>
      <c r="D16" s="375" t="s">
        <v>50</v>
      </c>
      <c r="E16" s="375" t="s">
        <v>348</v>
      </c>
      <c r="F16" s="143">
        <f>(F10*1000+F14)*1.75</f>
        <v>3.8500000000000005</v>
      </c>
      <c r="G16" s="532"/>
      <c r="H16" s="16"/>
    </row>
    <row r="17" spans="1:8" ht="25.5" customHeight="1">
      <c r="A17" s="863">
        <v>4</v>
      </c>
      <c r="B17" s="816" t="s">
        <v>94</v>
      </c>
      <c r="C17" s="533" t="str">
        <f>სანიღვრე!B10</f>
        <v>xreSovani baliSis mowyoba niaRvarmimRebi Webis qveS</v>
      </c>
      <c r="D17" s="371" t="s">
        <v>37</v>
      </c>
      <c r="E17" s="305"/>
      <c r="F17" s="275">
        <f>სანიღვრე!F10/100</f>
        <v>0.002</v>
      </c>
      <c r="G17" s="305"/>
      <c r="H17" s="139"/>
    </row>
    <row r="18" spans="1:8" ht="18.75" customHeight="1">
      <c r="A18" s="864"/>
      <c r="B18" s="817"/>
      <c r="C18" s="534" t="s">
        <v>3</v>
      </c>
      <c r="D18" s="303" t="s">
        <v>28</v>
      </c>
      <c r="E18" s="268">
        <v>212</v>
      </c>
      <c r="F18" s="143">
        <f>E18*F17</f>
        <v>0.424</v>
      </c>
      <c r="G18" s="268"/>
      <c r="H18" s="143"/>
    </row>
    <row r="19" spans="1:8" ht="18.75" customHeight="1">
      <c r="A19" s="864"/>
      <c r="B19" s="817"/>
      <c r="C19" s="534" t="s">
        <v>91</v>
      </c>
      <c r="D19" s="303" t="s">
        <v>29</v>
      </c>
      <c r="E19" s="268">
        <v>10.1</v>
      </c>
      <c r="F19" s="143">
        <f>E19*F17</f>
        <v>0.0202</v>
      </c>
      <c r="G19" s="304"/>
      <c r="H19" s="143"/>
    </row>
    <row r="20" spans="1:8" ht="18.75" customHeight="1">
      <c r="A20" s="865"/>
      <c r="B20" s="818"/>
      <c r="C20" s="535" t="s">
        <v>96</v>
      </c>
      <c r="D20" s="15" t="s">
        <v>36</v>
      </c>
      <c r="E20" s="270">
        <v>110</v>
      </c>
      <c r="F20" s="147">
        <f>E20*F17</f>
        <v>0.22</v>
      </c>
      <c r="G20" s="306"/>
      <c r="H20" s="147"/>
    </row>
    <row r="21" spans="1:8" ht="25.5" customHeight="1">
      <c r="A21" s="869">
        <v>5</v>
      </c>
      <c r="B21" s="872" t="s">
        <v>278</v>
      </c>
      <c r="C21" s="536" t="str">
        <f>სანიღვრე!B11</f>
        <v>niaRvarmiRebi Webis Zirisa da kedlebis mowyoba b-20</v>
      </c>
      <c r="D21" s="537" t="s">
        <v>36</v>
      </c>
      <c r="E21" s="538"/>
      <c r="F21" s="539">
        <f>სანიღვრე!F12</f>
        <v>1.68</v>
      </c>
      <c r="G21" s="540"/>
      <c r="H21" s="7"/>
    </row>
    <row r="22" spans="1:8" ht="18.75" customHeight="1">
      <c r="A22" s="870"/>
      <c r="B22" s="873"/>
      <c r="C22" s="541" t="s">
        <v>275</v>
      </c>
      <c r="D22" s="542" t="s">
        <v>276</v>
      </c>
      <c r="E22" s="519">
        <v>25.2</v>
      </c>
      <c r="F22" s="520">
        <f>E22*F21</f>
        <v>42.336</v>
      </c>
      <c r="G22" s="389"/>
      <c r="H22" s="376"/>
    </row>
    <row r="23" spans="1:8" ht="18.75" customHeight="1">
      <c r="A23" s="870"/>
      <c r="B23" s="873"/>
      <c r="C23" s="541" t="s">
        <v>91</v>
      </c>
      <c r="D23" s="542" t="s">
        <v>279</v>
      </c>
      <c r="E23" s="519">
        <v>0.23</v>
      </c>
      <c r="F23" s="520">
        <f>E23*F21</f>
        <v>0.3864</v>
      </c>
      <c r="G23" s="389"/>
      <c r="H23" s="376"/>
    </row>
    <row r="24" spans="1:8" ht="18.75" customHeight="1">
      <c r="A24" s="870"/>
      <c r="B24" s="873"/>
      <c r="C24" s="541" t="s">
        <v>310</v>
      </c>
      <c r="D24" s="542" t="s">
        <v>36</v>
      </c>
      <c r="E24" s="519">
        <v>0.962</v>
      </c>
      <c r="F24" s="520">
        <f>E24*F21</f>
        <v>1.6161599999999998</v>
      </c>
      <c r="G24" s="532"/>
      <c r="H24" s="376"/>
    </row>
    <row r="25" spans="1:8" ht="18.75" customHeight="1">
      <c r="A25" s="870"/>
      <c r="B25" s="873"/>
      <c r="C25" s="541" t="str">
        <f>სანიღვრე!B13</f>
        <v>armatura a-III</v>
      </c>
      <c r="D25" s="542" t="s">
        <v>38</v>
      </c>
      <c r="E25" s="519">
        <v>1</v>
      </c>
      <c r="F25" s="520">
        <f>სანიღვრე!F13/1000</f>
        <v>0.18046</v>
      </c>
      <c r="G25" s="532"/>
      <c r="H25" s="376"/>
    </row>
    <row r="26" spans="1:8" ht="18.75" customHeight="1">
      <c r="A26" s="871"/>
      <c r="B26" s="874"/>
      <c r="C26" s="543" t="s">
        <v>30</v>
      </c>
      <c r="D26" s="544" t="s">
        <v>36</v>
      </c>
      <c r="E26" s="529">
        <v>2.54</v>
      </c>
      <c r="F26" s="545">
        <f>E26*F21</f>
        <v>4.2672</v>
      </c>
      <c r="G26" s="546"/>
      <c r="H26" s="380"/>
    </row>
    <row r="27" spans="1:8" ht="27.75" customHeight="1">
      <c r="A27" s="136">
        <v>6</v>
      </c>
      <c r="B27" s="152" t="s">
        <v>100</v>
      </c>
      <c r="C27" s="547" t="str">
        <f>სანიღვრე!B14</f>
        <v>niaRvarmiRebi Webis kedlebis orfeniani hidroizolacia bitumiT</v>
      </c>
      <c r="D27" s="5" t="s">
        <v>194</v>
      </c>
      <c r="E27" s="148"/>
      <c r="F27" s="154">
        <f>სანიღვრე!F14</f>
        <v>6</v>
      </c>
      <c r="G27" s="154"/>
      <c r="H27" s="139"/>
    </row>
    <row r="28" spans="1:8" ht="18.75" customHeight="1">
      <c r="A28" s="140"/>
      <c r="B28" s="155"/>
      <c r="C28" s="535" t="s">
        <v>3</v>
      </c>
      <c r="D28" s="11" t="s">
        <v>28</v>
      </c>
      <c r="E28" s="156">
        <f>56.4/100</f>
        <v>0.564</v>
      </c>
      <c r="F28" s="149">
        <f>E28*F27</f>
        <v>3.3839999999999995</v>
      </c>
      <c r="G28" s="149"/>
      <c r="H28" s="143"/>
    </row>
    <row r="29" spans="1:8" ht="18.75" customHeight="1">
      <c r="A29" s="140"/>
      <c r="B29" s="155"/>
      <c r="C29" s="535" t="s">
        <v>91</v>
      </c>
      <c r="D29" s="142" t="s">
        <v>29</v>
      </c>
      <c r="E29" s="156">
        <f>4.09/100</f>
        <v>0.0409</v>
      </c>
      <c r="F29" s="149">
        <f>E29*F27</f>
        <v>0.2454</v>
      </c>
      <c r="G29" s="149"/>
      <c r="H29" s="143"/>
    </row>
    <row r="30" spans="1:8" ht="18.75" customHeight="1">
      <c r="A30" s="140"/>
      <c r="B30" s="155"/>
      <c r="C30" s="547" t="s">
        <v>102</v>
      </c>
      <c r="D30" s="156" t="s">
        <v>38</v>
      </c>
      <c r="E30" s="156">
        <f>0.0045</f>
        <v>0.0045</v>
      </c>
      <c r="F30" s="149">
        <f>E30*F27</f>
        <v>0.026999999999999996</v>
      </c>
      <c r="G30" s="149"/>
      <c r="H30" s="143"/>
    </row>
    <row r="31" spans="1:8" ht="18.75" customHeight="1">
      <c r="A31" s="144"/>
      <c r="B31" s="158"/>
      <c r="C31" s="150" t="s">
        <v>30</v>
      </c>
      <c r="D31" s="146" t="s">
        <v>29</v>
      </c>
      <c r="E31" s="159">
        <f>26.5/100</f>
        <v>0.265</v>
      </c>
      <c r="F31" s="151">
        <f>E31*F27</f>
        <v>1.59</v>
      </c>
      <c r="G31" s="151"/>
      <c r="H31" s="147"/>
    </row>
    <row r="32" spans="1:8" ht="27.75" customHeight="1">
      <c r="A32" s="875">
        <v>7</v>
      </c>
      <c r="B32" s="862" t="s">
        <v>280</v>
      </c>
      <c r="C32" s="548" t="str">
        <f>სანიღვრე!B15</f>
        <v>axali saniaRvre Wis oTxkuTxa cxauris montaJi CarCoTi 600X600</v>
      </c>
      <c r="D32" s="523" t="s">
        <v>187</v>
      </c>
      <c r="E32" s="538"/>
      <c r="F32" s="209">
        <f>სანიღვრე!F15</f>
        <v>2</v>
      </c>
      <c r="G32" s="7"/>
      <c r="H32" s="7"/>
    </row>
    <row r="33" spans="1:8" ht="18.75" customHeight="1">
      <c r="A33" s="875"/>
      <c r="B33" s="862"/>
      <c r="C33" s="517" t="s">
        <v>275</v>
      </c>
      <c r="D33" s="518" t="s">
        <v>276</v>
      </c>
      <c r="E33" s="519">
        <v>1.54</v>
      </c>
      <c r="F33" s="520">
        <f>E33*F32</f>
        <v>3.08</v>
      </c>
      <c r="G33" s="375"/>
      <c r="H33" s="376"/>
    </row>
    <row r="34" spans="1:8" ht="18.75" customHeight="1">
      <c r="A34" s="875"/>
      <c r="B34" s="862"/>
      <c r="C34" s="517" t="s">
        <v>91</v>
      </c>
      <c r="D34" s="518" t="s">
        <v>29</v>
      </c>
      <c r="E34" s="519">
        <v>0.09</v>
      </c>
      <c r="F34" s="520">
        <f>F32*E34</f>
        <v>0.18</v>
      </c>
      <c r="G34" s="375"/>
      <c r="H34" s="376"/>
    </row>
    <row r="35" spans="1:8" ht="18.75" customHeight="1">
      <c r="A35" s="875"/>
      <c r="B35" s="862"/>
      <c r="C35" s="517" t="s">
        <v>281</v>
      </c>
      <c r="D35" s="518" t="s">
        <v>36</v>
      </c>
      <c r="E35" s="519">
        <v>0.014</v>
      </c>
      <c r="F35" s="520">
        <f>F32*E35</f>
        <v>0.028</v>
      </c>
      <c r="G35" s="376"/>
      <c r="H35" s="376"/>
    </row>
    <row r="36" spans="1:8" ht="18.75" customHeight="1">
      <c r="A36" s="875"/>
      <c r="B36" s="862"/>
      <c r="C36" s="526" t="s">
        <v>282</v>
      </c>
      <c r="D36" s="528" t="s">
        <v>187</v>
      </c>
      <c r="E36" s="529">
        <v>1</v>
      </c>
      <c r="F36" s="545">
        <f>E36*F32</f>
        <v>2</v>
      </c>
      <c r="G36" s="379"/>
      <c r="H36" s="380"/>
    </row>
    <row r="37" spans="1:8" ht="22.5" customHeight="1">
      <c r="A37" s="823">
        <v>8</v>
      </c>
      <c r="B37" s="866" t="s">
        <v>103</v>
      </c>
      <c r="C37" s="548" t="str">
        <f>სანიღვრე!B16</f>
        <v>saniaRvre WebTan Txrilis Sevseba balastiT</v>
      </c>
      <c r="D37" s="523" t="s">
        <v>36</v>
      </c>
      <c r="E37" s="538"/>
      <c r="F37" s="539">
        <f>სანიღვრე!F16</f>
        <v>1</v>
      </c>
      <c r="G37" s="6"/>
      <c r="H37" s="7"/>
    </row>
    <row r="38" spans="1:8" ht="18.75" customHeight="1">
      <c r="A38" s="824"/>
      <c r="B38" s="867"/>
      <c r="C38" s="549" t="s">
        <v>3</v>
      </c>
      <c r="D38" s="550" t="s">
        <v>28</v>
      </c>
      <c r="E38" s="551">
        <f>16.5/1000</f>
        <v>0.0165</v>
      </c>
      <c r="F38" s="552">
        <f>E38*F37</f>
        <v>0.0165</v>
      </c>
      <c r="G38" s="324"/>
      <c r="H38" s="376"/>
    </row>
    <row r="39" spans="1:8" ht="18.75" customHeight="1">
      <c r="A39" s="824"/>
      <c r="B39" s="867"/>
      <c r="C39" s="553" t="s">
        <v>116</v>
      </c>
      <c r="D39" s="550" t="s">
        <v>98</v>
      </c>
      <c r="E39" s="551">
        <f>37/1000</f>
        <v>0.037</v>
      </c>
      <c r="F39" s="552">
        <f>E39*F37</f>
        <v>0.037</v>
      </c>
      <c r="G39" s="324"/>
      <c r="H39" s="376"/>
    </row>
    <row r="40" spans="1:8" ht="18.75" customHeight="1">
      <c r="A40" s="188"/>
      <c r="B40" s="868"/>
      <c r="C40" s="554" t="s">
        <v>86</v>
      </c>
      <c r="D40" s="379" t="s">
        <v>68</v>
      </c>
      <c r="E40" s="8">
        <v>1.22</v>
      </c>
      <c r="F40" s="9">
        <f>E40*F37</f>
        <v>1.22</v>
      </c>
      <c r="G40" s="380"/>
      <c r="H40" s="380"/>
    </row>
    <row r="41" spans="1:8" ht="21" customHeight="1">
      <c r="A41" s="876" t="s">
        <v>52</v>
      </c>
      <c r="B41" s="877"/>
      <c r="C41" s="878"/>
      <c r="D41" s="878"/>
      <c r="E41" s="878"/>
      <c r="F41" s="878"/>
      <c r="G41" s="879"/>
      <c r="H41" s="9">
        <f>H37+H32+H27+H21+H16+H14+H10+H17</f>
        <v>0</v>
      </c>
    </row>
    <row r="42" spans="1:8" ht="21" customHeight="1">
      <c r="A42" s="880" t="s">
        <v>360</v>
      </c>
      <c r="B42" s="881"/>
      <c r="C42" s="881"/>
      <c r="D42" s="881"/>
      <c r="E42" s="881"/>
      <c r="F42" s="881"/>
      <c r="G42" s="882"/>
      <c r="H42" s="16">
        <f>H41*0.1</f>
        <v>0</v>
      </c>
    </row>
    <row r="43" spans="1:8" ht="21" customHeight="1">
      <c r="A43" s="880" t="s">
        <v>53</v>
      </c>
      <c r="B43" s="881"/>
      <c r="C43" s="881"/>
      <c r="D43" s="881"/>
      <c r="E43" s="881"/>
      <c r="F43" s="881"/>
      <c r="G43" s="882"/>
      <c r="H43" s="16">
        <f>H41+H42</f>
        <v>0</v>
      </c>
    </row>
    <row r="44" spans="1:8" ht="21" customHeight="1">
      <c r="A44" s="880" t="s">
        <v>361</v>
      </c>
      <c r="B44" s="881"/>
      <c r="C44" s="881"/>
      <c r="D44" s="881"/>
      <c r="E44" s="881"/>
      <c r="F44" s="881"/>
      <c r="G44" s="882"/>
      <c r="H44" s="16">
        <f>H43*0.08</f>
        <v>0</v>
      </c>
    </row>
    <row r="45" spans="1:8" ht="21" customHeight="1">
      <c r="A45" s="880" t="s">
        <v>54</v>
      </c>
      <c r="B45" s="881"/>
      <c r="C45" s="881"/>
      <c r="D45" s="881"/>
      <c r="E45" s="881"/>
      <c r="F45" s="881"/>
      <c r="G45" s="882"/>
      <c r="H45" s="16">
        <f>H43+H44</f>
        <v>0</v>
      </c>
    </row>
    <row r="46" spans="1:8" ht="24" customHeight="1">
      <c r="A46" s="555"/>
      <c r="B46" s="556"/>
      <c r="C46" s="557"/>
      <c r="D46" s="506"/>
      <c r="E46" s="506"/>
      <c r="F46" s="558"/>
      <c r="G46" s="559"/>
      <c r="H46" s="14"/>
    </row>
    <row r="47" spans="1:8" ht="16.5">
      <c r="A47" s="708"/>
      <c r="B47" s="708"/>
      <c r="C47" s="708"/>
      <c r="D47" s="708"/>
      <c r="E47" s="708"/>
      <c r="F47" s="708"/>
      <c r="G47" s="708"/>
      <c r="H47" s="708"/>
    </row>
  </sheetData>
  <sheetProtection/>
  <mergeCells count="28">
    <mergeCell ref="A41:G41"/>
    <mergeCell ref="A42:G42"/>
    <mergeCell ref="A43:G43"/>
    <mergeCell ref="A44:G44"/>
    <mergeCell ref="A45:G45"/>
    <mergeCell ref="A47:H47"/>
    <mergeCell ref="A37:A39"/>
    <mergeCell ref="B37:B40"/>
    <mergeCell ref="A21:A26"/>
    <mergeCell ref="B21:B26"/>
    <mergeCell ref="A32:A36"/>
    <mergeCell ref="B32:B36"/>
    <mergeCell ref="A10:A13"/>
    <mergeCell ref="B10:B13"/>
    <mergeCell ref="A14:A15"/>
    <mergeCell ref="B14:B15"/>
    <mergeCell ref="A17:A20"/>
    <mergeCell ref="B17:B20"/>
    <mergeCell ref="A1:H1"/>
    <mergeCell ref="A3:H3"/>
    <mergeCell ref="A4:H4"/>
    <mergeCell ref="B5:E5"/>
    <mergeCell ref="G5:H5"/>
    <mergeCell ref="D6:D8"/>
    <mergeCell ref="E6:F6"/>
    <mergeCell ref="G6:H6"/>
    <mergeCell ref="E7:E8"/>
    <mergeCell ref="A2:H2"/>
  </mergeCells>
  <printOptions horizontalCentered="1"/>
  <pageMargins left="0.1968503937007874" right="0.1968503937007874" top="0.3937007874015748" bottom="0.1968503937007874" header="0.1968503937007874" footer="0.1574803149606299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3"/>
  <sheetViews>
    <sheetView zoomScale="70" zoomScaleNormal="70" zoomScaleSheetLayoutView="90" zoomScalePageLayoutView="0" workbookViewId="0" topLeftCell="A46">
      <selection activeCell="A63" sqref="A63:H63"/>
    </sheetView>
  </sheetViews>
  <sheetFormatPr defaultColWidth="9.00390625" defaultRowHeight="12.75"/>
  <cols>
    <col min="1" max="1" width="3.375" style="31" customWidth="1"/>
    <col min="2" max="2" width="11.25390625" style="31" customWidth="1"/>
    <col min="3" max="3" width="67.875" style="46" customWidth="1"/>
    <col min="4" max="4" width="8.625" style="31" customWidth="1"/>
    <col min="5" max="5" width="12.75390625" style="31" customWidth="1"/>
    <col min="6" max="6" width="13.25390625" style="31" customWidth="1"/>
    <col min="7" max="7" width="9.75390625" style="31" customWidth="1"/>
    <col min="8" max="9" width="12.125" style="31" customWidth="1"/>
    <col min="10" max="10" width="11.00390625" style="31" customWidth="1"/>
    <col min="11" max="11" width="10.00390625" style="31" bestFit="1" customWidth="1"/>
    <col min="12" max="16384" width="9.125" style="31" customWidth="1"/>
  </cols>
  <sheetData>
    <row r="1" spans="1:8" ht="23.25" customHeight="1">
      <c r="A1" s="845" t="str">
        <f>კრებსითი!A4</f>
        <v>adigenis municipalitetSi sof. varxanis gzebis monakveTebi (monakveTi II)</v>
      </c>
      <c r="B1" s="846"/>
      <c r="C1" s="846"/>
      <c r="D1" s="846"/>
      <c r="E1" s="846"/>
      <c r="F1" s="846"/>
      <c r="G1" s="846"/>
      <c r="H1" s="846"/>
    </row>
    <row r="2" spans="1:8" ht="18.75" customHeight="1">
      <c r="A2" s="781" t="str">
        <f>კრებსითი!A6</f>
        <v>gzis reabilitacia</v>
      </c>
      <c r="B2" s="781"/>
      <c r="C2" s="781"/>
      <c r="D2" s="781"/>
      <c r="E2" s="781"/>
      <c r="F2" s="781"/>
      <c r="G2" s="781"/>
      <c r="H2" s="781"/>
    </row>
    <row r="3" spans="1:8" ht="18" customHeight="1">
      <c r="A3" s="665" t="s">
        <v>313</v>
      </c>
      <c r="B3" s="665"/>
      <c r="C3" s="665"/>
      <c r="D3" s="665"/>
      <c r="E3" s="665"/>
      <c r="F3" s="665"/>
      <c r="G3" s="665"/>
      <c r="H3" s="665"/>
    </row>
    <row r="4" spans="1:8" ht="21" customHeight="1">
      <c r="A4" s="775" t="s">
        <v>243</v>
      </c>
      <c r="B4" s="775"/>
      <c r="C4" s="775"/>
      <c r="D4" s="775"/>
      <c r="E4" s="775"/>
      <c r="F4" s="775"/>
      <c r="G4" s="775"/>
      <c r="H4" s="775"/>
    </row>
    <row r="5" spans="1:8" ht="21" customHeight="1">
      <c r="A5" s="32"/>
      <c r="B5" s="847" t="s">
        <v>4</v>
      </c>
      <c r="C5" s="847"/>
      <c r="D5" s="847"/>
      <c r="E5" s="847"/>
      <c r="F5" s="17">
        <f>H62</f>
        <v>0</v>
      </c>
      <c r="G5" s="848" t="s">
        <v>40</v>
      </c>
      <c r="H5" s="848"/>
    </row>
    <row r="6" spans="1:8" ht="16.5" customHeight="1">
      <c r="A6" s="47"/>
      <c r="B6" s="47"/>
      <c r="C6" s="47"/>
      <c r="D6" s="851" t="s">
        <v>125</v>
      </c>
      <c r="E6" s="883" t="s">
        <v>7</v>
      </c>
      <c r="F6" s="884"/>
      <c r="G6" s="885" t="s">
        <v>2</v>
      </c>
      <c r="H6" s="885"/>
    </row>
    <row r="7" spans="1:8" ht="16.5" customHeight="1">
      <c r="A7" s="45" t="s">
        <v>0</v>
      </c>
      <c r="B7" s="45" t="s">
        <v>5</v>
      </c>
      <c r="C7" s="45" t="s">
        <v>47</v>
      </c>
      <c r="D7" s="852"/>
      <c r="E7" s="47" t="s">
        <v>8</v>
      </c>
      <c r="F7" s="47" t="s">
        <v>55</v>
      </c>
      <c r="G7" s="45" t="s">
        <v>10</v>
      </c>
      <c r="H7" s="45" t="s">
        <v>1</v>
      </c>
    </row>
    <row r="8" spans="1:8" ht="18.75" customHeight="1">
      <c r="A8" s="43"/>
      <c r="B8" s="43"/>
      <c r="C8" s="43"/>
      <c r="D8" s="853"/>
      <c r="E8" s="43"/>
      <c r="F8" s="34" t="s">
        <v>56</v>
      </c>
      <c r="G8" s="43"/>
      <c r="H8" s="43"/>
    </row>
    <row r="9" spans="1:8" ht="15" customHeight="1">
      <c r="A9" s="126">
        <v>1</v>
      </c>
      <c r="B9" s="126">
        <v>2</v>
      </c>
      <c r="C9" s="126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</row>
    <row r="10" spans="1:8" ht="27.75" customHeight="1">
      <c r="A10" s="886">
        <v>1</v>
      </c>
      <c r="B10" s="888" t="s">
        <v>195</v>
      </c>
      <c r="C10" s="210" t="s">
        <v>283</v>
      </c>
      <c r="D10" s="75" t="s">
        <v>66</v>
      </c>
      <c r="E10" s="76"/>
      <c r="F10" s="76">
        <f>სავალი!G9/1000</f>
        <v>0.43472</v>
      </c>
      <c r="G10" s="76"/>
      <c r="H10" s="284"/>
    </row>
    <row r="11" spans="1:8" ht="19.5" customHeight="1">
      <c r="A11" s="887"/>
      <c r="B11" s="889"/>
      <c r="C11" s="211" t="s">
        <v>41</v>
      </c>
      <c r="D11" s="81" t="s">
        <v>42</v>
      </c>
      <c r="E11" s="82">
        <v>55.8</v>
      </c>
      <c r="F11" s="82">
        <f>E11*F10</f>
        <v>24.257375999999997</v>
      </c>
      <c r="G11" s="82"/>
      <c r="H11" s="82"/>
    </row>
    <row r="12" spans="1:8" ht="19.5" customHeight="1">
      <c r="A12" s="887"/>
      <c r="B12" s="889"/>
      <c r="C12" s="211" t="s">
        <v>67</v>
      </c>
      <c r="D12" s="81" t="s">
        <v>49</v>
      </c>
      <c r="E12" s="82">
        <v>3.88</v>
      </c>
      <c r="F12" s="82">
        <f>E12*F10</f>
        <v>1.6867136</v>
      </c>
      <c r="G12" s="13"/>
      <c r="H12" s="82"/>
    </row>
    <row r="13" spans="1:8" ht="19.5" customHeight="1">
      <c r="A13" s="887"/>
      <c r="B13" s="889"/>
      <c r="C13" s="223" t="s">
        <v>57</v>
      </c>
      <c r="D13" s="81" t="s">
        <v>49</v>
      </c>
      <c r="E13" s="12">
        <v>8.22</v>
      </c>
      <c r="F13" s="13">
        <f>E13*F10</f>
        <v>3.5733984000000003</v>
      </c>
      <c r="G13" s="81"/>
      <c r="H13" s="82"/>
    </row>
    <row r="14" spans="1:8" ht="19.5" customHeight="1">
      <c r="A14" s="887"/>
      <c r="B14" s="889"/>
      <c r="C14" s="223" t="s">
        <v>58</v>
      </c>
      <c r="D14" s="81" t="s">
        <v>49</v>
      </c>
      <c r="E14" s="12">
        <v>21.4</v>
      </c>
      <c r="F14" s="13">
        <f>E14*F10</f>
        <v>9.303008</v>
      </c>
      <c r="G14" s="81"/>
      <c r="H14" s="82"/>
    </row>
    <row r="15" spans="1:8" ht="19.5" customHeight="1">
      <c r="A15" s="887"/>
      <c r="B15" s="889"/>
      <c r="C15" s="211" t="s">
        <v>61</v>
      </c>
      <c r="D15" s="81" t="s">
        <v>49</v>
      </c>
      <c r="E15" s="82">
        <v>3.5</v>
      </c>
      <c r="F15" s="82">
        <f>E15*F10</f>
        <v>1.52152</v>
      </c>
      <c r="G15" s="81"/>
      <c r="H15" s="82"/>
    </row>
    <row r="16" spans="1:8" ht="19.5" customHeight="1">
      <c r="A16" s="887"/>
      <c r="B16" s="889"/>
      <c r="C16" s="211" t="s">
        <v>91</v>
      </c>
      <c r="D16" s="81" t="s">
        <v>29</v>
      </c>
      <c r="E16" s="82">
        <v>1.02</v>
      </c>
      <c r="F16" s="82">
        <f>E16*F10</f>
        <v>0.4434144</v>
      </c>
      <c r="G16" s="82"/>
      <c r="H16" s="82"/>
    </row>
    <row r="17" spans="1:8" ht="19.5" customHeight="1">
      <c r="A17" s="887"/>
      <c r="B17" s="889"/>
      <c r="C17" s="211" t="s">
        <v>60</v>
      </c>
      <c r="D17" s="81" t="s">
        <v>68</v>
      </c>
      <c r="E17" s="82">
        <v>66.5</v>
      </c>
      <c r="F17" s="82">
        <f>E17*F10</f>
        <v>28.90888</v>
      </c>
      <c r="G17" s="13"/>
      <c r="H17" s="82"/>
    </row>
    <row r="18" spans="1:8" ht="19.5" customHeight="1">
      <c r="A18" s="887"/>
      <c r="B18" s="890"/>
      <c r="C18" s="302" t="s">
        <v>63</v>
      </c>
      <c r="D18" s="86" t="s">
        <v>68</v>
      </c>
      <c r="E18" s="87">
        <v>25</v>
      </c>
      <c r="F18" s="87">
        <f>E18*F10</f>
        <v>10.868</v>
      </c>
      <c r="G18" s="87"/>
      <c r="H18" s="87"/>
    </row>
    <row r="19" spans="1:8" ht="27.75" customHeight="1">
      <c r="A19" s="161">
        <v>2</v>
      </c>
      <c r="B19" s="891" t="s">
        <v>72</v>
      </c>
      <c r="C19" s="162" t="s">
        <v>327</v>
      </c>
      <c r="D19" s="33" t="s">
        <v>66</v>
      </c>
      <c r="E19" s="163"/>
      <c r="F19" s="10">
        <f>სავალი!I9/1000</f>
        <v>0.4264</v>
      </c>
      <c r="G19" s="6"/>
      <c r="H19" s="284"/>
    </row>
    <row r="20" spans="1:8" ht="19.5" customHeight="1">
      <c r="A20" s="164"/>
      <c r="B20" s="892"/>
      <c r="C20" s="160" t="s">
        <v>41</v>
      </c>
      <c r="D20" s="35" t="s">
        <v>42</v>
      </c>
      <c r="E20" s="12">
        <f>(33+16.4)</f>
        <v>49.4</v>
      </c>
      <c r="F20" s="13">
        <f>E20*F19</f>
        <v>21.06416</v>
      </c>
      <c r="G20" s="82"/>
      <c r="H20" s="13"/>
    </row>
    <row r="21" spans="1:8" ht="19.5" customHeight="1">
      <c r="A21" s="164"/>
      <c r="B21" s="892"/>
      <c r="C21" s="160" t="s">
        <v>67</v>
      </c>
      <c r="D21" s="35" t="s">
        <v>49</v>
      </c>
      <c r="E21" s="12">
        <f>1.91</f>
        <v>1.91</v>
      </c>
      <c r="F21" s="13">
        <f>E21*F19</f>
        <v>0.8144239999999999</v>
      </c>
      <c r="G21" s="13"/>
      <c r="H21" s="13"/>
    </row>
    <row r="22" spans="1:8" ht="19.5" customHeight="1">
      <c r="A22" s="164"/>
      <c r="B22" s="892"/>
      <c r="C22" s="160" t="s">
        <v>57</v>
      </c>
      <c r="D22" s="35" t="s">
        <v>49</v>
      </c>
      <c r="E22" s="12">
        <v>11.2</v>
      </c>
      <c r="F22" s="13">
        <f>E22*F19</f>
        <v>4.7756799999999995</v>
      </c>
      <c r="G22" s="13"/>
      <c r="H22" s="13"/>
    </row>
    <row r="23" spans="1:8" ht="19.5" customHeight="1">
      <c r="A23" s="164"/>
      <c r="B23" s="892"/>
      <c r="C23" s="160" t="s">
        <v>58</v>
      </c>
      <c r="D23" s="35" t="s">
        <v>49</v>
      </c>
      <c r="E23" s="12">
        <v>24.8</v>
      </c>
      <c r="F23" s="13">
        <f>E23*F19</f>
        <v>10.574720000000001</v>
      </c>
      <c r="G23" s="13"/>
      <c r="H23" s="13"/>
    </row>
    <row r="24" spans="1:8" ht="19.5" customHeight="1">
      <c r="A24" s="164"/>
      <c r="B24" s="892"/>
      <c r="C24" s="160" t="s">
        <v>61</v>
      </c>
      <c r="D24" s="35" t="s">
        <v>49</v>
      </c>
      <c r="E24" s="12">
        <v>4.14</v>
      </c>
      <c r="F24" s="13">
        <f>E24*F19</f>
        <v>1.765296</v>
      </c>
      <c r="G24" s="13"/>
      <c r="H24" s="13"/>
    </row>
    <row r="25" spans="1:8" ht="19.5" customHeight="1">
      <c r="A25" s="164"/>
      <c r="B25" s="892"/>
      <c r="C25" s="160" t="s">
        <v>74</v>
      </c>
      <c r="D25" s="35" t="s">
        <v>49</v>
      </c>
      <c r="E25" s="12">
        <v>0.53</v>
      </c>
      <c r="F25" s="13">
        <f>E25*F19</f>
        <v>0.225992</v>
      </c>
      <c r="G25" s="81"/>
      <c r="H25" s="13"/>
    </row>
    <row r="26" spans="1:8" ht="19.5" customHeight="1">
      <c r="A26" s="164"/>
      <c r="B26" s="892"/>
      <c r="C26" s="160" t="s">
        <v>62</v>
      </c>
      <c r="D26" s="35" t="s">
        <v>36</v>
      </c>
      <c r="E26" s="12">
        <v>151.2</v>
      </c>
      <c r="F26" s="13">
        <f>E26*F19</f>
        <v>64.47167999999999</v>
      </c>
      <c r="G26" s="14"/>
      <c r="H26" s="13"/>
    </row>
    <row r="27" spans="1:8" ht="19.5" customHeight="1">
      <c r="A27" s="164"/>
      <c r="B27" s="892"/>
      <c r="C27" s="160" t="s">
        <v>73</v>
      </c>
      <c r="D27" s="35" t="s">
        <v>36</v>
      </c>
      <c r="E27" s="12">
        <v>10</v>
      </c>
      <c r="F27" s="13">
        <f>E27*F19</f>
        <v>4.264</v>
      </c>
      <c r="G27" s="14"/>
      <c r="H27" s="13"/>
    </row>
    <row r="28" spans="1:8" ht="19.5" customHeight="1">
      <c r="A28" s="165"/>
      <c r="B28" s="893"/>
      <c r="C28" s="166" t="s">
        <v>63</v>
      </c>
      <c r="D28" s="34" t="s">
        <v>68</v>
      </c>
      <c r="E28" s="8">
        <v>30</v>
      </c>
      <c r="F28" s="9">
        <f>E28*F19</f>
        <v>12.792</v>
      </c>
      <c r="G28" s="132"/>
      <c r="H28" s="9"/>
    </row>
    <row r="29" spans="1:8" ht="57" customHeight="1">
      <c r="A29" s="347">
        <v>3</v>
      </c>
      <c r="B29" s="129" t="s">
        <v>202</v>
      </c>
      <c r="C29" s="345" t="s">
        <v>303</v>
      </c>
      <c r="D29" s="75" t="s">
        <v>194</v>
      </c>
      <c r="E29" s="329"/>
      <c r="F29" s="77">
        <f>სავალი!K9</f>
        <v>416</v>
      </c>
      <c r="G29" s="75"/>
      <c r="H29" s="284"/>
    </row>
    <row r="30" spans="1:8" ht="19.5" customHeight="1">
      <c r="A30" s="348"/>
      <c r="B30" s="78"/>
      <c r="C30" s="328" t="s">
        <v>41</v>
      </c>
      <c r="D30" s="35" t="s">
        <v>42</v>
      </c>
      <c r="E30" s="335">
        <v>0.194</v>
      </c>
      <c r="F30" s="336">
        <f>E30*F29</f>
        <v>80.70400000000001</v>
      </c>
      <c r="G30" s="82"/>
      <c r="H30" s="82"/>
    </row>
    <row r="31" spans="1:8" ht="19.5" customHeight="1">
      <c r="A31" s="330"/>
      <c r="B31" s="258"/>
      <c r="C31" s="326" t="s">
        <v>228</v>
      </c>
      <c r="D31" s="35" t="s">
        <v>49</v>
      </c>
      <c r="E31" s="335">
        <v>0.0075</v>
      </c>
      <c r="F31" s="336">
        <f>E31*F29</f>
        <v>3.12</v>
      </c>
      <c r="G31" s="350"/>
      <c r="H31" s="82"/>
    </row>
    <row r="32" spans="1:8" ht="19.5" customHeight="1">
      <c r="A32" s="330"/>
      <c r="B32" s="258"/>
      <c r="C32" s="326" t="s">
        <v>218</v>
      </c>
      <c r="D32" s="35" t="s">
        <v>49</v>
      </c>
      <c r="E32" s="335">
        <v>0.0075</v>
      </c>
      <c r="F32" s="336">
        <f>E32*F29</f>
        <v>3.12</v>
      </c>
      <c r="G32" s="399"/>
      <c r="H32" s="82"/>
    </row>
    <row r="33" spans="1:8" ht="19.5" customHeight="1">
      <c r="A33" s="330"/>
      <c r="B33" s="258"/>
      <c r="C33" s="326" t="s">
        <v>219</v>
      </c>
      <c r="D33" s="35" t="s">
        <v>49</v>
      </c>
      <c r="E33" s="335">
        <v>0.0186</v>
      </c>
      <c r="F33" s="336">
        <f>E33*F29</f>
        <v>7.7376</v>
      </c>
      <c r="G33" s="399"/>
      <c r="H33" s="82"/>
    </row>
    <row r="34" spans="1:8" ht="19.5" customHeight="1">
      <c r="A34" s="330"/>
      <c r="B34" s="258"/>
      <c r="C34" s="326" t="s">
        <v>214</v>
      </c>
      <c r="D34" s="35" t="s">
        <v>49</v>
      </c>
      <c r="E34" s="335">
        <v>0.0075</v>
      </c>
      <c r="F34" s="336">
        <f>E34*F29</f>
        <v>3.12</v>
      </c>
      <c r="G34" s="350"/>
      <c r="H34" s="82"/>
    </row>
    <row r="35" spans="1:8" ht="19.5" customHeight="1">
      <c r="A35" s="330"/>
      <c r="B35" s="258"/>
      <c r="C35" s="223" t="s">
        <v>91</v>
      </c>
      <c r="D35" s="334" t="s">
        <v>203</v>
      </c>
      <c r="E35" s="335">
        <v>0.0309</v>
      </c>
      <c r="F35" s="336">
        <f>E35*F29</f>
        <v>12.8544</v>
      </c>
      <c r="G35" s="350"/>
      <c r="H35" s="82"/>
    </row>
    <row r="36" spans="1:17" ht="19.5" customHeight="1">
      <c r="A36" s="330"/>
      <c r="B36" s="258"/>
      <c r="C36" s="576" t="s">
        <v>304</v>
      </c>
      <c r="D36" s="334" t="s">
        <v>213</v>
      </c>
      <c r="E36" s="335">
        <v>0.164</v>
      </c>
      <c r="F36" s="338">
        <f>E36*F29</f>
        <v>68.224</v>
      </c>
      <c r="G36" s="82"/>
      <c r="H36" s="82"/>
      <c r="Q36" s="401"/>
    </row>
    <row r="37" spans="1:8" ht="19.5" customHeight="1">
      <c r="A37" s="330"/>
      <c r="B37" s="258"/>
      <c r="C37" s="160" t="s">
        <v>107</v>
      </c>
      <c r="D37" s="337" t="s">
        <v>50</v>
      </c>
      <c r="E37" s="335">
        <v>0.0005</v>
      </c>
      <c r="F37" s="338">
        <f>E37*F29</f>
        <v>0.20800000000000002</v>
      </c>
      <c r="G37" s="82"/>
      <c r="H37" s="82"/>
    </row>
    <row r="38" spans="1:8" ht="19.5" customHeight="1">
      <c r="A38" s="331"/>
      <c r="B38" s="259"/>
      <c r="C38" s="332" t="s">
        <v>30</v>
      </c>
      <c r="D38" s="340" t="s">
        <v>203</v>
      </c>
      <c r="E38" s="341">
        <v>0.0185</v>
      </c>
      <c r="F38" s="342">
        <f>E38*F29</f>
        <v>7.696</v>
      </c>
      <c r="G38" s="86"/>
      <c r="H38" s="87"/>
    </row>
    <row r="39" spans="1:8" ht="26.25" customHeight="1">
      <c r="A39" s="348">
        <v>4</v>
      </c>
      <c r="B39" s="11" t="s">
        <v>205</v>
      </c>
      <c r="C39" s="344" t="s">
        <v>215</v>
      </c>
      <c r="D39" s="75" t="s">
        <v>194</v>
      </c>
      <c r="E39" s="335"/>
      <c r="F39" s="351">
        <f>F29</f>
        <v>416</v>
      </c>
      <c r="G39" s="327"/>
      <c r="H39" s="284"/>
    </row>
    <row r="40" spans="1:8" ht="19.5" customHeight="1">
      <c r="A40" s="348"/>
      <c r="B40" s="11"/>
      <c r="C40" s="328" t="s">
        <v>41</v>
      </c>
      <c r="D40" s="35" t="s">
        <v>42</v>
      </c>
      <c r="E40" s="335">
        <v>0.0117</v>
      </c>
      <c r="F40" s="336">
        <f>E40*F39</f>
        <v>4.8672</v>
      </c>
      <c r="G40" s="327"/>
      <c r="H40" s="13"/>
    </row>
    <row r="41" spans="1:8" ht="19.5" customHeight="1">
      <c r="A41" s="359"/>
      <c r="B41" s="15"/>
      <c r="C41" s="349" t="s">
        <v>216</v>
      </c>
      <c r="D41" s="346" t="s">
        <v>204</v>
      </c>
      <c r="E41" s="341"/>
      <c r="F41" s="342">
        <f>სავალი!M9</f>
        <v>1.6640000000000001</v>
      </c>
      <c r="G41" s="225"/>
      <c r="H41" s="9"/>
    </row>
    <row r="42" spans="1:8" ht="26.25" customHeight="1">
      <c r="A42" s="348">
        <v>5</v>
      </c>
      <c r="B42" s="11" t="s">
        <v>207</v>
      </c>
      <c r="C42" s="326" t="s">
        <v>210</v>
      </c>
      <c r="D42" s="343" t="s">
        <v>122</v>
      </c>
      <c r="E42" s="335"/>
      <c r="F42" s="414">
        <f>0.002033*F29</f>
        <v>0.845728</v>
      </c>
      <c r="G42" s="327"/>
      <c r="H42" s="284"/>
    </row>
    <row r="43" spans="1:8" ht="19.5" customHeight="1">
      <c r="A43" s="330"/>
      <c r="B43" s="333"/>
      <c r="C43" s="328" t="s">
        <v>41</v>
      </c>
      <c r="D43" s="35" t="s">
        <v>42</v>
      </c>
      <c r="E43" s="335">
        <v>7.7</v>
      </c>
      <c r="F43" s="336">
        <f>E43*F42</f>
        <v>6.512105600000001</v>
      </c>
      <c r="G43" s="327"/>
      <c r="H43" s="82"/>
    </row>
    <row r="44" spans="1:8" ht="19.5" customHeight="1" thickBot="1">
      <c r="A44" s="330"/>
      <c r="B44" s="333"/>
      <c r="C44" s="326" t="s">
        <v>227</v>
      </c>
      <c r="D44" s="35" t="s">
        <v>49</v>
      </c>
      <c r="E44" s="335">
        <v>19.4</v>
      </c>
      <c r="F44" s="336">
        <f>E44*F42</f>
        <v>16.4071232</v>
      </c>
      <c r="G44" s="389"/>
      <c r="H44" s="82"/>
    </row>
    <row r="45" spans="1:17" ht="19.5" customHeight="1">
      <c r="A45" s="330"/>
      <c r="B45" s="333"/>
      <c r="C45" s="326" t="s">
        <v>211</v>
      </c>
      <c r="D45" s="35" t="s">
        <v>49</v>
      </c>
      <c r="E45" s="335">
        <v>2.42</v>
      </c>
      <c r="F45" s="336">
        <f>E45*F42</f>
        <v>2.04666176</v>
      </c>
      <c r="G45" s="327"/>
      <c r="H45" s="82"/>
      <c r="N45" s="402"/>
      <c r="O45" s="403"/>
      <c r="P45" s="403"/>
      <c r="Q45" s="404"/>
    </row>
    <row r="46" spans="1:20" ht="19.5" customHeight="1">
      <c r="A46" s="330"/>
      <c r="B46" s="333"/>
      <c r="C46" s="326" t="s">
        <v>212</v>
      </c>
      <c r="D46" s="35" t="s">
        <v>49</v>
      </c>
      <c r="E46" s="335">
        <v>1.67</v>
      </c>
      <c r="F46" s="336">
        <f>E46*F42</f>
        <v>1.41236576</v>
      </c>
      <c r="G46" s="389"/>
      <c r="H46" s="82"/>
      <c r="N46" s="405"/>
      <c r="O46" s="50"/>
      <c r="P46" s="50"/>
      <c r="Q46" s="406"/>
      <c r="S46" s="50"/>
      <c r="T46" s="50"/>
    </row>
    <row r="47" spans="1:20" ht="19.5" customHeight="1">
      <c r="A47" s="330"/>
      <c r="B47" s="333"/>
      <c r="C47" s="160" t="s">
        <v>61</v>
      </c>
      <c r="D47" s="35" t="s">
        <v>49</v>
      </c>
      <c r="E47" s="335">
        <v>0.88</v>
      </c>
      <c r="F47" s="336">
        <f>E47*F42</f>
        <v>0.74424064</v>
      </c>
      <c r="G47" s="327"/>
      <c r="H47" s="82"/>
      <c r="N47" s="405"/>
      <c r="O47" s="50"/>
      <c r="P47" s="407"/>
      <c r="Q47" s="406"/>
      <c r="S47" s="50"/>
      <c r="T47" s="407"/>
    </row>
    <row r="48" spans="1:20" ht="19.5" customHeight="1">
      <c r="A48" s="330"/>
      <c r="B48" s="333"/>
      <c r="C48" s="223" t="s">
        <v>91</v>
      </c>
      <c r="D48" s="334" t="s">
        <v>203</v>
      </c>
      <c r="E48" s="335">
        <v>6.37</v>
      </c>
      <c r="F48" s="336">
        <f>E48*F42</f>
        <v>5.38728736</v>
      </c>
      <c r="G48" s="327"/>
      <c r="H48" s="82"/>
      <c r="N48" s="405"/>
      <c r="O48" s="50"/>
      <c r="P48" s="50"/>
      <c r="Q48" s="406"/>
      <c r="S48" s="50"/>
      <c r="T48" s="50"/>
    </row>
    <row r="49" spans="1:17" ht="19.5" customHeight="1" thickBot="1">
      <c r="A49" s="330"/>
      <c r="B49" s="333"/>
      <c r="C49" s="160" t="s">
        <v>107</v>
      </c>
      <c r="D49" s="337" t="s">
        <v>50</v>
      </c>
      <c r="E49" s="335">
        <v>0.06</v>
      </c>
      <c r="F49" s="338">
        <f>E49*F42</f>
        <v>0.05074368</v>
      </c>
      <c r="G49" s="327"/>
      <c r="H49" s="82"/>
      <c r="N49" s="408"/>
      <c r="O49" s="409"/>
      <c r="P49" s="409"/>
      <c r="Q49" s="410"/>
    </row>
    <row r="50" spans="1:8" ht="19.5" customHeight="1">
      <c r="A50" s="330"/>
      <c r="B50" s="333"/>
      <c r="C50" s="160" t="s">
        <v>63</v>
      </c>
      <c r="D50" s="334" t="s">
        <v>213</v>
      </c>
      <c r="E50" s="335">
        <v>6.2</v>
      </c>
      <c r="F50" s="338">
        <f>E50*F42</f>
        <v>5.2435136</v>
      </c>
      <c r="G50" s="327"/>
      <c r="H50" s="82"/>
    </row>
    <row r="51" spans="1:8" ht="19.5" customHeight="1">
      <c r="A51" s="330"/>
      <c r="B51" s="333"/>
      <c r="C51" s="326" t="s">
        <v>208</v>
      </c>
      <c r="D51" s="334" t="s">
        <v>213</v>
      </c>
      <c r="E51" s="335">
        <v>1</v>
      </c>
      <c r="F51" s="338">
        <f>E51*F42</f>
        <v>0.845728</v>
      </c>
      <c r="G51" s="327"/>
      <c r="H51" s="82"/>
    </row>
    <row r="52" spans="1:9" ht="19.5" customHeight="1">
      <c r="A52" s="330"/>
      <c r="B52" s="333"/>
      <c r="C52" s="326" t="s">
        <v>209</v>
      </c>
      <c r="D52" s="337" t="s">
        <v>50</v>
      </c>
      <c r="E52" s="335">
        <v>0.07</v>
      </c>
      <c r="F52" s="338">
        <f>E52*F42</f>
        <v>0.05920096000000001</v>
      </c>
      <c r="G52" s="389"/>
      <c r="H52" s="82"/>
      <c r="I52" s="400"/>
    </row>
    <row r="53" spans="1:8" ht="19.5" customHeight="1">
      <c r="A53" s="331"/>
      <c r="B53" s="339"/>
      <c r="C53" s="332" t="s">
        <v>30</v>
      </c>
      <c r="D53" s="340" t="s">
        <v>203</v>
      </c>
      <c r="E53" s="341">
        <v>1.78</v>
      </c>
      <c r="F53" s="342">
        <f>E53*F42</f>
        <v>1.50539584</v>
      </c>
      <c r="G53" s="322"/>
      <c r="H53" s="87"/>
    </row>
    <row r="54" spans="1:8" ht="27" customHeight="1">
      <c r="A54" s="36">
        <v>6</v>
      </c>
      <c r="B54" s="37" t="s">
        <v>51</v>
      </c>
      <c r="C54" s="208" t="s">
        <v>173</v>
      </c>
      <c r="D54" s="35" t="s">
        <v>37</v>
      </c>
      <c r="E54" s="325"/>
      <c r="F54" s="13">
        <f>სავალი!O9/100</f>
        <v>0.1664</v>
      </c>
      <c r="G54" s="11"/>
      <c r="H54" s="284"/>
    </row>
    <row r="55" spans="1:8" ht="21" customHeight="1">
      <c r="A55" s="36"/>
      <c r="B55" s="37"/>
      <c r="C55" s="38" t="s">
        <v>41</v>
      </c>
      <c r="D55" s="35" t="s">
        <v>42</v>
      </c>
      <c r="E55" s="128">
        <f>14.9</f>
        <v>14.9</v>
      </c>
      <c r="F55" s="13">
        <f>E55*F54</f>
        <v>2.47936</v>
      </c>
      <c r="G55" s="13"/>
      <c r="H55" s="107"/>
    </row>
    <row r="56" spans="1:8" ht="21" customHeight="1">
      <c r="A56" s="36"/>
      <c r="B56" s="40"/>
      <c r="C56" s="44" t="s">
        <v>58</v>
      </c>
      <c r="D56" s="35" t="s">
        <v>49</v>
      </c>
      <c r="E56" s="128">
        <v>2.73</v>
      </c>
      <c r="F56" s="13">
        <f>E56*F54</f>
        <v>0.45427199999999995</v>
      </c>
      <c r="G56" s="81"/>
      <c r="H56" s="107"/>
    </row>
    <row r="57" spans="1:8" ht="21" customHeight="1">
      <c r="A57" s="41"/>
      <c r="B57" s="41"/>
      <c r="C57" s="42" t="s">
        <v>65</v>
      </c>
      <c r="D57" s="34" t="s">
        <v>68</v>
      </c>
      <c r="E57" s="109">
        <v>122</v>
      </c>
      <c r="F57" s="9">
        <f>E57*F54</f>
        <v>20.3008</v>
      </c>
      <c r="G57" s="13"/>
      <c r="H57" s="108"/>
    </row>
    <row r="58" spans="1:8" ht="21" customHeight="1">
      <c r="A58" s="880" t="s">
        <v>52</v>
      </c>
      <c r="B58" s="881"/>
      <c r="C58" s="881"/>
      <c r="D58" s="881"/>
      <c r="E58" s="881"/>
      <c r="F58" s="881"/>
      <c r="G58" s="882"/>
      <c r="H58" s="9">
        <f>H54+H39+H29+H19+H10+H42</f>
        <v>0</v>
      </c>
    </row>
    <row r="59" spans="1:8" ht="21" customHeight="1">
      <c r="A59" s="880" t="s">
        <v>360</v>
      </c>
      <c r="B59" s="881"/>
      <c r="C59" s="881"/>
      <c r="D59" s="881"/>
      <c r="E59" s="881"/>
      <c r="F59" s="881"/>
      <c r="G59" s="882"/>
      <c r="H59" s="16">
        <f>H58*0.1</f>
        <v>0</v>
      </c>
    </row>
    <row r="60" spans="1:8" ht="21" customHeight="1">
      <c r="A60" s="880" t="s">
        <v>53</v>
      </c>
      <c r="B60" s="881"/>
      <c r="C60" s="881"/>
      <c r="D60" s="881"/>
      <c r="E60" s="881"/>
      <c r="F60" s="881"/>
      <c r="G60" s="882"/>
      <c r="H60" s="16">
        <f>H58+H59</f>
        <v>0</v>
      </c>
    </row>
    <row r="61" spans="1:8" ht="21" customHeight="1">
      <c r="A61" s="880" t="s">
        <v>361</v>
      </c>
      <c r="B61" s="881"/>
      <c r="C61" s="881"/>
      <c r="D61" s="881"/>
      <c r="E61" s="881"/>
      <c r="F61" s="881"/>
      <c r="G61" s="882"/>
      <c r="H61" s="16">
        <f>H60*0.08</f>
        <v>0</v>
      </c>
    </row>
    <row r="62" spans="1:8" ht="21" customHeight="1">
      <c r="A62" s="880" t="s">
        <v>54</v>
      </c>
      <c r="B62" s="881"/>
      <c r="C62" s="881"/>
      <c r="D62" s="881"/>
      <c r="E62" s="881"/>
      <c r="F62" s="881"/>
      <c r="G62" s="882"/>
      <c r="H62" s="16">
        <f>H60+H61</f>
        <v>0</v>
      </c>
    </row>
    <row r="63" spans="1:8" ht="57.75" customHeight="1">
      <c r="A63" s="822"/>
      <c r="B63" s="822"/>
      <c r="C63" s="822"/>
      <c r="D63" s="822"/>
      <c r="E63" s="822"/>
      <c r="F63" s="822"/>
      <c r="G63" s="822"/>
      <c r="H63" s="822"/>
    </row>
  </sheetData>
  <sheetProtection/>
  <mergeCells count="18">
    <mergeCell ref="A10:A18"/>
    <mergeCell ref="B10:B18"/>
    <mergeCell ref="B19:B28"/>
    <mergeCell ref="A63:H63"/>
    <mergeCell ref="A62:G62"/>
    <mergeCell ref="A59:G59"/>
    <mergeCell ref="A60:G60"/>
    <mergeCell ref="A61:G61"/>
    <mergeCell ref="A58:G58"/>
    <mergeCell ref="D6:D8"/>
    <mergeCell ref="E6:F6"/>
    <mergeCell ref="A1:H1"/>
    <mergeCell ref="A2:H2"/>
    <mergeCell ref="A3:H3"/>
    <mergeCell ref="A4:H4"/>
    <mergeCell ref="B5:E5"/>
    <mergeCell ref="G5:H5"/>
    <mergeCell ref="G6:H6"/>
  </mergeCells>
  <printOptions horizontalCentered="1"/>
  <pageMargins left="0.1968503937007874" right="0.1968503937007874" top="0.3937007874015748" bottom="0.1968503937007874" header="0.1968503937007874" footer="0.1574803149606299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2"/>
  <sheetViews>
    <sheetView zoomScale="70" zoomScaleNormal="70" zoomScaleSheetLayoutView="90" zoomScalePageLayoutView="0" workbookViewId="0" topLeftCell="A28">
      <selection activeCell="A40" sqref="A40:G40"/>
    </sheetView>
  </sheetViews>
  <sheetFormatPr defaultColWidth="9.00390625" defaultRowHeight="12.75"/>
  <cols>
    <col min="1" max="1" width="3.25390625" style="31" customWidth="1"/>
    <col min="2" max="2" width="8.75390625" style="31" customWidth="1"/>
    <col min="3" max="3" width="76.625" style="46" customWidth="1"/>
    <col min="4" max="4" width="7.875" style="31" customWidth="1"/>
    <col min="5" max="5" width="11.25390625" style="31" customWidth="1"/>
    <col min="6" max="6" width="13.25390625" style="31" customWidth="1"/>
    <col min="7" max="7" width="8.125" style="31" customWidth="1"/>
    <col min="8" max="8" width="9.375" style="31" customWidth="1"/>
    <col min="9" max="9" width="12.125" style="31" customWidth="1"/>
    <col min="10" max="10" width="11.00390625" style="31" customWidth="1"/>
    <col min="11" max="11" width="10.00390625" style="31" bestFit="1" customWidth="1"/>
    <col min="12" max="16384" width="9.125" style="31" customWidth="1"/>
  </cols>
  <sheetData>
    <row r="1" spans="1:8" ht="28.5" customHeight="1">
      <c r="A1" s="845" t="str">
        <f>კრებსითი!A4</f>
        <v>adigenis municipalitetSi sof. varxanis gzebis monakveTebi (monakveTi II)</v>
      </c>
      <c r="B1" s="846"/>
      <c r="C1" s="846"/>
      <c r="D1" s="846"/>
      <c r="E1" s="846"/>
      <c r="F1" s="846"/>
      <c r="G1" s="846"/>
      <c r="H1" s="846"/>
    </row>
    <row r="2" spans="1:8" ht="18.75" customHeight="1">
      <c r="A2" s="781" t="str">
        <f>კრებსითი!A6</f>
        <v>gzis reabilitacia</v>
      </c>
      <c r="B2" s="781"/>
      <c r="C2" s="781"/>
      <c r="D2" s="781"/>
      <c r="E2" s="781"/>
      <c r="F2" s="781"/>
      <c r="G2" s="781"/>
      <c r="H2" s="781"/>
    </row>
    <row r="3" spans="1:8" ht="21" customHeight="1">
      <c r="A3" s="665" t="s">
        <v>314</v>
      </c>
      <c r="B3" s="665"/>
      <c r="C3" s="665"/>
      <c r="D3" s="665"/>
      <c r="E3" s="665"/>
      <c r="F3" s="665"/>
      <c r="G3" s="665"/>
      <c r="H3" s="665"/>
    </row>
    <row r="4" spans="1:8" ht="18.75" customHeight="1">
      <c r="A4" s="775" t="s">
        <v>244</v>
      </c>
      <c r="B4" s="775"/>
      <c r="C4" s="775"/>
      <c r="D4" s="775"/>
      <c r="E4" s="775"/>
      <c r="F4" s="775"/>
      <c r="G4" s="775"/>
      <c r="H4" s="775"/>
    </row>
    <row r="5" spans="1:8" ht="21" customHeight="1">
      <c r="A5" s="32"/>
      <c r="B5" s="847" t="s">
        <v>4</v>
      </c>
      <c r="C5" s="847"/>
      <c r="D5" s="847"/>
      <c r="E5" s="847"/>
      <c r="F5" s="17">
        <f>H41</f>
        <v>0</v>
      </c>
      <c r="G5" s="848" t="s">
        <v>40</v>
      </c>
      <c r="H5" s="848"/>
    </row>
    <row r="6" spans="1:8" ht="18.75" customHeight="1">
      <c r="A6" s="47"/>
      <c r="B6" s="47"/>
      <c r="C6" s="47"/>
      <c r="D6" s="851" t="s">
        <v>125</v>
      </c>
      <c r="E6" s="883" t="s">
        <v>7</v>
      </c>
      <c r="F6" s="884"/>
      <c r="G6" s="885" t="s">
        <v>2</v>
      </c>
      <c r="H6" s="885"/>
    </row>
    <row r="7" spans="1:8" ht="18.75" customHeight="1">
      <c r="A7" s="45" t="s">
        <v>0</v>
      </c>
      <c r="B7" s="45" t="s">
        <v>5</v>
      </c>
      <c r="C7" s="45" t="s">
        <v>47</v>
      </c>
      <c r="D7" s="852"/>
      <c r="E7" s="47" t="s">
        <v>8</v>
      </c>
      <c r="F7" s="47" t="s">
        <v>55</v>
      </c>
      <c r="G7" s="45" t="s">
        <v>10</v>
      </c>
      <c r="H7" s="45" t="s">
        <v>1</v>
      </c>
    </row>
    <row r="8" spans="1:8" ht="18.75" customHeight="1">
      <c r="A8" s="43"/>
      <c r="B8" s="43"/>
      <c r="C8" s="43"/>
      <c r="D8" s="853"/>
      <c r="E8" s="43"/>
      <c r="F8" s="34" t="s">
        <v>56</v>
      </c>
      <c r="G8" s="43"/>
      <c r="H8" s="43"/>
    </row>
    <row r="9" spans="1:8" ht="17.25" customHeight="1">
      <c r="A9" s="126">
        <v>1</v>
      </c>
      <c r="B9" s="126">
        <v>2</v>
      </c>
      <c r="C9" s="126">
        <v>3</v>
      </c>
      <c r="D9" s="126">
        <v>4</v>
      </c>
      <c r="E9" s="126">
        <v>5</v>
      </c>
      <c r="F9" s="126">
        <v>6</v>
      </c>
      <c r="G9" s="126">
        <v>7</v>
      </c>
      <c r="H9" s="126">
        <v>8</v>
      </c>
    </row>
    <row r="10" spans="1:8" ht="25.5" customHeight="1">
      <c r="A10" s="419">
        <v>1</v>
      </c>
      <c r="B10" s="894" t="s">
        <v>72</v>
      </c>
      <c r="C10" s="420" t="s">
        <v>327</v>
      </c>
      <c r="D10" s="125" t="s">
        <v>249</v>
      </c>
      <c r="E10" s="421"/>
      <c r="F10" s="422">
        <f>შესასვლელი!D9/1000</f>
        <v>0.15</v>
      </c>
      <c r="G10" s="415"/>
      <c r="H10" s="284"/>
    </row>
    <row r="11" spans="1:8" ht="18" customHeight="1">
      <c r="A11" s="423"/>
      <c r="B11" s="895"/>
      <c r="C11" s="425" t="s">
        <v>41</v>
      </c>
      <c r="D11" s="426" t="s">
        <v>42</v>
      </c>
      <c r="E11" s="427">
        <f>(33+16.4)</f>
        <v>49.4</v>
      </c>
      <c r="F11" s="428">
        <f>E11*F10</f>
        <v>7.409999999999999</v>
      </c>
      <c r="G11" s="288"/>
      <c r="H11" s="428"/>
    </row>
    <row r="12" spans="1:8" ht="18" customHeight="1">
      <c r="A12" s="423"/>
      <c r="B12" s="895"/>
      <c r="C12" s="425" t="s">
        <v>250</v>
      </c>
      <c r="D12" s="426" t="s">
        <v>49</v>
      </c>
      <c r="E12" s="427">
        <f>1.91</f>
        <v>1.91</v>
      </c>
      <c r="F12" s="428">
        <f>E12*F10</f>
        <v>0.2865</v>
      </c>
      <c r="G12" s="428"/>
      <c r="H12" s="428"/>
    </row>
    <row r="13" spans="1:8" ht="18" customHeight="1">
      <c r="A13" s="423"/>
      <c r="B13" s="895"/>
      <c r="C13" s="425" t="s">
        <v>57</v>
      </c>
      <c r="D13" s="426" t="s">
        <v>49</v>
      </c>
      <c r="E13" s="427">
        <v>11.2</v>
      </c>
      <c r="F13" s="428">
        <f>E13*F10</f>
        <v>1.68</v>
      </c>
      <c r="G13" s="277"/>
      <c r="H13" s="428"/>
    </row>
    <row r="14" spans="1:8" ht="18" customHeight="1">
      <c r="A14" s="423"/>
      <c r="B14" s="895"/>
      <c r="C14" s="425" t="s">
        <v>58</v>
      </c>
      <c r="D14" s="426" t="s">
        <v>49</v>
      </c>
      <c r="E14" s="427">
        <v>24.8</v>
      </c>
      <c r="F14" s="428">
        <f>E14*F10</f>
        <v>3.7199999999999998</v>
      </c>
      <c r="G14" s="277"/>
      <c r="H14" s="428"/>
    </row>
    <row r="15" spans="1:8" ht="18" customHeight="1">
      <c r="A15" s="423"/>
      <c r="B15" s="895"/>
      <c r="C15" s="425" t="s">
        <v>61</v>
      </c>
      <c r="D15" s="426" t="s">
        <v>49</v>
      </c>
      <c r="E15" s="427">
        <v>4.14</v>
      </c>
      <c r="F15" s="428">
        <f>E15*F10</f>
        <v>0.6209999999999999</v>
      </c>
      <c r="G15" s="277"/>
      <c r="H15" s="428"/>
    </row>
    <row r="16" spans="1:8" ht="18" customHeight="1">
      <c r="A16" s="423"/>
      <c r="B16" s="895"/>
      <c r="C16" s="425" t="s">
        <v>74</v>
      </c>
      <c r="D16" s="426" t="s">
        <v>49</v>
      </c>
      <c r="E16" s="427">
        <v>0.53</v>
      </c>
      <c r="F16" s="428">
        <f>E16*F10</f>
        <v>0.0795</v>
      </c>
      <c r="G16" s="277"/>
      <c r="H16" s="428"/>
    </row>
    <row r="17" spans="1:8" ht="18" customHeight="1">
      <c r="A17" s="423"/>
      <c r="B17" s="895"/>
      <c r="C17" s="425" t="s">
        <v>62</v>
      </c>
      <c r="D17" s="426" t="s">
        <v>109</v>
      </c>
      <c r="E17" s="427">
        <v>151.2</v>
      </c>
      <c r="F17" s="428">
        <f>E17*F10</f>
        <v>22.679999999999996</v>
      </c>
      <c r="G17" s="301"/>
      <c r="H17" s="428"/>
    </row>
    <row r="18" spans="1:8" ht="18" customHeight="1">
      <c r="A18" s="423"/>
      <c r="B18" s="895"/>
      <c r="C18" s="425" t="s">
        <v>73</v>
      </c>
      <c r="D18" s="426" t="s">
        <v>109</v>
      </c>
      <c r="E18" s="427">
        <v>10</v>
      </c>
      <c r="F18" s="428">
        <f>E18*F10</f>
        <v>1.5</v>
      </c>
      <c r="G18" s="301"/>
      <c r="H18" s="428"/>
    </row>
    <row r="19" spans="1:8" ht="18" customHeight="1">
      <c r="A19" s="429"/>
      <c r="B19" s="896"/>
      <c r="C19" s="430" t="s">
        <v>63</v>
      </c>
      <c r="D19" s="431" t="s">
        <v>248</v>
      </c>
      <c r="E19" s="432">
        <v>30</v>
      </c>
      <c r="F19" s="433">
        <f>E19*F10</f>
        <v>4.5</v>
      </c>
      <c r="G19" s="434"/>
      <c r="H19" s="433"/>
    </row>
    <row r="20" spans="1:8" ht="42" customHeight="1">
      <c r="A20" s="435">
        <v>2</v>
      </c>
      <c r="B20" s="436" t="s">
        <v>202</v>
      </c>
      <c r="C20" s="437" t="s">
        <v>329</v>
      </c>
      <c r="D20" s="168" t="s">
        <v>110</v>
      </c>
      <c r="E20" s="417"/>
      <c r="F20" s="438">
        <f>F10*1000</f>
        <v>150</v>
      </c>
      <c r="G20" s="168"/>
      <c r="H20" s="284"/>
    </row>
    <row r="21" spans="1:8" ht="18" customHeight="1">
      <c r="A21" s="439"/>
      <c r="B21" s="285"/>
      <c r="C21" s="440" t="s">
        <v>41</v>
      </c>
      <c r="D21" s="426" t="s">
        <v>42</v>
      </c>
      <c r="E21" s="441">
        <v>0.194</v>
      </c>
      <c r="F21" s="442">
        <f>E21*F20</f>
        <v>29.1</v>
      </c>
      <c r="G21" s="288"/>
      <c r="H21" s="288"/>
    </row>
    <row r="22" spans="1:8" ht="18" customHeight="1">
      <c r="A22" s="443"/>
      <c r="B22" s="444"/>
      <c r="C22" s="445" t="s">
        <v>217</v>
      </c>
      <c r="D22" s="426" t="s">
        <v>49</v>
      </c>
      <c r="E22" s="441">
        <v>0.0075</v>
      </c>
      <c r="F22" s="442">
        <f>E22*F20</f>
        <v>1.125</v>
      </c>
      <c r="G22" s="446"/>
      <c r="H22" s="288"/>
    </row>
    <row r="23" spans="1:8" ht="18" customHeight="1">
      <c r="A23" s="443"/>
      <c r="B23" s="444"/>
      <c r="C23" s="445" t="s">
        <v>218</v>
      </c>
      <c r="D23" s="426" t="s">
        <v>49</v>
      </c>
      <c r="E23" s="441">
        <v>0.0075</v>
      </c>
      <c r="F23" s="442">
        <f>E23*F20</f>
        <v>1.125</v>
      </c>
      <c r="G23" s="447"/>
      <c r="H23" s="288"/>
    </row>
    <row r="24" spans="1:8" ht="18" customHeight="1">
      <c r="A24" s="443"/>
      <c r="B24" s="444"/>
      <c r="C24" s="445" t="s">
        <v>219</v>
      </c>
      <c r="D24" s="426" t="s">
        <v>49</v>
      </c>
      <c r="E24" s="441">
        <v>0.0186</v>
      </c>
      <c r="F24" s="442">
        <f>E24*F20</f>
        <v>2.7899999999999996</v>
      </c>
      <c r="G24" s="447"/>
      <c r="H24" s="288"/>
    </row>
    <row r="25" spans="1:8" ht="18" customHeight="1">
      <c r="A25" s="443"/>
      <c r="B25" s="444"/>
      <c r="C25" s="445" t="s">
        <v>214</v>
      </c>
      <c r="D25" s="426" t="s">
        <v>49</v>
      </c>
      <c r="E25" s="441">
        <v>0.0075</v>
      </c>
      <c r="F25" s="442">
        <f>E25*F20</f>
        <v>1.125</v>
      </c>
      <c r="G25" s="446"/>
      <c r="H25" s="288"/>
    </row>
    <row r="26" spans="1:8" ht="18" customHeight="1">
      <c r="A26" s="443"/>
      <c r="B26" s="444"/>
      <c r="C26" s="418" t="s">
        <v>91</v>
      </c>
      <c r="D26" s="448" t="s">
        <v>203</v>
      </c>
      <c r="E26" s="441">
        <v>0.0309</v>
      </c>
      <c r="F26" s="442">
        <f>E26*F20</f>
        <v>4.635</v>
      </c>
      <c r="G26" s="446"/>
      <c r="H26" s="288"/>
    </row>
    <row r="27" spans="1:8" ht="18" customHeight="1">
      <c r="A27" s="443"/>
      <c r="B27" s="444"/>
      <c r="C27" s="581" t="s">
        <v>309</v>
      </c>
      <c r="D27" s="448" t="s">
        <v>251</v>
      </c>
      <c r="E27" s="441">
        <v>0.184</v>
      </c>
      <c r="F27" s="450">
        <f>E27*F20</f>
        <v>27.599999999999998</v>
      </c>
      <c r="G27" s="288"/>
      <c r="H27" s="288"/>
    </row>
    <row r="28" spans="1:8" ht="18" customHeight="1">
      <c r="A28" s="443"/>
      <c r="B28" s="444"/>
      <c r="C28" s="425" t="s">
        <v>107</v>
      </c>
      <c r="D28" s="448" t="s">
        <v>50</v>
      </c>
      <c r="E28" s="441">
        <v>0.0005</v>
      </c>
      <c r="F28" s="450">
        <f>E28*F20</f>
        <v>0.075</v>
      </c>
      <c r="G28" s="288"/>
      <c r="H28" s="288"/>
    </row>
    <row r="29" spans="1:8" ht="18" customHeight="1">
      <c r="A29" s="451"/>
      <c r="B29" s="452"/>
      <c r="C29" s="453" t="s">
        <v>30</v>
      </c>
      <c r="D29" s="454" t="s">
        <v>203</v>
      </c>
      <c r="E29" s="455">
        <v>0.0185</v>
      </c>
      <c r="F29" s="456">
        <f>E29*F20</f>
        <v>2.775</v>
      </c>
      <c r="G29" s="276"/>
      <c r="H29" s="293"/>
    </row>
    <row r="30" spans="1:8" ht="27.75" customHeight="1">
      <c r="A30" s="439">
        <v>3</v>
      </c>
      <c r="B30" s="457" t="s">
        <v>205</v>
      </c>
      <c r="C30" s="449" t="s">
        <v>226</v>
      </c>
      <c r="D30" s="168" t="s">
        <v>110</v>
      </c>
      <c r="E30" s="441"/>
      <c r="F30" s="458">
        <f>F20</f>
        <v>150</v>
      </c>
      <c r="G30" s="416"/>
      <c r="H30" s="284"/>
    </row>
    <row r="31" spans="1:8" ht="21.75" customHeight="1">
      <c r="A31" s="443"/>
      <c r="B31" s="457"/>
      <c r="C31" s="440" t="s">
        <v>41</v>
      </c>
      <c r="D31" s="426" t="s">
        <v>42</v>
      </c>
      <c r="E31" s="441">
        <v>0.0117</v>
      </c>
      <c r="F31" s="442">
        <f>E31*F30</f>
        <v>1.7550000000000001</v>
      </c>
      <c r="G31" s="416"/>
      <c r="H31" s="428"/>
    </row>
    <row r="32" spans="1:8" ht="21.75" customHeight="1">
      <c r="A32" s="451"/>
      <c r="B32" s="459"/>
      <c r="C32" s="460" t="s">
        <v>216</v>
      </c>
      <c r="D32" s="461" t="s">
        <v>204</v>
      </c>
      <c r="E32" s="455"/>
      <c r="F32" s="571">
        <f>F30*0.004</f>
        <v>0.6</v>
      </c>
      <c r="G32" s="584"/>
      <c r="H32" s="433"/>
    </row>
    <row r="33" spans="1:8" ht="27.75" customHeight="1">
      <c r="A33" s="462">
        <v>4</v>
      </c>
      <c r="B33" s="424" t="s">
        <v>51</v>
      </c>
      <c r="C33" s="463" t="s">
        <v>173</v>
      </c>
      <c r="D33" s="426" t="s">
        <v>252</v>
      </c>
      <c r="E33" s="464"/>
      <c r="F33" s="428">
        <v>0.1</v>
      </c>
      <c r="G33" s="457"/>
      <c r="H33" s="284"/>
    </row>
    <row r="34" spans="1:8" ht="21.75" customHeight="1">
      <c r="A34" s="462"/>
      <c r="B34" s="424"/>
      <c r="C34" s="465" t="s">
        <v>41</v>
      </c>
      <c r="D34" s="426" t="s">
        <v>42</v>
      </c>
      <c r="E34" s="466">
        <f>14.9</f>
        <v>14.9</v>
      </c>
      <c r="F34" s="428">
        <f>E34*F33</f>
        <v>1.4900000000000002</v>
      </c>
      <c r="G34" s="428"/>
      <c r="H34" s="467"/>
    </row>
    <row r="35" spans="1:8" ht="21.75" customHeight="1">
      <c r="A35" s="462"/>
      <c r="B35" s="468"/>
      <c r="C35" s="469" t="s">
        <v>58</v>
      </c>
      <c r="D35" s="426" t="s">
        <v>49</v>
      </c>
      <c r="E35" s="466">
        <v>2.73</v>
      </c>
      <c r="F35" s="428">
        <f>E35*F33</f>
        <v>0.273</v>
      </c>
      <c r="G35" s="277"/>
      <c r="H35" s="467"/>
    </row>
    <row r="36" spans="1:8" ht="21.75" customHeight="1">
      <c r="A36" s="470"/>
      <c r="B36" s="470"/>
      <c r="C36" s="471" t="s">
        <v>65</v>
      </c>
      <c r="D36" s="431" t="s">
        <v>248</v>
      </c>
      <c r="E36" s="472">
        <v>122</v>
      </c>
      <c r="F36" s="433">
        <f>E36*F33</f>
        <v>12.200000000000001</v>
      </c>
      <c r="G36" s="428"/>
      <c r="H36" s="473"/>
    </row>
    <row r="37" spans="1:8" ht="21.75" customHeight="1">
      <c r="A37" s="785" t="s">
        <v>52</v>
      </c>
      <c r="B37" s="786"/>
      <c r="C37" s="786"/>
      <c r="D37" s="786"/>
      <c r="E37" s="786"/>
      <c r="F37" s="786"/>
      <c r="G37" s="787"/>
      <c r="H37" s="433">
        <f>H33+H30+H20+H10</f>
        <v>0</v>
      </c>
    </row>
    <row r="38" spans="1:8" ht="21.75" customHeight="1">
      <c r="A38" s="880" t="s">
        <v>360</v>
      </c>
      <c r="B38" s="881"/>
      <c r="C38" s="881"/>
      <c r="D38" s="881"/>
      <c r="E38" s="881"/>
      <c r="F38" s="881"/>
      <c r="G38" s="882"/>
      <c r="H38" s="16">
        <f>H37*0.1</f>
        <v>0</v>
      </c>
    </row>
    <row r="39" spans="1:8" ht="21.75" customHeight="1">
      <c r="A39" s="880" t="s">
        <v>53</v>
      </c>
      <c r="B39" s="881"/>
      <c r="C39" s="881"/>
      <c r="D39" s="881"/>
      <c r="E39" s="881"/>
      <c r="F39" s="881"/>
      <c r="G39" s="882"/>
      <c r="H39" s="16">
        <f>H37+H38</f>
        <v>0</v>
      </c>
    </row>
    <row r="40" spans="1:8" ht="21.75" customHeight="1">
      <c r="A40" s="880" t="s">
        <v>361</v>
      </c>
      <c r="B40" s="881"/>
      <c r="C40" s="881"/>
      <c r="D40" s="881"/>
      <c r="E40" s="881"/>
      <c r="F40" s="881"/>
      <c r="G40" s="882"/>
      <c r="H40" s="16">
        <f>H39*0.08</f>
        <v>0</v>
      </c>
    </row>
    <row r="41" spans="1:8" ht="21.75" customHeight="1">
      <c r="A41" s="880" t="s">
        <v>54</v>
      </c>
      <c r="B41" s="881"/>
      <c r="C41" s="881"/>
      <c r="D41" s="881"/>
      <c r="E41" s="881"/>
      <c r="F41" s="881"/>
      <c r="G41" s="882"/>
      <c r="H41" s="16">
        <f>H39+H40</f>
        <v>0</v>
      </c>
    </row>
    <row r="42" spans="1:8" ht="78" customHeight="1">
      <c r="A42" s="822"/>
      <c r="B42" s="822"/>
      <c r="C42" s="822"/>
      <c r="D42" s="822"/>
      <c r="E42" s="822"/>
      <c r="F42" s="822"/>
      <c r="G42" s="822"/>
      <c r="H42" s="822"/>
    </row>
  </sheetData>
  <sheetProtection/>
  <mergeCells count="16">
    <mergeCell ref="B10:B19"/>
    <mergeCell ref="D6:D8"/>
    <mergeCell ref="E6:F6"/>
    <mergeCell ref="G6:H6"/>
    <mergeCell ref="A1:H1"/>
    <mergeCell ref="A2:H2"/>
    <mergeCell ref="A3:H3"/>
    <mergeCell ref="A4:H4"/>
    <mergeCell ref="B5:E5"/>
    <mergeCell ref="G5:H5"/>
    <mergeCell ref="A37:G37"/>
    <mergeCell ref="A38:G38"/>
    <mergeCell ref="A39:G39"/>
    <mergeCell ref="A40:G40"/>
    <mergeCell ref="A41:G41"/>
    <mergeCell ref="A42:H42"/>
  </mergeCells>
  <printOptions horizontalCentered="1"/>
  <pageMargins left="0.16" right="0.16" top="0.25" bottom="0" header="0.1968503937007874" footer="0.1574803149606299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zoomScale="85" zoomScaleNormal="85" zoomScaleSheetLayoutView="90" zoomScalePageLayoutView="0" workbookViewId="0" topLeftCell="A1">
      <selection activeCell="I37" sqref="I37"/>
    </sheetView>
  </sheetViews>
  <sheetFormatPr defaultColWidth="9.00390625" defaultRowHeight="12.75"/>
  <cols>
    <col min="1" max="1" width="4.625" style="95" customWidth="1"/>
    <col min="2" max="2" width="8.125" style="95" customWidth="1"/>
    <col min="3" max="3" width="68.375" style="100" customWidth="1"/>
    <col min="4" max="4" width="9.00390625" style="95" customWidth="1"/>
    <col min="5" max="5" width="10.75390625" style="95" customWidth="1"/>
    <col min="6" max="6" width="14.00390625" style="95" customWidth="1"/>
    <col min="7" max="7" width="11.125" style="95" customWidth="1"/>
    <col min="8" max="8" width="12.125" style="95" customWidth="1"/>
    <col min="9" max="10" width="9.125" style="95" customWidth="1"/>
    <col min="11" max="11" width="11.00390625" style="95" bestFit="1" customWidth="1"/>
    <col min="12" max="16384" width="9.125" style="95" customWidth="1"/>
  </cols>
  <sheetData>
    <row r="1" spans="1:8" ht="24" customHeight="1">
      <c r="A1" s="845" t="str">
        <f>კრებსითი!A4</f>
        <v>adigenis municipalitetSi sof. varxanis gzebis monakveTebi (monakveTi II)</v>
      </c>
      <c r="B1" s="846"/>
      <c r="C1" s="846"/>
      <c r="D1" s="846"/>
      <c r="E1" s="846"/>
      <c r="F1" s="846"/>
      <c r="G1" s="846"/>
      <c r="H1" s="846"/>
    </row>
    <row r="2" spans="1:8" ht="18.75" customHeight="1">
      <c r="A2" s="806" t="str">
        <f>კრებსითი!A6</f>
        <v>gzis reabilitacia</v>
      </c>
      <c r="B2" s="806"/>
      <c r="C2" s="806"/>
      <c r="D2" s="806"/>
      <c r="E2" s="806"/>
      <c r="F2" s="806"/>
      <c r="G2" s="806"/>
      <c r="H2" s="806"/>
    </row>
    <row r="3" spans="1:8" ht="18.75" customHeight="1">
      <c r="A3" s="806" t="s">
        <v>315</v>
      </c>
      <c r="B3" s="806"/>
      <c r="C3" s="806"/>
      <c r="D3" s="806"/>
      <c r="E3" s="806"/>
      <c r="F3" s="806"/>
      <c r="G3" s="806"/>
      <c r="H3" s="806"/>
    </row>
    <row r="4" spans="1:8" ht="20.25" customHeight="1">
      <c r="A4" s="806" t="s">
        <v>128</v>
      </c>
      <c r="B4" s="806"/>
      <c r="C4" s="806"/>
      <c r="D4" s="806"/>
      <c r="E4" s="806"/>
      <c r="F4" s="806"/>
      <c r="G4" s="806"/>
      <c r="H4" s="806"/>
    </row>
    <row r="5" spans="1:8" ht="20.25" customHeight="1">
      <c r="A5" s="904" t="s">
        <v>46</v>
      </c>
      <c r="B5" s="904"/>
      <c r="C5" s="904"/>
      <c r="D5" s="905" t="s">
        <v>4</v>
      </c>
      <c r="E5" s="905"/>
      <c r="F5" s="905"/>
      <c r="G5" s="239">
        <f>H18</f>
        <v>0</v>
      </c>
      <c r="H5" s="240" t="s">
        <v>39</v>
      </c>
    </row>
    <row r="6" spans="1:8" ht="24" customHeight="1">
      <c r="A6" s="901" t="s">
        <v>15</v>
      </c>
      <c r="B6" s="901" t="s">
        <v>5</v>
      </c>
      <c r="C6" s="901" t="s">
        <v>47</v>
      </c>
      <c r="D6" s="803" t="s">
        <v>125</v>
      </c>
      <c r="E6" s="898" t="s">
        <v>7</v>
      </c>
      <c r="F6" s="900"/>
      <c r="G6" s="903" t="s">
        <v>2</v>
      </c>
      <c r="H6" s="903"/>
    </row>
    <row r="7" spans="1:8" ht="33.75" customHeight="1">
      <c r="A7" s="902"/>
      <c r="B7" s="902"/>
      <c r="C7" s="902"/>
      <c r="D7" s="803"/>
      <c r="E7" s="75" t="s">
        <v>10</v>
      </c>
      <c r="F7" s="96" t="s">
        <v>9</v>
      </c>
      <c r="G7" s="81" t="s">
        <v>10</v>
      </c>
      <c r="H7" s="81" t="s">
        <v>1</v>
      </c>
    </row>
    <row r="8" spans="1:8" ht="15.75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</row>
    <row r="9" spans="1:8" ht="85.5" customHeight="1">
      <c r="A9" s="72">
        <v>1</v>
      </c>
      <c r="B9" s="129" t="s">
        <v>129</v>
      </c>
      <c r="C9" s="74" t="s">
        <v>137</v>
      </c>
      <c r="D9" s="75" t="s">
        <v>131</v>
      </c>
      <c r="E9" s="75"/>
      <c r="F9" s="76">
        <f>სავალი!D9/1000*2</f>
        <v>0.208</v>
      </c>
      <c r="G9" s="75"/>
      <c r="H9" s="284"/>
    </row>
    <row r="10" spans="1:8" ht="21" customHeight="1">
      <c r="A10" s="78"/>
      <c r="B10" s="79"/>
      <c r="C10" s="80" t="s">
        <v>41</v>
      </c>
      <c r="D10" s="81" t="s">
        <v>42</v>
      </c>
      <c r="E10" s="81">
        <v>3.25</v>
      </c>
      <c r="F10" s="82">
        <f>E10*F9</f>
        <v>0.6759999999999999</v>
      </c>
      <c r="G10" s="81"/>
      <c r="H10" s="82"/>
    </row>
    <row r="11" spans="1:8" ht="21" customHeight="1">
      <c r="A11" s="78"/>
      <c r="B11" s="79"/>
      <c r="C11" s="44" t="s">
        <v>130</v>
      </c>
      <c r="D11" s="81" t="s">
        <v>42</v>
      </c>
      <c r="E11" s="81">
        <v>0.88</v>
      </c>
      <c r="F11" s="82">
        <f>E11*F9</f>
        <v>0.18303999999999998</v>
      </c>
      <c r="G11" s="81"/>
      <c r="H11" s="82"/>
    </row>
    <row r="12" spans="1:8" ht="21" customHeight="1">
      <c r="A12" s="78"/>
      <c r="B12" s="79"/>
      <c r="C12" s="44" t="s">
        <v>59</v>
      </c>
      <c r="D12" s="35" t="s">
        <v>29</v>
      </c>
      <c r="E12" s="81">
        <v>3.52</v>
      </c>
      <c r="F12" s="82">
        <f>E12*F9</f>
        <v>0.7321599999999999</v>
      </c>
      <c r="G12" s="81"/>
      <c r="H12" s="82"/>
    </row>
    <row r="13" spans="1:8" ht="21" customHeight="1">
      <c r="A13" s="78"/>
      <c r="B13" s="83"/>
      <c r="C13" s="80" t="s">
        <v>132</v>
      </c>
      <c r="D13" s="81" t="s">
        <v>31</v>
      </c>
      <c r="E13" s="81">
        <v>42</v>
      </c>
      <c r="F13" s="82">
        <f>E13*F9</f>
        <v>8.735999999999999</v>
      </c>
      <c r="G13" s="81"/>
      <c r="H13" s="87"/>
    </row>
    <row r="14" spans="1:8" ht="21" customHeight="1">
      <c r="A14" s="898" t="s">
        <v>33</v>
      </c>
      <c r="B14" s="899"/>
      <c r="C14" s="899"/>
      <c r="D14" s="899"/>
      <c r="E14" s="899"/>
      <c r="F14" s="899"/>
      <c r="G14" s="900"/>
      <c r="H14" s="97">
        <f>H9</f>
        <v>0</v>
      </c>
    </row>
    <row r="15" spans="1:10" ht="21" customHeight="1">
      <c r="A15" s="880" t="s">
        <v>360</v>
      </c>
      <c r="B15" s="881"/>
      <c r="C15" s="881"/>
      <c r="D15" s="881"/>
      <c r="E15" s="881"/>
      <c r="F15" s="881"/>
      <c r="G15" s="882"/>
      <c r="H15" s="16">
        <f>H14*0.1</f>
        <v>0</v>
      </c>
      <c r="I15" s="98"/>
      <c r="J15" s="98"/>
    </row>
    <row r="16" spans="1:10" ht="21" customHeight="1">
      <c r="A16" s="880" t="s">
        <v>53</v>
      </c>
      <c r="B16" s="881"/>
      <c r="C16" s="881"/>
      <c r="D16" s="881"/>
      <c r="E16" s="881"/>
      <c r="F16" s="881"/>
      <c r="G16" s="882"/>
      <c r="H16" s="16">
        <f>H14+H15</f>
        <v>0</v>
      </c>
      <c r="I16" s="98"/>
      <c r="J16" s="98"/>
    </row>
    <row r="17" spans="1:8" ht="21" customHeight="1">
      <c r="A17" s="880" t="s">
        <v>361</v>
      </c>
      <c r="B17" s="881"/>
      <c r="C17" s="881"/>
      <c r="D17" s="881"/>
      <c r="E17" s="881"/>
      <c r="F17" s="881"/>
      <c r="G17" s="882"/>
      <c r="H17" s="16">
        <f>H16*0.08</f>
        <v>0</v>
      </c>
    </row>
    <row r="18" spans="1:8" ht="21" customHeight="1">
      <c r="A18" s="880" t="s">
        <v>54</v>
      </c>
      <c r="B18" s="881"/>
      <c r="C18" s="881"/>
      <c r="D18" s="881"/>
      <c r="E18" s="881"/>
      <c r="F18" s="881"/>
      <c r="G18" s="882"/>
      <c r="H18" s="16">
        <f>H16+H17</f>
        <v>0</v>
      </c>
    </row>
    <row r="19" spans="1:8" ht="49.5" customHeight="1">
      <c r="A19" s="98"/>
      <c r="B19" s="98"/>
      <c r="C19" s="99"/>
      <c r="D19" s="98"/>
      <c r="E19" s="98"/>
      <c r="F19" s="98"/>
      <c r="G19" s="98"/>
      <c r="H19" s="98"/>
    </row>
    <row r="20" spans="1:8" ht="22.5" customHeight="1">
      <c r="A20" s="897"/>
      <c r="B20" s="897"/>
      <c r="C20" s="897"/>
      <c r="D20" s="897"/>
      <c r="E20" s="897"/>
      <c r="F20" s="897"/>
      <c r="G20" s="897"/>
      <c r="H20" s="897"/>
    </row>
  </sheetData>
  <sheetProtection/>
  <mergeCells count="18">
    <mergeCell ref="A1:H1"/>
    <mergeCell ref="A2:H2"/>
    <mergeCell ref="A3:H3"/>
    <mergeCell ref="A4:H4"/>
    <mergeCell ref="A5:C5"/>
    <mergeCell ref="D5:F5"/>
    <mergeCell ref="A6:A7"/>
    <mergeCell ref="B6:B7"/>
    <mergeCell ref="C6:C7"/>
    <mergeCell ref="D6:D7"/>
    <mergeCell ref="E6:F6"/>
    <mergeCell ref="G6:H6"/>
    <mergeCell ref="A18:G18"/>
    <mergeCell ref="A20:H20"/>
    <mergeCell ref="A14:G14"/>
    <mergeCell ref="A15:G15"/>
    <mergeCell ref="A16:G16"/>
    <mergeCell ref="A17:G17"/>
  </mergeCells>
  <printOptions horizontalCentered="1"/>
  <pageMargins left="0.1968503937007874" right="0.1968503937007874" top="0.3937007874015748" bottom="0.196850393700787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">
      <selection activeCell="O20" sqref="O20"/>
    </sheetView>
  </sheetViews>
  <sheetFormatPr defaultColWidth="9.00390625" defaultRowHeight="12.75"/>
  <cols>
    <col min="1" max="1" width="2.75390625" style="0" customWidth="1"/>
    <col min="2" max="2" width="2.375" style="0" customWidth="1"/>
    <col min="11" max="12" width="2.75390625" style="0" customWidth="1"/>
  </cols>
  <sheetData>
    <row r="1" spans="1:13" ht="12" customHeight="1" thickBot="1" thickTop="1">
      <c r="A1" s="590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2"/>
      <c r="M1" s="593"/>
    </row>
    <row r="2" spans="1:13" ht="10.5" customHeight="1" thickBot="1" thickTop="1">
      <c r="A2" s="594"/>
      <c r="B2" s="595"/>
      <c r="C2" s="596"/>
      <c r="D2" s="596"/>
      <c r="E2" s="596"/>
      <c r="F2" s="596"/>
      <c r="G2" s="596"/>
      <c r="H2" s="596"/>
      <c r="I2" s="596"/>
      <c r="J2" s="596"/>
      <c r="K2" s="597"/>
      <c r="L2" s="598"/>
      <c r="M2" s="593"/>
    </row>
    <row r="3" spans="1:13" ht="14.25" thickTop="1">
      <c r="A3" s="594"/>
      <c r="B3" s="599"/>
      <c r="C3" s="620"/>
      <c r="D3" s="621"/>
      <c r="E3" s="621"/>
      <c r="F3" s="621"/>
      <c r="G3" s="621"/>
      <c r="H3" s="621"/>
      <c r="I3" s="621"/>
      <c r="J3" s="622"/>
      <c r="K3" s="603"/>
      <c r="L3" s="598"/>
      <c r="M3" s="593"/>
    </row>
    <row r="4" spans="1:13" ht="18">
      <c r="A4" s="594"/>
      <c r="B4" s="599"/>
      <c r="C4" s="653" t="s">
        <v>334</v>
      </c>
      <c r="D4" s="654"/>
      <c r="E4" s="654"/>
      <c r="F4" s="654"/>
      <c r="G4" s="654"/>
      <c r="H4" s="654"/>
      <c r="I4" s="654"/>
      <c r="J4" s="655"/>
      <c r="K4" s="603"/>
      <c r="L4" s="598"/>
      <c r="M4" s="593"/>
    </row>
    <row r="5" spans="1:13" ht="12.75">
      <c r="A5" s="594"/>
      <c r="B5" s="599"/>
      <c r="C5" s="604"/>
      <c r="D5" s="605"/>
      <c r="E5" s="605"/>
      <c r="F5" s="605"/>
      <c r="G5" s="605"/>
      <c r="H5" s="605"/>
      <c r="I5" s="605"/>
      <c r="J5" s="606"/>
      <c r="K5" s="603"/>
      <c r="L5" s="598"/>
      <c r="M5" s="593"/>
    </row>
    <row r="6" spans="1:13" ht="12.75">
      <c r="A6" s="594"/>
      <c r="B6" s="599"/>
      <c r="C6" s="604"/>
      <c r="D6" s="605"/>
      <c r="E6" s="605"/>
      <c r="F6" s="605"/>
      <c r="G6" s="605"/>
      <c r="H6" s="605"/>
      <c r="I6" s="605"/>
      <c r="J6" s="606"/>
      <c r="K6" s="603"/>
      <c r="L6" s="598"/>
      <c r="M6" s="593"/>
    </row>
    <row r="7" spans="1:13" ht="13.5">
      <c r="A7" s="594"/>
      <c r="B7" s="599"/>
      <c r="C7" s="604"/>
      <c r="D7" s="605"/>
      <c r="E7" s="605"/>
      <c r="F7" s="605"/>
      <c r="G7" s="605"/>
      <c r="H7" s="605"/>
      <c r="I7" s="605"/>
      <c r="J7" s="606"/>
      <c r="K7" s="603"/>
      <c r="L7" s="598"/>
      <c r="M7" s="593"/>
    </row>
    <row r="8" spans="1:13" ht="13.5">
      <c r="A8" s="594"/>
      <c r="B8" s="599"/>
      <c r="C8" s="604"/>
      <c r="D8" s="605"/>
      <c r="E8" s="605"/>
      <c r="F8" s="605"/>
      <c r="G8" s="605"/>
      <c r="H8" s="605"/>
      <c r="I8" s="605"/>
      <c r="J8" s="606"/>
      <c r="K8" s="603"/>
      <c r="L8" s="598"/>
      <c r="M8" s="593"/>
    </row>
    <row r="9" spans="1:13" ht="13.5">
      <c r="A9" s="594"/>
      <c r="B9" s="599"/>
      <c r="C9" s="604"/>
      <c r="D9" s="605"/>
      <c r="E9" s="605"/>
      <c r="F9" s="605"/>
      <c r="G9" s="605"/>
      <c r="H9" s="605"/>
      <c r="I9" s="605"/>
      <c r="J9" s="606"/>
      <c r="K9" s="603"/>
      <c r="L9" s="598"/>
      <c r="M9" s="593"/>
    </row>
    <row r="10" spans="1:13" ht="13.5">
      <c r="A10" s="594"/>
      <c r="B10" s="599"/>
      <c r="C10" s="604"/>
      <c r="D10" s="605"/>
      <c r="E10" s="605"/>
      <c r="F10" s="605"/>
      <c r="G10" s="605"/>
      <c r="H10" s="605"/>
      <c r="I10" s="605"/>
      <c r="J10" s="606"/>
      <c r="K10" s="603"/>
      <c r="L10" s="598"/>
      <c r="M10" s="593"/>
    </row>
    <row r="11" spans="1:13" ht="13.5">
      <c r="A11" s="594"/>
      <c r="B11" s="599"/>
      <c r="C11" s="604"/>
      <c r="D11" s="605"/>
      <c r="E11" s="605"/>
      <c r="F11" s="605"/>
      <c r="G11" s="605"/>
      <c r="H11" s="605"/>
      <c r="I11" s="605"/>
      <c r="J11" s="606"/>
      <c r="K11" s="603"/>
      <c r="L11" s="598"/>
      <c r="M11" s="593"/>
    </row>
    <row r="12" spans="1:13" ht="13.5">
      <c r="A12" s="594"/>
      <c r="B12" s="599"/>
      <c r="C12" s="604"/>
      <c r="D12" s="605"/>
      <c r="E12" s="605"/>
      <c r="F12" s="605"/>
      <c r="G12" s="605"/>
      <c r="H12" s="605"/>
      <c r="I12" s="605"/>
      <c r="J12" s="606"/>
      <c r="K12" s="603"/>
      <c r="L12" s="598"/>
      <c r="M12" s="593"/>
    </row>
    <row r="13" spans="1:13" ht="13.5">
      <c r="A13" s="594"/>
      <c r="B13" s="599"/>
      <c r="C13" s="604"/>
      <c r="D13" s="605"/>
      <c r="E13" s="605"/>
      <c r="F13" s="605"/>
      <c r="G13" s="605"/>
      <c r="H13" s="605"/>
      <c r="I13" s="605"/>
      <c r="J13" s="606"/>
      <c r="K13" s="603"/>
      <c r="L13" s="598"/>
      <c r="M13" s="593"/>
    </row>
    <row r="14" spans="1:13" ht="42" customHeight="1">
      <c r="A14" s="594"/>
      <c r="B14" s="599"/>
      <c r="C14" s="647" t="s">
        <v>352</v>
      </c>
      <c r="D14" s="648"/>
      <c r="E14" s="648"/>
      <c r="F14" s="648"/>
      <c r="G14" s="648"/>
      <c r="H14" s="648"/>
      <c r="I14" s="648"/>
      <c r="J14" s="649"/>
      <c r="K14" s="603"/>
      <c r="L14" s="598"/>
      <c r="M14" s="593"/>
    </row>
    <row r="15" spans="1:13" ht="25.5" hidden="1">
      <c r="A15" s="594"/>
      <c r="B15" s="599"/>
      <c r="C15" s="660"/>
      <c r="D15" s="661"/>
      <c r="E15" s="661"/>
      <c r="F15" s="661"/>
      <c r="G15" s="661"/>
      <c r="H15" s="661"/>
      <c r="I15" s="661"/>
      <c r="J15" s="662"/>
      <c r="K15" s="603"/>
      <c r="L15" s="598"/>
      <c r="M15" s="593"/>
    </row>
    <row r="16" spans="1:13" ht="9" customHeight="1">
      <c r="A16" s="594"/>
      <c r="B16" s="599"/>
      <c r="C16" s="623"/>
      <c r="D16" s="624"/>
      <c r="E16" s="624"/>
      <c r="F16" s="624"/>
      <c r="G16" s="624"/>
      <c r="H16" s="624"/>
      <c r="I16" s="624"/>
      <c r="J16" s="625"/>
      <c r="K16" s="603"/>
      <c r="L16" s="598"/>
      <c r="M16" s="593"/>
    </row>
    <row r="17" spans="1:13" ht="25.5" hidden="1">
      <c r="A17" s="594"/>
      <c r="B17" s="599"/>
      <c r="C17" s="623"/>
      <c r="D17" s="624"/>
      <c r="E17" s="624"/>
      <c r="F17" s="624"/>
      <c r="G17" s="624"/>
      <c r="H17" s="624"/>
      <c r="I17" s="624"/>
      <c r="J17" s="625"/>
      <c r="K17" s="603"/>
      <c r="L17" s="598"/>
      <c r="M17" s="593"/>
    </row>
    <row r="18" spans="1:13" ht="28.5">
      <c r="A18" s="594"/>
      <c r="B18" s="599"/>
      <c r="C18" s="607"/>
      <c r="D18" s="608"/>
      <c r="E18" s="608"/>
      <c r="F18" s="608"/>
      <c r="G18" s="608"/>
      <c r="H18" s="608"/>
      <c r="I18" s="608"/>
      <c r="J18" s="609"/>
      <c r="K18" s="603"/>
      <c r="L18" s="598"/>
      <c r="M18" s="593"/>
    </row>
    <row r="19" spans="1:13" ht="21">
      <c r="A19" s="594"/>
      <c r="B19" s="599"/>
      <c r="C19" s="653" t="s">
        <v>332</v>
      </c>
      <c r="D19" s="654"/>
      <c r="E19" s="654"/>
      <c r="F19" s="654"/>
      <c r="G19" s="654"/>
      <c r="H19" s="654"/>
      <c r="I19" s="654"/>
      <c r="J19" s="655"/>
      <c r="K19" s="603"/>
      <c r="L19" s="598"/>
      <c r="M19" s="593"/>
    </row>
    <row r="20" spans="1:13" ht="12.75" customHeight="1">
      <c r="A20" s="594"/>
      <c r="B20" s="599"/>
      <c r="C20" s="604"/>
      <c r="D20" s="605"/>
      <c r="E20" s="605"/>
      <c r="F20" s="605"/>
      <c r="G20" s="605"/>
      <c r="H20" s="605"/>
      <c r="I20" s="605"/>
      <c r="J20" s="606"/>
      <c r="K20" s="603"/>
      <c r="L20" s="598"/>
      <c r="M20" s="593"/>
    </row>
    <row r="21" spans="1:13" ht="13.5" hidden="1">
      <c r="A21" s="594"/>
      <c r="B21" s="599"/>
      <c r="C21" s="604"/>
      <c r="D21" s="605"/>
      <c r="E21" s="605"/>
      <c r="F21" s="605"/>
      <c r="G21" s="605"/>
      <c r="H21" s="605"/>
      <c r="I21" s="605"/>
      <c r="J21" s="606"/>
      <c r="K21" s="603"/>
      <c r="L21" s="598"/>
      <c r="M21" s="593"/>
    </row>
    <row r="22" spans="1:13" ht="13.5" hidden="1">
      <c r="A22" s="594"/>
      <c r="B22" s="599"/>
      <c r="C22" s="604"/>
      <c r="D22" s="605"/>
      <c r="E22" s="605"/>
      <c r="F22" s="605"/>
      <c r="G22" s="605"/>
      <c r="H22" s="605"/>
      <c r="I22" s="605"/>
      <c r="J22" s="606"/>
      <c r="K22" s="603"/>
      <c r="L22" s="598"/>
      <c r="M22" s="593"/>
    </row>
    <row r="23" spans="1:13" ht="13.5" hidden="1">
      <c r="A23" s="594"/>
      <c r="B23" s="599"/>
      <c r="C23" s="604"/>
      <c r="D23" s="605"/>
      <c r="E23" s="605"/>
      <c r="F23" s="605"/>
      <c r="G23" s="605"/>
      <c r="H23" s="605"/>
      <c r="I23" s="605"/>
      <c r="J23" s="606"/>
      <c r="K23" s="603"/>
      <c r="L23" s="598"/>
      <c r="M23" s="593"/>
    </row>
    <row r="24" spans="1:13" ht="13.5">
      <c r="A24" s="594"/>
      <c r="B24" s="599"/>
      <c r="C24" s="604"/>
      <c r="D24" s="605"/>
      <c r="E24" s="605"/>
      <c r="F24" s="605"/>
      <c r="G24" s="605"/>
      <c r="H24" s="605"/>
      <c r="I24" s="605"/>
      <c r="J24" s="606"/>
      <c r="K24" s="603"/>
      <c r="L24" s="598"/>
      <c r="M24" s="593"/>
    </row>
    <row r="25" spans="1:13" ht="13.5">
      <c r="A25" s="594"/>
      <c r="B25" s="599"/>
      <c r="C25" s="626" t="s">
        <v>335</v>
      </c>
      <c r="D25" s="663" t="s">
        <v>336</v>
      </c>
      <c r="E25" s="663"/>
      <c r="F25" s="663"/>
      <c r="G25" s="663"/>
      <c r="H25" s="663"/>
      <c r="I25" s="663"/>
      <c r="J25" s="664"/>
      <c r="K25" s="603"/>
      <c r="L25" s="598"/>
      <c r="M25" s="593"/>
    </row>
    <row r="26" spans="1:13" ht="15">
      <c r="A26" s="594"/>
      <c r="B26" s="599"/>
      <c r="C26" s="627"/>
      <c r="D26" s="628"/>
      <c r="E26" s="628"/>
      <c r="F26" s="628"/>
      <c r="G26" s="628"/>
      <c r="H26" s="628"/>
      <c r="I26" s="628"/>
      <c r="J26" s="629"/>
      <c r="K26" s="603"/>
      <c r="L26" s="598"/>
      <c r="M26" s="593"/>
    </row>
    <row r="27" spans="1:13" ht="13.5">
      <c r="A27" s="594"/>
      <c r="B27" s="599"/>
      <c r="C27" s="604"/>
      <c r="D27" s="605"/>
      <c r="E27" s="605"/>
      <c r="F27" s="605"/>
      <c r="G27" s="605"/>
      <c r="H27" s="605"/>
      <c r="I27" s="605"/>
      <c r="J27" s="606"/>
      <c r="K27" s="603"/>
      <c r="L27" s="598"/>
      <c r="M27" s="593"/>
    </row>
    <row r="28" spans="1:13" ht="13.5">
      <c r="A28" s="594"/>
      <c r="B28" s="599"/>
      <c r="C28" s="604"/>
      <c r="D28" s="605"/>
      <c r="E28" s="605"/>
      <c r="F28" s="605"/>
      <c r="G28" s="605"/>
      <c r="H28" s="605"/>
      <c r="I28" s="605"/>
      <c r="J28" s="606"/>
      <c r="K28" s="603"/>
      <c r="L28" s="598"/>
      <c r="M28" s="593"/>
    </row>
    <row r="29" spans="1:13" ht="16.5">
      <c r="A29" s="594"/>
      <c r="B29" s="599"/>
      <c r="C29" s="656" t="s">
        <v>4</v>
      </c>
      <c r="D29" s="657"/>
      <c r="E29" s="657"/>
      <c r="F29" s="657"/>
      <c r="G29" s="638">
        <f>კრებსითი!H35</f>
        <v>0.00354</v>
      </c>
      <c r="H29" s="630" t="s">
        <v>337</v>
      </c>
      <c r="I29" s="630"/>
      <c r="J29" s="631"/>
      <c r="K29" s="603"/>
      <c r="L29" s="598"/>
      <c r="M29" s="593"/>
    </row>
    <row r="30" spans="1:13" ht="13.5">
      <c r="A30" s="594"/>
      <c r="B30" s="599"/>
      <c r="C30" s="604"/>
      <c r="D30" s="605"/>
      <c r="E30" s="605"/>
      <c r="F30" s="605"/>
      <c r="G30" s="605"/>
      <c r="H30" s="605"/>
      <c r="I30" s="605"/>
      <c r="J30" s="606"/>
      <c r="K30" s="603"/>
      <c r="L30" s="598"/>
      <c r="M30" s="593"/>
    </row>
    <row r="31" spans="1:13" ht="13.5">
      <c r="A31" s="594"/>
      <c r="B31" s="599"/>
      <c r="C31" s="604"/>
      <c r="D31" s="605"/>
      <c r="E31" s="605"/>
      <c r="F31" s="605"/>
      <c r="G31" s="605"/>
      <c r="H31" s="605"/>
      <c r="I31" s="605"/>
      <c r="J31" s="606"/>
      <c r="K31" s="603"/>
      <c r="L31" s="598"/>
      <c r="M31" s="593"/>
    </row>
    <row r="32" spans="1:13" ht="13.5">
      <c r="A32" s="594"/>
      <c r="B32" s="599"/>
      <c r="C32" s="604"/>
      <c r="D32" s="605"/>
      <c r="E32" s="605"/>
      <c r="F32" s="605"/>
      <c r="G32" s="605"/>
      <c r="H32" s="605"/>
      <c r="I32" s="605"/>
      <c r="J32" s="606"/>
      <c r="K32" s="603"/>
      <c r="L32" s="598"/>
      <c r="M32" s="593"/>
    </row>
    <row r="33" spans="1:13" ht="13.5">
      <c r="A33" s="594"/>
      <c r="B33" s="599"/>
      <c r="C33" s="604"/>
      <c r="D33" s="605"/>
      <c r="E33" s="605"/>
      <c r="F33" s="605"/>
      <c r="G33" s="605"/>
      <c r="H33" s="605"/>
      <c r="I33" s="605"/>
      <c r="J33" s="606"/>
      <c r="K33" s="603"/>
      <c r="L33" s="598"/>
      <c r="M33" s="593"/>
    </row>
    <row r="34" spans="1:13" ht="13.5">
      <c r="A34" s="594"/>
      <c r="B34" s="599"/>
      <c r="C34" s="604"/>
      <c r="D34" s="605"/>
      <c r="E34" s="605"/>
      <c r="F34" s="605"/>
      <c r="G34" s="605"/>
      <c r="H34" s="605"/>
      <c r="I34" s="605"/>
      <c r="J34" s="606"/>
      <c r="K34" s="603"/>
      <c r="L34" s="598"/>
      <c r="M34" s="593"/>
    </row>
    <row r="35" spans="1:13" ht="13.5">
      <c r="A35" s="594"/>
      <c r="B35" s="599"/>
      <c r="C35" s="604"/>
      <c r="D35" s="605"/>
      <c r="E35" s="605"/>
      <c r="F35" s="605"/>
      <c r="G35" s="605"/>
      <c r="H35" s="605"/>
      <c r="I35" s="605"/>
      <c r="J35" s="606"/>
      <c r="K35" s="603"/>
      <c r="L35" s="598"/>
      <c r="M35" s="593"/>
    </row>
    <row r="36" spans="1:13" ht="21">
      <c r="A36" s="594"/>
      <c r="B36" s="599"/>
      <c r="C36" s="632"/>
      <c r="D36" s="658" t="s">
        <v>338</v>
      </c>
      <c r="E36" s="658"/>
      <c r="F36" s="633"/>
      <c r="G36" s="633"/>
      <c r="H36" s="659" t="s">
        <v>339</v>
      </c>
      <c r="I36" s="659"/>
      <c r="J36" s="635"/>
      <c r="K36" s="603"/>
      <c r="L36" s="598"/>
      <c r="M36" s="593"/>
    </row>
    <row r="37" spans="1:13" ht="21">
      <c r="A37" s="594"/>
      <c r="B37" s="599"/>
      <c r="C37" s="632"/>
      <c r="D37" s="636"/>
      <c r="E37" s="636"/>
      <c r="F37" s="633"/>
      <c r="G37" s="633"/>
      <c r="H37" s="634"/>
      <c r="I37" s="634"/>
      <c r="J37" s="635"/>
      <c r="K37" s="603"/>
      <c r="L37" s="598"/>
      <c r="M37" s="593"/>
    </row>
    <row r="38" spans="1:13" ht="21">
      <c r="A38" s="594"/>
      <c r="B38" s="599"/>
      <c r="C38" s="632"/>
      <c r="D38" s="658" t="s">
        <v>340</v>
      </c>
      <c r="E38" s="658"/>
      <c r="F38" s="633"/>
      <c r="G38" s="633"/>
      <c r="H38" s="659" t="s">
        <v>349</v>
      </c>
      <c r="I38" s="659"/>
      <c r="J38" s="635"/>
      <c r="K38" s="603"/>
      <c r="L38" s="598"/>
      <c r="M38" s="593"/>
    </row>
    <row r="39" spans="1:13" ht="21">
      <c r="A39" s="594"/>
      <c r="B39" s="599"/>
      <c r="C39" s="632"/>
      <c r="D39" s="637"/>
      <c r="E39" s="637"/>
      <c r="F39" s="637"/>
      <c r="G39" s="637"/>
      <c r="H39" s="637"/>
      <c r="I39" s="637"/>
      <c r="J39" s="635"/>
      <c r="K39" s="603"/>
      <c r="L39" s="598"/>
      <c r="M39" s="593"/>
    </row>
    <row r="40" spans="1:13" ht="14.25" customHeight="1">
      <c r="A40" s="594"/>
      <c r="B40" s="599"/>
      <c r="C40" s="632"/>
      <c r="D40" s="637"/>
      <c r="E40" s="637"/>
      <c r="F40" s="637"/>
      <c r="G40" s="637"/>
      <c r="H40" s="637"/>
      <c r="I40" s="637"/>
      <c r="J40" s="635"/>
      <c r="K40" s="603"/>
      <c r="L40" s="598"/>
      <c r="M40" s="593"/>
    </row>
    <row r="41" spans="1:13" ht="13.5" hidden="1">
      <c r="A41" s="594"/>
      <c r="B41" s="599"/>
      <c r="C41" s="604"/>
      <c r="D41" s="605"/>
      <c r="E41" s="605"/>
      <c r="F41" s="605"/>
      <c r="G41" s="605"/>
      <c r="H41" s="605"/>
      <c r="I41" s="605"/>
      <c r="J41" s="606"/>
      <c r="K41" s="603"/>
      <c r="L41" s="598"/>
      <c r="M41" s="593"/>
    </row>
    <row r="42" spans="1:13" ht="13.5" hidden="1">
      <c r="A42" s="594"/>
      <c r="B42" s="599"/>
      <c r="C42" s="604"/>
      <c r="D42" s="605"/>
      <c r="E42" s="605"/>
      <c r="F42" s="605"/>
      <c r="G42" s="605"/>
      <c r="H42" s="605"/>
      <c r="I42" s="605"/>
      <c r="J42" s="606"/>
      <c r="K42" s="603"/>
      <c r="L42" s="598"/>
      <c r="M42" s="593"/>
    </row>
    <row r="43" spans="1:13" ht="13.5" hidden="1">
      <c r="A43" s="594"/>
      <c r="B43" s="599"/>
      <c r="C43" s="604"/>
      <c r="D43" s="605"/>
      <c r="E43" s="605"/>
      <c r="F43" s="605"/>
      <c r="G43" s="605"/>
      <c r="H43" s="605"/>
      <c r="I43" s="605"/>
      <c r="J43" s="606"/>
      <c r="K43" s="603"/>
      <c r="L43" s="598"/>
      <c r="M43" s="593"/>
    </row>
    <row r="44" spans="1:13" ht="13.5" hidden="1">
      <c r="A44" s="594"/>
      <c r="B44" s="599"/>
      <c r="C44" s="604"/>
      <c r="D44" s="605"/>
      <c r="E44" s="605"/>
      <c r="F44" s="605"/>
      <c r="G44" s="605"/>
      <c r="H44" s="605"/>
      <c r="I44" s="605"/>
      <c r="J44" s="606"/>
      <c r="K44" s="603"/>
      <c r="L44" s="598"/>
      <c r="M44" s="593"/>
    </row>
    <row r="45" spans="1:13" ht="13.5" hidden="1">
      <c r="A45" s="594"/>
      <c r="B45" s="599"/>
      <c r="C45" s="604"/>
      <c r="D45" s="605"/>
      <c r="E45" s="605"/>
      <c r="F45" s="605"/>
      <c r="G45" s="605"/>
      <c r="H45" s="605"/>
      <c r="I45" s="605"/>
      <c r="J45" s="606"/>
      <c r="K45" s="603"/>
      <c r="L45" s="598"/>
      <c r="M45" s="593"/>
    </row>
    <row r="46" spans="1:13" ht="13.5" hidden="1">
      <c r="A46" s="594"/>
      <c r="B46" s="599"/>
      <c r="C46" s="604"/>
      <c r="D46" s="605"/>
      <c r="E46" s="605"/>
      <c r="F46" s="605"/>
      <c r="G46" s="605"/>
      <c r="H46" s="605"/>
      <c r="I46" s="605"/>
      <c r="J46" s="606"/>
      <c r="K46" s="603"/>
      <c r="L46" s="598"/>
      <c r="M46" s="593"/>
    </row>
    <row r="47" spans="1:13" ht="13.5">
      <c r="A47" s="594"/>
      <c r="B47" s="599"/>
      <c r="C47" s="604"/>
      <c r="D47" s="605"/>
      <c r="E47" s="605"/>
      <c r="F47" s="605"/>
      <c r="G47" s="605"/>
      <c r="H47" s="605"/>
      <c r="I47" s="605"/>
      <c r="J47" s="606"/>
      <c r="K47" s="603"/>
      <c r="L47" s="598"/>
      <c r="M47" s="593"/>
    </row>
    <row r="48" spans="1:13" ht="13.5">
      <c r="A48" s="594"/>
      <c r="B48" s="599"/>
      <c r="C48" s="604"/>
      <c r="D48" s="605"/>
      <c r="E48" s="605"/>
      <c r="F48" s="605"/>
      <c r="G48" s="605"/>
      <c r="H48" s="605"/>
      <c r="I48" s="605"/>
      <c r="J48" s="606"/>
      <c r="K48" s="603"/>
      <c r="L48" s="598"/>
      <c r="M48" s="593"/>
    </row>
    <row r="49" spans="1:13" ht="13.5">
      <c r="A49" s="594"/>
      <c r="B49" s="599"/>
      <c r="C49" s="604"/>
      <c r="D49" s="605"/>
      <c r="E49" s="605"/>
      <c r="F49" s="605"/>
      <c r="G49" s="605"/>
      <c r="H49" s="605"/>
      <c r="I49" s="605"/>
      <c r="J49" s="606"/>
      <c r="K49" s="603"/>
      <c r="L49" s="598"/>
      <c r="M49" s="593"/>
    </row>
    <row r="50" spans="1:13" ht="13.5">
      <c r="A50" s="594"/>
      <c r="B50" s="599"/>
      <c r="C50" s="604"/>
      <c r="D50" s="605"/>
      <c r="E50" s="605"/>
      <c r="F50" s="605"/>
      <c r="G50" s="605"/>
      <c r="H50" s="605"/>
      <c r="I50" s="605"/>
      <c r="J50" s="606"/>
      <c r="K50" s="603"/>
      <c r="L50" s="598"/>
      <c r="M50" s="593"/>
    </row>
    <row r="51" spans="1:13" ht="13.5">
      <c r="A51" s="594"/>
      <c r="B51" s="599"/>
      <c r="C51" s="604"/>
      <c r="D51" s="605"/>
      <c r="E51" s="605"/>
      <c r="F51" s="605"/>
      <c r="G51" s="605"/>
      <c r="H51" s="605"/>
      <c r="I51" s="605"/>
      <c r="J51" s="606"/>
      <c r="K51" s="603"/>
      <c r="L51" s="598"/>
      <c r="M51" s="593"/>
    </row>
    <row r="52" spans="1:13" ht="21">
      <c r="A52" s="594"/>
      <c r="B52" s="599"/>
      <c r="C52" s="653" t="s">
        <v>333</v>
      </c>
      <c r="D52" s="654"/>
      <c r="E52" s="654"/>
      <c r="F52" s="654"/>
      <c r="G52" s="654"/>
      <c r="H52" s="654"/>
      <c r="I52" s="654"/>
      <c r="J52" s="655"/>
      <c r="K52" s="603"/>
      <c r="L52" s="598"/>
      <c r="M52" s="593"/>
    </row>
    <row r="53" spans="1:13" ht="14.25" thickBot="1">
      <c r="A53" s="594"/>
      <c r="B53" s="599"/>
      <c r="C53" s="610"/>
      <c r="D53" s="611"/>
      <c r="E53" s="611"/>
      <c r="F53" s="611"/>
      <c r="G53" s="611"/>
      <c r="H53" s="611"/>
      <c r="I53" s="611"/>
      <c r="J53" s="612"/>
      <c r="K53" s="603"/>
      <c r="L53" s="598"/>
      <c r="M53" s="593"/>
    </row>
    <row r="54" spans="1:13" ht="11.25" customHeight="1" thickBot="1" thickTop="1">
      <c r="A54" s="594"/>
      <c r="B54" s="613"/>
      <c r="C54" s="614"/>
      <c r="D54" s="614"/>
      <c r="E54" s="614"/>
      <c r="F54" s="614"/>
      <c r="G54" s="614"/>
      <c r="H54" s="614"/>
      <c r="I54" s="614"/>
      <c r="J54" s="614"/>
      <c r="K54" s="615"/>
      <c r="L54" s="598"/>
      <c r="M54" s="593"/>
    </row>
    <row r="55" spans="1:13" ht="10.5" customHeight="1" thickBot="1" thickTop="1">
      <c r="A55" s="616"/>
      <c r="B55" s="617"/>
      <c r="C55" s="617"/>
      <c r="D55" s="617"/>
      <c r="E55" s="617"/>
      <c r="F55" s="617"/>
      <c r="G55" s="617"/>
      <c r="H55" s="617"/>
      <c r="I55" s="617"/>
      <c r="J55" s="617"/>
      <c r="K55" s="617"/>
      <c r="L55" s="619"/>
      <c r="M55" s="593"/>
    </row>
    <row r="56" spans="1:13" ht="13.5" thickTop="1">
      <c r="A56" s="593"/>
      <c r="B56" s="593"/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</row>
  </sheetData>
  <sheetProtection/>
  <mergeCells count="11">
    <mergeCell ref="C4:J4"/>
    <mergeCell ref="C14:J14"/>
    <mergeCell ref="C15:J15"/>
    <mergeCell ref="C19:J19"/>
    <mergeCell ref="D25:J25"/>
    <mergeCell ref="C29:F29"/>
    <mergeCell ref="D36:E36"/>
    <mergeCell ref="H36:I36"/>
    <mergeCell ref="D38:E38"/>
    <mergeCell ref="H38:I38"/>
    <mergeCell ref="C52:J5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="85" zoomScaleNormal="85" zoomScalePageLayoutView="0" workbookViewId="0" topLeftCell="A46">
      <selection activeCell="B9" sqref="B9"/>
    </sheetView>
  </sheetViews>
  <sheetFormatPr defaultColWidth="9.00390625" defaultRowHeight="12.75"/>
  <cols>
    <col min="1" max="1" width="3.125" style="110" customWidth="1"/>
    <col min="2" max="2" width="62.25390625" style="110" customWidth="1"/>
    <col min="3" max="3" width="7.25390625" style="110" customWidth="1"/>
    <col min="4" max="4" width="8.00390625" style="110" customWidth="1"/>
    <col min="5" max="5" width="13.25390625" style="110" customWidth="1"/>
    <col min="6" max="16384" width="9.125" style="110" customWidth="1"/>
  </cols>
  <sheetData>
    <row r="1" spans="1:5" ht="30.75" customHeight="1">
      <c r="A1" s="679" t="s">
        <v>76</v>
      </c>
      <c r="B1" s="679"/>
      <c r="C1" s="679"/>
      <c r="D1" s="679"/>
      <c r="E1" s="679"/>
    </row>
    <row r="2" spans="1:5" ht="36.75" customHeight="1">
      <c r="A2" s="676" t="str">
        <f>კრებსითი!A4</f>
        <v>adigenis municipalitetSi sof. varxanis gzebis monakveTebi (monakveTi II)</v>
      </c>
      <c r="B2" s="676"/>
      <c r="C2" s="676"/>
      <c r="D2" s="676"/>
      <c r="E2" s="676"/>
    </row>
    <row r="3" spans="1:5" ht="20.25" customHeight="1">
      <c r="A3" s="680" t="s">
        <v>225</v>
      </c>
      <c r="B3" s="681"/>
      <c r="C3" s="681"/>
      <c r="D3" s="681"/>
      <c r="E3" s="681"/>
    </row>
    <row r="4" spans="1:5" ht="4.5" customHeight="1">
      <c r="A4" s="111"/>
      <c r="B4" s="111"/>
      <c r="C4" s="111"/>
      <c r="D4" s="111"/>
      <c r="E4" s="111"/>
    </row>
    <row r="5" spans="1:5" ht="36" customHeight="1">
      <c r="A5" s="390" t="s">
        <v>0</v>
      </c>
      <c r="B5" s="390" t="s">
        <v>6</v>
      </c>
      <c r="C5" s="390" t="s">
        <v>77</v>
      </c>
      <c r="D5" s="390" t="s">
        <v>78</v>
      </c>
      <c r="E5" s="390" t="s">
        <v>79</v>
      </c>
    </row>
    <row r="6" spans="1:5" ht="19.5" customHeight="1">
      <c r="A6" s="390">
        <v>1</v>
      </c>
      <c r="B6" s="391">
        <v>2</v>
      </c>
      <c r="C6" s="392">
        <v>3</v>
      </c>
      <c r="D6" s="392">
        <v>4</v>
      </c>
      <c r="E6" s="392">
        <v>5</v>
      </c>
    </row>
    <row r="7" spans="1:5" ht="22.5" customHeight="1">
      <c r="A7" s="117" t="s">
        <v>80</v>
      </c>
      <c r="B7" s="683" t="s">
        <v>306</v>
      </c>
      <c r="C7" s="684"/>
      <c r="D7" s="684"/>
      <c r="E7" s="685"/>
    </row>
    <row r="8" spans="1:5" ht="21.75" customHeight="1">
      <c r="A8" s="502"/>
      <c r="B8" s="580" t="s">
        <v>307</v>
      </c>
      <c r="C8" s="577" t="s">
        <v>121</v>
      </c>
      <c r="D8" s="578">
        <f>სავალი!D9</f>
        <v>104</v>
      </c>
      <c r="E8" s="579"/>
    </row>
    <row r="9" spans="1:5" ht="27.75" customHeight="1">
      <c r="A9" s="112">
        <v>2</v>
      </c>
      <c r="B9" s="113" t="s">
        <v>45</v>
      </c>
      <c r="C9" s="114"/>
      <c r="D9" s="115"/>
      <c r="E9" s="116"/>
    </row>
    <row r="10" spans="1:5" ht="22.5" customHeight="1">
      <c r="A10" s="677" t="s">
        <v>81</v>
      </c>
      <c r="B10" s="675" t="s">
        <v>179</v>
      </c>
      <c r="C10" s="672"/>
      <c r="D10" s="672"/>
      <c r="E10" s="666"/>
    </row>
    <row r="11" spans="1:5" ht="36.75" customHeight="1">
      <c r="A11" s="678"/>
      <c r="B11" s="167" t="s">
        <v>190</v>
      </c>
      <c r="C11" s="168" t="s">
        <v>109</v>
      </c>
      <c r="D11" s="228">
        <f>ვაკისის!F9</f>
        <v>15.6</v>
      </c>
      <c r="E11" s="682" t="s">
        <v>222</v>
      </c>
    </row>
    <row r="12" spans="1:5" ht="36.75" customHeight="1">
      <c r="A12" s="678"/>
      <c r="B12" s="167" t="s">
        <v>180</v>
      </c>
      <c r="C12" s="168" t="s">
        <v>109</v>
      </c>
      <c r="D12" s="228">
        <f>ვაკისის!G9</f>
        <v>1.56</v>
      </c>
      <c r="E12" s="682"/>
    </row>
    <row r="13" spans="1:5" ht="22.5" customHeight="1">
      <c r="A13" s="121" t="s">
        <v>82</v>
      </c>
      <c r="B13" s="675" t="s">
        <v>284</v>
      </c>
      <c r="C13" s="672"/>
      <c r="D13" s="672"/>
      <c r="E13" s="666"/>
    </row>
    <row r="14" spans="1:5" ht="36.75" customHeight="1">
      <c r="A14" s="191"/>
      <c r="B14" s="169" t="s">
        <v>181</v>
      </c>
      <c r="C14" s="117" t="s">
        <v>36</v>
      </c>
      <c r="D14" s="271">
        <f>'რკ.ბ კიუვეტი'!F8</f>
        <v>42.699999999999996</v>
      </c>
      <c r="E14" s="668" t="s">
        <v>222</v>
      </c>
    </row>
    <row r="15" spans="1:5" ht="21" customHeight="1">
      <c r="A15" s="191"/>
      <c r="B15" s="169" t="s">
        <v>176</v>
      </c>
      <c r="C15" s="117" t="s">
        <v>36</v>
      </c>
      <c r="D15" s="271">
        <f>'რკ.ბ კიუვეტი'!F9</f>
        <v>3.4160000000000004</v>
      </c>
      <c r="E15" s="669"/>
    </row>
    <row r="16" spans="1:5" ht="21" customHeight="1">
      <c r="A16" s="191"/>
      <c r="B16" s="212" t="s">
        <v>117</v>
      </c>
      <c r="C16" s="117" t="s">
        <v>36</v>
      </c>
      <c r="D16" s="572">
        <f>'რკ.ბ კიუვეტი'!F11</f>
        <v>8.54</v>
      </c>
      <c r="E16" s="117"/>
    </row>
    <row r="17" spans="1:5" ht="21" customHeight="1">
      <c r="A17" s="191"/>
      <c r="B17" s="212" t="str">
        <f>'რკ.ბეტონის კიუვეტი'!C20</f>
        <v>armaturis karkasi calkeuli Reroebisagan</v>
      </c>
      <c r="C17" s="117" t="s">
        <v>38</v>
      </c>
      <c r="D17" s="271">
        <f>'რკ.ბეტონის კიუვეტი'!F20</f>
        <v>1.0492000000000001</v>
      </c>
      <c r="E17" s="117"/>
    </row>
    <row r="18" spans="1:5" ht="21" customHeight="1">
      <c r="A18" s="191"/>
      <c r="B18" s="212" t="s">
        <v>284</v>
      </c>
      <c r="C18" s="117" t="s">
        <v>36</v>
      </c>
      <c r="D18" s="271">
        <f>'რკ.ბეტონის კიუვეტი'!F25</f>
        <v>18.299999999999997</v>
      </c>
      <c r="E18" s="117"/>
    </row>
    <row r="19" spans="1:5" ht="21" customHeight="1">
      <c r="A19" s="191"/>
      <c r="B19" s="212" t="str">
        <f>'რკ.ბეტონის კიუვეტი'!C34</f>
        <v>orfeniani hodroizolacia bitumiT</v>
      </c>
      <c r="C19" s="123" t="s">
        <v>110</v>
      </c>
      <c r="D19" s="271">
        <f>'რკ.ბეტონის კიუვეტი'!F34</f>
        <v>146.39999999999998</v>
      </c>
      <c r="E19" s="117"/>
    </row>
    <row r="20" spans="1:5" ht="36.75" customHeight="1">
      <c r="A20" s="191"/>
      <c r="B20" s="212" t="s">
        <v>118</v>
      </c>
      <c r="C20" s="117" t="s">
        <v>36</v>
      </c>
      <c r="D20" s="117">
        <f>'რკ.ბ კიუვეტი'!F16</f>
        <v>36.599999999999994</v>
      </c>
      <c r="E20" s="117"/>
    </row>
    <row r="21" spans="1:5" ht="36.75" customHeight="1">
      <c r="A21" s="191"/>
      <c r="B21" s="170" t="s">
        <v>235</v>
      </c>
      <c r="C21" s="117" t="s">
        <v>38</v>
      </c>
      <c r="D21" s="271">
        <f>(ცხაური!K9+ცხაური!K10+ცხაური!K11)/1000</f>
        <v>4.552796</v>
      </c>
      <c r="E21" s="117"/>
    </row>
    <row r="22" spans="1:5" ht="27.75" customHeight="1">
      <c r="A22" s="112">
        <v>3</v>
      </c>
      <c r="B22" s="113" t="s">
        <v>83</v>
      </c>
      <c r="C22" s="120"/>
      <c r="D22" s="115"/>
      <c r="E22" s="116"/>
    </row>
    <row r="23" spans="1:5" ht="22.5" customHeight="1">
      <c r="A23" s="176" t="s">
        <v>81</v>
      </c>
      <c r="B23" s="666" t="s">
        <v>169</v>
      </c>
      <c r="C23" s="667"/>
      <c r="D23" s="667"/>
      <c r="E23" s="667"/>
    </row>
    <row r="24" spans="1:5" ht="36.75" customHeight="1">
      <c r="A24" s="119"/>
      <c r="B24" s="177" t="s">
        <v>183</v>
      </c>
      <c r="C24" s="123" t="s">
        <v>109</v>
      </c>
      <c r="D24" s="243">
        <f>'1 მილი'!E8</f>
        <v>3.2</v>
      </c>
      <c r="E24" s="668" t="s">
        <v>222</v>
      </c>
    </row>
    <row r="25" spans="1:5" ht="21" customHeight="1">
      <c r="A25" s="119"/>
      <c r="B25" s="229" t="s">
        <v>93</v>
      </c>
      <c r="C25" s="123" t="s">
        <v>109</v>
      </c>
      <c r="D25" s="243">
        <f>'1 მილი'!E9</f>
        <v>0.256</v>
      </c>
      <c r="E25" s="669"/>
    </row>
    <row r="26" spans="1:5" ht="21" customHeight="1">
      <c r="A26" s="119"/>
      <c r="B26" s="178" t="s">
        <v>108</v>
      </c>
      <c r="C26" s="123" t="s">
        <v>109</v>
      </c>
      <c r="D26" s="260">
        <f>'1 მილი'!E11</f>
        <v>0.5</v>
      </c>
      <c r="E26" s="123"/>
    </row>
    <row r="27" spans="1:5" ht="21" customHeight="1">
      <c r="A27" s="119"/>
      <c r="B27" s="179" t="s">
        <v>123</v>
      </c>
      <c r="C27" s="123" t="s">
        <v>110</v>
      </c>
      <c r="D27" s="260">
        <f>'1 მილი'!E12</f>
        <v>7.8500000000000005</v>
      </c>
      <c r="E27" s="123"/>
    </row>
    <row r="28" spans="1:5" ht="21" customHeight="1">
      <c r="A28" s="119"/>
      <c r="B28" s="180" t="str">
        <f>'1 მილი'!B13</f>
        <v>wyalgamtari liTonis d=0.5m sisqiT 8mm milis montaJi </v>
      </c>
      <c r="C28" s="123" t="s">
        <v>84</v>
      </c>
      <c r="D28" s="171" t="s">
        <v>344</v>
      </c>
      <c r="E28" s="123" t="s">
        <v>126</v>
      </c>
    </row>
    <row r="29" spans="1:5" ht="36.75" customHeight="1">
      <c r="A29" s="119"/>
      <c r="B29" s="179" t="str">
        <f>'1 მილი'!B14</f>
        <v>betonis portaluri kedlebis mowyoba (tipiuri)</v>
      </c>
      <c r="C29" s="123" t="s">
        <v>109</v>
      </c>
      <c r="D29" s="243">
        <f>'1 მილი'!E14</f>
        <v>2.4</v>
      </c>
      <c r="E29" s="230" t="s">
        <v>246</v>
      </c>
    </row>
    <row r="30" spans="1:5" ht="36.75" customHeight="1">
      <c r="A30" s="118"/>
      <c r="B30" s="179" t="s">
        <v>88</v>
      </c>
      <c r="C30" s="123" t="s">
        <v>109</v>
      </c>
      <c r="D30" s="243">
        <f>'1 მილი'!E15</f>
        <v>2</v>
      </c>
      <c r="E30" s="123"/>
    </row>
    <row r="31" spans="1:5" ht="24" customHeight="1">
      <c r="A31" s="176" t="s">
        <v>82</v>
      </c>
      <c r="B31" s="666" t="s">
        <v>300</v>
      </c>
      <c r="C31" s="667"/>
      <c r="D31" s="667"/>
      <c r="E31" s="667"/>
    </row>
    <row r="32" spans="1:5" ht="34.5" customHeight="1">
      <c r="A32" s="119"/>
      <c r="B32" s="179" t="str">
        <f>'რკ.ბეტონის ჭები'!C10</f>
        <v>me-IV jg. gruntis moWra eqskavatoriT V-0.5m3 datvirTviT avtoTvTmclelebze</v>
      </c>
      <c r="C32" s="123" t="s">
        <v>109</v>
      </c>
      <c r="D32" s="243">
        <f>სანიღვრე!F8</f>
        <v>2</v>
      </c>
      <c r="E32" s="670" t="s">
        <v>222</v>
      </c>
    </row>
    <row r="33" spans="1:5" ht="24.75" customHeight="1">
      <c r="A33" s="119"/>
      <c r="B33" s="179" t="str">
        <f>'რკ.ბეტონის ჭები'!C14</f>
        <v>III jg. gruntis damuSaveba xeliT </v>
      </c>
      <c r="C33" s="123" t="s">
        <v>109</v>
      </c>
      <c r="D33" s="243">
        <f>სანიღვრე!F9</f>
        <v>0.2</v>
      </c>
      <c r="E33" s="670"/>
    </row>
    <row r="34" spans="1:5" ht="30.75" customHeight="1">
      <c r="A34" s="119"/>
      <c r="B34" s="179" t="str">
        <f>'რკ.ბეტონის ჭები'!C17</f>
        <v>xreSovani baliSis mowyoba niaRvarmimRebi Webis qveS</v>
      </c>
      <c r="C34" s="123" t="s">
        <v>109</v>
      </c>
      <c r="D34" s="243">
        <f>სანიღვრე!F10</f>
        <v>0.2</v>
      </c>
      <c r="E34" s="573"/>
    </row>
    <row r="35" spans="1:5" ht="34.5" customHeight="1">
      <c r="A35" s="119"/>
      <c r="B35" s="179" t="str">
        <f>'რკ.ბეტონის ჭები'!C21</f>
        <v>niaRvarmiRebi Webis Zirisa da kedlebis mowyoba b-20</v>
      </c>
      <c r="C35" s="123" t="s">
        <v>109</v>
      </c>
      <c r="D35" s="243">
        <f>სანიღვრე!F12</f>
        <v>1.68</v>
      </c>
      <c r="E35" s="123"/>
    </row>
    <row r="36" spans="1:5" ht="34.5" customHeight="1">
      <c r="A36" s="119"/>
      <c r="B36" s="179" t="str">
        <f>სანიღვრე!B14</f>
        <v>niaRvarmiRebi Webis kedlebis orfeniani hidroizolacia bitumiT</v>
      </c>
      <c r="C36" s="123" t="s">
        <v>110</v>
      </c>
      <c r="D36" s="243">
        <f>სანიღვრე!F14</f>
        <v>6</v>
      </c>
      <c r="E36" s="123"/>
    </row>
    <row r="37" spans="1:5" ht="34.5" customHeight="1">
      <c r="A37" s="119"/>
      <c r="B37" s="179" t="str">
        <f>სანიღვრე!B15</f>
        <v>axali saniaRvre Wis oTxkuTxa cxauris montaJi CarCoTi 600X600</v>
      </c>
      <c r="C37" s="123" t="s">
        <v>141</v>
      </c>
      <c r="D37" s="243">
        <f>სანიღვრე!F15</f>
        <v>2</v>
      </c>
      <c r="E37" s="123" t="s">
        <v>229</v>
      </c>
    </row>
    <row r="38" spans="1:5" ht="21" customHeight="1">
      <c r="A38" s="119"/>
      <c r="B38" s="179" t="str">
        <f>სანიღვრე!B16</f>
        <v>saniaRvre WebTan Txrilis Sevseba balastiT</v>
      </c>
      <c r="C38" s="123" t="s">
        <v>109</v>
      </c>
      <c r="D38" s="243">
        <f>სანიღვრე!F16</f>
        <v>1</v>
      </c>
      <c r="E38" s="123"/>
    </row>
    <row r="39" spans="1:5" ht="19.5" customHeight="1">
      <c r="A39" s="122">
        <v>4</v>
      </c>
      <c r="B39" s="130" t="s">
        <v>85</v>
      </c>
      <c r="C39" s="123"/>
      <c r="D39" s="117"/>
      <c r="E39" s="131"/>
    </row>
    <row r="40" spans="1:5" ht="24.75" customHeight="1">
      <c r="A40" s="176" t="s">
        <v>81</v>
      </c>
      <c r="B40" s="666" t="s">
        <v>247</v>
      </c>
      <c r="C40" s="667"/>
      <c r="D40" s="667"/>
      <c r="E40" s="667"/>
    </row>
    <row r="41" spans="1:5" ht="34.5" customHeight="1">
      <c r="A41" s="257"/>
      <c r="B41" s="244" t="s">
        <v>196</v>
      </c>
      <c r="C41" s="123" t="s">
        <v>110</v>
      </c>
      <c r="D41" s="227">
        <f>D42</f>
        <v>426.4</v>
      </c>
      <c r="E41" s="256"/>
    </row>
    <row r="42" spans="1:5" ht="33" customHeight="1">
      <c r="A42" s="119"/>
      <c r="B42" s="247" t="s">
        <v>120</v>
      </c>
      <c r="C42" s="123" t="s">
        <v>110</v>
      </c>
      <c r="D42" s="228">
        <f>სავალი!I9</f>
        <v>426.4</v>
      </c>
      <c r="E42" s="123" t="s">
        <v>328</v>
      </c>
    </row>
    <row r="43" spans="1:5" ht="67.5" customHeight="1">
      <c r="A43" s="119"/>
      <c r="B43" s="247" t="s">
        <v>324</v>
      </c>
      <c r="C43" s="123" t="s">
        <v>110</v>
      </c>
      <c r="D43" s="320">
        <f>სავალი!K9</f>
        <v>416</v>
      </c>
      <c r="E43" s="123"/>
    </row>
    <row r="44" spans="1:5" ht="21" customHeight="1">
      <c r="A44" s="119"/>
      <c r="B44" s="574" t="s">
        <v>226</v>
      </c>
      <c r="C44" s="123" t="s">
        <v>38</v>
      </c>
      <c r="D44" s="320">
        <f>სავალი!M9</f>
        <v>1.6640000000000001</v>
      </c>
      <c r="E44" s="123"/>
    </row>
    <row r="45" spans="1:5" ht="33.75" customHeight="1">
      <c r="A45" s="118"/>
      <c r="B45" s="229" t="s">
        <v>64</v>
      </c>
      <c r="C45" s="123" t="s">
        <v>109</v>
      </c>
      <c r="D45" s="228">
        <f>სავალი!O9</f>
        <v>16.64</v>
      </c>
      <c r="E45" s="123" t="s">
        <v>341</v>
      </c>
    </row>
    <row r="46" spans="1:5" ht="27.75" customHeight="1">
      <c r="A46" s="575" t="s">
        <v>82</v>
      </c>
      <c r="B46" s="675" t="s">
        <v>301</v>
      </c>
      <c r="C46" s="672"/>
      <c r="D46" s="672"/>
      <c r="E46" s="666"/>
    </row>
    <row r="47" spans="1:5" ht="29.25" customHeight="1">
      <c r="A47" s="119"/>
      <c r="B47" s="170" t="s">
        <v>124</v>
      </c>
      <c r="C47" s="123" t="s">
        <v>110</v>
      </c>
      <c r="D47" s="228">
        <f>შესასვლელი!D9</f>
        <v>150</v>
      </c>
      <c r="E47" s="123" t="s">
        <v>328</v>
      </c>
    </row>
    <row r="48" spans="1:5" ht="63" customHeight="1">
      <c r="A48" s="119"/>
      <c r="B48" s="245" t="s">
        <v>324</v>
      </c>
      <c r="C48" s="123" t="s">
        <v>110</v>
      </c>
      <c r="D48" s="320">
        <f>D47</f>
        <v>150</v>
      </c>
      <c r="E48" s="123"/>
    </row>
    <row r="49" spans="1:5" ht="21" customHeight="1">
      <c r="A49" s="119"/>
      <c r="B49" s="360" t="s">
        <v>226</v>
      </c>
      <c r="C49" s="123" t="s">
        <v>38</v>
      </c>
      <c r="D49" s="321">
        <f>'ა.ბეტონი (2)'!F32</f>
        <v>0.6</v>
      </c>
      <c r="E49" s="123"/>
    </row>
    <row r="50" spans="1:5" ht="31.5" customHeight="1">
      <c r="A50" s="118"/>
      <c r="B50" s="170" t="str">
        <f>'ა.ბეტონი (2)'!C33</f>
        <v>misayreli  gverdulebis  mowyoba qviSa-xreSovani masaliT</v>
      </c>
      <c r="C50" s="123" t="s">
        <v>109</v>
      </c>
      <c r="D50" s="228">
        <f>'ა.ბეტონი (2)'!F33*100</f>
        <v>10</v>
      </c>
      <c r="E50" s="123" t="s">
        <v>341</v>
      </c>
    </row>
    <row r="51" spans="1:5" ht="21.75" customHeight="1">
      <c r="A51" s="673" t="s">
        <v>198</v>
      </c>
      <c r="B51" s="672" t="s">
        <v>128</v>
      </c>
      <c r="C51" s="672"/>
      <c r="D51" s="672"/>
      <c r="E51" s="666"/>
    </row>
    <row r="52" spans="1:5" ht="68.25" customHeight="1">
      <c r="A52" s="674"/>
      <c r="B52" s="247" t="s">
        <v>138</v>
      </c>
      <c r="C52" s="123" t="s">
        <v>131</v>
      </c>
      <c r="D52" s="243">
        <f>მონიშვნა!F9</f>
        <v>0.208</v>
      </c>
      <c r="E52" s="123" t="s">
        <v>136</v>
      </c>
    </row>
    <row r="53" spans="1:5" ht="34.5" customHeight="1">
      <c r="A53" s="102"/>
      <c r="B53" s="361"/>
      <c r="C53" s="362"/>
      <c r="D53" s="363"/>
      <c r="E53" s="362"/>
    </row>
    <row r="54" spans="1:5" ht="16.5">
      <c r="A54" s="671" t="s">
        <v>323</v>
      </c>
      <c r="B54" s="671"/>
      <c r="C54" s="671"/>
      <c r="D54" s="671"/>
      <c r="E54" s="671"/>
    </row>
  </sheetData>
  <sheetProtection/>
  <mergeCells count="18">
    <mergeCell ref="A2:E2"/>
    <mergeCell ref="A10:A12"/>
    <mergeCell ref="E14:E15"/>
    <mergeCell ref="B10:E10"/>
    <mergeCell ref="B13:E13"/>
    <mergeCell ref="A1:E1"/>
    <mergeCell ref="A3:E3"/>
    <mergeCell ref="E11:E12"/>
    <mergeCell ref="B7:E7"/>
    <mergeCell ref="B23:E23"/>
    <mergeCell ref="B31:E31"/>
    <mergeCell ref="E24:E25"/>
    <mergeCell ref="E32:E33"/>
    <mergeCell ref="A54:E54"/>
    <mergeCell ref="B51:E51"/>
    <mergeCell ref="A51:A52"/>
    <mergeCell ref="B40:E40"/>
    <mergeCell ref="B46:E46"/>
  </mergeCells>
  <printOptions horizontalCentered="1"/>
  <pageMargins left="0.3937007874015748" right="0.1968503937007874" top="0.3937007874015748" bottom="0.1968503937007874" header="0.2362204724409449" footer="0.236220472440944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="70" zoomScaleNormal="70" zoomScalePageLayoutView="0" workbookViewId="0" topLeftCell="A1">
      <selection activeCell="M25" sqref="M25"/>
    </sheetView>
  </sheetViews>
  <sheetFormatPr defaultColWidth="9.00390625" defaultRowHeight="12.75"/>
  <cols>
    <col min="1" max="1" width="5.125" style="475" customWidth="1"/>
    <col min="2" max="3" width="14.00390625" style="475" customWidth="1"/>
    <col min="4" max="4" width="10.125" style="475" customWidth="1"/>
    <col min="5" max="5" width="10.25390625" style="475" customWidth="1"/>
    <col min="6" max="7" width="18.875" style="475" customWidth="1"/>
    <col min="8" max="16384" width="9.125" style="475" customWidth="1"/>
  </cols>
  <sheetData>
    <row r="1" spans="1:7" ht="22.5" customHeight="1">
      <c r="A1" s="700" t="s">
        <v>146</v>
      </c>
      <c r="B1" s="701"/>
      <c r="C1" s="701"/>
      <c r="D1" s="701"/>
      <c r="E1" s="701"/>
      <c r="F1" s="701"/>
      <c r="G1" s="701"/>
    </row>
    <row r="2" spans="1:7" ht="39.75" customHeight="1">
      <c r="A2" s="700" t="str">
        <f>სავალი!A2</f>
        <v>adigenis municipalitetSi sof. varxanis gzebis monakveTebi (monakveTi II)</v>
      </c>
      <c r="B2" s="701"/>
      <c r="C2" s="701"/>
      <c r="D2" s="701"/>
      <c r="E2" s="701"/>
      <c r="F2" s="701"/>
      <c r="G2" s="701"/>
    </row>
    <row r="3" ht="0.75" customHeight="1"/>
    <row r="4" spans="1:7" ht="24.75" customHeight="1">
      <c r="A4" s="702" t="s">
        <v>0</v>
      </c>
      <c r="B4" s="686" t="s">
        <v>145</v>
      </c>
      <c r="C4" s="687"/>
      <c r="D4" s="697" t="s">
        <v>147</v>
      </c>
      <c r="E4" s="690" t="s">
        <v>148</v>
      </c>
      <c r="F4" s="697" t="s">
        <v>177</v>
      </c>
      <c r="G4" s="697"/>
    </row>
    <row r="5" spans="1:7" ht="45" customHeight="1">
      <c r="A5" s="702"/>
      <c r="B5" s="688"/>
      <c r="C5" s="689"/>
      <c r="D5" s="697"/>
      <c r="E5" s="691"/>
      <c r="F5" s="703" t="s">
        <v>286</v>
      </c>
      <c r="G5" s="704"/>
    </row>
    <row r="6" spans="1:7" ht="21" customHeight="1">
      <c r="A6" s="702"/>
      <c r="B6" s="261" t="s">
        <v>149</v>
      </c>
      <c r="C6" s="261" t="s">
        <v>150</v>
      </c>
      <c r="D6" s="702"/>
      <c r="E6" s="692"/>
      <c r="F6" s="476" t="s">
        <v>151</v>
      </c>
      <c r="G6" s="476" t="s">
        <v>152</v>
      </c>
    </row>
    <row r="7" spans="1:7" ht="21" customHeight="1">
      <c r="A7" s="503" t="s">
        <v>82</v>
      </c>
      <c r="B7" s="698" t="s">
        <v>260</v>
      </c>
      <c r="C7" s="699"/>
      <c r="D7" s="477"/>
      <c r="E7" s="503"/>
      <c r="F7" s="478"/>
      <c r="G7" s="479"/>
    </row>
    <row r="8" spans="1:7" ht="21" customHeight="1">
      <c r="A8" s="261">
        <v>1</v>
      </c>
      <c r="B8" s="503" t="s">
        <v>234</v>
      </c>
      <c r="C8" s="474" t="s">
        <v>253</v>
      </c>
      <c r="D8" s="477">
        <v>104</v>
      </c>
      <c r="E8" s="261" t="s">
        <v>178</v>
      </c>
      <c r="F8" s="478">
        <f>D8*0.15</f>
        <v>15.6</v>
      </c>
      <c r="G8" s="479">
        <f>F8*0.1</f>
        <v>1.56</v>
      </c>
    </row>
    <row r="9" spans="1:7" ht="22.5" customHeight="1">
      <c r="A9" s="694" t="s">
        <v>33</v>
      </c>
      <c r="B9" s="695"/>
      <c r="C9" s="696"/>
      <c r="D9" s="480">
        <f>SUM(D7:D8)</f>
        <v>104</v>
      </c>
      <c r="E9" s="480"/>
      <c r="F9" s="481">
        <f>SUM(F7:F8)</f>
        <v>15.6</v>
      </c>
      <c r="G9" s="481">
        <f>SUM(G7:G8)</f>
        <v>1.56</v>
      </c>
    </row>
    <row r="10" ht="19.5" customHeight="1"/>
    <row r="11" spans="1:7" ht="34.5" customHeight="1">
      <c r="A11" s="693" t="e">
        <f>#REF!</f>
        <v>#REF!</v>
      </c>
      <c r="B11" s="693"/>
      <c r="C11" s="693"/>
      <c r="D11" s="693"/>
      <c r="E11" s="693"/>
      <c r="F11" s="693"/>
      <c r="G11" s="693"/>
    </row>
  </sheetData>
  <sheetProtection/>
  <mergeCells count="11">
    <mergeCell ref="A1:G1"/>
    <mergeCell ref="A2:G2"/>
    <mergeCell ref="A4:A6"/>
    <mergeCell ref="D4:D6"/>
    <mergeCell ref="F5:G5"/>
    <mergeCell ref="B4:C5"/>
    <mergeCell ref="E4:E6"/>
    <mergeCell ref="A11:G11"/>
    <mergeCell ref="A9:C9"/>
    <mergeCell ref="F4:G4"/>
    <mergeCell ref="B7:C7"/>
  </mergeCells>
  <printOptions horizontalCentered="1"/>
  <pageMargins left="0.3937007874015748" right="0.1968503937007874" top="0.3937007874015748" bottom="0.1968503937007874" header="0.3149606299212598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4.375" style="248" customWidth="1"/>
    <col min="2" max="2" width="69.25390625" style="248" customWidth="1"/>
    <col min="3" max="3" width="6.875" style="248" customWidth="1"/>
    <col min="4" max="4" width="13.75390625" style="248" customWidth="1"/>
    <col min="5" max="5" width="12.25390625" style="248" customWidth="1"/>
    <col min="6" max="6" width="11.875" style="248" customWidth="1"/>
    <col min="7" max="7" width="9.125" style="248" customWidth="1"/>
    <col min="8" max="8" width="14.25390625" style="248" customWidth="1"/>
    <col min="9" max="16384" width="9.125" style="248" customWidth="1"/>
  </cols>
  <sheetData>
    <row r="1" spans="1:6" ht="34.5" customHeight="1">
      <c r="A1" s="709" t="s">
        <v>330</v>
      </c>
      <c r="B1" s="710"/>
      <c r="C1" s="710"/>
      <c r="D1" s="710"/>
      <c r="E1" s="710"/>
      <c r="F1" s="710"/>
    </row>
    <row r="2" spans="1:6" ht="40.5" customHeight="1">
      <c r="A2" s="709" t="str">
        <f>კრებსითი!A4</f>
        <v>adigenis municipalitetSi sof. varxanis gzebis monakveTebi (monakveTi II)</v>
      </c>
      <c r="B2" s="710"/>
      <c r="C2" s="710"/>
      <c r="D2" s="710"/>
      <c r="E2" s="710"/>
      <c r="F2" s="710"/>
    </row>
    <row r="3" spans="2:6" ht="7.5" customHeight="1">
      <c r="B3" s="711"/>
      <c r="C3" s="711"/>
      <c r="D3" s="249"/>
      <c r="E3" s="249"/>
      <c r="F3" s="251"/>
    </row>
    <row r="4" spans="1:6" ht="22.5" customHeight="1">
      <c r="A4" s="712" t="s">
        <v>0</v>
      </c>
      <c r="B4" s="712" t="s">
        <v>6</v>
      </c>
      <c r="C4" s="712" t="s">
        <v>168</v>
      </c>
      <c r="D4" s="713" t="s">
        <v>164</v>
      </c>
      <c r="E4" s="714"/>
      <c r="F4" s="712" t="s">
        <v>140</v>
      </c>
    </row>
    <row r="5" spans="1:6" ht="22.5" customHeight="1">
      <c r="A5" s="712"/>
      <c r="B5" s="712"/>
      <c r="C5" s="712"/>
      <c r="D5" s="713" t="s">
        <v>260</v>
      </c>
      <c r="E5" s="714"/>
      <c r="F5" s="712"/>
    </row>
    <row r="6" spans="1:6" ht="36" customHeight="1">
      <c r="A6" s="712"/>
      <c r="B6" s="712"/>
      <c r="C6" s="712"/>
      <c r="D6" s="309" t="s">
        <v>259</v>
      </c>
      <c r="E6" s="309" t="s">
        <v>261</v>
      </c>
      <c r="F6" s="712"/>
    </row>
    <row r="7" spans="1:6" ht="19.5" customHeight="1">
      <c r="A7" s="308">
        <v>1</v>
      </c>
      <c r="B7" s="308">
        <v>2</v>
      </c>
      <c r="C7" s="308">
        <v>3</v>
      </c>
      <c r="D7" s="308">
        <v>4</v>
      </c>
      <c r="E7" s="308">
        <v>5</v>
      </c>
      <c r="F7" s="308">
        <v>6</v>
      </c>
    </row>
    <row r="8" spans="1:6" ht="37.5" customHeight="1">
      <c r="A8" s="314">
        <v>1</v>
      </c>
      <c r="B8" s="315" t="s">
        <v>199</v>
      </c>
      <c r="C8" s="310" t="s">
        <v>200</v>
      </c>
      <c r="D8" s="310">
        <f>D12*0.35</f>
        <v>39.9</v>
      </c>
      <c r="E8" s="310">
        <f>E12*0.35</f>
        <v>2.8</v>
      </c>
      <c r="F8" s="397">
        <f>SUM(D8:E8)</f>
        <v>42.699999999999996</v>
      </c>
    </row>
    <row r="9" spans="1:6" ht="27.75" customHeight="1">
      <c r="A9" s="314">
        <v>2</v>
      </c>
      <c r="B9" s="315" t="s">
        <v>176</v>
      </c>
      <c r="C9" s="310" t="s">
        <v>200</v>
      </c>
      <c r="D9" s="312">
        <f>D8*0.08</f>
        <v>3.192</v>
      </c>
      <c r="E9" s="312">
        <f>E8*0.08</f>
        <v>0.22399999999999998</v>
      </c>
      <c r="F9" s="397">
        <f>SUM(D9:E9)</f>
        <v>3.4160000000000004</v>
      </c>
    </row>
    <row r="10" spans="1:6" ht="27.75" customHeight="1">
      <c r="A10" s="314">
        <v>3</v>
      </c>
      <c r="B10" s="315" t="s">
        <v>220</v>
      </c>
      <c r="C10" s="310" t="s">
        <v>50</v>
      </c>
      <c r="D10" s="313">
        <f>(D8+D9)*1.75</f>
        <v>75.411</v>
      </c>
      <c r="E10" s="313">
        <f>(E8+E9)*1.75</f>
        <v>5.292</v>
      </c>
      <c r="F10" s="313">
        <f>(F8+F9)*1.75</f>
        <v>80.703</v>
      </c>
    </row>
    <row r="11" spans="1:6" ht="27.75" customHeight="1">
      <c r="A11" s="314">
        <v>4</v>
      </c>
      <c r="B11" s="316" t="s">
        <v>201</v>
      </c>
      <c r="C11" s="310" t="s">
        <v>200</v>
      </c>
      <c r="D11" s="312">
        <f>D12*0.1*0.7</f>
        <v>7.9799999999999995</v>
      </c>
      <c r="E11" s="312">
        <f>E12*0.1*0.7</f>
        <v>0.5599999999999999</v>
      </c>
      <c r="F11" s="397">
        <f aca="true" t="shared" si="0" ref="F11:F16">SUM(D11:E11)</f>
        <v>8.54</v>
      </c>
    </row>
    <row r="12" spans="1:6" ht="27.75" customHeight="1">
      <c r="A12" s="705">
        <v>5</v>
      </c>
      <c r="B12" s="316" t="s">
        <v>285</v>
      </c>
      <c r="C12" s="310" t="s">
        <v>114</v>
      </c>
      <c r="D12" s="310">
        <v>114</v>
      </c>
      <c r="E12" s="310">
        <v>8</v>
      </c>
      <c r="F12" s="397">
        <f t="shared" si="0"/>
        <v>122</v>
      </c>
    </row>
    <row r="13" spans="1:6" ht="21" customHeight="1">
      <c r="A13" s="706"/>
      <c r="B13" s="316" t="s">
        <v>287</v>
      </c>
      <c r="C13" s="310" t="s">
        <v>200</v>
      </c>
      <c r="D13" s="310">
        <f>D12*0.15</f>
        <v>17.099999999999998</v>
      </c>
      <c r="E13" s="310">
        <f>E12*0.15</f>
        <v>1.2</v>
      </c>
      <c r="F13" s="397">
        <f t="shared" si="0"/>
        <v>18.299999999999997</v>
      </c>
    </row>
    <row r="14" spans="1:6" ht="21" customHeight="1">
      <c r="A14" s="707"/>
      <c r="B14" s="316" t="s">
        <v>288</v>
      </c>
      <c r="C14" s="310" t="s">
        <v>31</v>
      </c>
      <c r="D14" s="313">
        <f>D12*8.6</f>
        <v>980.4</v>
      </c>
      <c r="E14" s="313">
        <f>E12*8.6</f>
        <v>68.8</v>
      </c>
      <c r="F14" s="397">
        <f t="shared" si="0"/>
        <v>1049.2</v>
      </c>
    </row>
    <row r="15" spans="1:6" ht="27.75" customHeight="1">
      <c r="A15" s="561">
        <v>6</v>
      </c>
      <c r="B15" s="316" t="s">
        <v>290</v>
      </c>
      <c r="C15" s="310" t="s">
        <v>289</v>
      </c>
      <c r="D15" s="310">
        <f>D12*1.2</f>
        <v>136.79999999999998</v>
      </c>
      <c r="E15" s="310">
        <f>E12*1.2</f>
        <v>9.6</v>
      </c>
      <c r="F15" s="397">
        <f t="shared" si="0"/>
        <v>146.39999999999998</v>
      </c>
    </row>
    <row r="16" spans="1:6" ht="27.75" customHeight="1">
      <c r="A16" s="314">
        <v>7</v>
      </c>
      <c r="B16" s="316" t="s">
        <v>166</v>
      </c>
      <c r="C16" s="308" t="s">
        <v>200</v>
      </c>
      <c r="D16" s="310">
        <f>D12*0.3</f>
        <v>34.199999999999996</v>
      </c>
      <c r="E16" s="310">
        <f>E12*0.3</f>
        <v>2.4</v>
      </c>
      <c r="F16" s="397">
        <f t="shared" si="0"/>
        <v>36.599999999999994</v>
      </c>
    </row>
    <row r="17" spans="1:2" ht="14.25" customHeight="1">
      <c r="A17" s="251"/>
      <c r="B17" s="251"/>
    </row>
    <row r="18" spans="1:6" ht="37.5" customHeight="1">
      <c r="A18" s="708" t="e">
        <f>#REF!</f>
        <v>#REF!</v>
      </c>
      <c r="B18" s="708"/>
      <c r="C18" s="708"/>
      <c r="D18" s="708"/>
      <c r="E18" s="708"/>
      <c r="F18" s="708"/>
    </row>
    <row r="19" ht="37.5" customHeight="1"/>
  </sheetData>
  <sheetProtection/>
  <mergeCells count="11">
    <mergeCell ref="D5:E5"/>
    <mergeCell ref="A12:A14"/>
    <mergeCell ref="A18:F18"/>
    <mergeCell ref="A1:F1"/>
    <mergeCell ref="A2:F2"/>
    <mergeCell ref="B3:C3"/>
    <mergeCell ref="A4:A6"/>
    <mergeCell ref="B4:B6"/>
    <mergeCell ref="C4:C6"/>
    <mergeCell ref="D4:E4"/>
    <mergeCell ref="F4:F6"/>
  </mergeCells>
  <printOptions horizontalCentered="1"/>
  <pageMargins left="0.1968503937007874" right="0.1968503937007874" top="0.4724409448818898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"/>
  <sheetViews>
    <sheetView zoomScale="85" zoomScaleNormal="85" zoomScalePageLayoutView="0" workbookViewId="0" topLeftCell="A1">
      <selection activeCell="J8" sqref="J8:K8"/>
    </sheetView>
  </sheetViews>
  <sheetFormatPr defaultColWidth="9.00390625" defaultRowHeight="12.75"/>
  <cols>
    <col min="1" max="1" width="4.25390625" style="248" customWidth="1"/>
    <col min="2" max="2" width="24.125" style="248" customWidth="1"/>
    <col min="3" max="3" width="8.25390625" style="248" customWidth="1"/>
    <col min="4" max="4" width="6.375" style="248" customWidth="1"/>
    <col min="5" max="5" width="4.75390625" style="248" customWidth="1"/>
    <col min="6" max="6" width="2.75390625" style="248" customWidth="1"/>
    <col min="7" max="7" width="6.875" style="248" customWidth="1"/>
    <col min="8" max="8" width="3.375" style="248" customWidth="1"/>
    <col min="9" max="9" width="4.00390625" style="248" customWidth="1"/>
    <col min="10" max="10" width="9.125" style="248" customWidth="1"/>
    <col min="11" max="11" width="8.375" style="248" customWidth="1"/>
    <col min="12" max="16384" width="9.125" style="248" customWidth="1"/>
  </cols>
  <sheetData>
    <row r="1" spans="1:11" ht="34.5" customHeight="1">
      <c r="A1" s="709" t="s">
        <v>316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</row>
    <row r="2" spans="1:11" ht="23.25" customHeight="1">
      <c r="A2" s="722" t="str">
        <f>კრებსითი!A4</f>
        <v>adigenis municipalitetSi sof. varxanis gzebis monakveTebi (monakveTi II)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</row>
    <row r="3" spans="1:11" ht="27.75" customHeight="1">
      <c r="A3" s="716" t="s">
        <v>0</v>
      </c>
      <c r="B3" s="716" t="s">
        <v>6</v>
      </c>
      <c r="C3" s="716" t="s">
        <v>168</v>
      </c>
      <c r="D3" s="719" t="s">
        <v>164</v>
      </c>
      <c r="E3" s="720"/>
      <c r="F3" s="720"/>
      <c r="G3" s="720"/>
      <c r="H3" s="720"/>
      <c r="I3" s="720"/>
      <c r="J3" s="723" t="s">
        <v>140</v>
      </c>
      <c r="K3" s="724"/>
    </row>
    <row r="4" spans="1:11" ht="27.75" customHeight="1">
      <c r="A4" s="717"/>
      <c r="B4" s="717"/>
      <c r="C4" s="717"/>
      <c r="D4" s="719" t="s">
        <v>260</v>
      </c>
      <c r="E4" s="720"/>
      <c r="F4" s="720"/>
      <c r="G4" s="720"/>
      <c r="H4" s="720"/>
      <c r="I4" s="721"/>
      <c r="J4" s="725"/>
      <c r="K4" s="726"/>
    </row>
    <row r="5" spans="1:11" ht="33" customHeight="1">
      <c r="A5" s="717"/>
      <c r="B5" s="717"/>
      <c r="C5" s="717"/>
      <c r="D5" s="713" t="s">
        <v>259</v>
      </c>
      <c r="E5" s="715"/>
      <c r="F5" s="714"/>
      <c r="G5" s="713" t="s">
        <v>261</v>
      </c>
      <c r="H5" s="715"/>
      <c r="I5" s="714"/>
      <c r="J5" s="725"/>
      <c r="K5" s="726"/>
    </row>
    <row r="6" spans="1:11" ht="29.25" customHeight="1">
      <c r="A6" s="717"/>
      <c r="B6" s="717"/>
      <c r="C6" s="717"/>
      <c r="D6" s="394" t="s">
        <v>231</v>
      </c>
      <c r="E6" s="393">
        <v>114</v>
      </c>
      <c r="F6" s="395" t="s">
        <v>114</v>
      </c>
      <c r="G6" s="394" t="s">
        <v>231</v>
      </c>
      <c r="H6" s="393">
        <v>8</v>
      </c>
      <c r="I6" s="395" t="s">
        <v>114</v>
      </c>
      <c r="J6" s="727"/>
      <c r="K6" s="728"/>
    </row>
    <row r="7" spans="1:11" ht="24" customHeight="1">
      <c r="A7" s="718"/>
      <c r="B7" s="718"/>
      <c r="C7" s="718"/>
      <c r="D7" s="308" t="s">
        <v>114</v>
      </c>
      <c r="E7" s="713" t="s">
        <v>31</v>
      </c>
      <c r="F7" s="714"/>
      <c r="G7" s="308" t="s">
        <v>114</v>
      </c>
      <c r="H7" s="713" t="s">
        <v>31</v>
      </c>
      <c r="I7" s="714"/>
      <c r="J7" s="308" t="s">
        <v>114</v>
      </c>
      <c r="K7" s="308" t="s">
        <v>31</v>
      </c>
    </row>
    <row r="8" spans="1:11" ht="19.5" customHeight="1">
      <c r="A8" s="308">
        <v>1</v>
      </c>
      <c r="B8" s="308">
        <v>2</v>
      </c>
      <c r="C8" s="308">
        <v>3</v>
      </c>
      <c r="D8" s="713">
        <v>4</v>
      </c>
      <c r="E8" s="715"/>
      <c r="F8" s="714"/>
      <c r="G8" s="713">
        <v>5</v>
      </c>
      <c r="H8" s="715"/>
      <c r="I8" s="714"/>
      <c r="J8" s="712">
        <v>6</v>
      </c>
      <c r="K8" s="712"/>
    </row>
    <row r="9" spans="1:11" ht="40.5" customHeight="1">
      <c r="A9" s="488">
        <v>1</v>
      </c>
      <c r="B9" s="315" t="s">
        <v>233</v>
      </c>
      <c r="C9" s="386" t="s">
        <v>167</v>
      </c>
      <c r="D9" s="588">
        <f>2*E6</f>
        <v>228</v>
      </c>
      <c r="E9" s="729">
        <f>D9*8.51</f>
        <v>1940.28</v>
      </c>
      <c r="F9" s="730"/>
      <c r="G9" s="588">
        <f>2*H6</f>
        <v>16</v>
      </c>
      <c r="H9" s="729">
        <f>G9*8.51</f>
        <v>136.16</v>
      </c>
      <c r="I9" s="730"/>
      <c r="J9" s="313">
        <f aca="true" t="shared" si="0" ref="J9:K11">D9+G9</f>
        <v>244</v>
      </c>
      <c r="K9" s="313">
        <f t="shared" si="0"/>
        <v>2076.44</v>
      </c>
    </row>
    <row r="10" spans="1:11" ht="42.75" customHeight="1">
      <c r="A10" s="488">
        <v>2</v>
      </c>
      <c r="B10" s="315" t="s">
        <v>185</v>
      </c>
      <c r="C10" s="386" t="s">
        <v>167</v>
      </c>
      <c r="D10" s="588">
        <f>5*0.284*E6</f>
        <v>161.88</v>
      </c>
      <c r="E10" s="729">
        <f>D10*5.9</f>
        <v>955.092</v>
      </c>
      <c r="F10" s="730"/>
      <c r="G10" s="588">
        <f>5*0.284*H6</f>
        <v>11.36</v>
      </c>
      <c r="H10" s="729">
        <f>G10*5.9</f>
        <v>67.024</v>
      </c>
      <c r="I10" s="730"/>
      <c r="J10" s="313">
        <f t="shared" si="0"/>
        <v>173.24</v>
      </c>
      <c r="K10" s="313">
        <f t="shared" si="0"/>
        <v>1022.116</v>
      </c>
    </row>
    <row r="11" spans="1:11" ht="39" customHeight="1">
      <c r="A11" s="488">
        <v>3</v>
      </c>
      <c r="B11" s="396" t="s">
        <v>186</v>
      </c>
      <c r="C11" s="386" t="s">
        <v>167</v>
      </c>
      <c r="D11" s="588">
        <f>4*E6</f>
        <v>456</v>
      </c>
      <c r="E11" s="729">
        <f>D11*2.98</f>
        <v>1358.8799999999999</v>
      </c>
      <c r="F11" s="730"/>
      <c r="G11" s="588">
        <f>4*H6</f>
        <v>32</v>
      </c>
      <c r="H11" s="729">
        <f>G11*2.98</f>
        <v>95.36</v>
      </c>
      <c r="I11" s="730"/>
      <c r="J11" s="313">
        <f t="shared" si="0"/>
        <v>488</v>
      </c>
      <c r="K11" s="313">
        <f t="shared" si="0"/>
        <v>1454.2399999999998</v>
      </c>
    </row>
    <row r="12" spans="1:2" ht="39" customHeight="1">
      <c r="A12" s="251"/>
      <c r="B12" s="251"/>
    </row>
    <row r="13" spans="1:11" ht="27" customHeight="1">
      <c r="A13" s="708" t="e">
        <f>#REF!</f>
        <v>#REF!</v>
      </c>
      <c r="B13" s="708"/>
      <c r="C13" s="708"/>
      <c r="D13" s="708"/>
      <c r="E13" s="708"/>
      <c r="F13" s="708"/>
      <c r="G13" s="708"/>
      <c r="H13" s="708"/>
      <c r="I13" s="708"/>
      <c r="J13" s="708"/>
      <c r="K13" s="708"/>
    </row>
    <row r="14" ht="37.5" customHeight="1"/>
    <row r="15" ht="37.5" customHeight="1"/>
    <row r="16" ht="37.5" customHeight="1"/>
    <row r="17" ht="37.5" customHeight="1"/>
  </sheetData>
  <sheetProtection/>
  <mergeCells count="22">
    <mergeCell ref="E9:F9"/>
    <mergeCell ref="H9:I9"/>
    <mergeCell ref="E11:F11"/>
    <mergeCell ref="H11:I11"/>
    <mergeCell ref="E10:F10"/>
    <mergeCell ref="H10:I10"/>
    <mergeCell ref="A1:K1"/>
    <mergeCell ref="A2:K2"/>
    <mergeCell ref="A13:K13"/>
    <mergeCell ref="E7:F7"/>
    <mergeCell ref="H7:I7"/>
    <mergeCell ref="J3:K6"/>
    <mergeCell ref="J8:K8"/>
    <mergeCell ref="D8:F8"/>
    <mergeCell ref="G8:I8"/>
    <mergeCell ref="D3:I3"/>
    <mergeCell ref="D5:F5"/>
    <mergeCell ref="G5:I5"/>
    <mergeCell ref="A3:A7"/>
    <mergeCell ref="B3:B7"/>
    <mergeCell ref="C3:C7"/>
    <mergeCell ref="D4:I4"/>
  </mergeCells>
  <printOptions horizontalCentered="1"/>
  <pageMargins left="0.1968503937007874" right="0.1968503937007874" top="0.48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zoomScale="80" zoomScaleNormal="80" zoomScalePageLayoutView="0" workbookViewId="0" topLeftCell="A1">
      <selection activeCell="E7" sqref="E7"/>
    </sheetView>
  </sheetViews>
  <sheetFormatPr defaultColWidth="9.00390625" defaultRowHeight="12.75"/>
  <cols>
    <col min="1" max="1" width="2.875" style="248" customWidth="1"/>
    <col min="2" max="2" width="61.875" style="248" customWidth="1"/>
    <col min="3" max="3" width="6.25390625" style="248" customWidth="1"/>
    <col min="4" max="4" width="20.375" style="248" customWidth="1"/>
    <col min="5" max="5" width="7.875" style="248" customWidth="1"/>
    <col min="6" max="6" width="9.125" style="248" customWidth="1"/>
    <col min="7" max="7" width="13.25390625" style="248" bestFit="1" customWidth="1"/>
    <col min="8" max="8" width="9.125" style="248" customWidth="1"/>
    <col min="9" max="9" width="14.25390625" style="248" customWidth="1"/>
    <col min="10" max="16384" width="9.125" style="248" customWidth="1"/>
  </cols>
  <sheetData>
    <row r="1" spans="1:5" ht="28.5" customHeight="1">
      <c r="A1" s="709" t="s">
        <v>317</v>
      </c>
      <c r="B1" s="733"/>
      <c r="C1" s="733"/>
      <c r="D1" s="733"/>
      <c r="E1" s="734"/>
    </row>
    <row r="2" spans="1:5" ht="30.75" customHeight="1">
      <c r="A2" s="733" t="str">
        <f>კრებსითი!A4</f>
        <v>adigenis municipalitetSi sof. varxanis gzebis monakveTebi (monakveTi II)</v>
      </c>
      <c r="B2" s="734"/>
      <c r="C2" s="734"/>
      <c r="D2" s="734"/>
      <c r="E2" s="734"/>
    </row>
    <row r="3" spans="2:7" ht="9.75" customHeight="1">
      <c r="B3" s="711"/>
      <c r="C3" s="711"/>
      <c r="D3" s="249"/>
      <c r="E3" s="250"/>
      <c r="G3" s="251"/>
    </row>
    <row r="4" spans="1:7" ht="22.5" customHeight="1">
      <c r="A4" s="735" t="s">
        <v>0</v>
      </c>
      <c r="B4" s="716" t="s">
        <v>6</v>
      </c>
      <c r="C4" s="716" t="s">
        <v>125</v>
      </c>
      <c r="D4" s="639" t="s">
        <v>164</v>
      </c>
      <c r="E4" s="731" t="s">
        <v>140</v>
      </c>
      <c r="G4" s="251"/>
    </row>
    <row r="5" spans="1:7" ht="22.5" customHeight="1">
      <c r="A5" s="736"/>
      <c r="B5" s="717"/>
      <c r="C5" s="717"/>
      <c r="D5" s="252" t="s">
        <v>258</v>
      </c>
      <c r="E5" s="732"/>
      <c r="G5" s="251"/>
    </row>
    <row r="6" spans="1:7" ht="28.5" customHeight="1">
      <c r="A6" s="737"/>
      <c r="B6" s="738"/>
      <c r="C6" s="717"/>
      <c r="D6" s="411" t="s">
        <v>256</v>
      </c>
      <c r="E6" s="732"/>
      <c r="G6" s="251"/>
    </row>
    <row r="7" spans="1:7" ht="18" customHeight="1">
      <c r="A7" s="252">
        <v>1</v>
      </c>
      <c r="B7" s="252">
        <v>2</v>
      </c>
      <c r="C7" s="252">
        <v>3</v>
      </c>
      <c r="D7" s="252">
        <v>4</v>
      </c>
      <c r="E7" s="252">
        <v>5</v>
      </c>
      <c r="G7" s="251"/>
    </row>
    <row r="8" spans="1:7" ht="46.5" customHeight="1">
      <c r="A8" s="488">
        <v>1</v>
      </c>
      <c r="B8" s="489" t="s">
        <v>174</v>
      </c>
      <c r="C8" s="490" t="s">
        <v>36</v>
      </c>
      <c r="D8" s="312">
        <f>0.64*D13</f>
        <v>3.2</v>
      </c>
      <c r="E8" s="313">
        <f aca="true" t="shared" si="0" ref="E8:E15">SUM(D8:D8)</f>
        <v>3.2</v>
      </c>
      <c r="G8" s="251"/>
    </row>
    <row r="9" spans="1:7" ht="27.75" customHeight="1">
      <c r="A9" s="488">
        <v>2</v>
      </c>
      <c r="B9" s="489" t="s">
        <v>93</v>
      </c>
      <c r="C9" s="490" t="s">
        <v>36</v>
      </c>
      <c r="D9" s="312">
        <f>D8*0.08</f>
        <v>0.256</v>
      </c>
      <c r="E9" s="313">
        <f t="shared" si="0"/>
        <v>0.256</v>
      </c>
      <c r="G9" s="251"/>
    </row>
    <row r="10" spans="1:7" ht="27.75" customHeight="1">
      <c r="A10" s="488">
        <v>3</v>
      </c>
      <c r="B10" s="491" t="s">
        <v>221</v>
      </c>
      <c r="C10" s="490" t="s">
        <v>50</v>
      </c>
      <c r="D10" s="312">
        <f>(D8+D9)*1.75</f>
        <v>6.048000000000001</v>
      </c>
      <c r="E10" s="313">
        <f t="shared" si="0"/>
        <v>6.048000000000001</v>
      </c>
      <c r="G10" s="251"/>
    </row>
    <row r="11" spans="1:5" ht="27.75" customHeight="1">
      <c r="A11" s="488">
        <v>4</v>
      </c>
      <c r="B11" s="491" t="s">
        <v>165</v>
      </c>
      <c r="C11" s="490" t="s">
        <v>36</v>
      </c>
      <c r="D11" s="318">
        <f>D13*0.1</f>
        <v>0.5</v>
      </c>
      <c r="E11" s="313">
        <f t="shared" si="0"/>
        <v>0.5</v>
      </c>
    </row>
    <row r="12" spans="1:5" ht="27.75" customHeight="1">
      <c r="A12" s="488">
        <v>5</v>
      </c>
      <c r="B12" s="492" t="s">
        <v>123</v>
      </c>
      <c r="C12" s="490" t="s">
        <v>194</v>
      </c>
      <c r="D12" s="317">
        <f>1.57*D13</f>
        <v>7.8500000000000005</v>
      </c>
      <c r="E12" s="313">
        <f t="shared" si="0"/>
        <v>7.8500000000000005</v>
      </c>
    </row>
    <row r="13" spans="1:5" ht="27.75" customHeight="1">
      <c r="A13" s="488">
        <v>6</v>
      </c>
      <c r="B13" s="493" t="s">
        <v>321</v>
      </c>
      <c r="C13" s="494" t="s">
        <v>114</v>
      </c>
      <c r="D13" s="318">
        <v>5</v>
      </c>
      <c r="E13" s="313">
        <f t="shared" si="0"/>
        <v>5</v>
      </c>
    </row>
    <row r="14" spans="1:5" ht="27.75" customHeight="1">
      <c r="A14" s="488">
        <v>7</v>
      </c>
      <c r="B14" s="492" t="s">
        <v>184</v>
      </c>
      <c r="C14" s="490" t="s">
        <v>36</v>
      </c>
      <c r="D14" s="318">
        <v>2.4</v>
      </c>
      <c r="E14" s="313">
        <f t="shared" si="0"/>
        <v>2.4</v>
      </c>
    </row>
    <row r="15" spans="1:5" ht="27.75" customHeight="1">
      <c r="A15" s="488">
        <v>8</v>
      </c>
      <c r="B15" s="493" t="s">
        <v>224</v>
      </c>
      <c r="C15" s="252" t="s">
        <v>109</v>
      </c>
      <c r="D15" s="311">
        <f>D13*0.4</f>
        <v>2</v>
      </c>
      <c r="E15" s="313">
        <f t="shared" si="0"/>
        <v>2</v>
      </c>
    </row>
    <row r="16" spans="1:5" ht="33.75" customHeight="1">
      <c r="A16" s="251"/>
      <c r="B16" s="251"/>
      <c r="E16" s="255"/>
    </row>
    <row r="17" spans="1:6" ht="18.75" customHeight="1">
      <c r="A17" s="693" t="e">
        <f>#REF!</f>
        <v>#REF!</v>
      </c>
      <c r="B17" s="693"/>
      <c r="C17" s="693"/>
      <c r="D17" s="693"/>
      <c r="E17" s="693"/>
      <c r="F17" s="495"/>
    </row>
  </sheetData>
  <sheetProtection/>
  <mergeCells count="8">
    <mergeCell ref="A17:E17"/>
    <mergeCell ref="C4:C6"/>
    <mergeCell ref="E4:E6"/>
    <mergeCell ref="A1:E1"/>
    <mergeCell ref="A2:E2"/>
    <mergeCell ref="B3:C3"/>
    <mergeCell ref="A4:A6"/>
    <mergeCell ref="B4:B6"/>
  </mergeCells>
  <printOptions horizontalCentered="1"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4.625" style="248" customWidth="1"/>
    <col min="2" max="2" width="72.125" style="248" customWidth="1"/>
    <col min="3" max="3" width="7.375" style="248" customWidth="1"/>
    <col min="4" max="5" width="12.875" style="248" customWidth="1"/>
    <col min="6" max="6" width="13.875" style="248" customWidth="1"/>
    <col min="7" max="16384" width="9.125" style="248" customWidth="1"/>
  </cols>
  <sheetData>
    <row r="1" spans="1:6" ht="20.25" customHeight="1">
      <c r="A1" s="709" t="s">
        <v>318</v>
      </c>
      <c r="B1" s="733"/>
      <c r="C1" s="733"/>
      <c r="D1" s="733"/>
      <c r="E1" s="733"/>
      <c r="F1" s="734"/>
    </row>
    <row r="2" spans="1:6" ht="34.5" customHeight="1">
      <c r="A2" s="733" t="str">
        <f>კრებსითი!A4</f>
        <v>adigenis municipalitetSi sof. varxanis gzebis monakveTebi (monakveTi II)</v>
      </c>
      <c r="B2" s="734"/>
      <c r="C2" s="734"/>
      <c r="D2" s="734"/>
      <c r="E2" s="734"/>
      <c r="F2" s="734"/>
    </row>
    <row r="3" spans="2:6" ht="3.75" customHeight="1">
      <c r="B3" s="711"/>
      <c r="C3" s="711"/>
      <c r="D3" s="711"/>
      <c r="E3" s="711"/>
      <c r="F3" s="250"/>
    </row>
    <row r="4" spans="1:6" ht="32.25" customHeight="1">
      <c r="A4" s="731" t="s">
        <v>0</v>
      </c>
      <c r="B4" s="731" t="s">
        <v>6</v>
      </c>
      <c r="C4" s="716" t="s">
        <v>125</v>
      </c>
      <c r="D4" s="740" t="s">
        <v>164</v>
      </c>
      <c r="E4" s="741"/>
      <c r="F4" s="731" t="s">
        <v>140</v>
      </c>
    </row>
    <row r="5" spans="1:6" ht="43.5" customHeight="1">
      <c r="A5" s="732"/>
      <c r="B5" s="732"/>
      <c r="C5" s="718"/>
      <c r="D5" s="713" t="s">
        <v>262</v>
      </c>
      <c r="E5" s="714"/>
      <c r="F5" s="732"/>
    </row>
    <row r="6" spans="1:6" ht="35.25" customHeight="1">
      <c r="A6" s="739"/>
      <c r="B6" s="739"/>
      <c r="C6" s="309"/>
      <c r="D6" s="308" t="s">
        <v>270</v>
      </c>
      <c r="E6" s="308" t="s">
        <v>271</v>
      </c>
      <c r="F6" s="739"/>
    </row>
    <row r="7" spans="1:6" ht="16.5" customHeight="1">
      <c r="A7" s="252">
        <v>1</v>
      </c>
      <c r="B7" s="252">
        <v>2</v>
      </c>
      <c r="C7" s="252">
        <v>3</v>
      </c>
      <c r="D7" s="252">
        <v>4</v>
      </c>
      <c r="E7" s="252">
        <v>5</v>
      </c>
      <c r="F7" s="252">
        <v>6</v>
      </c>
    </row>
    <row r="8" spans="1:6" ht="36.75" customHeight="1">
      <c r="A8" s="488">
        <v>1</v>
      </c>
      <c r="B8" s="489" t="s">
        <v>263</v>
      </c>
      <c r="C8" s="508" t="s">
        <v>109</v>
      </c>
      <c r="D8" s="509">
        <v>1</v>
      </c>
      <c r="E8" s="509">
        <v>1</v>
      </c>
      <c r="F8" s="313">
        <f>SUM(D8:E8)</f>
        <v>2</v>
      </c>
    </row>
    <row r="9" spans="1:6" ht="24.75" customHeight="1">
      <c r="A9" s="488">
        <v>2</v>
      </c>
      <c r="B9" s="489" t="s">
        <v>264</v>
      </c>
      <c r="C9" s="508" t="s">
        <v>109</v>
      </c>
      <c r="D9" s="509">
        <f>D8*0.1</f>
        <v>0.1</v>
      </c>
      <c r="E9" s="509">
        <f>E8*0.1</f>
        <v>0.1</v>
      </c>
      <c r="F9" s="313">
        <f>SUM(D9:E9)</f>
        <v>0.2</v>
      </c>
    </row>
    <row r="10" spans="1:6" ht="36.75" customHeight="1">
      <c r="A10" s="488">
        <v>3</v>
      </c>
      <c r="B10" s="489" t="s">
        <v>265</v>
      </c>
      <c r="C10" s="508" t="s">
        <v>109</v>
      </c>
      <c r="D10" s="509">
        <f>1*D15*0.1</f>
        <v>0.1</v>
      </c>
      <c r="E10" s="509">
        <f>1*E15*0.1</f>
        <v>0.1</v>
      </c>
      <c r="F10" s="313">
        <f>SUM(D10:E10)</f>
        <v>0.2</v>
      </c>
    </row>
    <row r="11" spans="1:6" ht="36.75" customHeight="1">
      <c r="A11" s="510">
        <v>4</v>
      </c>
      <c r="B11" s="489" t="s">
        <v>342</v>
      </c>
      <c r="C11" s="508"/>
      <c r="D11" s="509"/>
      <c r="E11" s="509"/>
      <c r="F11" s="313"/>
    </row>
    <row r="12" spans="1:6" ht="24.75" customHeight="1">
      <c r="A12" s="742">
        <v>5</v>
      </c>
      <c r="B12" s="489" t="s">
        <v>269</v>
      </c>
      <c r="C12" s="508" t="s">
        <v>109</v>
      </c>
      <c r="D12" s="509">
        <v>0.84</v>
      </c>
      <c r="E12" s="509">
        <v>0.84</v>
      </c>
      <c r="F12" s="313">
        <f>SUM(D12:E12)</f>
        <v>1.68</v>
      </c>
    </row>
    <row r="13" spans="1:6" ht="24.75" customHeight="1">
      <c r="A13" s="743"/>
      <c r="B13" s="489" t="s">
        <v>266</v>
      </c>
      <c r="C13" s="508" t="s">
        <v>31</v>
      </c>
      <c r="D13" s="509">
        <v>90.23</v>
      </c>
      <c r="E13" s="509">
        <v>90.23</v>
      </c>
      <c r="F13" s="313">
        <f>SUM(D13:E13)</f>
        <v>180.46</v>
      </c>
    </row>
    <row r="14" spans="1:6" ht="36.75" customHeight="1">
      <c r="A14" s="488">
        <v>6</v>
      </c>
      <c r="B14" s="489" t="s">
        <v>267</v>
      </c>
      <c r="C14" s="508" t="s">
        <v>110</v>
      </c>
      <c r="D14" s="509">
        <f>3*D15</f>
        <v>3</v>
      </c>
      <c r="E14" s="509">
        <f>3*E15</f>
        <v>3</v>
      </c>
      <c r="F14" s="313">
        <f>SUM(D14:E14)</f>
        <v>6</v>
      </c>
    </row>
    <row r="15" spans="1:6" ht="36.75" customHeight="1">
      <c r="A15" s="488">
        <v>7</v>
      </c>
      <c r="B15" s="489" t="s">
        <v>268</v>
      </c>
      <c r="C15" s="263" t="s">
        <v>141</v>
      </c>
      <c r="D15" s="509">
        <v>1</v>
      </c>
      <c r="E15" s="509">
        <v>1</v>
      </c>
      <c r="F15" s="313">
        <f>SUM(D15:E15)</f>
        <v>2</v>
      </c>
    </row>
    <row r="16" spans="1:6" ht="24.75" customHeight="1">
      <c r="A16" s="488">
        <v>8</v>
      </c>
      <c r="B16" s="511" t="s">
        <v>299</v>
      </c>
      <c r="C16" s="508" t="s">
        <v>109</v>
      </c>
      <c r="D16" s="509">
        <v>0.5</v>
      </c>
      <c r="E16" s="509">
        <v>0.5</v>
      </c>
      <c r="F16" s="313">
        <f>SUM(D16:E16)</f>
        <v>1</v>
      </c>
    </row>
    <row r="17" ht="17.25" customHeight="1"/>
    <row r="18" spans="1:6" ht="18.75" customHeight="1">
      <c r="A18" s="693" t="e">
        <f>'1 მილი'!A17</f>
        <v>#REF!</v>
      </c>
      <c r="B18" s="693"/>
      <c r="C18" s="693"/>
      <c r="D18" s="693"/>
      <c r="E18" s="693"/>
      <c r="F18" s="693"/>
    </row>
    <row r="20" ht="40.5" customHeight="1"/>
  </sheetData>
  <sheetProtection/>
  <mergeCells count="11">
    <mergeCell ref="A1:F1"/>
    <mergeCell ref="A2:F2"/>
    <mergeCell ref="B3:E3"/>
    <mergeCell ref="C4:C5"/>
    <mergeCell ref="F4:F6"/>
    <mergeCell ref="B4:B6"/>
    <mergeCell ref="A4:A6"/>
    <mergeCell ref="D4:E4"/>
    <mergeCell ref="A12:A13"/>
    <mergeCell ref="A18:F18"/>
    <mergeCell ref="D5:E5"/>
  </mergeCells>
  <printOptions horizontalCentered="1"/>
  <pageMargins left="0.1968503937007874" right="0.1968503937007874" top="0.3937007874015748" bottom="0.1968503937007874" header="0.31496062992125984" footer="0.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3.375" style="475" customWidth="1"/>
    <col min="2" max="2" width="9.625" style="475" customWidth="1"/>
    <col min="3" max="3" width="9.00390625" style="475" customWidth="1"/>
    <col min="4" max="5" width="7.25390625" style="475" customWidth="1"/>
    <col min="6" max="6" width="9.625" style="475" customWidth="1"/>
    <col min="7" max="7" width="10.25390625" style="475" customWidth="1"/>
    <col min="8" max="8" width="8.75390625" style="475" customWidth="1"/>
    <col min="9" max="9" width="10.25390625" style="475" customWidth="1"/>
    <col min="10" max="10" width="9.25390625" style="475" customWidth="1"/>
    <col min="11" max="11" width="10.75390625" style="475" customWidth="1"/>
    <col min="12" max="12" width="11.375" style="475" customWidth="1"/>
    <col min="13" max="13" width="15.125" style="475" customWidth="1"/>
    <col min="14" max="14" width="9.00390625" style="475" customWidth="1"/>
    <col min="15" max="15" width="7.25390625" style="475" customWidth="1"/>
    <col min="16" max="16384" width="9.125" style="475" customWidth="1"/>
  </cols>
  <sheetData>
    <row r="1" spans="1:15" ht="18" customHeight="1">
      <c r="A1" s="700" t="s">
        <v>319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</row>
    <row r="2" spans="1:15" ht="24.75" customHeight="1">
      <c r="A2" s="700" t="str">
        <f>კრებსითი!A4</f>
        <v>adigenis municipalitetSi sof. varxanis gzebis monakveTebi (monakveTi II)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</row>
    <row r="3" ht="3" customHeight="1"/>
    <row r="4" spans="1:15" ht="22.5" customHeight="1">
      <c r="A4" s="745" t="s">
        <v>0</v>
      </c>
      <c r="B4" s="762" t="s">
        <v>145</v>
      </c>
      <c r="C4" s="748"/>
      <c r="D4" s="759" t="s">
        <v>142</v>
      </c>
      <c r="E4" s="759" t="s">
        <v>158</v>
      </c>
      <c r="F4" s="747" t="s">
        <v>159</v>
      </c>
      <c r="G4" s="765"/>
      <c r="H4" s="765"/>
      <c r="I4" s="766"/>
      <c r="J4" s="752" t="s">
        <v>305</v>
      </c>
      <c r="K4" s="753"/>
      <c r="L4" s="754"/>
      <c r="M4" s="749" t="s">
        <v>223</v>
      </c>
      <c r="N4" s="749" t="s">
        <v>160</v>
      </c>
      <c r="O4" s="750"/>
    </row>
    <row r="5" spans="1:15" ht="54" customHeight="1">
      <c r="A5" s="764"/>
      <c r="B5" s="745" t="s">
        <v>143</v>
      </c>
      <c r="C5" s="745" t="s">
        <v>144</v>
      </c>
      <c r="D5" s="764"/>
      <c r="E5" s="760"/>
      <c r="F5" s="747" t="s">
        <v>283</v>
      </c>
      <c r="G5" s="748"/>
      <c r="H5" s="747" t="s">
        <v>325</v>
      </c>
      <c r="I5" s="748"/>
      <c r="J5" s="755"/>
      <c r="K5" s="756"/>
      <c r="L5" s="757"/>
      <c r="M5" s="750"/>
      <c r="N5" s="750"/>
      <c r="O5" s="750"/>
    </row>
    <row r="6" spans="1:15" ht="28.5" customHeight="1">
      <c r="A6" s="746"/>
      <c r="B6" s="746"/>
      <c r="C6" s="746"/>
      <c r="D6" s="746"/>
      <c r="E6" s="761"/>
      <c r="F6" s="587" t="s">
        <v>161</v>
      </c>
      <c r="G6" s="586" t="s">
        <v>171</v>
      </c>
      <c r="H6" s="587" t="s">
        <v>161</v>
      </c>
      <c r="I6" s="586" t="s">
        <v>171</v>
      </c>
      <c r="J6" s="587" t="s">
        <v>161</v>
      </c>
      <c r="K6" s="586" t="s">
        <v>171</v>
      </c>
      <c r="L6" s="586" t="s">
        <v>170</v>
      </c>
      <c r="M6" s="586" t="s">
        <v>38</v>
      </c>
      <c r="N6" s="586" t="s">
        <v>171</v>
      </c>
      <c r="O6" s="586" t="s">
        <v>170</v>
      </c>
    </row>
    <row r="7" spans="1:15" ht="21.75" customHeight="1">
      <c r="A7" s="507" t="s">
        <v>82</v>
      </c>
      <c r="B7" s="767" t="s">
        <v>257</v>
      </c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9"/>
    </row>
    <row r="8" spans="1:15" ht="21.75" customHeight="1">
      <c r="A8" s="485">
        <v>1</v>
      </c>
      <c r="B8" s="587" t="s">
        <v>234</v>
      </c>
      <c r="C8" s="585" t="s">
        <v>253</v>
      </c>
      <c r="D8" s="587">
        <v>104</v>
      </c>
      <c r="E8" s="587" t="s">
        <v>162</v>
      </c>
      <c r="F8" s="398">
        <f>J8+0.18</f>
        <v>4.18</v>
      </c>
      <c r="G8" s="398">
        <f>F8*D8</f>
        <v>434.71999999999997</v>
      </c>
      <c r="H8" s="398">
        <f>J8+0.1</f>
        <v>4.1</v>
      </c>
      <c r="I8" s="398">
        <f>H8*D8</f>
        <v>426.4</v>
      </c>
      <c r="J8" s="398">
        <v>4</v>
      </c>
      <c r="K8" s="398">
        <f>J8*D8</f>
        <v>416</v>
      </c>
      <c r="L8" s="398">
        <f>K8*0.16</f>
        <v>66.56</v>
      </c>
      <c r="M8" s="398">
        <f>D8*0.016</f>
        <v>1.6640000000000001</v>
      </c>
      <c r="N8" s="587">
        <f>D8*1</f>
        <v>104</v>
      </c>
      <c r="O8" s="589">
        <f>N8*0.16</f>
        <v>16.64</v>
      </c>
    </row>
    <row r="9" spans="1:15" ht="24" customHeight="1">
      <c r="A9" s="762" t="s">
        <v>163</v>
      </c>
      <c r="B9" s="763"/>
      <c r="C9" s="748"/>
      <c r="D9" s="398">
        <f>SUM(D7:D8)</f>
        <v>104</v>
      </c>
      <c r="E9" s="398"/>
      <c r="F9" s="398"/>
      <c r="G9" s="398">
        <f>SUM(G7:G8)</f>
        <v>434.71999999999997</v>
      </c>
      <c r="H9" s="398"/>
      <c r="I9" s="398">
        <f>SUM(I7:I8)</f>
        <v>426.4</v>
      </c>
      <c r="J9" s="398"/>
      <c r="K9" s="398">
        <f>SUM(K7:K8)</f>
        <v>416</v>
      </c>
      <c r="L9" s="398">
        <f>SUM(L7:L8)</f>
        <v>66.56</v>
      </c>
      <c r="M9" s="398">
        <f>SUM(M7:M8)</f>
        <v>1.6640000000000001</v>
      </c>
      <c r="N9" s="398"/>
      <c r="O9" s="398">
        <f>SUM(O7:O8)</f>
        <v>16.64</v>
      </c>
    </row>
    <row r="10" ht="15" customHeight="1"/>
    <row r="11" spans="1:15" ht="8.25" customHeight="1">
      <c r="A11" s="751"/>
      <c r="B11" s="751"/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751"/>
    </row>
    <row r="12" spans="1:15" ht="16.5">
      <c r="A12" s="744" t="e">
        <f>#REF!</f>
        <v>#REF!</v>
      </c>
      <c r="B12" s="744"/>
      <c r="C12" s="744"/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</row>
    <row r="14" ht="16.5">
      <c r="I14" s="486"/>
    </row>
    <row r="15" spans="10:13" ht="16.5">
      <c r="J15" s="487"/>
      <c r="K15" s="487"/>
      <c r="L15" s="487"/>
      <c r="M15" s="487"/>
    </row>
  </sheetData>
  <sheetProtection/>
  <mergeCells count="18">
    <mergeCell ref="A1:O1"/>
    <mergeCell ref="E4:E6"/>
    <mergeCell ref="A9:C9"/>
    <mergeCell ref="A2:O2"/>
    <mergeCell ref="A4:A6"/>
    <mergeCell ref="B4:C4"/>
    <mergeCell ref="D4:D6"/>
    <mergeCell ref="F4:I4"/>
    <mergeCell ref="B7:O7"/>
    <mergeCell ref="A12:O12"/>
    <mergeCell ref="B5:B6"/>
    <mergeCell ref="C5:C6"/>
    <mergeCell ref="F5:G5"/>
    <mergeCell ref="H5:I5"/>
    <mergeCell ref="M4:M5"/>
    <mergeCell ref="A11:O11"/>
    <mergeCell ref="N4:O5"/>
    <mergeCell ref="J4:L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 Bochikashvili</cp:lastModifiedBy>
  <cp:lastPrinted>2021-05-28T14:15:13Z</cp:lastPrinted>
  <dcterms:created xsi:type="dcterms:W3CDTF">2008-10-11T15:37:04Z</dcterms:created>
  <dcterms:modified xsi:type="dcterms:W3CDTF">2021-06-29T09:15:04Z</dcterms:modified>
  <cp:category/>
  <cp:version/>
  <cp:contentType/>
  <cp:contentStatus/>
</cp:coreProperties>
</file>