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88" yWindow="132" windowWidth="15132" windowHeight="9300" tabRatio="547" activeTab="0"/>
  </bookViews>
  <sheets>
    <sheet name=" №1" sheetId="1" r:id="rId1"/>
  </sheets>
  <definedNames>
    <definedName name="_xlnm.Print_Titles" localSheetId="0">' №1'!$8:$8</definedName>
    <definedName name="_xlnm.Print_Area" localSheetId="0">' №1'!$A$1:$H$173</definedName>
  </definedNames>
  <calcPr fullCalcOnLoad="1"/>
</workbook>
</file>

<file path=xl/sharedStrings.xml><?xml version="1.0" encoding="utf-8"?>
<sst xmlns="http://schemas.openxmlformats.org/spreadsheetml/2006/main" count="512" uniqueCount="236">
  <si>
    <t>13</t>
  </si>
  <si>
    <t>16</t>
  </si>
  <si>
    <t>Rirebuleba (lari)</t>
  </si>
  <si>
    <t>sabazro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</si>
  <si>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</si>
  <si>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</si>
  <si>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</si>
  <si>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</si>
  <si>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</si>
  <si>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</si>
  <si>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</si>
  <si>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</si>
  <si>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</si>
  <si>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</si>
  <si>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</si>
  <si>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kg</t>
  </si>
  <si>
    <t>lari</t>
  </si>
  <si>
    <t>saxarjTaRricxvo Rirebuleba</t>
  </si>
  <si>
    <t>saxarjTaRricxvo mogeba</t>
  </si>
  <si>
    <t xml:space="preserve"> lari</t>
  </si>
  <si>
    <t xml:space="preserve"> sxvadasxva masalebi</t>
  </si>
  <si>
    <t>kub.m</t>
  </si>
  <si>
    <t>sxvadasxva masalebi</t>
  </si>
  <si>
    <t>tn</t>
  </si>
  <si>
    <t>manq.sT</t>
  </si>
  <si>
    <t>cali</t>
  </si>
  <si>
    <t>j a m i:</t>
  </si>
  <si>
    <t xml:space="preserve"> j a m i:</t>
  </si>
  <si>
    <t>kv.m</t>
  </si>
  <si>
    <t>sul xarjTaRricxviT</t>
  </si>
  <si>
    <t>zednadebi xarjebi</t>
  </si>
  <si>
    <t xml:space="preserve"> kv.m</t>
  </si>
  <si>
    <t>grZ.m</t>
  </si>
  <si>
    <t>5 - 9</t>
  </si>
  <si>
    <t>gr.m</t>
  </si>
  <si>
    <t xml:space="preserve"> sxvadasxva  masalebi</t>
  </si>
  <si>
    <t>materialuri da SromiTi resursebi</t>
  </si>
  <si>
    <t xml:space="preserve"> SromiTi danaxarji</t>
  </si>
  <si>
    <t>lursmani</t>
  </si>
  <si>
    <t>10</t>
  </si>
  <si>
    <t>8</t>
  </si>
  <si>
    <t>11</t>
  </si>
  <si>
    <t>12</t>
  </si>
  <si>
    <t>15</t>
  </si>
  <si>
    <t>lokalur-resursuli xarjTaRricxva #1</t>
  </si>
  <si>
    <t>14</t>
  </si>
  <si>
    <t>samSeneblo samuSaoebi</t>
  </si>
  <si>
    <t>tona</t>
  </si>
  <si>
    <t>kvm</t>
  </si>
  <si>
    <t>sn da w   IV-2-82 t-2 cx.8-15-1</t>
  </si>
  <si>
    <t xml:space="preserve"> SromiTi danaxarji 1,15*3,6</t>
  </si>
  <si>
    <t xml:space="preserve"> manqanebi 1,15*0,92</t>
  </si>
  <si>
    <t xml:space="preserve"> duRabi wyobis</t>
  </si>
  <si>
    <t xml:space="preserve"> bitumis grunti</t>
  </si>
  <si>
    <t>Txevadi gazi</t>
  </si>
  <si>
    <t>sn da w  IV-2-82 t-2 cx.11-8-1(2)</t>
  </si>
  <si>
    <t>sn da w  IV-2-82 t-2 cx.11-20-3</t>
  </si>
  <si>
    <t xml:space="preserve"> SromiTi danaxarji 1,15*1,08</t>
  </si>
  <si>
    <t>sn da w  IV-2-82 t-2 cx.11-36-3</t>
  </si>
  <si>
    <t xml:space="preserve"> SromiTi danaxarji 1,15*0,269</t>
  </si>
  <si>
    <t xml:space="preserve"> manqanebi 1,15*0,01160</t>
  </si>
  <si>
    <t xml:space="preserve"> meTlaxis fila </t>
  </si>
  <si>
    <t>sn da w  IV-2-82 t-2 cx.15-52-3</t>
  </si>
  <si>
    <t>karisa da fanjris ferdoebis SebaTqaSeba</t>
  </si>
  <si>
    <t xml:space="preserve"> SromiTi danaxarji 1,15*0,3</t>
  </si>
  <si>
    <t xml:space="preserve"> sxva manqanebi 1,15*0,011</t>
  </si>
  <si>
    <t>duRabi mosapirkeTebeli</t>
  </si>
  <si>
    <t>xsnaris tumbo 1 kub.m/sT 1,15*0,041</t>
  </si>
  <si>
    <t>sxva manqanebi 1,15*0,027</t>
  </si>
  <si>
    <r>
      <t xml:space="preserve">bitulini </t>
    </r>
    <r>
      <rPr>
        <sz val="10"/>
        <rFont val="Arial"/>
        <family val="2"/>
      </rPr>
      <t>δ</t>
    </r>
    <r>
      <rPr>
        <sz val="10"/>
        <rFont val="AcadNusx"/>
        <family val="0"/>
      </rPr>
      <t>=2 mm</t>
    </r>
  </si>
  <si>
    <t xml:space="preserve"> manqanebi 1,15*0,042</t>
  </si>
  <si>
    <t>4.2 - 109</t>
  </si>
  <si>
    <t xml:space="preserve">webo-cementi </t>
  </si>
  <si>
    <t xml:space="preserve">metlaxis plinTusebis mowyoba </t>
  </si>
  <si>
    <t>12 - 183</t>
  </si>
  <si>
    <t>sn da w  IV-2-82 t-2  cx.15-15-3</t>
  </si>
  <si>
    <t xml:space="preserve"> SromiTi danaxarji 1,15*2,19</t>
  </si>
  <si>
    <t xml:space="preserve"> manqanebi 1,15*0,02</t>
  </si>
  <si>
    <t xml:space="preserve"> kafeli</t>
  </si>
  <si>
    <t>8.3 - 4</t>
  </si>
  <si>
    <t>29</t>
  </si>
  <si>
    <t>30</t>
  </si>
  <si>
    <t xml:space="preserve"> SromiTi danaxarji 1,15*1,52</t>
  </si>
  <si>
    <t xml:space="preserve">sn da w  IV-2-82 t-2 cx.10-8-4             </t>
  </si>
  <si>
    <t xml:space="preserve"> SromiTi danaxarji 1,15*1,14</t>
  </si>
  <si>
    <t xml:space="preserve"> manqanebi 1,15*0,0166</t>
  </si>
  <si>
    <t xml:space="preserve"> SromiTi danaxarji 1,15*0,312</t>
  </si>
  <si>
    <t>sn da w  IV-2-82 t-2  cx.11-3-1</t>
  </si>
  <si>
    <t xml:space="preserve"> manqanebi 1,15*0,0138</t>
  </si>
  <si>
    <t>4.1 - 343</t>
  </si>
  <si>
    <t>4.1 - 393</t>
  </si>
  <si>
    <r>
      <t xml:space="preserve">sn da w  IV-2-82 t-2 cx.11-27-5 </t>
    </r>
    <r>
      <rPr>
        <b/>
        <sz val="8"/>
        <rFont val="AcadNusx"/>
        <family val="0"/>
      </rPr>
      <t xml:space="preserve">misadagebiT </t>
    </r>
    <r>
      <rPr>
        <b/>
        <sz val="9"/>
        <rFont val="AcadNusx"/>
        <family val="0"/>
      </rPr>
      <t xml:space="preserve">            </t>
    </r>
  </si>
  <si>
    <t xml:space="preserve"> SromiTi danaxarji 1,5*0,71</t>
  </si>
  <si>
    <t xml:space="preserve"> manqanebi 1,15*0,0301</t>
  </si>
  <si>
    <t>laminirebuli parketi</t>
  </si>
  <si>
    <t>plintusi</t>
  </si>
  <si>
    <t>5 - 89</t>
  </si>
  <si>
    <t>5 - 93</t>
  </si>
  <si>
    <t>Rrubelis safeni</t>
  </si>
  <si>
    <t>5 - 86</t>
  </si>
  <si>
    <t>iatakze metlaxis filebis dageba</t>
  </si>
  <si>
    <t>4.2 - 112</t>
  </si>
  <si>
    <t>8.3 - 2</t>
  </si>
  <si>
    <t>8.3 - 7</t>
  </si>
  <si>
    <t>metaloplastikis fanjris rafis mowyoba</t>
  </si>
  <si>
    <t>sn da w IV-2-82 t-2 cx.15-168-7(8); 15-161-5(6)</t>
  </si>
  <si>
    <t>Sida zedapirebis damuSaveba da SeRebva</t>
  </si>
  <si>
    <t xml:space="preserve"> SromiTi danaxarji 1,15*(65,8+11,5+85,6+15,8)/2/100</t>
  </si>
  <si>
    <t xml:space="preserve"> manqanebi 1,15*[(1+0,02+1,2+0,02)]/2/100</t>
  </si>
  <si>
    <t>4.2 - 32</t>
  </si>
  <si>
    <t>wyalemulsiuri saRebavi</t>
  </si>
  <si>
    <t xml:space="preserve"> fiTxi (79+29+92+32)/2/100</t>
  </si>
  <si>
    <t xml:space="preserve"> sxvadasxva masalebi (1.6+0,42+1.8+0,42)/2/100</t>
  </si>
  <si>
    <t>4.2 - 76</t>
  </si>
  <si>
    <r>
      <t xml:space="preserve">Zelaki wiwvovani, </t>
    </r>
    <r>
      <rPr>
        <sz val="10"/>
        <rFont val="Arial"/>
        <family val="2"/>
      </rPr>
      <t>δ</t>
    </r>
    <r>
      <rPr>
        <sz val="10"/>
        <rFont val="AcadNusx"/>
        <family val="0"/>
      </rPr>
      <t>=40</t>
    </r>
    <r>
      <rPr>
        <sz val="10"/>
        <rFont val="Arial"/>
        <family val="2"/>
      </rPr>
      <t>÷</t>
    </r>
    <r>
      <rPr>
        <sz val="10"/>
        <rFont val="AcadNusx"/>
        <family val="0"/>
      </rPr>
      <t>60 mm</t>
    </r>
  </si>
  <si>
    <t>plastmasis Weris profili</t>
  </si>
  <si>
    <t>8.3 - 22</t>
  </si>
  <si>
    <t>plastmasis kuTxovana</t>
  </si>
  <si>
    <t>1.9 - 2</t>
  </si>
  <si>
    <t>8.3 - 17</t>
  </si>
  <si>
    <t>bade sabaTqaSo</t>
  </si>
  <si>
    <t>1.8-12</t>
  </si>
  <si>
    <t xml:space="preserve"> manqanebi 1,15*0,029</t>
  </si>
  <si>
    <t>8.1 - 4</t>
  </si>
  <si>
    <t>nestgamZle muyao-TabaSiris fila</t>
  </si>
  <si>
    <t>8.1 - 27</t>
  </si>
  <si>
    <r>
      <t xml:space="preserve">profili </t>
    </r>
    <r>
      <rPr>
        <sz val="10"/>
        <rFont val="Times New Roman"/>
        <family val="1"/>
      </rPr>
      <t>UD</t>
    </r>
  </si>
  <si>
    <t>8.1 - 25</t>
  </si>
  <si>
    <r>
      <t xml:space="preserve">profili </t>
    </r>
    <r>
      <rPr>
        <sz val="10"/>
        <rFont val="Times New Roman"/>
        <family val="1"/>
      </rPr>
      <t>CD</t>
    </r>
  </si>
  <si>
    <r>
      <t xml:space="preserve">Surupi </t>
    </r>
    <r>
      <rPr>
        <sz val="10"/>
        <rFont val="Times New Roman"/>
        <family val="1"/>
      </rPr>
      <t>TN</t>
    </r>
    <r>
      <rPr>
        <sz val="10"/>
        <rFont val="AcadNusx"/>
        <family val="0"/>
      </rPr>
      <t>325</t>
    </r>
  </si>
  <si>
    <t>c</t>
  </si>
  <si>
    <t>8.1 - 21</t>
  </si>
  <si>
    <r>
      <t xml:space="preserve">gamWedi dubeli </t>
    </r>
    <r>
      <rPr>
        <sz val="10"/>
        <rFont val="Times New Roman"/>
        <family val="1"/>
      </rPr>
      <t>K</t>
    </r>
    <r>
      <rPr>
        <sz val="10"/>
        <rFont val="AcadNusx"/>
        <family val="0"/>
      </rPr>
      <t>6/35</t>
    </r>
  </si>
  <si>
    <t>8.1 - 14</t>
  </si>
  <si>
    <t>saizolacio lenti</t>
  </si>
  <si>
    <t xml:space="preserve">sn da w  IV-2-82 t-2 cx.15-65-3 "knaufi"         </t>
  </si>
  <si>
    <t xml:space="preserve"> SromiTi danaxarji </t>
  </si>
  <si>
    <t>21</t>
  </si>
  <si>
    <t xml:space="preserve"> sxva masala</t>
  </si>
  <si>
    <t xml:space="preserve"> manqanebi</t>
  </si>
  <si>
    <t>sn da w  IV-2-82 t-8  cx.46-23-4</t>
  </si>
  <si>
    <t>arsebuli tixrebis daSla</t>
  </si>
  <si>
    <t>sn da w  IV-2-82 t-8 cx. 46-32-3</t>
  </si>
  <si>
    <t>kar-fanjris Riobis Sevsebis daSla</t>
  </si>
  <si>
    <t>sn da w  IV-2-82 t-8  cx.46-31-2</t>
  </si>
  <si>
    <t>iatakebidan metlaxis filebis ayra</t>
  </si>
  <si>
    <t>kedlebidan kafelis filebis Camoyra</t>
  </si>
  <si>
    <t>ВЗЕР №14 cx. #14-801</t>
  </si>
  <si>
    <t>kedlebidan Spaleris Camoxsna-aZroba</t>
  </si>
  <si>
    <t xml:space="preserve"> SromiTi danaxarji 1,15*0,16</t>
  </si>
  <si>
    <t>sn da w  IV-2-82 t-8  cx.46-16-3</t>
  </si>
  <si>
    <t>sn da w  IV-2-82 t-8 cx.46-2-2</t>
  </si>
  <si>
    <t xml:space="preserve"> SromiTi danaxarji 1,15*170</t>
  </si>
  <si>
    <t xml:space="preserve"> manqanebi 1,15*7,69</t>
  </si>
  <si>
    <t xml:space="preserve"> duRabi </t>
  </si>
  <si>
    <t>liTonis naglini</t>
  </si>
  <si>
    <t>e.n. da g.      $1-11; srf</t>
  </si>
  <si>
    <t>samSeneblo nagvis datvirTva xeliT avtoTviTmclelze da gatana</t>
  </si>
  <si>
    <t>SromiTi danaxarji 0,53*1,2</t>
  </si>
  <si>
    <t>13 - 10</t>
  </si>
  <si>
    <t>satransporto xarjebi</t>
  </si>
  <si>
    <t>betonis wvrili sakedle bloki sisqiT 15 sm 0,92/(0,39*0,15*0,19)</t>
  </si>
  <si>
    <t xml:space="preserve"> SromiTi danaxarji 1,15*(18,8+2*0,34)/100</t>
  </si>
  <si>
    <t xml:space="preserve"> manqanebi 1,15*(0,95+2*0,23)/100</t>
  </si>
  <si>
    <t>msxvilfraqciuli duRabi (2,04+2*0,51)/100</t>
  </si>
  <si>
    <t>minapaketiT Seminuli metaloplastikis fanjris da framugis Casma</t>
  </si>
  <si>
    <t>1.8 - 41</t>
  </si>
  <si>
    <t>metaloplastikis tixar-vitraJis Casma</t>
  </si>
  <si>
    <t>aJuruli minis minapaketiT Seminuli metaloplastikis karis Casma</t>
  </si>
  <si>
    <t>8.3 - 8</t>
  </si>
  <si>
    <t>sn da w  IV-2-82 t-2 cx.15-55-9</t>
  </si>
  <si>
    <t>axali kedlebis da kafel Camoyrili zedapirebis Selesva qviSa-cementis xsnariT</t>
  </si>
  <si>
    <t xml:space="preserve"> SromiTi danaxarji 1,15*1,01</t>
  </si>
  <si>
    <t xml:space="preserve">svel wertilebSi 1,5 m simaRleze da samzareuloSi 2,1 m simaRleze kedlebze kafelis filebis akvra </t>
  </si>
  <si>
    <t>svel wertilebSi Sekiduli Weris mowyoba plastikatis profilebiT xis karkasze</t>
  </si>
  <si>
    <t>1.8 - 46</t>
  </si>
  <si>
    <t>q. baTumSi gorgilaZis quCaze mdebare #1 sabavSvo baRis reabilitacia</t>
  </si>
  <si>
    <t>kedlebSi Riobis gamotexva</t>
  </si>
  <si>
    <t>sn da w  IV-2-82 t-8  cx.46-30-2</t>
  </si>
  <si>
    <t>samzareuloSi da samrecxaoSi arsebuli xis iatakis ayra</t>
  </si>
  <si>
    <t>gare konturze kedlebis wyoba betonis wvrili sakedle blokebiT sisqiT 20 sm</t>
  </si>
  <si>
    <t>betonis wvrili sakedle bloki sisqiT 20 sm 0,92/(0,39*0,19*0,19)</t>
  </si>
  <si>
    <t>11.1 - 1</t>
  </si>
  <si>
    <r>
      <t xml:space="preserve">gamotexili Riobis moCarCoeba-gaZliereba liTonis elementebidan - 10 grZ.m (kuTxovana 63*5 mm, foladis furceli </t>
    </r>
    <r>
      <rPr>
        <b/>
        <sz val="10"/>
        <rFont val="Calibri"/>
        <family val="2"/>
      </rPr>
      <t>δ</t>
    </r>
    <r>
      <rPr>
        <b/>
        <sz val="10"/>
        <rFont val="AcadNusx"/>
        <family val="0"/>
      </rPr>
      <t>=6 mm)</t>
    </r>
  </si>
  <si>
    <t>liTonis karis Casma _ 1 cali</t>
  </si>
  <si>
    <t>svel wertilSi metaloplastikis karis Casma</t>
  </si>
  <si>
    <t>svel wertilebSi gamyofi metaloplastikis tixris mowyoba simaRliT 1,2 m</t>
  </si>
  <si>
    <t>aivnisTvis liTonis moajiris dayeneba da SeRebva</t>
  </si>
  <si>
    <t>tixrebis wyoba betonis wvrili sakedle blokebiT sisqiT 15 sm</t>
  </si>
  <si>
    <t>metlaxis iatakisTvis mWimis mowyoba cement-qviSis xsnariT</t>
  </si>
  <si>
    <t xml:space="preserve">dazianebul tixrebze nestgamZle muyao-TabaSiris filebis akvra </t>
  </si>
  <si>
    <t xml:space="preserve">sn da w  IV-2-82 t-2 cx.10-56-3 "knauf"         </t>
  </si>
  <si>
    <t xml:space="preserve"> SromiTi danaxarji 1,15*2,45</t>
  </si>
  <si>
    <t xml:space="preserve"> manqanebi 1,15*0,0681</t>
  </si>
  <si>
    <t>8.1 - 31</t>
  </si>
  <si>
    <r>
      <t xml:space="preserve">profili </t>
    </r>
    <r>
      <rPr>
        <sz val="10"/>
        <rFont val="Times New Roman"/>
        <family val="1"/>
      </rPr>
      <t>UW</t>
    </r>
  </si>
  <si>
    <t>8.1 - 29</t>
  </si>
  <si>
    <r>
      <t xml:space="preserve">profili </t>
    </r>
    <r>
      <rPr>
        <sz val="10"/>
        <rFont val="Times New Roman"/>
        <family val="1"/>
      </rPr>
      <t>CW</t>
    </r>
  </si>
  <si>
    <r>
      <t xml:space="preserve">Surupi </t>
    </r>
    <r>
      <rPr>
        <sz val="10"/>
        <rFont val="Times New Roman"/>
        <family val="1"/>
      </rPr>
      <t>MN</t>
    </r>
    <r>
      <rPr>
        <sz val="10"/>
        <rFont val="AcadNusx"/>
        <family val="0"/>
      </rPr>
      <t>30</t>
    </r>
  </si>
  <si>
    <t>qvabambis fila</t>
  </si>
  <si>
    <t>tixrebis mowyoba nestgamZle TabaSir muyaos filebiT, bgerasaizolacio izolaciiT</t>
  </si>
  <si>
    <t>4.1 - 370</t>
  </si>
  <si>
    <t>arsebul ficrul da parketis iatakze maRali cveTamedegobis laminirebuli parketis gadageba (Rrubelis safuZveliT da plinTusebiT)</t>
  </si>
  <si>
    <t>axali ficruli iatakis da metlaxis qveS hidroizolaciis mowyoba erTi fena bituliniT sisqiT 2 mm</t>
  </si>
  <si>
    <t>sn da w IV-2-82 t-2 cx.10-36-4</t>
  </si>
  <si>
    <t xml:space="preserve"> lursmani </t>
  </si>
  <si>
    <t>sn da w  IV-2-82 t-2 cx.10-29-6</t>
  </si>
  <si>
    <t xml:space="preserve"> SromiTi danaxarji 1,15*0,0794</t>
  </si>
  <si>
    <t xml:space="preserve"> manqanebi 1,15*0,0013</t>
  </si>
  <si>
    <t>5 - 66</t>
  </si>
  <si>
    <t xml:space="preserve"> plinTusi</t>
  </si>
  <si>
    <t>xis plinTusebis mowyoba</t>
  </si>
  <si>
    <t xml:space="preserve"> SromiTi danaxarjebi 1,15*0,252</t>
  </si>
  <si>
    <t>manqanebi 1,15*0,0534</t>
  </si>
  <si>
    <t xml:space="preserve">samzareuloSi da samrecxaoSi xis iatakis mowyoba ficrebiT (mSrali) sisqiT 50 mm, arsebuli xis koWebis SekeTebiT </t>
  </si>
  <si>
    <t>sn da w IV-2-82 t-2 cx.11-28</t>
  </si>
  <si>
    <t xml:space="preserve"> SromiTi danaxarjebi 1,15*0,755</t>
  </si>
  <si>
    <t>manqanebi 1,15*0,0075</t>
  </si>
  <si>
    <t>linoleumi qeCis safuZvelze</t>
  </si>
  <si>
    <t xml:space="preserve">webo </t>
  </si>
  <si>
    <t>SromiTi danaxarji</t>
  </si>
  <si>
    <t>materialuri resursebi</t>
  </si>
  <si>
    <t>samzareuloSi da samrecxaoSi xis iatakze qeCis safuZveliT maRali xarisxis linoleumis dageba</t>
  </si>
  <si>
    <t>17</t>
  </si>
  <si>
    <t>18</t>
  </si>
  <si>
    <t>19</t>
  </si>
  <si>
    <t>23</t>
  </si>
  <si>
    <t>31</t>
  </si>
  <si>
    <t>32</t>
  </si>
  <si>
    <t>33</t>
  </si>
  <si>
    <t>34</t>
  </si>
  <si>
    <t>arsebuli ficruli da parketis iatakis alag-alg remonti (Cawebeba; damagreba; gasworeba) laminirebuli parketis gadasagebad</t>
  </si>
  <si>
    <t>4.3 - 27</t>
  </si>
  <si>
    <t>4.2 - 108</t>
  </si>
  <si>
    <t>5 - 10</t>
  </si>
  <si>
    <r>
      <t xml:space="preserve"> ficari iatakis mSrali </t>
    </r>
    <r>
      <rPr>
        <sz val="10"/>
        <rFont val="Arial Cyr"/>
        <family val="0"/>
      </rPr>
      <t>δ</t>
    </r>
    <r>
      <rPr>
        <sz val="10"/>
        <rFont val="AcadNusx"/>
        <family val="0"/>
      </rPr>
      <t>=50 mm</t>
    </r>
  </si>
</sst>
</file>

<file path=xl/styles.xml><?xml version="1.0" encoding="utf-8"?>
<styleSheet xmlns="http://schemas.openxmlformats.org/spreadsheetml/2006/main">
  <numFmts count="62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0.0%"/>
    <numFmt numFmtId="204" formatCode="#,##0.000"/>
    <numFmt numFmtId="205" formatCode="#,##0.0000"/>
    <numFmt numFmtId="206" formatCode="#,##0.00000"/>
    <numFmt numFmtId="207" formatCode="#,##0.000000"/>
    <numFmt numFmtId="208" formatCode="0.000%"/>
    <numFmt numFmtId="209" formatCode="0.0000%"/>
    <numFmt numFmtId="210" formatCode="0.00000%"/>
    <numFmt numFmtId="211" formatCode="0.000000%"/>
    <numFmt numFmtId="212" formatCode="#,##0.00&quot;р.&quot;"/>
    <numFmt numFmtId="213" formatCode="#,##0.00_р_."/>
    <numFmt numFmtId="214" formatCode="_(* #,##0.000_);_(* \(#,##0.000\);_(* &quot;-&quot;??_);_(@_)"/>
    <numFmt numFmtId="215" formatCode="#,##0_ ;\-#,##0\ "/>
    <numFmt numFmtId="216" formatCode="_(* #,##0.0_);_(* \(#,##0.0\);_(* &quot;-&quot;??_);_(@_)"/>
    <numFmt numFmtId="217" formatCode="_(* #,##0_);_(* \(#,##0\);_(* &quot;-&quot;??_);_(@_)"/>
  </numFmts>
  <fonts count="52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cadNusx"/>
      <family val="0"/>
    </font>
    <font>
      <sz val="11"/>
      <color indexed="14"/>
      <name val="AcadNusx"/>
      <family val="0"/>
    </font>
    <font>
      <sz val="9"/>
      <color indexed="10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b/>
      <sz val="8"/>
      <name val="AcadNusx"/>
      <family val="0"/>
    </font>
    <font>
      <sz val="10"/>
      <name val="Times New Roman"/>
      <family val="1"/>
    </font>
    <font>
      <b/>
      <sz val="10"/>
      <name val="Calibri"/>
      <family val="2"/>
    </font>
    <font>
      <sz val="10"/>
      <name val="Acad Nusx Geo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0" borderId="0">
      <alignment/>
      <protection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3" fillId="30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190" fontId="2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2" fontId="2" fillId="3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90" fontId="2" fillId="30" borderId="10" xfId="0" applyNumberFormat="1" applyFont="1" applyFill="1" applyBorder="1" applyAlignment="1">
      <alignment horizontal="center" vertical="center"/>
    </xf>
    <xf numFmtId="190" fontId="2" fillId="3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13" fillId="30" borderId="12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vertical="center"/>
    </xf>
    <xf numFmtId="0" fontId="4" fillId="30" borderId="12" xfId="0" applyFont="1" applyFill="1" applyBorder="1" applyAlignment="1">
      <alignment horizontal="center" vertical="center"/>
    </xf>
    <xf numFmtId="189" fontId="4" fillId="30" borderId="12" xfId="0" applyNumberFormat="1" applyFont="1" applyFill="1" applyBorder="1" applyAlignment="1">
      <alignment horizontal="center" vertical="center"/>
    </xf>
    <xf numFmtId="49" fontId="3" fillId="30" borderId="13" xfId="0" applyNumberFormat="1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/>
    </xf>
    <xf numFmtId="2" fontId="2" fillId="30" borderId="1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/>
    </xf>
    <xf numFmtId="2" fontId="2" fillId="30" borderId="1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202" fontId="4" fillId="0" borderId="12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2" fontId="4" fillId="3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89" fontId="2" fillId="31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7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57421875" style="10" customWidth="1"/>
    <col min="2" max="2" width="13.8515625" style="11" customWidth="1"/>
    <col min="3" max="3" width="42.57421875" style="1" customWidth="1"/>
    <col min="4" max="5" width="6.7109375" style="1" customWidth="1"/>
    <col min="6" max="6" width="8.140625" style="15" customWidth="1"/>
    <col min="7" max="7" width="6.8515625" style="1" customWidth="1"/>
    <col min="8" max="8" width="10.421875" style="8" customWidth="1"/>
    <col min="9" max="9" width="9.140625" style="1" hidden="1" customWidth="1"/>
    <col min="10" max="10" width="11.57421875" style="1" hidden="1" customWidth="1"/>
    <col min="11" max="13" width="9.140625" style="1" hidden="1" customWidth="1"/>
    <col min="14" max="14" width="9.140625" style="1" customWidth="1"/>
    <col min="15" max="16384" width="9.140625" style="1" customWidth="1"/>
  </cols>
  <sheetData>
    <row r="1" spans="1:24" ht="23.25" customHeight="1">
      <c r="A1" s="169" t="s">
        <v>176</v>
      </c>
      <c r="B1" s="169"/>
      <c r="C1" s="169"/>
      <c r="D1" s="169"/>
      <c r="E1" s="169"/>
      <c r="F1" s="169"/>
      <c r="G1" s="169"/>
      <c r="H1" s="169"/>
      <c r="Q1" s="162"/>
      <c r="R1" s="162"/>
      <c r="S1" s="162"/>
      <c r="T1" s="162"/>
      <c r="U1" s="162"/>
      <c r="V1" s="162"/>
      <c r="W1" s="162"/>
      <c r="X1" s="162"/>
    </row>
    <row r="2" spans="1:8" ht="18" customHeight="1">
      <c r="A2" s="176" t="s">
        <v>44</v>
      </c>
      <c r="B2" s="176"/>
      <c r="C2" s="176"/>
      <c r="D2" s="176"/>
      <c r="E2" s="176"/>
      <c r="F2" s="176"/>
      <c r="G2" s="176"/>
      <c r="H2" s="176"/>
    </row>
    <row r="3" spans="1:8" s="21" customFormat="1" ht="16.5" customHeight="1">
      <c r="A3" s="169" t="s">
        <v>46</v>
      </c>
      <c r="B3" s="169"/>
      <c r="C3" s="169"/>
      <c r="D3" s="169"/>
      <c r="E3" s="169"/>
      <c r="F3" s="169"/>
      <c r="G3" s="169"/>
      <c r="H3" s="169"/>
    </row>
    <row r="4" spans="1:8" ht="14.25" customHeight="1">
      <c r="A4" s="177" t="s">
        <v>17</v>
      </c>
      <c r="B4" s="177"/>
      <c r="C4" s="177"/>
      <c r="D4" s="177"/>
      <c r="E4" s="177"/>
      <c r="F4" s="168">
        <f>H170</f>
        <v>0</v>
      </c>
      <c r="G4" s="168"/>
      <c r="H4" s="102" t="s">
        <v>19</v>
      </c>
    </row>
    <row r="5" spans="1:8" ht="15" customHeight="1" thickBot="1">
      <c r="A5" s="180"/>
      <c r="B5" s="180"/>
      <c r="C5" s="180"/>
      <c r="D5" s="180"/>
      <c r="E5" s="180"/>
      <c r="F5" s="180"/>
      <c r="G5" s="180"/>
      <c r="H5" s="180"/>
    </row>
    <row r="6" spans="1:8" ht="28.5" customHeight="1">
      <c r="A6" s="166" t="s">
        <v>7</v>
      </c>
      <c r="B6" s="170" t="s">
        <v>8</v>
      </c>
      <c r="C6" s="172" t="s">
        <v>9</v>
      </c>
      <c r="D6" s="174" t="s">
        <v>6</v>
      </c>
      <c r="E6" s="178" t="s">
        <v>10</v>
      </c>
      <c r="F6" s="179"/>
      <c r="G6" s="178" t="s">
        <v>2</v>
      </c>
      <c r="H6" s="181"/>
    </row>
    <row r="7" spans="1:8" ht="58.5" customHeight="1">
      <c r="A7" s="167"/>
      <c r="B7" s="171"/>
      <c r="C7" s="173"/>
      <c r="D7" s="175"/>
      <c r="E7" s="9" t="s">
        <v>11</v>
      </c>
      <c r="F7" s="9" t="s">
        <v>12</v>
      </c>
      <c r="G7" s="9" t="s">
        <v>11</v>
      </c>
      <c r="H7" s="13" t="s">
        <v>12</v>
      </c>
    </row>
    <row r="8" spans="1:8" s="5" customFormat="1" ht="14.25" customHeight="1" thickBot="1">
      <c r="A8" s="66" t="s">
        <v>13</v>
      </c>
      <c r="B8" s="67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9">
        <v>8</v>
      </c>
    </row>
    <row r="9" spans="1:13" s="4" customFormat="1" ht="37.5" customHeight="1" thickTop="1">
      <c r="A9" s="50">
        <v>1</v>
      </c>
      <c r="B9" s="51" t="s">
        <v>140</v>
      </c>
      <c r="C9" s="25" t="s">
        <v>141</v>
      </c>
      <c r="D9" s="56" t="s">
        <v>21</v>
      </c>
      <c r="E9" s="56"/>
      <c r="F9" s="76">
        <v>4.8</v>
      </c>
      <c r="G9" s="56"/>
      <c r="H9" s="37"/>
      <c r="I9" s="83">
        <f>H9/F9</f>
        <v>0</v>
      </c>
      <c r="J9" s="52">
        <f aca="true" t="shared" si="0" ref="J9:J165">H9</f>
        <v>0</v>
      </c>
      <c r="M9" s="12">
        <f>F9*2</f>
        <v>9.6</v>
      </c>
    </row>
    <row r="10" spans="1:12" s="4" customFormat="1" ht="13.5" customHeight="1">
      <c r="A10" s="62"/>
      <c r="B10" s="27" t="s">
        <v>4</v>
      </c>
      <c r="C10" s="26" t="s">
        <v>37</v>
      </c>
      <c r="D10" s="30" t="s">
        <v>5</v>
      </c>
      <c r="E10" s="30">
        <v>6.5</v>
      </c>
      <c r="F10" s="82">
        <f>E10*F9</f>
        <v>31.2</v>
      </c>
      <c r="G10" s="30"/>
      <c r="H10" s="32"/>
      <c r="I10" s="7"/>
      <c r="J10" s="52">
        <f t="shared" si="0"/>
        <v>0</v>
      </c>
      <c r="K10" s="7">
        <f>H10</f>
        <v>0</v>
      </c>
      <c r="L10" s="3">
        <f>H10/F9*0.8</f>
        <v>0</v>
      </c>
    </row>
    <row r="11" spans="1:11" s="5" customFormat="1" ht="13.5" customHeight="1" thickBot="1">
      <c r="A11" s="65"/>
      <c r="B11" s="54" t="s">
        <v>4</v>
      </c>
      <c r="C11" s="28" t="s">
        <v>139</v>
      </c>
      <c r="D11" s="34" t="s">
        <v>16</v>
      </c>
      <c r="E11" s="34">
        <v>1.8</v>
      </c>
      <c r="F11" s="84">
        <f>E11*F9</f>
        <v>8.64</v>
      </c>
      <c r="G11" s="34"/>
      <c r="H11" s="60"/>
      <c r="I11" s="7"/>
      <c r="J11" s="52">
        <f t="shared" si="0"/>
        <v>0</v>
      </c>
      <c r="K11" s="4"/>
    </row>
    <row r="12" spans="1:43" s="2" customFormat="1" ht="38.25" customHeight="1">
      <c r="A12" s="94">
        <v>2</v>
      </c>
      <c r="B12" s="89" t="s">
        <v>142</v>
      </c>
      <c r="C12" s="70" t="s">
        <v>143</v>
      </c>
      <c r="D12" s="95" t="s">
        <v>28</v>
      </c>
      <c r="E12" s="95"/>
      <c r="F12" s="154">
        <v>50</v>
      </c>
      <c r="G12" s="95"/>
      <c r="H12" s="131"/>
      <c r="I12" s="83">
        <f>H12/F12</f>
        <v>0</v>
      </c>
      <c r="J12" s="52">
        <f t="shared" si="0"/>
        <v>0</v>
      </c>
      <c r="K12" s="8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2" customFormat="1" ht="13.5" customHeight="1">
      <c r="A13" s="62"/>
      <c r="B13" s="27" t="s">
        <v>4</v>
      </c>
      <c r="C13" s="26" t="s">
        <v>136</v>
      </c>
      <c r="D13" s="30" t="s">
        <v>5</v>
      </c>
      <c r="E13" s="30">
        <v>0.887</v>
      </c>
      <c r="F13" s="82">
        <f>E13*F12</f>
        <v>44.35</v>
      </c>
      <c r="G13" s="30"/>
      <c r="H13" s="32"/>
      <c r="J13" s="52">
        <f t="shared" si="0"/>
        <v>0</v>
      </c>
      <c r="K13" s="83">
        <f>H13</f>
        <v>0</v>
      </c>
      <c r="L13" s="3">
        <f>H13/F12*0.8</f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2" customFormat="1" ht="13.5" customHeight="1" thickBot="1">
      <c r="A14" s="65"/>
      <c r="B14" s="54" t="s">
        <v>4</v>
      </c>
      <c r="C14" s="28" t="s">
        <v>139</v>
      </c>
      <c r="D14" s="34" t="s">
        <v>16</v>
      </c>
      <c r="E14" s="34">
        <v>0.0984</v>
      </c>
      <c r="F14" s="84">
        <f>E14*F12</f>
        <v>4.92</v>
      </c>
      <c r="G14" s="34"/>
      <c r="H14" s="60"/>
      <c r="J14" s="52">
        <f t="shared" si="0"/>
        <v>0</v>
      </c>
      <c r="K14" s="8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18" s="4" customFormat="1" ht="37.5" customHeight="1">
      <c r="A15" s="50">
        <v>3</v>
      </c>
      <c r="B15" s="51" t="s">
        <v>144</v>
      </c>
      <c r="C15" s="25" t="s">
        <v>145</v>
      </c>
      <c r="D15" s="120" t="s">
        <v>31</v>
      </c>
      <c r="E15" s="56"/>
      <c r="F15" s="76">
        <v>31.4</v>
      </c>
      <c r="G15" s="56"/>
      <c r="H15" s="37"/>
      <c r="I15" s="83">
        <f>H15/F15</f>
        <v>0</v>
      </c>
      <c r="J15" s="52">
        <f t="shared" si="0"/>
        <v>0</v>
      </c>
      <c r="K15" s="2"/>
      <c r="L15" s="2"/>
      <c r="M15" s="155">
        <f>F15*0.012</f>
        <v>0.37679999999999997</v>
      </c>
      <c r="N15" s="2"/>
      <c r="O15" s="2"/>
      <c r="P15" s="2"/>
      <c r="Q15" s="2"/>
      <c r="R15" s="2"/>
    </row>
    <row r="16" spans="1:18" s="4" customFormat="1" ht="13.5" customHeight="1">
      <c r="A16" s="62"/>
      <c r="B16" s="27" t="s">
        <v>4</v>
      </c>
      <c r="C16" s="26" t="s">
        <v>37</v>
      </c>
      <c r="D16" s="30" t="s">
        <v>5</v>
      </c>
      <c r="E16" s="30">
        <v>0.323</v>
      </c>
      <c r="F16" s="82">
        <f>E16*F15</f>
        <v>10.142199999999999</v>
      </c>
      <c r="G16" s="30"/>
      <c r="H16" s="32"/>
      <c r="I16" s="7"/>
      <c r="J16" s="52">
        <f t="shared" si="0"/>
        <v>0</v>
      </c>
      <c r="K16" s="7">
        <f>H16</f>
        <v>0</v>
      </c>
      <c r="L16" s="3">
        <f>H16/F15*0.8</f>
        <v>0</v>
      </c>
      <c r="M16" s="2"/>
      <c r="N16" s="2"/>
      <c r="O16" s="2"/>
      <c r="P16" s="2"/>
      <c r="Q16" s="2"/>
      <c r="R16" s="2"/>
    </row>
    <row r="17" spans="1:18" s="5" customFormat="1" ht="13.5" customHeight="1" thickBot="1">
      <c r="A17" s="65"/>
      <c r="B17" s="54" t="s">
        <v>4</v>
      </c>
      <c r="C17" s="28" t="s">
        <v>139</v>
      </c>
      <c r="D17" s="34" t="s">
        <v>16</v>
      </c>
      <c r="E17" s="34">
        <v>0.0215</v>
      </c>
      <c r="F17" s="84">
        <f>E17*F15</f>
        <v>0.6750999999999999</v>
      </c>
      <c r="G17" s="34"/>
      <c r="H17" s="60"/>
      <c r="I17" s="7"/>
      <c r="J17" s="52">
        <f t="shared" si="0"/>
        <v>0</v>
      </c>
      <c r="K17" s="2"/>
      <c r="L17" s="49"/>
      <c r="M17" s="49"/>
      <c r="N17" s="49"/>
      <c r="O17" s="49"/>
      <c r="P17" s="49"/>
      <c r="Q17" s="49"/>
      <c r="R17" s="49"/>
    </row>
    <row r="18" spans="1:18" s="4" customFormat="1" ht="37.5" customHeight="1">
      <c r="A18" s="50">
        <v>4</v>
      </c>
      <c r="B18" s="51" t="s">
        <v>178</v>
      </c>
      <c r="C18" s="25" t="s">
        <v>179</v>
      </c>
      <c r="D18" s="120" t="s">
        <v>31</v>
      </c>
      <c r="E18" s="56"/>
      <c r="F18" s="76">
        <v>25.1</v>
      </c>
      <c r="G18" s="56"/>
      <c r="H18" s="37"/>
      <c r="I18" s="83">
        <f>H18/F18</f>
        <v>0</v>
      </c>
      <c r="J18" s="52">
        <f t="shared" si="0"/>
        <v>0</v>
      </c>
      <c r="K18" s="2"/>
      <c r="L18" s="2"/>
      <c r="M18" s="2">
        <f>F18*5/1000</f>
        <v>0.1255</v>
      </c>
      <c r="N18" s="2"/>
      <c r="O18" s="2"/>
      <c r="P18" s="2"/>
      <c r="Q18" s="2"/>
      <c r="R18" s="2"/>
    </row>
    <row r="19" spans="1:18" s="4" customFormat="1" ht="15.75" customHeight="1">
      <c r="A19" s="62"/>
      <c r="B19" s="27" t="s">
        <v>4</v>
      </c>
      <c r="C19" s="26" t="s">
        <v>37</v>
      </c>
      <c r="D19" s="30" t="s">
        <v>5</v>
      </c>
      <c r="E19" s="30">
        <v>0.289</v>
      </c>
      <c r="F19" s="82">
        <f>E19*F18</f>
        <v>7.2539</v>
      </c>
      <c r="G19" s="30"/>
      <c r="H19" s="32"/>
      <c r="I19" s="7"/>
      <c r="J19" s="52">
        <f t="shared" si="0"/>
        <v>0</v>
      </c>
      <c r="K19" s="7">
        <f>H19</f>
        <v>0</v>
      </c>
      <c r="L19" s="2"/>
      <c r="M19" s="2"/>
      <c r="N19" s="2"/>
      <c r="O19" s="2"/>
      <c r="P19" s="2"/>
      <c r="Q19" s="2"/>
      <c r="R19" s="2"/>
    </row>
    <row r="20" spans="1:18" s="5" customFormat="1" ht="13.5" customHeight="1" thickBot="1">
      <c r="A20" s="157"/>
      <c r="B20" s="153" t="s">
        <v>4</v>
      </c>
      <c r="C20" s="64" t="s">
        <v>139</v>
      </c>
      <c r="D20" s="119" t="s">
        <v>16</v>
      </c>
      <c r="E20" s="119">
        <v>0.0628</v>
      </c>
      <c r="F20" s="128">
        <f>E20*F18</f>
        <v>1.57628</v>
      </c>
      <c r="G20" s="119"/>
      <c r="H20" s="129"/>
      <c r="I20" s="7"/>
      <c r="J20" s="52">
        <f>H20</f>
        <v>0</v>
      </c>
      <c r="K20" s="2"/>
      <c r="L20" s="49"/>
      <c r="M20" s="49"/>
      <c r="N20" s="49"/>
      <c r="O20" s="49"/>
      <c r="P20" s="49"/>
      <c r="Q20" s="49"/>
      <c r="R20" s="49"/>
    </row>
    <row r="21" spans="1:18" s="4" customFormat="1" ht="37.5" customHeight="1">
      <c r="A21" s="50">
        <v>5</v>
      </c>
      <c r="B21" s="51" t="s">
        <v>144</v>
      </c>
      <c r="C21" s="25" t="s">
        <v>146</v>
      </c>
      <c r="D21" s="120" t="s">
        <v>31</v>
      </c>
      <c r="E21" s="56"/>
      <c r="F21" s="76">
        <v>30</v>
      </c>
      <c r="G21" s="56"/>
      <c r="H21" s="37"/>
      <c r="I21" s="83">
        <f>H21/F21</f>
        <v>0</v>
      </c>
      <c r="J21" s="52">
        <f t="shared" si="0"/>
        <v>0</v>
      </c>
      <c r="K21" s="2"/>
      <c r="L21" s="2"/>
      <c r="M21" s="155">
        <f>F21*0.012</f>
        <v>0.36</v>
      </c>
      <c r="N21" s="2"/>
      <c r="O21" s="2"/>
      <c r="P21" s="2"/>
      <c r="Q21" s="2"/>
      <c r="R21" s="2"/>
    </row>
    <row r="22" spans="1:18" s="4" customFormat="1" ht="13.5" customHeight="1">
      <c r="A22" s="62"/>
      <c r="B22" s="27" t="s">
        <v>4</v>
      </c>
      <c r="C22" s="26" t="s">
        <v>37</v>
      </c>
      <c r="D22" s="30" t="s">
        <v>5</v>
      </c>
      <c r="E22" s="30">
        <v>0.323</v>
      </c>
      <c r="F22" s="82">
        <f>E22*F21</f>
        <v>9.69</v>
      </c>
      <c r="G22" s="30"/>
      <c r="H22" s="32"/>
      <c r="I22" s="7"/>
      <c r="J22" s="52">
        <f t="shared" si="0"/>
        <v>0</v>
      </c>
      <c r="K22" s="7">
        <f>H22</f>
        <v>0</v>
      </c>
      <c r="L22" s="3">
        <f>H22/F21*0.8</f>
        <v>0</v>
      </c>
      <c r="M22" s="2"/>
      <c r="N22" s="2"/>
      <c r="O22" s="2"/>
      <c r="P22" s="2"/>
      <c r="Q22" s="2"/>
      <c r="R22" s="2"/>
    </row>
    <row r="23" spans="1:18" s="5" customFormat="1" ht="13.5" customHeight="1" thickBot="1">
      <c r="A23" s="65"/>
      <c r="B23" s="54" t="s">
        <v>4</v>
      </c>
      <c r="C23" s="28" t="s">
        <v>139</v>
      </c>
      <c r="D23" s="34" t="s">
        <v>16</v>
      </c>
      <c r="E23" s="34">
        <v>0.0215</v>
      </c>
      <c r="F23" s="84">
        <f>E23*F21</f>
        <v>0.6449999999999999</v>
      </c>
      <c r="G23" s="34"/>
      <c r="H23" s="60"/>
      <c r="I23" s="7"/>
      <c r="J23" s="52">
        <f t="shared" si="0"/>
        <v>0</v>
      </c>
      <c r="K23" s="2"/>
      <c r="L23" s="49"/>
      <c r="M23" s="49"/>
      <c r="N23" s="49"/>
      <c r="O23" s="49"/>
      <c r="P23" s="49"/>
      <c r="Q23" s="49"/>
      <c r="R23" s="49"/>
    </row>
    <row r="24" spans="1:18" s="4" customFormat="1" ht="37.5" customHeight="1">
      <c r="A24" s="50">
        <v>6</v>
      </c>
      <c r="B24" s="51" t="s">
        <v>147</v>
      </c>
      <c r="C24" s="25" t="s">
        <v>148</v>
      </c>
      <c r="D24" s="120" t="s">
        <v>31</v>
      </c>
      <c r="E24" s="56"/>
      <c r="F24" s="76">
        <v>120</v>
      </c>
      <c r="G24" s="56"/>
      <c r="H24" s="37"/>
      <c r="I24" s="83">
        <f>H24/F24</f>
        <v>0</v>
      </c>
      <c r="J24" s="52">
        <f>H24</f>
        <v>0</v>
      </c>
      <c r="K24" s="2"/>
      <c r="L24" s="2"/>
      <c r="M24" s="155">
        <v>0</v>
      </c>
      <c r="N24" s="2"/>
      <c r="O24" s="2"/>
      <c r="P24" s="2"/>
      <c r="Q24" s="2"/>
      <c r="R24" s="2"/>
    </row>
    <row r="25" spans="1:18" s="4" customFormat="1" ht="13.5" customHeight="1" thickBot="1">
      <c r="A25" s="62"/>
      <c r="B25" s="27" t="s">
        <v>4</v>
      </c>
      <c r="C25" s="26" t="s">
        <v>149</v>
      </c>
      <c r="D25" s="30" t="s">
        <v>5</v>
      </c>
      <c r="E25" s="30">
        <f>1.15*0.16</f>
        <v>0.184</v>
      </c>
      <c r="F25" s="82">
        <f>E25*F24</f>
        <v>22.08</v>
      </c>
      <c r="G25" s="30"/>
      <c r="H25" s="32"/>
      <c r="I25" s="7"/>
      <c r="J25" s="52">
        <f>H25</f>
        <v>0</v>
      </c>
      <c r="K25" s="7">
        <f>H25</f>
        <v>0</v>
      </c>
      <c r="L25" s="3">
        <f>H25/F24*0.8</f>
        <v>0</v>
      </c>
      <c r="M25" s="2"/>
      <c r="N25" s="2"/>
      <c r="O25" s="2"/>
      <c r="P25" s="2"/>
      <c r="Q25" s="2"/>
      <c r="R25" s="2"/>
    </row>
    <row r="26" spans="1:13" s="4" customFormat="1" ht="37.5" customHeight="1">
      <c r="A26" s="50">
        <v>7</v>
      </c>
      <c r="B26" s="51" t="s">
        <v>150</v>
      </c>
      <c r="C26" s="25" t="s">
        <v>177</v>
      </c>
      <c r="D26" s="56" t="s">
        <v>21</v>
      </c>
      <c r="E26" s="56"/>
      <c r="F26" s="76">
        <v>1.6</v>
      </c>
      <c r="G26" s="56"/>
      <c r="H26" s="37"/>
      <c r="I26" s="83">
        <f>H26/F26</f>
        <v>0</v>
      </c>
      <c r="J26" s="52">
        <f t="shared" si="0"/>
        <v>0</v>
      </c>
      <c r="M26" s="12">
        <f>F26*2</f>
        <v>3.2</v>
      </c>
    </row>
    <row r="27" spans="1:12" s="4" customFormat="1" ht="13.5" customHeight="1">
      <c r="A27" s="62"/>
      <c r="B27" s="27" t="s">
        <v>4</v>
      </c>
      <c r="C27" s="26" t="s">
        <v>37</v>
      </c>
      <c r="D27" s="30" t="s">
        <v>5</v>
      </c>
      <c r="E27" s="30">
        <v>8.89</v>
      </c>
      <c r="F27" s="82">
        <f>E27*F26</f>
        <v>14.224000000000002</v>
      </c>
      <c r="G27" s="30"/>
      <c r="H27" s="32"/>
      <c r="I27" s="7"/>
      <c r="J27" s="52">
        <f t="shared" si="0"/>
        <v>0</v>
      </c>
      <c r="K27" s="7">
        <f>H27</f>
        <v>0</v>
      </c>
      <c r="L27" s="3">
        <f>H27/F26*0.8</f>
        <v>0</v>
      </c>
    </row>
    <row r="28" spans="1:11" s="5" customFormat="1" ht="13.5" customHeight="1" thickBot="1">
      <c r="A28" s="65"/>
      <c r="B28" s="54" t="s">
        <v>4</v>
      </c>
      <c r="C28" s="28" t="s">
        <v>139</v>
      </c>
      <c r="D28" s="34" t="s">
        <v>16</v>
      </c>
      <c r="E28" s="34">
        <v>3.35</v>
      </c>
      <c r="F28" s="84">
        <f>E28*F26</f>
        <v>5.36</v>
      </c>
      <c r="G28" s="34"/>
      <c r="H28" s="60"/>
      <c r="I28" s="7"/>
      <c r="J28" s="52">
        <f t="shared" si="0"/>
        <v>0</v>
      </c>
      <c r="K28" s="4"/>
    </row>
    <row r="29" spans="1:10" s="2" customFormat="1" ht="66" customHeight="1">
      <c r="A29" s="55" t="s">
        <v>40</v>
      </c>
      <c r="B29" s="71" t="s">
        <v>151</v>
      </c>
      <c r="C29" s="25" t="s">
        <v>183</v>
      </c>
      <c r="D29" s="25" t="s">
        <v>23</v>
      </c>
      <c r="E29" s="25"/>
      <c r="F29" s="156">
        <f>(10*4.81+(10/0.5*0.4*0.08*6*7.85))/1000</f>
        <v>0.078244</v>
      </c>
      <c r="G29" s="25"/>
      <c r="H29" s="163"/>
      <c r="I29" s="83">
        <f>H29/F29</f>
        <v>0</v>
      </c>
      <c r="J29" s="52">
        <f t="shared" si="0"/>
        <v>0</v>
      </c>
    </row>
    <row r="30" spans="1:12" s="2" customFormat="1" ht="13.5" customHeight="1">
      <c r="A30" s="61"/>
      <c r="B30" s="58" t="s">
        <v>4</v>
      </c>
      <c r="C30" s="30" t="s">
        <v>152</v>
      </c>
      <c r="D30" s="30" t="s">
        <v>5</v>
      </c>
      <c r="E30" s="30">
        <f>1.15*170</f>
        <v>195.49999999999997</v>
      </c>
      <c r="F30" s="82">
        <f>E30*F29</f>
        <v>15.296701999999996</v>
      </c>
      <c r="G30" s="30"/>
      <c r="H30" s="86"/>
      <c r="I30" s="63"/>
      <c r="J30" s="52">
        <f t="shared" si="0"/>
        <v>0</v>
      </c>
      <c r="K30" s="6">
        <f>H30</f>
        <v>0</v>
      </c>
      <c r="L30" s="3">
        <f>H30/F29*0.8</f>
        <v>0</v>
      </c>
    </row>
    <row r="31" spans="1:10" s="2" customFormat="1" ht="13.5" customHeight="1">
      <c r="A31" s="61"/>
      <c r="B31" s="58" t="s">
        <v>4</v>
      </c>
      <c r="C31" s="30" t="s">
        <v>153</v>
      </c>
      <c r="D31" s="30" t="s">
        <v>16</v>
      </c>
      <c r="E31" s="30">
        <f>1.15*7.69</f>
        <v>8.8435</v>
      </c>
      <c r="F31" s="82">
        <f>E31*F29</f>
        <v>0.691950814</v>
      </c>
      <c r="G31" s="30"/>
      <c r="H31" s="86"/>
      <c r="I31" s="63"/>
      <c r="J31" s="52">
        <f t="shared" si="0"/>
        <v>0</v>
      </c>
    </row>
    <row r="32" spans="1:10" s="2" customFormat="1" ht="13.5" customHeight="1">
      <c r="A32" s="61"/>
      <c r="B32" s="27" t="s">
        <v>3</v>
      </c>
      <c r="C32" s="30" t="s">
        <v>154</v>
      </c>
      <c r="D32" s="30" t="s">
        <v>14</v>
      </c>
      <c r="E32" s="30">
        <v>0.03</v>
      </c>
      <c r="F32" s="82">
        <f>E32*F29</f>
        <v>0.0023473199999999995</v>
      </c>
      <c r="G32" s="30"/>
      <c r="H32" s="86"/>
      <c r="I32" s="7"/>
      <c r="J32" s="52">
        <f t="shared" si="0"/>
        <v>0</v>
      </c>
    </row>
    <row r="33" spans="1:10" s="2" customFormat="1" ht="13.5" customHeight="1">
      <c r="A33" s="61"/>
      <c r="B33" s="27" t="s">
        <v>3</v>
      </c>
      <c r="C33" s="30" t="s">
        <v>155</v>
      </c>
      <c r="D33" s="30" t="s">
        <v>23</v>
      </c>
      <c r="E33" s="30">
        <v>1.02</v>
      </c>
      <c r="F33" s="82">
        <f>E33*F29</f>
        <v>0.07980888</v>
      </c>
      <c r="G33" s="30"/>
      <c r="H33" s="86"/>
      <c r="I33" s="7"/>
      <c r="J33" s="52">
        <f t="shared" si="0"/>
        <v>0</v>
      </c>
    </row>
    <row r="34" spans="1:10" s="2" customFormat="1" ht="13.5" customHeight="1" thickBot="1">
      <c r="A34" s="61"/>
      <c r="B34" s="152" t="s">
        <v>4</v>
      </c>
      <c r="C34" s="34" t="s">
        <v>138</v>
      </c>
      <c r="D34" s="34" t="s">
        <v>16</v>
      </c>
      <c r="E34" s="34">
        <v>14.5</v>
      </c>
      <c r="F34" s="84">
        <f>E34*F29</f>
        <v>1.1345379999999998</v>
      </c>
      <c r="G34" s="119"/>
      <c r="H34" s="87"/>
      <c r="I34" s="7"/>
      <c r="J34" s="52">
        <f t="shared" si="0"/>
        <v>0</v>
      </c>
    </row>
    <row r="35" spans="1:10" s="160" customFormat="1" ht="37.5" customHeight="1">
      <c r="A35" s="50">
        <v>9</v>
      </c>
      <c r="B35" s="71" t="s">
        <v>156</v>
      </c>
      <c r="C35" s="25" t="s">
        <v>157</v>
      </c>
      <c r="D35" s="56" t="s">
        <v>47</v>
      </c>
      <c r="E35" s="56"/>
      <c r="F35" s="76">
        <v>15</v>
      </c>
      <c r="G35" s="56"/>
      <c r="H35" s="37"/>
      <c r="I35" s="83">
        <f>H35/F35</f>
        <v>0</v>
      </c>
      <c r="J35" s="52">
        <f t="shared" si="0"/>
        <v>0</v>
      </c>
    </row>
    <row r="36" spans="1:10" s="4" customFormat="1" ht="13.5" customHeight="1">
      <c r="A36" s="62"/>
      <c r="B36" s="58" t="s">
        <v>4</v>
      </c>
      <c r="C36" s="26" t="s">
        <v>158</v>
      </c>
      <c r="D36" s="30" t="s">
        <v>5</v>
      </c>
      <c r="E36" s="30">
        <f>0.53*1.2</f>
        <v>0.636</v>
      </c>
      <c r="F36" s="80">
        <f>F35*E36</f>
        <v>9.540000000000001</v>
      </c>
      <c r="G36" s="30"/>
      <c r="H36" s="32"/>
      <c r="I36" s="2"/>
      <c r="J36" s="52">
        <f t="shared" si="0"/>
        <v>0</v>
      </c>
    </row>
    <row r="37" spans="1:11" ht="13.5" customHeight="1" thickBot="1">
      <c r="A37" s="157"/>
      <c r="B37" s="153" t="s">
        <v>159</v>
      </c>
      <c r="C37" s="64" t="s">
        <v>160</v>
      </c>
      <c r="D37" s="119" t="s">
        <v>47</v>
      </c>
      <c r="E37" s="119">
        <v>1</v>
      </c>
      <c r="F37" s="161">
        <f>F35*E37</f>
        <v>15</v>
      </c>
      <c r="G37" s="128"/>
      <c r="H37" s="129"/>
      <c r="I37" s="3"/>
      <c r="J37" s="52">
        <f t="shared" si="0"/>
        <v>0</v>
      </c>
      <c r="K37" s="3"/>
    </row>
    <row r="38" spans="1:10" s="4" customFormat="1" ht="46.5" customHeight="1">
      <c r="A38" s="115" t="s">
        <v>39</v>
      </c>
      <c r="B38" s="51" t="s">
        <v>49</v>
      </c>
      <c r="C38" s="25" t="s">
        <v>180</v>
      </c>
      <c r="D38" s="56" t="s">
        <v>21</v>
      </c>
      <c r="E38" s="56"/>
      <c r="F38" s="76">
        <v>8.4</v>
      </c>
      <c r="G38" s="56"/>
      <c r="H38" s="37"/>
      <c r="I38" s="29">
        <f>H38/F38</f>
        <v>0</v>
      </c>
      <c r="J38" s="7">
        <f aca="true" t="shared" si="1" ref="J38:J43">H38</f>
        <v>0</v>
      </c>
    </row>
    <row r="39" spans="1:12" s="4" customFormat="1" ht="15.75" customHeight="1">
      <c r="A39" s="57"/>
      <c r="B39" s="27" t="s">
        <v>4</v>
      </c>
      <c r="C39" s="26" t="s">
        <v>50</v>
      </c>
      <c r="D39" s="30" t="s">
        <v>5</v>
      </c>
      <c r="E39" s="30">
        <f>1.15*3.6</f>
        <v>4.14</v>
      </c>
      <c r="F39" s="114">
        <f>E39*F38</f>
        <v>34.775999999999996</v>
      </c>
      <c r="G39" s="30"/>
      <c r="H39" s="32"/>
      <c r="J39" s="7">
        <f t="shared" si="1"/>
        <v>0</v>
      </c>
      <c r="K39" s="79">
        <f>H39</f>
        <v>0</v>
      </c>
      <c r="L39" s="3">
        <f>H39/F38*0.8</f>
        <v>0</v>
      </c>
    </row>
    <row r="40" spans="1:10" s="4" customFormat="1" ht="15.75" customHeight="1">
      <c r="A40" s="57"/>
      <c r="B40" s="58" t="s">
        <v>4</v>
      </c>
      <c r="C40" s="26" t="s">
        <v>51</v>
      </c>
      <c r="D40" s="30" t="s">
        <v>16</v>
      </c>
      <c r="E40" s="30">
        <f>1.15*0.92</f>
        <v>1.058</v>
      </c>
      <c r="F40" s="114">
        <f>E40*F38</f>
        <v>8.8872</v>
      </c>
      <c r="G40" s="30"/>
      <c r="H40" s="32"/>
      <c r="J40" s="7">
        <f t="shared" si="1"/>
        <v>0</v>
      </c>
    </row>
    <row r="41" spans="1:10" s="4" customFormat="1" ht="15.75" customHeight="1">
      <c r="A41" s="57"/>
      <c r="B41" s="77" t="s">
        <v>3</v>
      </c>
      <c r="C41" s="26" t="s">
        <v>52</v>
      </c>
      <c r="D41" s="30" t="s">
        <v>14</v>
      </c>
      <c r="E41" s="30">
        <v>0.11</v>
      </c>
      <c r="F41" s="114">
        <f>E41*F38</f>
        <v>0.924</v>
      </c>
      <c r="G41" s="30"/>
      <c r="H41" s="32"/>
      <c r="J41" s="7">
        <f t="shared" si="1"/>
        <v>0</v>
      </c>
    </row>
    <row r="42" spans="1:10" s="2" customFormat="1" ht="28.5" customHeight="1">
      <c r="A42" s="57"/>
      <c r="B42" s="27" t="s">
        <v>182</v>
      </c>
      <c r="C42" s="26" t="s">
        <v>181</v>
      </c>
      <c r="D42" s="30" t="s">
        <v>25</v>
      </c>
      <c r="E42" s="82">
        <f>0.92/(0.39*0.19*0.19)</f>
        <v>65.34555011009306</v>
      </c>
      <c r="F42" s="114">
        <f>E42*F38</f>
        <v>548.9026209247817</v>
      </c>
      <c r="G42" s="82"/>
      <c r="H42" s="32"/>
      <c r="J42" s="7">
        <f t="shared" si="1"/>
        <v>0</v>
      </c>
    </row>
    <row r="43" spans="1:10" s="4" customFormat="1" ht="15.75" customHeight="1" thickBot="1">
      <c r="A43" s="59"/>
      <c r="B43" s="33" t="s">
        <v>4</v>
      </c>
      <c r="C43" s="28" t="s">
        <v>20</v>
      </c>
      <c r="D43" s="34" t="s">
        <v>16</v>
      </c>
      <c r="E43" s="34">
        <v>0.16</v>
      </c>
      <c r="F43" s="107">
        <f>E43*F38</f>
        <v>1.344</v>
      </c>
      <c r="G43" s="34"/>
      <c r="H43" s="60"/>
      <c r="J43" s="7">
        <f t="shared" si="1"/>
        <v>0</v>
      </c>
    </row>
    <row r="44" spans="1:10" s="4" customFormat="1" ht="46.5" customHeight="1">
      <c r="A44" s="115" t="s">
        <v>41</v>
      </c>
      <c r="B44" s="51" t="s">
        <v>49</v>
      </c>
      <c r="C44" s="25" t="s">
        <v>188</v>
      </c>
      <c r="D44" s="56" t="s">
        <v>21</v>
      </c>
      <c r="E44" s="56"/>
      <c r="F44" s="76">
        <v>1.1</v>
      </c>
      <c r="G44" s="56"/>
      <c r="H44" s="37"/>
      <c r="I44" s="29">
        <f>H44/F44</f>
        <v>0</v>
      </c>
      <c r="J44" s="7">
        <f t="shared" si="0"/>
        <v>0</v>
      </c>
    </row>
    <row r="45" spans="1:12" s="4" customFormat="1" ht="15.75" customHeight="1">
      <c r="A45" s="57"/>
      <c r="B45" s="27" t="s">
        <v>4</v>
      </c>
      <c r="C45" s="26" t="s">
        <v>50</v>
      </c>
      <c r="D45" s="30" t="s">
        <v>5</v>
      </c>
      <c r="E45" s="30">
        <f>1.15*3.6</f>
        <v>4.14</v>
      </c>
      <c r="F45" s="114">
        <f>E45*F44</f>
        <v>4.554</v>
      </c>
      <c r="G45" s="30"/>
      <c r="H45" s="32"/>
      <c r="J45" s="7">
        <f t="shared" si="0"/>
        <v>0</v>
      </c>
      <c r="K45" s="79">
        <f>H45</f>
        <v>0</v>
      </c>
      <c r="L45" s="3">
        <f>H45/F44*0.8</f>
        <v>0</v>
      </c>
    </row>
    <row r="46" spans="1:10" s="4" customFormat="1" ht="15.75" customHeight="1">
      <c r="A46" s="57"/>
      <c r="B46" s="58" t="s">
        <v>4</v>
      </c>
      <c r="C46" s="26" t="s">
        <v>51</v>
      </c>
      <c r="D46" s="30" t="s">
        <v>16</v>
      </c>
      <c r="E46" s="30">
        <f>1.15*0.92</f>
        <v>1.058</v>
      </c>
      <c r="F46" s="114">
        <f>E46*F44</f>
        <v>1.1638000000000002</v>
      </c>
      <c r="G46" s="30"/>
      <c r="H46" s="32"/>
      <c r="J46" s="7">
        <f t="shared" si="0"/>
        <v>0</v>
      </c>
    </row>
    <row r="47" spans="1:10" s="4" customFormat="1" ht="15.75" customHeight="1">
      <c r="A47" s="57"/>
      <c r="B47" s="77" t="s">
        <v>3</v>
      </c>
      <c r="C47" s="26" t="s">
        <v>52</v>
      </c>
      <c r="D47" s="30" t="s">
        <v>14</v>
      </c>
      <c r="E47" s="30">
        <v>0.11</v>
      </c>
      <c r="F47" s="114">
        <f>E47*F44</f>
        <v>0.12100000000000001</v>
      </c>
      <c r="G47" s="30"/>
      <c r="H47" s="32"/>
      <c r="J47" s="7">
        <f t="shared" si="0"/>
        <v>0</v>
      </c>
    </row>
    <row r="48" spans="1:10" s="2" customFormat="1" ht="28.5" customHeight="1">
      <c r="A48" s="57"/>
      <c r="B48" s="27" t="s">
        <v>3</v>
      </c>
      <c r="C48" s="26" t="s">
        <v>161</v>
      </c>
      <c r="D48" s="30" t="s">
        <v>25</v>
      </c>
      <c r="E48" s="82">
        <f>0.92/(0.39*0.15*0.19)</f>
        <v>82.7710301394512</v>
      </c>
      <c r="F48" s="114">
        <f>E48*F44</f>
        <v>91.04813315339632</v>
      </c>
      <c r="G48" s="82"/>
      <c r="H48" s="32"/>
      <c r="J48" s="7">
        <f t="shared" si="0"/>
        <v>0</v>
      </c>
    </row>
    <row r="49" spans="1:10" s="4" customFormat="1" ht="15.75" customHeight="1" thickBot="1">
      <c r="A49" s="59"/>
      <c r="B49" s="33" t="s">
        <v>4</v>
      </c>
      <c r="C49" s="28" t="s">
        <v>20</v>
      </c>
      <c r="D49" s="34" t="s">
        <v>16</v>
      </c>
      <c r="E49" s="34">
        <v>0.16</v>
      </c>
      <c r="F49" s="107">
        <f>E49*F44</f>
        <v>0.17600000000000002</v>
      </c>
      <c r="G49" s="34"/>
      <c r="H49" s="60"/>
      <c r="J49" s="7">
        <f t="shared" si="0"/>
        <v>0</v>
      </c>
    </row>
    <row r="50" spans="1:11" ht="45" customHeight="1">
      <c r="A50" s="55" t="s">
        <v>42</v>
      </c>
      <c r="B50" s="51" t="s">
        <v>191</v>
      </c>
      <c r="C50" s="25" t="s">
        <v>200</v>
      </c>
      <c r="D50" s="25" t="s">
        <v>28</v>
      </c>
      <c r="E50" s="25"/>
      <c r="F50" s="25">
        <v>34.8</v>
      </c>
      <c r="G50" s="25"/>
      <c r="H50" s="164"/>
      <c r="I50" s="83">
        <f>H50/F50</f>
        <v>0</v>
      </c>
      <c r="J50" s="7">
        <f t="shared" si="0"/>
        <v>0</v>
      </c>
      <c r="K50" s="75"/>
    </row>
    <row r="51" spans="1:12" ht="15.75" customHeight="1">
      <c r="A51" s="57"/>
      <c r="B51" s="58" t="s">
        <v>4</v>
      </c>
      <c r="C51" s="26" t="s">
        <v>192</v>
      </c>
      <c r="D51" s="26" t="s">
        <v>5</v>
      </c>
      <c r="E51" s="26">
        <f>1.15*2.45</f>
        <v>2.8175</v>
      </c>
      <c r="F51" s="72">
        <f>E51*F50</f>
        <v>98.04899999999999</v>
      </c>
      <c r="G51" s="26"/>
      <c r="H51" s="73"/>
      <c r="I51" s="7"/>
      <c r="J51" s="7">
        <f t="shared" si="0"/>
        <v>0</v>
      </c>
      <c r="K51" s="75">
        <f>H51</f>
        <v>0</v>
      </c>
      <c r="L51" s="3">
        <f>H51/F50*0.8</f>
        <v>0</v>
      </c>
    </row>
    <row r="52" spans="1:11" ht="15.75" customHeight="1">
      <c r="A52" s="57"/>
      <c r="B52" s="27" t="s">
        <v>4</v>
      </c>
      <c r="C52" s="26" t="s">
        <v>193</v>
      </c>
      <c r="D52" s="26" t="s">
        <v>16</v>
      </c>
      <c r="E52" s="26">
        <f>1.15*0.0681</f>
        <v>0.07831499999999998</v>
      </c>
      <c r="F52" s="72">
        <f>E52*F50</f>
        <v>2.725361999999999</v>
      </c>
      <c r="G52" s="26"/>
      <c r="H52" s="73"/>
      <c r="I52" s="7"/>
      <c r="J52" s="7">
        <f t="shared" si="0"/>
        <v>0</v>
      </c>
      <c r="K52" s="93"/>
    </row>
    <row r="53" spans="1:11" ht="15.75" customHeight="1">
      <c r="A53" s="57"/>
      <c r="B53" s="78" t="s">
        <v>123</v>
      </c>
      <c r="C53" s="26" t="s">
        <v>124</v>
      </c>
      <c r="D53" s="26" t="s">
        <v>28</v>
      </c>
      <c r="E53" s="26">
        <v>2.06</v>
      </c>
      <c r="F53" s="72">
        <f>F50*E53</f>
        <v>71.688</v>
      </c>
      <c r="G53" s="72"/>
      <c r="H53" s="73"/>
      <c r="I53" s="7"/>
      <c r="J53" s="7">
        <f t="shared" si="0"/>
        <v>0</v>
      </c>
      <c r="K53" s="93"/>
    </row>
    <row r="54" spans="1:11" ht="15.75" customHeight="1">
      <c r="A54" s="57"/>
      <c r="B54" s="78" t="s">
        <v>194</v>
      </c>
      <c r="C54" s="26" t="s">
        <v>195</v>
      </c>
      <c r="D54" s="26" t="s">
        <v>32</v>
      </c>
      <c r="E54" s="26">
        <v>1.3</v>
      </c>
      <c r="F54" s="72">
        <f>E54*F50</f>
        <v>45.239999999999995</v>
      </c>
      <c r="G54" s="26"/>
      <c r="H54" s="73"/>
      <c r="I54" s="7"/>
      <c r="J54" s="7">
        <f t="shared" si="0"/>
        <v>0</v>
      </c>
      <c r="K54" s="75"/>
    </row>
    <row r="55" spans="1:11" ht="15.75" customHeight="1">
      <c r="A55" s="57"/>
      <c r="B55" s="78" t="s">
        <v>196</v>
      </c>
      <c r="C55" s="26" t="s">
        <v>197</v>
      </c>
      <c r="D55" s="26" t="s">
        <v>32</v>
      </c>
      <c r="E55" s="26">
        <v>2</v>
      </c>
      <c r="F55" s="72">
        <f>E55*F50</f>
        <v>69.6</v>
      </c>
      <c r="G55" s="26"/>
      <c r="H55" s="73"/>
      <c r="I55" s="7"/>
      <c r="J55" s="7">
        <f t="shared" si="0"/>
        <v>0</v>
      </c>
      <c r="K55" s="93"/>
    </row>
    <row r="56" spans="1:11" ht="15.75" customHeight="1">
      <c r="A56" s="57"/>
      <c r="B56" s="58" t="s">
        <v>3</v>
      </c>
      <c r="C56" s="26" t="s">
        <v>198</v>
      </c>
      <c r="D56" s="26" t="s">
        <v>130</v>
      </c>
      <c r="E56" s="26">
        <v>34</v>
      </c>
      <c r="F56" s="72">
        <f>E56*F50</f>
        <v>1183.1999999999998</v>
      </c>
      <c r="G56" s="26"/>
      <c r="H56" s="73"/>
      <c r="I56" s="7"/>
      <c r="J56" s="7">
        <f t="shared" si="0"/>
        <v>0</v>
      </c>
      <c r="K56" s="93"/>
    </row>
    <row r="57" spans="1:11" ht="15.75" customHeight="1">
      <c r="A57" s="57"/>
      <c r="B57" s="78" t="s">
        <v>131</v>
      </c>
      <c r="C57" s="26" t="s">
        <v>132</v>
      </c>
      <c r="D57" s="26" t="s">
        <v>130</v>
      </c>
      <c r="E57" s="26">
        <v>1.5</v>
      </c>
      <c r="F57" s="72">
        <f>F50*E57</f>
        <v>52.199999999999996</v>
      </c>
      <c r="G57" s="26"/>
      <c r="H57" s="73"/>
      <c r="I57" s="7"/>
      <c r="J57" s="7">
        <f t="shared" si="0"/>
        <v>0</v>
      </c>
      <c r="K57" s="93"/>
    </row>
    <row r="58" spans="1:11" ht="15.75" customHeight="1">
      <c r="A58" s="57"/>
      <c r="B58" s="78" t="s">
        <v>133</v>
      </c>
      <c r="C58" s="26" t="s">
        <v>134</v>
      </c>
      <c r="D58" s="26" t="s">
        <v>32</v>
      </c>
      <c r="E58" s="26">
        <v>1.2</v>
      </c>
      <c r="F58" s="72">
        <f>F50*E58</f>
        <v>41.76</v>
      </c>
      <c r="G58" s="26"/>
      <c r="H58" s="73"/>
      <c r="I58" s="7"/>
      <c r="J58" s="7">
        <f t="shared" si="0"/>
        <v>0</v>
      </c>
      <c r="K58" s="93"/>
    </row>
    <row r="59" spans="1:11" ht="15.75" customHeight="1" thickBot="1">
      <c r="A59" s="57"/>
      <c r="B59" s="27" t="s">
        <v>201</v>
      </c>
      <c r="C59" s="26" t="s">
        <v>199</v>
      </c>
      <c r="D59" s="26" t="s">
        <v>28</v>
      </c>
      <c r="E59" s="26">
        <v>1</v>
      </c>
      <c r="F59" s="72">
        <f>F50*E59</f>
        <v>34.8</v>
      </c>
      <c r="G59" s="26"/>
      <c r="H59" s="73"/>
      <c r="I59" s="7"/>
      <c r="J59" s="7">
        <f t="shared" si="0"/>
        <v>0</v>
      </c>
      <c r="K59" s="93"/>
    </row>
    <row r="60" spans="1:14" ht="48.75" customHeight="1">
      <c r="A60" s="55" t="s">
        <v>0</v>
      </c>
      <c r="B60" s="100" t="s">
        <v>87</v>
      </c>
      <c r="C60" s="25" t="s">
        <v>203</v>
      </c>
      <c r="D60" s="56" t="s">
        <v>28</v>
      </c>
      <c r="E60" s="56"/>
      <c r="F60" s="76">
        <v>56.5</v>
      </c>
      <c r="G60" s="56"/>
      <c r="H60" s="37"/>
      <c r="I60" s="29">
        <f>H60/F60</f>
        <v>0</v>
      </c>
      <c r="J60" s="7">
        <f t="shared" si="0"/>
        <v>0</v>
      </c>
      <c r="K60" s="3"/>
      <c r="L60" s="3"/>
      <c r="M60" s="3"/>
      <c r="N60" s="3"/>
    </row>
    <row r="61" spans="1:14" ht="15.75" customHeight="1">
      <c r="A61" s="61"/>
      <c r="B61" s="58" t="s">
        <v>4</v>
      </c>
      <c r="C61" s="26" t="s">
        <v>86</v>
      </c>
      <c r="D61" s="30" t="s">
        <v>5</v>
      </c>
      <c r="E61" s="30">
        <f>1.15*0.312</f>
        <v>0.35879999999999995</v>
      </c>
      <c r="F61" s="82">
        <f>E61*F60</f>
        <v>20.272199999999998</v>
      </c>
      <c r="G61" s="30"/>
      <c r="H61" s="32"/>
      <c r="I61" s="8"/>
      <c r="J61" s="7">
        <f t="shared" si="0"/>
        <v>0</v>
      </c>
      <c r="K61" s="8">
        <f>H61</f>
        <v>0</v>
      </c>
      <c r="L61" s="3">
        <f>H61/F60*0.8</f>
        <v>0</v>
      </c>
      <c r="M61" s="3"/>
      <c r="N61" s="3"/>
    </row>
    <row r="62" spans="1:14" ht="15.75" customHeight="1">
      <c r="A62" s="61"/>
      <c r="B62" s="58" t="s">
        <v>4</v>
      </c>
      <c r="C62" s="26" t="s">
        <v>88</v>
      </c>
      <c r="D62" s="30" t="s">
        <v>16</v>
      </c>
      <c r="E62" s="30">
        <f>1.15*0.0138</f>
        <v>0.01587</v>
      </c>
      <c r="F62" s="82">
        <f>F60*E62</f>
        <v>0.896655</v>
      </c>
      <c r="G62" s="30"/>
      <c r="H62" s="32"/>
      <c r="I62" s="8"/>
      <c r="J62" s="7">
        <f t="shared" si="0"/>
        <v>0</v>
      </c>
      <c r="K62" s="3"/>
      <c r="L62" s="3"/>
      <c r="M62" s="3"/>
      <c r="N62" s="3"/>
    </row>
    <row r="63" spans="1:11" s="49" customFormat="1" ht="15.75" customHeight="1">
      <c r="A63" s="61"/>
      <c r="B63" s="27" t="s">
        <v>90</v>
      </c>
      <c r="C63" s="26" t="s">
        <v>53</v>
      </c>
      <c r="D63" s="30" t="s">
        <v>15</v>
      </c>
      <c r="E63" s="30">
        <v>0.76</v>
      </c>
      <c r="F63" s="82">
        <f>F60*E63</f>
        <v>42.94</v>
      </c>
      <c r="G63" s="82"/>
      <c r="H63" s="32"/>
      <c r="I63" s="7"/>
      <c r="J63" s="7">
        <f t="shared" si="0"/>
        <v>0</v>
      </c>
      <c r="K63" s="63"/>
    </row>
    <row r="64" spans="1:11" s="49" customFormat="1" ht="15.75" customHeight="1">
      <c r="A64" s="61"/>
      <c r="B64" s="27" t="s">
        <v>3</v>
      </c>
      <c r="C64" s="26" t="s">
        <v>54</v>
      </c>
      <c r="D64" s="30" t="s">
        <v>15</v>
      </c>
      <c r="E64" s="30">
        <v>0.25</v>
      </c>
      <c r="F64" s="82">
        <f>F60*E64</f>
        <v>14.125</v>
      </c>
      <c r="G64" s="85"/>
      <c r="H64" s="32"/>
      <c r="I64" s="7"/>
      <c r="J64" s="7">
        <f t="shared" si="0"/>
        <v>0</v>
      </c>
      <c r="K64" s="63"/>
    </row>
    <row r="65" spans="1:10" s="3" customFormat="1" ht="15.75" customHeight="1">
      <c r="A65" s="61"/>
      <c r="B65" s="27" t="s">
        <v>89</v>
      </c>
      <c r="C65" s="26" t="s">
        <v>69</v>
      </c>
      <c r="D65" s="30" t="s">
        <v>48</v>
      </c>
      <c r="E65" s="30">
        <v>1.12</v>
      </c>
      <c r="F65" s="82">
        <f>F60*E65</f>
        <v>63.28000000000001</v>
      </c>
      <c r="G65" s="30"/>
      <c r="H65" s="32"/>
      <c r="I65" s="8"/>
      <c r="J65" s="7">
        <f t="shared" si="0"/>
        <v>0</v>
      </c>
    </row>
    <row r="66" spans="1:10" s="2" customFormat="1" ht="15.75" customHeight="1" thickBot="1">
      <c r="A66" s="59"/>
      <c r="B66" s="130" t="s">
        <v>4</v>
      </c>
      <c r="C66" s="28" t="s">
        <v>20</v>
      </c>
      <c r="D66" s="119" t="s">
        <v>16</v>
      </c>
      <c r="E66" s="119">
        <v>0.0019</v>
      </c>
      <c r="F66" s="128">
        <f>F60*E66</f>
        <v>0.10735</v>
      </c>
      <c r="G66" s="119"/>
      <c r="H66" s="129"/>
      <c r="J66" s="7">
        <f t="shared" si="0"/>
        <v>0</v>
      </c>
    </row>
    <row r="67" spans="1:11" s="5" customFormat="1" ht="36" customHeight="1">
      <c r="A67" s="55" t="s">
        <v>45</v>
      </c>
      <c r="B67" s="51" t="s">
        <v>55</v>
      </c>
      <c r="C67" s="25" t="s">
        <v>189</v>
      </c>
      <c r="D67" s="120" t="s">
        <v>31</v>
      </c>
      <c r="E67" s="56"/>
      <c r="F67" s="76">
        <v>31.4</v>
      </c>
      <c r="G67" s="56"/>
      <c r="H67" s="37"/>
      <c r="I67" s="83">
        <f>H67/F67</f>
        <v>0</v>
      </c>
      <c r="J67" s="7">
        <f t="shared" si="0"/>
        <v>0</v>
      </c>
      <c r="K67" s="93"/>
    </row>
    <row r="68" spans="1:12" s="4" customFormat="1" ht="15.75" customHeight="1">
      <c r="A68" s="61"/>
      <c r="B68" s="27" t="s">
        <v>4</v>
      </c>
      <c r="C68" s="26" t="s">
        <v>162</v>
      </c>
      <c r="D68" s="30" t="s">
        <v>5</v>
      </c>
      <c r="E68" s="30">
        <f>1.15*(18.8+2*0.34)/100</f>
        <v>0.22401999999999997</v>
      </c>
      <c r="F68" s="121">
        <f>E68*F67</f>
        <v>7.034227999999999</v>
      </c>
      <c r="G68" s="30"/>
      <c r="H68" s="32"/>
      <c r="I68" s="7"/>
      <c r="J68" s="7">
        <f t="shared" si="0"/>
        <v>0</v>
      </c>
      <c r="K68" s="75">
        <f>H68</f>
        <v>0</v>
      </c>
      <c r="L68" s="3">
        <f>H68/F67*0.8</f>
        <v>0</v>
      </c>
    </row>
    <row r="69" spans="1:11" s="4" customFormat="1" ht="15.75" customHeight="1">
      <c r="A69" s="61"/>
      <c r="B69" s="27" t="s">
        <v>4</v>
      </c>
      <c r="C69" s="26" t="s">
        <v>163</v>
      </c>
      <c r="D69" s="30" t="s">
        <v>16</v>
      </c>
      <c r="E69" s="30">
        <f>1.15*(0.95+2*0.23)/100</f>
        <v>0.016214999999999997</v>
      </c>
      <c r="F69" s="121">
        <f>E69*F67</f>
        <v>0.5091509999999999</v>
      </c>
      <c r="G69" s="30"/>
      <c r="H69" s="32"/>
      <c r="I69" s="7"/>
      <c r="J69" s="7">
        <f t="shared" si="0"/>
        <v>0</v>
      </c>
      <c r="K69" s="75"/>
    </row>
    <row r="70" spans="1:11" s="4" customFormat="1" ht="15.75" customHeight="1">
      <c r="A70" s="61"/>
      <c r="B70" s="27" t="s">
        <v>3</v>
      </c>
      <c r="C70" s="26" t="s">
        <v>164</v>
      </c>
      <c r="D70" s="30" t="s">
        <v>14</v>
      </c>
      <c r="E70" s="30">
        <f>(2.04+2*0.51)/100</f>
        <v>0.030600000000000002</v>
      </c>
      <c r="F70" s="121">
        <f>E70*F67</f>
        <v>0.96084</v>
      </c>
      <c r="G70" s="30"/>
      <c r="H70" s="32"/>
      <c r="I70" s="7"/>
      <c r="J70" s="7">
        <f t="shared" si="0"/>
        <v>0</v>
      </c>
      <c r="K70" s="93"/>
    </row>
    <row r="71" spans="1:11" s="4" customFormat="1" ht="15.75" customHeight="1" thickBot="1">
      <c r="A71" s="53"/>
      <c r="B71" s="54" t="s">
        <v>4</v>
      </c>
      <c r="C71" s="28" t="s">
        <v>20</v>
      </c>
      <c r="D71" s="34" t="s">
        <v>16</v>
      </c>
      <c r="E71" s="34">
        <v>0.0636</v>
      </c>
      <c r="F71" s="122">
        <f>E71*F67</f>
        <v>1.99704</v>
      </c>
      <c r="G71" s="34"/>
      <c r="H71" s="60"/>
      <c r="I71" s="7"/>
      <c r="J71" s="7">
        <f t="shared" si="0"/>
        <v>0</v>
      </c>
      <c r="K71" s="93"/>
    </row>
    <row r="72" spans="1:11" ht="36" customHeight="1">
      <c r="A72" s="55" t="s">
        <v>43</v>
      </c>
      <c r="B72" s="51" t="s">
        <v>56</v>
      </c>
      <c r="C72" s="25" t="s">
        <v>100</v>
      </c>
      <c r="D72" s="56" t="s">
        <v>28</v>
      </c>
      <c r="E72" s="56"/>
      <c r="F72" s="76">
        <v>31.4</v>
      </c>
      <c r="G72" s="56"/>
      <c r="H72" s="37"/>
      <c r="I72" s="29">
        <f>H72/F72</f>
        <v>0</v>
      </c>
      <c r="J72" s="7">
        <f t="shared" si="0"/>
        <v>0</v>
      </c>
      <c r="K72" s="123"/>
    </row>
    <row r="73" spans="1:12" ht="15.75" customHeight="1">
      <c r="A73" s="61"/>
      <c r="B73" s="58" t="s">
        <v>4</v>
      </c>
      <c r="C73" s="26" t="s">
        <v>57</v>
      </c>
      <c r="D73" s="30" t="s">
        <v>5</v>
      </c>
      <c r="E73" s="30">
        <f>1.15*1.08</f>
        <v>1.242</v>
      </c>
      <c r="F73" s="114">
        <f>E73*F72</f>
        <v>38.998799999999996</v>
      </c>
      <c r="G73" s="30"/>
      <c r="H73" s="32"/>
      <c r="I73" s="63"/>
      <c r="J73" s="7">
        <f t="shared" si="0"/>
        <v>0</v>
      </c>
      <c r="K73" s="7">
        <f>H73</f>
        <v>0</v>
      </c>
      <c r="L73" s="3">
        <f>H73/F72*0.8</f>
        <v>0</v>
      </c>
    </row>
    <row r="74" spans="1:11" ht="15.75" customHeight="1">
      <c r="A74" s="61"/>
      <c r="B74" s="58" t="s">
        <v>4</v>
      </c>
      <c r="C74" s="26" t="s">
        <v>70</v>
      </c>
      <c r="D74" s="30" t="s">
        <v>16</v>
      </c>
      <c r="E74" s="30">
        <f>1.15*0.0452</f>
        <v>0.05197999999999999</v>
      </c>
      <c r="F74" s="114">
        <f>E74*F72</f>
        <v>1.6321719999999997</v>
      </c>
      <c r="G74" s="30"/>
      <c r="H74" s="32"/>
      <c r="I74" s="7"/>
      <c r="J74" s="7">
        <f t="shared" si="0"/>
        <v>0</v>
      </c>
      <c r="K74" s="7"/>
    </row>
    <row r="75" spans="1:11" ht="15.75" customHeight="1">
      <c r="A75" s="61"/>
      <c r="B75" s="27" t="s">
        <v>3</v>
      </c>
      <c r="C75" s="26" t="s">
        <v>61</v>
      </c>
      <c r="D75" s="30" t="s">
        <v>48</v>
      </c>
      <c r="E75" s="30">
        <v>1.02</v>
      </c>
      <c r="F75" s="114">
        <f>E75*F72</f>
        <v>32.028</v>
      </c>
      <c r="G75" s="30"/>
      <c r="H75" s="32"/>
      <c r="I75" s="7"/>
      <c r="J75" s="7">
        <f t="shared" si="0"/>
        <v>0</v>
      </c>
      <c r="K75" s="123"/>
    </row>
    <row r="76" spans="1:11" s="3" customFormat="1" ht="15.75" customHeight="1">
      <c r="A76" s="61"/>
      <c r="B76" s="27" t="s">
        <v>101</v>
      </c>
      <c r="C76" s="26" t="s">
        <v>72</v>
      </c>
      <c r="D76" s="30" t="s">
        <v>15</v>
      </c>
      <c r="E76" s="30">
        <v>8</v>
      </c>
      <c r="F76" s="82">
        <f>E76*F72</f>
        <v>251.2</v>
      </c>
      <c r="G76" s="30"/>
      <c r="H76" s="32"/>
      <c r="I76" s="7"/>
      <c r="J76" s="7">
        <f t="shared" si="0"/>
        <v>0</v>
      </c>
      <c r="K76" s="123"/>
    </row>
    <row r="77" spans="1:11" ht="15.75" customHeight="1" thickBot="1">
      <c r="A77" s="53"/>
      <c r="B77" s="54" t="s">
        <v>4</v>
      </c>
      <c r="C77" s="28" t="s">
        <v>20</v>
      </c>
      <c r="D77" s="34" t="s">
        <v>16</v>
      </c>
      <c r="E77" s="34">
        <v>0.0466</v>
      </c>
      <c r="F77" s="107">
        <f>E77*F72</f>
        <v>1.46324</v>
      </c>
      <c r="G77" s="34"/>
      <c r="H77" s="60"/>
      <c r="I77" s="7"/>
      <c r="J77" s="7">
        <f t="shared" si="0"/>
        <v>0</v>
      </c>
      <c r="K77" s="123"/>
    </row>
    <row r="78" spans="1:10" ht="35.25" customHeight="1">
      <c r="A78" s="55" t="s">
        <v>1</v>
      </c>
      <c r="B78" s="71" t="s">
        <v>58</v>
      </c>
      <c r="C78" s="25" t="s">
        <v>73</v>
      </c>
      <c r="D78" s="56" t="s">
        <v>32</v>
      </c>
      <c r="E78" s="56"/>
      <c r="F78" s="76">
        <v>21</v>
      </c>
      <c r="G78" s="56"/>
      <c r="H78" s="37"/>
      <c r="I78" s="29">
        <f>H78/F78</f>
        <v>0</v>
      </c>
      <c r="J78" s="7">
        <f t="shared" si="0"/>
        <v>0</v>
      </c>
    </row>
    <row r="79" spans="1:12" ht="15.75" customHeight="1">
      <c r="A79" s="61"/>
      <c r="B79" s="58" t="s">
        <v>4</v>
      </c>
      <c r="C79" s="26" t="s">
        <v>59</v>
      </c>
      <c r="D79" s="30" t="s">
        <v>5</v>
      </c>
      <c r="E79" s="30">
        <v>0.269</v>
      </c>
      <c r="F79" s="114">
        <f>E79*F78</f>
        <v>5.649</v>
      </c>
      <c r="G79" s="30"/>
      <c r="H79" s="32"/>
      <c r="I79" s="124"/>
      <c r="J79" s="7">
        <f t="shared" si="0"/>
        <v>0</v>
      </c>
      <c r="K79" s="79">
        <f>H79</f>
        <v>0</v>
      </c>
      <c r="L79" s="3">
        <f>H79/F78*0.8</f>
        <v>0</v>
      </c>
    </row>
    <row r="80" spans="1:10" ht="15.75" customHeight="1">
      <c r="A80" s="61"/>
      <c r="B80" s="58" t="s">
        <v>4</v>
      </c>
      <c r="C80" s="26" t="s">
        <v>60</v>
      </c>
      <c r="D80" s="30" t="s">
        <v>16</v>
      </c>
      <c r="E80" s="125">
        <v>0.0116</v>
      </c>
      <c r="F80" s="114">
        <f>E80*F78</f>
        <v>0.24359999999999998</v>
      </c>
      <c r="G80" s="30"/>
      <c r="H80" s="32"/>
      <c r="I80" s="124"/>
      <c r="J80" s="7">
        <f t="shared" si="0"/>
        <v>0</v>
      </c>
    </row>
    <row r="81" spans="1:10" s="3" customFormat="1" ht="15.75" customHeight="1">
      <c r="A81" s="61"/>
      <c r="B81" s="78" t="s">
        <v>3</v>
      </c>
      <c r="C81" s="26" t="s">
        <v>61</v>
      </c>
      <c r="D81" s="30" t="s">
        <v>48</v>
      </c>
      <c r="E81" s="80">
        <v>0.102</v>
      </c>
      <c r="F81" s="114">
        <f>E81*F78</f>
        <v>2.142</v>
      </c>
      <c r="G81" s="30"/>
      <c r="H81" s="32"/>
      <c r="I81" s="123"/>
      <c r="J81" s="7">
        <f t="shared" si="0"/>
        <v>0</v>
      </c>
    </row>
    <row r="82" spans="1:10" s="3" customFormat="1" ht="15.75" customHeight="1" thickBot="1">
      <c r="A82" s="53"/>
      <c r="B82" s="27" t="s">
        <v>101</v>
      </c>
      <c r="C82" s="28" t="s">
        <v>72</v>
      </c>
      <c r="D82" s="34" t="s">
        <v>15</v>
      </c>
      <c r="E82" s="34">
        <v>0.8</v>
      </c>
      <c r="F82" s="116">
        <f>E82*F78</f>
        <v>16.8</v>
      </c>
      <c r="G82" s="34"/>
      <c r="H82" s="60"/>
      <c r="I82" s="123"/>
      <c r="J82" s="7">
        <f t="shared" si="0"/>
        <v>0</v>
      </c>
    </row>
    <row r="83" spans="1:18" s="4" customFormat="1" ht="60">
      <c r="A83" s="55" t="s">
        <v>223</v>
      </c>
      <c r="B83" s="51" t="s">
        <v>204</v>
      </c>
      <c r="C83" s="25" t="s">
        <v>214</v>
      </c>
      <c r="D83" s="120" t="s">
        <v>31</v>
      </c>
      <c r="E83" s="56"/>
      <c r="F83" s="76">
        <v>25.1</v>
      </c>
      <c r="G83" s="56"/>
      <c r="H83" s="37"/>
      <c r="I83" s="29">
        <f>H83/F83</f>
        <v>0</v>
      </c>
      <c r="J83" s="52">
        <f t="shared" si="0"/>
        <v>0</v>
      </c>
      <c r="K83" s="2"/>
      <c r="L83" s="2"/>
      <c r="M83" s="2"/>
      <c r="N83" s="2"/>
      <c r="O83" s="2"/>
      <c r="P83" s="2"/>
      <c r="Q83" s="2"/>
      <c r="R83" s="2"/>
    </row>
    <row r="84" spans="1:18" s="4" customFormat="1" ht="18.75" customHeight="1">
      <c r="A84" s="61"/>
      <c r="B84" s="27" t="s">
        <v>4</v>
      </c>
      <c r="C84" s="26" t="s">
        <v>212</v>
      </c>
      <c r="D84" s="30" t="s">
        <v>5</v>
      </c>
      <c r="E84" s="30">
        <f>1.15*0.252</f>
        <v>0.2898</v>
      </c>
      <c r="F84" s="82">
        <f>E84*F83</f>
        <v>7.273980000000001</v>
      </c>
      <c r="G84" s="30"/>
      <c r="H84" s="32"/>
      <c r="I84" s="2"/>
      <c r="J84" s="52">
        <f t="shared" si="0"/>
        <v>0</v>
      </c>
      <c r="K84" s="83">
        <f>H84</f>
        <v>0</v>
      </c>
      <c r="L84" s="3">
        <f>H84/F83*0.8</f>
        <v>0</v>
      </c>
      <c r="M84" s="2"/>
      <c r="N84" s="2"/>
      <c r="O84" s="2"/>
      <c r="P84" s="2"/>
      <c r="Q84" s="2"/>
      <c r="R84" s="2"/>
    </row>
    <row r="85" spans="1:18" s="4" customFormat="1" ht="15.75" customHeight="1">
      <c r="A85" s="61"/>
      <c r="B85" s="27" t="s">
        <v>4</v>
      </c>
      <c r="C85" s="26" t="s">
        <v>213</v>
      </c>
      <c r="D85" s="30" t="s">
        <v>16</v>
      </c>
      <c r="E85" s="30">
        <f>1.15*0.0534</f>
        <v>0.06141</v>
      </c>
      <c r="F85" s="82">
        <f>E85*F83</f>
        <v>1.5413910000000002</v>
      </c>
      <c r="G85" s="30"/>
      <c r="H85" s="32"/>
      <c r="I85" s="2"/>
      <c r="J85" s="52">
        <f t="shared" si="0"/>
        <v>0</v>
      </c>
      <c r="K85" s="2"/>
      <c r="L85" s="2"/>
      <c r="M85" s="2"/>
      <c r="N85" s="2"/>
      <c r="O85" s="2"/>
      <c r="P85" s="2"/>
      <c r="Q85" s="2"/>
      <c r="R85" s="2"/>
    </row>
    <row r="86" spans="1:18" s="4" customFormat="1" ht="15.75" customHeight="1">
      <c r="A86" s="61"/>
      <c r="B86" s="27" t="s">
        <v>234</v>
      </c>
      <c r="C86" s="26" t="s">
        <v>235</v>
      </c>
      <c r="D86" s="30" t="s">
        <v>21</v>
      </c>
      <c r="E86" s="30">
        <f>0.05*1.05</f>
        <v>0.052500000000000005</v>
      </c>
      <c r="F86" s="82">
        <f>E86*F83</f>
        <v>1.3177500000000002</v>
      </c>
      <c r="G86" s="30"/>
      <c r="H86" s="32"/>
      <c r="I86" s="2"/>
      <c r="J86" s="52">
        <f t="shared" si="0"/>
        <v>0</v>
      </c>
      <c r="K86" s="2"/>
      <c r="L86" s="2"/>
      <c r="M86" s="2"/>
      <c r="N86" s="2"/>
      <c r="O86" s="2"/>
      <c r="P86" s="2"/>
      <c r="Q86" s="2"/>
      <c r="R86" s="2"/>
    </row>
    <row r="87" spans="1:18" s="4" customFormat="1" ht="15.75" customHeight="1">
      <c r="A87" s="61"/>
      <c r="B87" s="27" t="s">
        <v>118</v>
      </c>
      <c r="C87" s="26" t="s">
        <v>205</v>
      </c>
      <c r="D87" s="30" t="s">
        <v>15</v>
      </c>
      <c r="E87" s="30">
        <v>0.177</v>
      </c>
      <c r="F87" s="82">
        <f>E87*F83</f>
        <v>4.4427</v>
      </c>
      <c r="G87" s="30"/>
      <c r="H87" s="32"/>
      <c r="I87" s="2"/>
      <c r="J87" s="52">
        <f t="shared" si="0"/>
        <v>0</v>
      </c>
      <c r="K87" s="2"/>
      <c r="L87" s="2"/>
      <c r="M87" s="2"/>
      <c r="N87" s="2"/>
      <c r="O87" s="2"/>
      <c r="P87" s="2"/>
      <c r="Q87" s="2"/>
      <c r="R87" s="2"/>
    </row>
    <row r="88" spans="1:10" s="2" customFormat="1" ht="15.75" customHeight="1" thickBot="1">
      <c r="A88" s="53"/>
      <c r="B88" s="153" t="s">
        <v>4</v>
      </c>
      <c r="C88" s="112" t="s">
        <v>22</v>
      </c>
      <c r="D88" s="119" t="s">
        <v>16</v>
      </c>
      <c r="E88" s="119">
        <v>0.0528</v>
      </c>
      <c r="F88" s="128">
        <f>F83*E88</f>
        <v>1.32528</v>
      </c>
      <c r="G88" s="119"/>
      <c r="H88" s="129"/>
      <c r="J88" s="52">
        <f t="shared" si="0"/>
        <v>0</v>
      </c>
    </row>
    <row r="89" spans="1:18" s="4" customFormat="1" ht="54.75" customHeight="1">
      <c r="A89" s="55" t="s">
        <v>224</v>
      </c>
      <c r="B89" s="51" t="s">
        <v>215</v>
      </c>
      <c r="C89" s="25" t="s">
        <v>222</v>
      </c>
      <c r="D89" s="120" t="s">
        <v>31</v>
      </c>
      <c r="E89" s="56"/>
      <c r="F89" s="76">
        <v>25.1</v>
      </c>
      <c r="G89" s="56"/>
      <c r="H89" s="37"/>
      <c r="I89" s="29">
        <f>H89/F89</f>
        <v>0</v>
      </c>
      <c r="J89" s="52">
        <f aca="true" t="shared" si="2" ref="J89:J94">H89</f>
        <v>0</v>
      </c>
      <c r="K89" s="2"/>
      <c r="L89" s="2"/>
      <c r="M89" s="2"/>
      <c r="N89" s="2"/>
      <c r="O89" s="2"/>
      <c r="P89" s="2"/>
      <c r="Q89" s="2"/>
      <c r="R89" s="2"/>
    </row>
    <row r="90" spans="1:18" s="4" customFormat="1" ht="18.75" customHeight="1">
      <c r="A90" s="61"/>
      <c r="B90" s="27" t="s">
        <v>4</v>
      </c>
      <c r="C90" s="26" t="s">
        <v>216</v>
      </c>
      <c r="D90" s="30" t="s">
        <v>5</v>
      </c>
      <c r="E90" s="30">
        <f>1.15*0.755</f>
        <v>0.86825</v>
      </c>
      <c r="F90" s="82">
        <f>E90*F89</f>
        <v>21.793075</v>
      </c>
      <c r="G90" s="30"/>
      <c r="H90" s="32"/>
      <c r="I90" s="2"/>
      <c r="J90" s="52">
        <f t="shared" si="2"/>
        <v>0</v>
      </c>
      <c r="K90" s="83">
        <f>H90</f>
        <v>0</v>
      </c>
      <c r="L90" s="3">
        <f>H90/F89*0.8</f>
        <v>0</v>
      </c>
      <c r="M90" s="2"/>
      <c r="N90" s="2"/>
      <c r="O90" s="2"/>
      <c r="P90" s="2"/>
      <c r="Q90" s="2"/>
      <c r="R90" s="2"/>
    </row>
    <row r="91" spans="1:18" s="4" customFormat="1" ht="15.75" customHeight="1">
      <c r="A91" s="61"/>
      <c r="B91" s="27" t="s">
        <v>4</v>
      </c>
      <c r="C91" s="26" t="s">
        <v>217</v>
      </c>
      <c r="D91" s="30" t="s">
        <v>16</v>
      </c>
      <c r="E91" s="30">
        <f>1.15*0.0075</f>
        <v>0.008624999999999999</v>
      </c>
      <c r="F91" s="82">
        <f>E91*F89</f>
        <v>0.2164875</v>
      </c>
      <c r="G91" s="30"/>
      <c r="H91" s="32"/>
      <c r="I91" s="2"/>
      <c r="J91" s="52">
        <f t="shared" si="2"/>
        <v>0</v>
      </c>
      <c r="K91" s="2"/>
      <c r="L91" s="2"/>
      <c r="M91" s="2"/>
      <c r="N91" s="2"/>
      <c r="O91" s="2"/>
      <c r="P91" s="2"/>
      <c r="Q91" s="2"/>
      <c r="R91" s="2"/>
    </row>
    <row r="92" spans="1:18" s="4" customFormat="1" ht="15.75" customHeight="1">
      <c r="A92" s="61"/>
      <c r="B92" s="27" t="s">
        <v>232</v>
      </c>
      <c r="C92" s="26" t="s">
        <v>218</v>
      </c>
      <c r="D92" s="30" t="s">
        <v>48</v>
      </c>
      <c r="E92" s="30">
        <v>1.02</v>
      </c>
      <c r="F92" s="82">
        <f>E92*F89</f>
        <v>25.602</v>
      </c>
      <c r="G92" s="30"/>
      <c r="H92" s="32"/>
      <c r="I92" s="2"/>
      <c r="J92" s="52">
        <f t="shared" si="2"/>
        <v>0</v>
      </c>
      <c r="K92" s="2"/>
      <c r="L92" s="2"/>
      <c r="M92" s="2"/>
      <c r="N92" s="2"/>
      <c r="O92" s="2"/>
      <c r="P92" s="2"/>
      <c r="Q92" s="2"/>
      <c r="R92" s="2"/>
    </row>
    <row r="93" spans="1:18" s="4" customFormat="1" ht="15.75" customHeight="1">
      <c r="A93" s="61"/>
      <c r="B93" s="27" t="s">
        <v>233</v>
      </c>
      <c r="C93" s="26" t="s">
        <v>219</v>
      </c>
      <c r="D93" s="30" t="s">
        <v>15</v>
      </c>
      <c r="E93" s="30">
        <v>0.5</v>
      </c>
      <c r="F93" s="82">
        <f>E93*F89</f>
        <v>12.55</v>
      </c>
      <c r="G93" s="30"/>
      <c r="H93" s="32"/>
      <c r="I93" s="2"/>
      <c r="J93" s="52">
        <f t="shared" si="2"/>
        <v>0</v>
      </c>
      <c r="K93" s="2"/>
      <c r="L93" s="2"/>
      <c r="M93" s="2"/>
      <c r="N93" s="2"/>
      <c r="O93" s="2"/>
      <c r="P93" s="2"/>
      <c r="Q93" s="2"/>
      <c r="R93" s="2"/>
    </row>
    <row r="94" spans="1:10" s="2" customFormat="1" ht="15.75" customHeight="1" thickBot="1">
      <c r="A94" s="53"/>
      <c r="B94" s="153" t="s">
        <v>4</v>
      </c>
      <c r="C94" s="112" t="s">
        <v>22</v>
      </c>
      <c r="D94" s="119" t="s">
        <v>16</v>
      </c>
      <c r="E94" s="119">
        <v>0.0018</v>
      </c>
      <c r="F94" s="128">
        <f>F89*E94</f>
        <v>0.04518</v>
      </c>
      <c r="G94" s="119"/>
      <c r="H94" s="129"/>
      <c r="J94" s="52">
        <f t="shared" si="2"/>
        <v>0</v>
      </c>
    </row>
    <row r="95" spans="1:10" s="4" customFormat="1" ht="34.5" customHeight="1">
      <c r="A95" s="55" t="s">
        <v>225</v>
      </c>
      <c r="B95" s="51" t="s">
        <v>206</v>
      </c>
      <c r="C95" s="25" t="s">
        <v>211</v>
      </c>
      <c r="D95" s="25" t="s">
        <v>32</v>
      </c>
      <c r="E95" s="25"/>
      <c r="F95" s="110">
        <v>27</v>
      </c>
      <c r="G95" s="25"/>
      <c r="H95" s="164"/>
      <c r="I95" s="29">
        <f>H95/F95</f>
        <v>0</v>
      </c>
      <c r="J95" s="52">
        <f t="shared" si="0"/>
        <v>0</v>
      </c>
    </row>
    <row r="96" spans="1:11" s="4" customFormat="1" ht="13.5" customHeight="1">
      <c r="A96" s="61"/>
      <c r="B96" s="27" t="s">
        <v>4</v>
      </c>
      <c r="C96" s="26" t="s">
        <v>207</v>
      </c>
      <c r="D96" s="26" t="s">
        <v>5</v>
      </c>
      <c r="E96" s="26">
        <f>1.15*7.94/100</f>
        <v>0.09131</v>
      </c>
      <c r="F96" s="72">
        <f>E96*F95</f>
        <v>2.46537</v>
      </c>
      <c r="G96" s="26"/>
      <c r="H96" s="73"/>
      <c r="J96" s="52">
        <f t="shared" si="0"/>
        <v>0</v>
      </c>
      <c r="K96" s="83">
        <f>H96</f>
        <v>0</v>
      </c>
    </row>
    <row r="97" spans="1:10" ht="13.5" customHeight="1">
      <c r="A97" s="61"/>
      <c r="B97" s="27" t="s">
        <v>4</v>
      </c>
      <c r="C97" s="26" t="s">
        <v>208</v>
      </c>
      <c r="D97" s="26" t="s">
        <v>16</v>
      </c>
      <c r="E97" s="26">
        <f>1.15*0.13/100</f>
        <v>0.001495</v>
      </c>
      <c r="F97" s="72">
        <f>E97*F95</f>
        <v>0.040365</v>
      </c>
      <c r="G97" s="26"/>
      <c r="H97" s="73"/>
      <c r="J97" s="52">
        <f t="shared" si="0"/>
        <v>0</v>
      </c>
    </row>
    <row r="98" spans="1:10" s="4" customFormat="1" ht="13.5" customHeight="1">
      <c r="A98" s="61"/>
      <c r="B98" s="27" t="s">
        <v>209</v>
      </c>
      <c r="C98" s="26" t="s">
        <v>210</v>
      </c>
      <c r="D98" s="26" t="s">
        <v>34</v>
      </c>
      <c r="E98" s="26">
        <f>112/100</f>
        <v>1.12</v>
      </c>
      <c r="F98" s="72">
        <f>E98*F95</f>
        <v>30.240000000000002</v>
      </c>
      <c r="G98" s="26"/>
      <c r="H98" s="73"/>
      <c r="J98" s="52">
        <f t="shared" si="0"/>
        <v>0</v>
      </c>
    </row>
    <row r="99" spans="1:10" s="5" customFormat="1" ht="13.5" customHeight="1" thickBot="1">
      <c r="A99" s="53"/>
      <c r="B99" s="54" t="s">
        <v>4</v>
      </c>
      <c r="C99" s="112" t="s">
        <v>22</v>
      </c>
      <c r="D99" s="28" t="s">
        <v>16</v>
      </c>
      <c r="E99" s="28">
        <f>0.14/100</f>
        <v>0.0014000000000000002</v>
      </c>
      <c r="F99" s="111">
        <f>E99*F95</f>
        <v>0.03780000000000001</v>
      </c>
      <c r="G99" s="28"/>
      <c r="H99" s="109"/>
      <c r="J99" s="52">
        <f t="shared" si="0"/>
        <v>0</v>
      </c>
    </row>
    <row r="100" spans="1:10" s="160" customFormat="1" ht="60">
      <c r="A100" s="50">
        <v>20</v>
      </c>
      <c r="B100" s="71" t="s">
        <v>3</v>
      </c>
      <c r="C100" s="25" t="s">
        <v>231</v>
      </c>
      <c r="D100" s="56" t="s">
        <v>28</v>
      </c>
      <c r="E100" s="56"/>
      <c r="F100" s="76">
        <v>50</v>
      </c>
      <c r="G100" s="56"/>
      <c r="H100" s="37"/>
      <c r="I100" s="83">
        <f>H100/F100</f>
        <v>0</v>
      </c>
      <c r="J100" s="52">
        <f>H100</f>
        <v>0</v>
      </c>
    </row>
    <row r="101" spans="1:10" s="4" customFormat="1" ht="13.5" customHeight="1">
      <c r="A101" s="62"/>
      <c r="B101" s="58" t="s">
        <v>3</v>
      </c>
      <c r="C101" s="26" t="s">
        <v>220</v>
      </c>
      <c r="D101" s="30" t="str">
        <f>D100</f>
        <v>kv.m</v>
      </c>
      <c r="E101" s="30">
        <v>1</v>
      </c>
      <c r="F101" s="80">
        <f>F100*E101</f>
        <v>50</v>
      </c>
      <c r="G101" s="30"/>
      <c r="H101" s="32"/>
      <c r="I101" s="2"/>
      <c r="J101" s="52">
        <f>H101</f>
        <v>0</v>
      </c>
    </row>
    <row r="102" spans="1:11" ht="13.5" customHeight="1" thickBot="1">
      <c r="A102" s="157"/>
      <c r="B102" s="153" t="s">
        <v>3</v>
      </c>
      <c r="C102" s="64" t="s">
        <v>221</v>
      </c>
      <c r="D102" s="119" t="s">
        <v>28</v>
      </c>
      <c r="E102" s="119">
        <v>1</v>
      </c>
      <c r="F102" s="161">
        <f>F100*E102</f>
        <v>50</v>
      </c>
      <c r="G102" s="128"/>
      <c r="H102" s="129"/>
      <c r="I102" s="3"/>
      <c r="J102" s="52">
        <f>H102</f>
        <v>0</v>
      </c>
      <c r="K102" s="3"/>
    </row>
    <row r="103" spans="1:14" ht="75">
      <c r="A103" s="55" t="s">
        <v>137</v>
      </c>
      <c r="B103" s="51" t="s">
        <v>91</v>
      </c>
      <c r="C103" s="25" t="s">
        <v>202</v>
      </c>
      <c r="D103" s="56" t="s">
        <v>28</v>
      </c>
      <c r="E103" s="56"/>
      <c r="F103" s="76">
        <v>205</v>
      </c>
      <c r="G103" s="56"/>
      <c r="H103" s="37"/>
      <c r="I103" s="29">
        <f>H103/F103</f>
        <v>0</v>
      </c>
      <c r="J103" s="7">
        <f aca="true" t="shared" si="3" ref="J103:J109">H103</f>
        <v>0</v>
      </c>
      <c r="K103" s="3"/>
      <c r="L103" s="3"/>
      <c r="M103" s="3"/>
      <c r="N103" s="3"/>
    </row>
    <row r="104" spans="1:14" ht="15.75" customHeight="1">
      <c r="A104" s="62"/>
      <c r="B104" s="58" t="s">
        <v>4</v>
      </c>
      <c r="C104" s="26" t="s">
        <v>92</v>
      </c>
      <c r="D104" s="30" t="s">
        <v>5</v>
      </c>
      <c r="E104" s="30">
        <f>1.5*0.71</f>
        <v>1.065</v>
      </c>
      <c r="F104" s="82">
        <f>E104*F103</f>
        <v>218.325</v>
      </c>
      <c r="G104" s="30"/>
      <c r="H104" s="32"/>
      <c r="I104" s="3"/>
      <c r="J104" s="7">
        <f t="shared" si="3"/>
        <v>0</v>
      </c>
      <c r="K104" s="7">
        <f>H104</f>
        <v>0</v>
      </c>
      <c r="L104" s="3">
        <f>H104/F103*0.8</f>
        <v>0</v>
      </c>
      <c r="M104" s="3"/>
      <c r="N104" s="3"/>
    </row>
    <row r="105" spans="1:14" ht="15.75" customHeight="1">
      <c r="A105" s="62"/>
      <c r="B105" s="27" t="s">
        <v>4</v>
      </c>
      <c r="C105" s="26" t="s">
        <v>93</v>
      </c>
      <c r="D105" s="30" t="s">
        <v>16</v>
      </c>
      <c r="E105" s="30">
        <f>1.15*0.0301</f>
        <v>0.03461499999999999</v>
      </c>
      <c r="F105" s="82">
        <f>E105*F103</f>
        <v>7.096074999999998</v>
      </c>
      <c r="G105" s="30"/>
      <c r="H105" s="32"/>
      <c r="I105" s="3"/>
      <c r="J105" s="7">
        <f t="shared" si="3"/>
        <v>0</v>
      </c>
      <c r="K105" s="3"/>
      <c r="L105" s="3"/>
      <c r="M105" s="3"/>
      <c r="N105" s="3"/>
    </row>
    <row r="106" spans="1:14" ht="15.75" customHeight="1">
      <c r="A106" s="62"/>
      <c r="B106" s="78" t="s">
        <v>96</v>
      </c>
      <c r="C106" s="26" t="s">
        <v>94</v>
      </c>
      <c r="D106" s="30" t="s">
        <v>48</v>
      </c>
      <c r="E106" s="30">
        <v>1.02</v>
      </c>
      <c r="F106" s="82">
        <f>E106*F103</f>
        <v>209.1</v>
      </c>
      <c r="G106" s="30"/>
      <c r="H106" s="32"/>
      <c r="I106" s="3"/>
      <c r="J106" s="7">
        <f t="shared" si="3"/>
        <v>0</v>
      </c>
      <c r="K106" s="3"/>
      <c r="L106" s="3"/>
      <c r="M106" s="3"/>
      <c r="N106" s="3"/>
    </row>
    <row r="107" spans="1:14" ht="15.75" customHeight="1">
      <c r="A107" s="133"/>
      <c r="B107" s="78" t="s">
        <v>99</v>
      </c>
      <c r="C107" s="31" t="s">
        <v>98</v>
      </c>
      <c r="D107" s="30" t="s">
        <v>48</v>
      </c>
      <c r="E107" s="90">
        <v>1.02</v>
      </c>
      <c r="F107" s="91">
        <f>F103*E107</f>
        <v>209.1</v>
      </c>
      <c r="G107" s="90"/>
      <c r="H107" s="32"/>
      <c r="I107" s="3"/>
      <c r="J107" s="7">
        <f t="shared" si="3"/>
        <v>0</v>
      </c>
      <c r="K107" s="3"/>
      <c r="L107" s="3"/>
      <c r="M107" s="3"/>
      <c r="N107" s="3"/>
    </row>
    <row r="108" spans="1:14" ht="15.75" customHeight="1">
      <c r="A108" s="133"/>
      <c r="B108" s="78" t="s">
        <v>97</v>
      </c>
      <c r="C108" s="31" t="s">
        <v>95</v>
      </c>
      <c r="D108" s="30" t="s">
        <v>32</v>
      </c>
      <c r="E108" s="90">
        <v>1.07</v>
      </c>
      <c r="F108" s="91">
        <f>F103*E108</f>
        <v>219.35000000000002</v>
      </c>
      <c r="G108" s="90"/>
      <c r="H108" s="32"/>
      <c r="I108" s="3"/>
      <c r="J108" s="7">
        <f t="shared" si="3"/>
        <v>0</v>
      </c>
      <c r="K108" s="3"/>
      <c r="L108" s="3"/>
      <c r="M108" s="3"/>
      <c r="N108" s="3"/>
    </row>
    <row r="109" spans="1:14" ht="15.75" customHeight="1" thickBot="1">
      <c r="A109" s="65"/>
      <c r="B109" s="54" t="s">
        <v>4</v>
      </c>
      <c r="C109" s="28" t="s">
        <v>35</v>
      </c>
      <c r="D109" s="34" t="s">
        <v>16</v>
      </c>
      <c r="E109" s="34">
        <v>0.107</v>
      </c>
      <c r="F109" s="84">
        <f>E109*F103</f>
        <v>21.935</v>
      </c>
      <c r="G109" s="34"/>
      <c r="H109" s="60"/>
      <c r="I109" s="3"/>
      <c r="J109" s="7">
        <f t="shared" si="3"/>
        <v>0</v>
      </c>
      <c r="K109" s="3"/>
      <c r="L109" s="3"/>
      <c r="M109" s="3"/>
      <c r="N109" s="3"/>
    </row>
    <row r="110" spans="1:10" s="12" customFormat="1" ht="45">
      <c r="A110" s="50">
        <v>22</v>
      </c>
      <c r="B110" s="88" t="s">
        <v>4</v>
      </c>
      <c r="C110" s="25" t="s">
        <v>165</v>
      </c>
      <c r="D110" s="25" t="s">
        <v>28</v>
      </c>
      <c r="E110" s="25"/>
      <c r="F110" s="110">
        <v>39.7</v>
      </c>
      <c r="G110" s="25"/>
      <c r="H110" s="164"/>
      <c r="I110" s="29">
        <f>H110/F110</f>
        <v>0</v>
      </c>
      <c r="J110" s="7">
        <f t="shared" si="0"/>
        <v>0</v>
      </c>
    </row>
    <row r="111" spans="1:10" s="12" customFormat="1" ht="15.75" customHeight="1" thickBot="1">
      <c r="A111" s="65"/>
      <c r="B111" s="27" t="s">
        <v>79</v>
      </c>
      <c r="C111" s="28" t="s">
        <v>36</v>
      </c>
      <c r="D111" s="28" t="s">
        <v>28</v>
      </c>
      <c r="E111" s="28">
        <v>1</v>
      </c>
      <c r="F111" s="134">
        <f>F110*E111</f>
        <v>39.7</v>
      </c>
      <c r="G111" s="28"/>
      <c r="H111" s="109"/>
      <c r="I111" s="52"/>
      <c r="J111" s="7">
        <f t="shared" si="0"/>
        <v>0</v>
      </c>
    </row>
    <row r="112" spans="1:10" ht="25.5" customHeight="1">
      <c r="A112" s="55" t="s">
        <v>226</v>
      </c>
      <c r="B112" s="71" t="s">
        <v>4</v>
      </c>
      <c r="C112" s="25" t="s">
        <v>184</v>
      </c>
      <c r="D112" s="140" t="s">
        <v>28</v>
      </c>
      <c r="E112" s="56"/>
      <c r="F112" s="158">
        <v>2</v>
      </c>
      <c r="G112" s="56"/>
      <c r="H112" s="37"/>
      <c r="I112" s="29">
        <f>H112/F112</f>
        <v>0</v>
      </c>
      <c r="J112" s="52">
        <f t="shared" si="0"/>
        <v>0</v>
      </c>
    </row>
    <row r="113" spans="1:10" s="3" customFormat="1" ht="15.75" customHeight="1" thickBot="1">
      <c r="A113" s="65"/>
      <c r="B113" s="81" t="s">
        <v>166</v>
      </c>
      <c r="C113" s="28" t="s">
        <v>36</v>
      </c>
      <c r="D113" s="34" t="str">
        <f>D112</f>
        <v>kv.m</v>
      </c>
      <c r="E113" s="34">
        <v>1</v>
      </c>
      <c r="F113" s="84">
        <f>F112*E113</f>
        <v>2</v>
      </c>
      <c r="G113" s="159"/>
      <c r="H113" s="60"/>
      <c r="J113" s="52">
        <f t="shared" si="0"/>
        <v>0</v>
      </c>
    </row>
    <row r="114" spans="1:10" s="12" customFormat="1" ht="31.5" customHeight="1">
      <c r="A114" s="50">
        <v>24</v>
      </c>
      <c r="B114" s="88" t="s">
        <v>4</v>
      </c>
      <c r="C114" s="25" t="s">
        <v>104</v>
      </c>
      <c r="D114" s="25" t="s">
        <v>32</v>
      </c>
      <c r="E114" s="25"/>
      <c r="F114" s="110">
        <v>20.5</v>
      </c>
      <c r="G114" s="25"/>
      <c r="H114" s="164"/>
      <c r="I114" s="29">
        <f>H114/F114</f>
        <v>0</v>
      </c>
      <c r="J114" s="7">
        <f t="shared" si="0"/>
        <v>0</v>
      </c>
    </row>
    <row r="115" spans="1:10" s="12" customFormat="1" ht="15.75" customHeight="1" thickBot="1">
      <c r="A115" s="65"/>
      <c r="B115" s="27" t="s">
        <v>103</v>
      </c>
      <c r="C115" s="28" t="s">
        <v>36</v>
      </c>
      <c r="D115" s="28" t="str">
        <f>D114</f>
        <v>grZ.m</v>
      </c>
      <c r="E115" s="28">
        <v>1</v>
      </c>
      <c r="F115" s="134">
        <f>F114*E115</f>
        <v>20.5</v>
      </c>
      <c r="G115" s="28"/>
      <c r="H115" s="109"/>
      <c r="I115" s="52"/>
      <c r="J115" s="7">
        <f t="shared" si="0"/>
        <v>0</v>
      </c>
    </row>
    <row r="116" spans="1:10" s="12" customFormat="1" ht="34.5" customHeight="1">
      <c r="A116" s="50">
        <v>25</v>
      </c>
      <c r="B116" s="88" t="s">
        <v>4</v>
      </c>
      <c r="C116" s="25" t="s">
        <v>167</v>
      </c>
      <c r="D116" s="25" t="s">
        <v>28</v>
      </c>
      <c r="E116" s="25"/>
      <c r="F116" s="110">
        <v>10.7</v>
      </c>
      <c r="G116" s="25"/>
      <c r="H116" s="164"/>
      <c r="I116" s="29">
        <f>H116/F116</f>
        <v>0</v>
      </c>
      <c r="J116" s="7">
        <f t="shared" si="0"/>
        <v>0</v>
      </c>
    </row>
    <row r="117" spans="1:10" s="12" customFormat="1" ht="15.75" customHeight="1" thickBot="1">
      <c r="A117" s="65"/>
      <c r="B117" s="27" t="s">
        <v>102</v>
      </c>
      <c r="C117" s="28" t="s">
        <v>36</v>
      </c>
      <c r="D117" s="28" t="s">
        <v>28</v>
      </c>
      <c r="E117" s="28">
        <v>1</v>
      </c>
      <c r="F117" s="134">
        <f>F116*E117</f>
        <v>10.7</v>
      </c>
      <c r="G117" s="28"/>
      <c r="H117" s="109"/>
      <c r="I117" s="52"/>
      <c r="J117" s="7">
        <f t="shared" si="0"/>
        <v>0</v>
      </c>
    </row>
    <row r="118" spans="1:10" s="12" customFormat="1" ht="42" customHeight="1">
      <c r="A118" s="50">
        <v>26</v>
      </c>
      <c r="B118" s="88" t="s">
        <v>4</v>
      </c>
      <c r="C118" s="25" t="s">
        <v>168</v>
      </c>
      <c r="D118" s="25" t="s">
        <v>28</v>
      </c>
      <c r="E118" s="25"/>
      <c r="F118" s="110">
        <v>29.6</v>
      </c>
      <c r="G118" s="25"/>
      <c r="H118" s="164"/>
      <c r="I118" s="29">
        <f>H118/F118</f>
        <v>0</v>
      </c>
      <c r="J118" s="7">
        <f>H118</f>
        <v>0</v>
      </c>
    </row>
    <row r="119" spans="1:10" s="12" customFormat="1" ht="15.75" customHeight="1" thickBot="1">
      <c r="A119" s="65"/>
      <c r="B119" s="27" t="s">
        <v>169</v>
      </c>
      <c r="C119" s="28" t="s">
        <v>36</v>
      </c>
      <c r="D119" s="28" t="s">
        <v>28</v>
      </c>
      <c r="E119" s="28">
        <v>1</v>
      </c>
      <c r="F119" s="134">
        <f>F118*E119</f>
        <v>29.6</v>
      </c>
      <c r="G119" s="28"/>
      <c r="H119" s="109"/>
      <c r="I119" s="52"/>
      <c r="J119" s="7">
        <f>H119</f>
        <v>0</v>
      </c>
    </row>
    <row r="120" spans="1:10" s="12" customFormat="1" ht="30" customHeight="1">
      <c r="A120" s="50">
        <v>27</v>
      </c>
      <c r="B120" s="88" t="s">
        <v>4</v>
      </c>
      <c r="C120" s="25" t="s">
        <v>185</v>
      </c>
      <c r="D120" s="25" t="s">
        <v>28</v>
      </c>
      <c r="E120" s="25"/>
      <c r="F120" s="110">
        <v>1.5</v>
      </c>
      <c r="G120" s="25"/>
      <c r="H120" s="164"/>
      <c r="I120" s="29">
        <f>H120/F120</f>
        <v>0</v>
      </c>
      <c r="J120" s="7">
        <f t="shared" si="0"/>
        <v>0</v>
      </c>
    </row>
    <row r="121" spans="1:10" s="12" customFormat="1" ht="15.75" customHeight="1" thickBot="1">
      <c r="A121" s="65"/>
      <c r="B121" s="27" t="s">
        <v>169</v>
      </c>
      <c r="C121" s="28" t="s">
        <v>36</v>
      </c>
      <c r="D121" s="28" t="s">
        <v>28</v>
      </c>
      <c r="E121" s="28">
        <v>1</v>
      </c>
      <c r="F121" s="134">
        <f>F120*E121</f>
        <v>1.5</v>
      </c>
      <c r="G121" s="28"/>
      <c r="H121" s="109"/>
      <c r="I121" s="52"/>
      <c r="J121" s="7">
        <f t="shared" si="0"/>
        <v>0</v>
      </c>
    </row>
    <row r="122" spans="1:10" s="12" customFormat="1" ht="43.5" customHeight="1">
      <c r="A122" s="50">
        <v>28</v>
      </c>
      <c r="B122" s="88" t="s">
        <v>4</v>
      </c>
      <c r="C122" s="25" t="s">
        <v>186</v>
      </c>
      <c r="D122" s="25" t="s">
        <v>28</v>
      </c>
      <c r="E122" s="25"/>
      <c r="F122" s="110">
        <v>2.5</v>
      </c>
      <c r="G122" s="25"/>
      <c r="H122" s="164"/>
      <c r="I122" s="29">
        <f>H122/F122</f>
        <v>0</v>
      </c>
      <c r="J122" s="7">
        <f>H122</f>
        <v>0</v>
      </c>
    </row>
    <row r="123" spans="1:10" s="12" customFormat="1" ht="15.75" customHeight="1" thickBot="1">
      <c r="A123" s="65"/>
      <c r="B123" s="27" t="s">
        <v>102</v>
      </c>
      <c r="C123" s="28" t="s">
        <v>36</v>
      </c>
      <c r="D123" s="28" t="s">
        <v>28</v>
      </c>
      <c r="E123" s="28">
        <v>1</v>
      </c>
      <c r="F123" s="134">
        <f>F122*E123</f>
        <v>2.5</v>
      </c>
      <c r="G123" s="28"/>
      <c r="H123" s="109"/>
      <c r="I123" s="52"/>
      <c r="J123" s="7">
        <f>H123</f>
        <v>0</v>
      </c>
    </row>
    <row r="124" spans="1:10" s="4" customFormat="1" ht="37.5" customHeight="1">
      <c r="A124" s="55" t="s">
        <v>80</v>
      </c>
      <c r="B124" s="51" t="s">
        <v>62</v>
      </c>
      <c r="C124" s="25" t="s">
        <v>63</v>
      </c>
      <c r="D124" s="25" t="s">
        <v>32</v>
      </c>
      <c r="E124" s="25"/>
      <c r="F124" s="110">
        <v>373</v>
      </c>
      <c r="G124" s="25"/>
      <c r="H124" s="164"/>
      <c r="I124" s="29">
        <f>H124/F124</f>
        <v>0</v>
      </c>
      <c r="J124" s="7">
        <f t="shared" si="0"/>
        <v>0</v>
      </c>
    </row>
    <row r="125" spans="1:11" s="5" customFormat="1" ht="15.75" customHeight="1">
      <c r="A125" s="62"/>
      <c r="B125" s="27" t="s">
        <v>4</v>
      </c>
      <c r="C125" s="26" t="s">
        <v>64</v>
      </c>
      <c r="D125" s="26" t="s">
        <v>5</v>
      </c>
      <c r="E125" s="26">
        <f>1.15*0.3</f>
        <v>0.345</v>
      </c>
      <c r="F125" s="72">
        <f>E125*F124</f>
        <v>128.685</v>
      </c>
      <c r="G125" s="26"/>
      <c r="H125" s="73"/>
      <c r="I125" s="63"/>
      <c r="J125" s="7">
        <f t="shared" si="0"/>
        <v>0</v>
      </c>
      <c r="K125" s="6">
        <f>H125</f>
        <v>0</v>
      </c>
    </row>
    <row r="126" spans="1:10" s="4" customFormat="1" ht="15.75" customHeight="1">
      <c r="A126" s="62"/>
      <c r="B126" s="27" t="s">
        <v>4</v>
      </c>
      <c r="C126" s="26" t="s">
        <v>65</v>
      </c>
      <c r="D126" s="26" t="s">
        <v>16</v>
      </c>
      <c r="E126" s="26">
        <f>1.15*0.011</f>
        <v>0.012649999999999998</v>
      </c>
      <c r="F126" s="72">
        <f>E126*F124</f>
        <v>4.718449999999999</v>
      </c>
      <c r="G126" s="26"/>
      <c r="H126" s="73"/>
      <c r="I126" s="7"/>
      <c r="J126" s="7">
        <f t="shared" si="0"/>
        <v>0</v>
      </c>
    </row>
    <row r="127" spans="1:10" s="4" customFormat="1" ht="15.75" customHeight="1" thickBot="1">
      <c r="A127" s="65"/>
      <c r="B127" s="54" t="s">
        <v>3</v>
      </c>
      <c r="C127" s="28" t="s">
        <v>66</v>
      </c>
      <c r="D127" s="28" t="s">
        <v>14</v>
      </c>
      <c r="E127" s="28">
        <v>0.0067</v>
      </c>
      <c r="F127" s="111">
        <f>E127*F124</f>
        <v>2.4991</v>
      </c>
      <c r="G127" s="28"/>
      <c r="H127" s="109"/>
      <c r="I127" s="7"/>
      <c r="J127" s="7">
        <f t="shared" si="0"/>
        <v>0</v>
      </c>
    </row>
    <row r="128" spans="1:14" ht="52.5" customHeight="1">
      <c r="A128" s="115" t="s">
        <v>81</v>
      </c>
      <c r="B128" s="137" t="s">
        <v>170</v>
      </c>
      <c r="C128" s="138" t="s">
        <v>171</v>
      </c>
      <c r="D128" s="139" t="s">
        <v>31</v>
      </c>
      <c r="E128" s="140"/>
      <c r="F128" s="141">
        <v>120</v>
      </c>
      <c r="G128" s="56"/>
      <c r="H128" s="37"/>
      <c r="I128" s="29">
        <f>H128/F128</f>
        <v>0</v>
      </c>
      <c r="J128" s="52">
        <f t="shared" si="0"/>
        <v>0</v>
      </c>
      <c r="K128" s="126"/>
      <c r="L128" s="3"/>
      <c r="M128" s="3"/>
      <c r="N128" s="3"/>
    </row>
    <row r="129" spans="1:14" ht="15.75" customHeight="1">
      <c r="A129" s="57"/>
      <c r="B129" s="27" t="s">
        <v>4</v>
      </c>
      <c r="C129" s="26" t="s">
        <v>172</v>
      </c>
      <c r="D129" s="30" t="s">
        <v>5</v>
      </c>
      <c r="E129" s="30">
        <f>1.15*1.01</f>
        <v>1.1615</v>
      </c>
      <c r="F129" s="82">
        <f>F128*E129</f>
        <v>139.38</v>
      </c>
      <c r="G129" s="30"/>
      <c r="H129" s="32"/>
      <c r="I129" s="7"/>
      <c r="J129" s="52">
        <f t="shared" si="0"/>
        <v>0</v>
      </c>
      <c r="K129" s="7">
        <f>H129</f>
        <v>0</v>
      </c>
      <c r="L129" s="3">
        <f>H129/F128*0.8</f>
        <v>0</v>
      </c>
      <c r="M129" s="3"/>
      <c r="N129" s="3"/>
    </row>
    <row r="130" spans="1:11" s="2" customFormat="1" ht="15.75" customHeight="1">
      <c r="A130" s="57"/>
      <c r="B130" s="27" t="s">
        <v>74</v>
      </c>
      <c r="C130" s="26" t="s">
        <v>67</v>
      </c>
      <c r="D130" s="127" t="s">
        <v>24</v>
      </c>
      <c r="E130" s="30">
        <f>1.15*0.041</f>
        <v>0.04715</v>
      </c>
      <c r="F130" s="82">
        <f>F128*E130</f>
        <v>5.6579999999999995</v>
      </c>
      <c r="G130" s="30"/>
      <c r="H130" s="32"/>
      <c r="J130" s="52">
        <f t="shared" si="0"/>
        <v>0</v>
      </c>
      <c r="K130" s="6"/>
    </row>
    <row r="131" spans="1:14" ht="15.75" customHeight="1">
      <c r="A131" s="57"/>
      <c r="B131" s="77" t="s">
        <v>4</v>
      </c>
      <c r="C131" s="26" t="s">
        <v>68</v>
      </c>
      <c r="D131" s="30" t="s">
        <v>16</v>
      </c>
      <c r="E131" s="30">
        <f>1.15*0.027</f>
        <v>0.031049999999999998</v>
      </c>
      <c r="F131" s="118">
        <f>E131*F128</f>
        <v>3.7259999999999995</v>
      </c>
      <c r="G131" s="30"/>
      <c r="H131" s="32"/>
      <c r="I131" s="7"/>
      <c r="J131" s="52">
        <f t="shared" si="0"/>
        <v>0</v>
      </c>
      <c r="K131" s="123"/>
      <c r="L131" s="3"/>
      <c r="M131" s="3"/>
      <c r="N131" s="3"/>
    </row>
    <row r="132" spans="1:14" ht="15.75" customHeight="1">
      <c r="A132" s="57"/>
      <c r="B132" s="77" t="s">
        <v>3</v>
      </c>
      <c r="C132" s="99" t="s">
        <v>66</v>
      </c>
      <c r="D132" s="117" t="s">
        <v>14</v>
      </c>
      <c r="E132" s="117">
        <v>0.0238</v>
      </c>
      <c r="F132" s="118">
        <f>E132*F128</f>
        <v>2.8560000000000003</v>
      </c>
      <c r="G132" s="30"/>
      <c r="H132" s="32"/>
      <c r="I132" s="7"/>
      <c r="J132" s="52">
        <f t="shared" si="0"/>
        <v>0</v>
      </c>
      <c r="K132" s="123"/>
      <c r="L132" s="3"/>
      <c r="M132" s="3"/>
      <c r="N132" s="3"/>
    </row>
    <row r="133" spans="1:14" ht="15.75" customHeight="1">
      <c r="A133" s="145"/>
      <c r="B133" s="78" t="s">
        <v>121</v>
      </c>
      <c r="C133" s="146" t="s">
        <v>120</v>
      </c>
      <c r="D133" s="147" t="s">
        <v>28</v>
      </c>
      <c r="E133" s="147">
        <v>0.0258</v>
      </c>
      <c r="F133" s="148">
        <f>F128*E133</f>
        <v>3.096</v>
      </c>
      <c r="G133" s="90"/>
      <c r="H133" s="149"/>
      <c r="I133" s="7"/>
      <c r="J133" s="52">
        <f t="shared" si="0"/>
        <v>0</v>
      </c>
      <c r="K133" s="123"/>
      <c r="L133" s="3"/>
      <c r="M133" s="3"/>
      <c r="N133" s="3"/>
    </row>
    <row r="134" spans="1:14" ht="15.75" customHeight="1" thickBot="1">
      <c r="A134" s="59"/>
      <c r="B134" s="142" t="s">
        <v>4</v>
      </c>
      <c r="C134" s="112" t="s">
        <v>20</v>
      </c>
      <c r="D134" s="143" t="s">
        <v>16</v>
      </c>
      <c r="E134" s="143">
        <v>0.003</v>
      </c>
      <c r="F134" s="144">
        <f>E134*F128</f>
        <v>0.36</v>
      </c>
      <c r="G134" s="34"/>
      <c r="H134" s="60"/>
      <c r="I134" s="7"/>
      <c r="J134" s="52">
        <f t="shared" si="0"/>
        <v>0</v>
      </c>
      <c r="K134" s="123"/>
      <c r="L134" s="3"/>
      <c r="M134" s="3"/>
      <c r="N134" s="3"/>
    </row>
    <row r="135" spans="1:11" ht="60" customHeight="1">
      <c r="A135" s="55" t="s">
        <v>227</v>
      </c>
      <c r="B135" s="132" t="s">
        <v>135</v>
      </c>
      <c r="C135" s="25" t="s">
        <v>190</v>
      </c>
      <c r="D135" s="25" t="s">
        <v>28</v>
      </c>
      <c r="E135" s="25"/>
      <c r="F135" s="25">
        <v>70</v>
      </c>
      <c r="G135" s="25"/>
      <c r="H135" s="164"/>
      <c r="I135" s="83">
        <f>H135/F135</f>
        <v>0</v>
      </c>
      <c r="J135" s="7">
        <f t="shared" si="0"/>
        <v>0</v>
      </c>
      <c r="K135" s="75"/>
    </row>
    <row r="136" spans="1:12" ht="15.75" customHeight="1">
      <c r="A136" s="57"/>
      <c r="B136" s="58" t="s">
        <v>4</v>
      </c>
      <c r="C136" s="26" t="s">
        <v>82</v>
      </c>
      <c r="D136" s="26" t="s">
        <v>5</v>
      </c>
      <c r="E136" s="26">
        <f>1.15*1.52</f>
        <v>1.7479999999999998</v>
      </c>
      <c r="F136" s="72">
        <f>E136*F135</f>
        <v>122.35999999999999</v>
      </c>
      <c r="G136" s="26"/>
      <c r="H136" s="73"/>
      <c r="I136" s="7"/>
      <c r="J136" s="7">
        <f t="shared" si="0"/>
        <v>0</v>
      </c>
      <c r="K136" s="75">
        <f>H136</f>
        <v>0</v>
      </c>
      <c r="L136" s="3">
        <f>H136/F135*0.8</f>
        <v>0</v>
      </c>
    </row>
    <row r="137" spans="1:11" ht="15.75" customHeight="1">
      <c r="A137" s="57"/>
      <c r="B137" s="27" t="s">
        <v>4</v>
      </c>
      <c r="C137" s="26" t="s">
        <v>122</v>
      </c>
      <c r="D137" s="26" t="s">
        <v>16</v>
      </c>
      <c r="E137" s="26">
        <f>1.15*0.029</f>
        <v>0.03335</v>
      </c>
      <c r="F137" s="72">
        <f>E137*F135</f>
        <v>2.3345</v>
      </c>
      <c r="G137" s="26"/>
      <c r="H137" s="73"/>
      <c r="I137" s="7"/>
      <c r="J137" s="7">
        <f t="shared" si="0"/>
        <v>0</v>
      </c>
      <c r="K137" s="93"/>
    </row>
    <row r="138" spans="1:11" s="3" customFormat="1" ht="15.75" customHeight="1">
      <c r="A138" s="57"/>
      <c r="B138" s="78" t="s">
        <v>123</v>
      </c>
      <c r="C138" s="26" t="s">
        <v>124</v>
      </c>
      <c r="D138" s="26" t="s">
        <v>28</v>
      </c>
      <c r="E138" s="26">
        <v>1.05</v>
      </c>
      <c r="F138" s="72">
        <f>F135*E138</f>
        <v>73.5</v>
      </c>
      <c r="G138" s="72"/>
      <c r="H138" s="73"/>
      <c r="I138" s="7"/>
      <c r="J138" s="7">
        <f t="shared" si="0"/>
        <v>0</v>
      </c>
      <c r="K138" s="12"/>
    </row>
    <row r="139" spans="1:11" s="3" customFormat="1" ht="15.75" customHeight="1">
      <c r="A139" s="57"/>
      <c r="B139" s="78" t="s">
        <v>125</v>
      </c>
      <c r="C139" s="26" t="s">
        <v>126</v>
      </c>
      <c r="D139" s="26" t="s">
        <v>32</v>
      </c>
      <c r="E139" s="26">
        <v>2</v>
      </c>
      <c r="F139" s="72">
        <f>E139*F135</f>
        <v>140</v>
      </c>
      <c r="G139" s="26"/>
      <c r="H139" s="73"/>
      <c r="I139" s="7"/>
      <c r="J139" s="7">
        <f t="shared" si="0"/>
        <v>0</v>
      </c>
      <c r="K139" s="7"/>
    </row>
    <row r="140" spans="1:11" s="3" customFormat="1" ht="15.75" customHeight="1">
      <c r="A140" s="57"/>
      <c r="B140" s="78" t="s">
        <v>127</v>
      </c>
      <c r="C140" s="26" t="s">
        <v>128</v>
      </c>
      <c r="D140" s="26" t="s">
        <v>32</v>
      </c>
      <c r="E140" s="26">
        <v>1.1</v>
      </c>
      <c r="F140" s="72">
        <f>E140*F135</f>
        <v>77</v>
      </c>
      <c r="G140" s="26"/>
      <c r="H140" s="73"/>
      <c r="I140" s="7"/>
      <c r="J140" s="7">
        <f t="shared" si="0"/>
        <v>0</v>
      </c>
      <c r="K140" s="12"/>
    </row>
    <row r="141" spans="1:11" s="3" customFormat="1" ht="15.75" customHeight="1">
      <c r="A141" s="57"/>
      <c r="B141" s="58" t="s">
        <v>3</v>
      </c>
      <c r="C141" s="26" t="s">
        <v>129</v>
      </c>
      <c r="D141" s="26" t="s">
        <v>130</v>
      </c>
      <c r="E141" s="26">
        <v>17</v>
      </c>
      <c r="F141" s="72">
        <f>E141*F135</f>
        <v>1190</v>
      </c>
      <c r="G141" s="26"/>
      <c r="H141" s="73"/>
      <c r="I141" s="7"/>
      <c r="J141" s="7">
        <f t="shared" si="0"/>
        <v>0</v>
      </c>
      <c r="K141" s="12"/>
    </row>
    <row r="142" spans="1:11" s="3" customFormat="1" ht="15.75" customHeight="1">
      <c r="A142" s="57"/>
      <c r="B142" s="78" t="s">
        <v>131</v>
      </c>
      <c r="C142" s="26" t="s">
        <v>132</v>
      </c>
      <c r="D142" s="26" t="s">
        <v>130</v>
      </c>
      <c r="E142" s="26">
        <v>1.6</v>
      </c>
      <c r="F142" s="72">
        <f>F135*E142</f>
        <v>112</v>
      </c>
      <c r="G142" s="26"/>
      <c r="H142" s="73"/>
      <c r="I142" s="7"/>
      <c r="J142" s="7">
        <f t="shared" si="0"/>
        <v>0</v>
      </c>
      <c r="K142" s="12"/>
    </row>
    <row r="143" spans="1:11" s="3" customFormat="1" ht="15.75" customHeight="1" thickBot="1">
      <c r="A143" s="57"/>
      <c r="B143" s="78" t="s">
        <v>133</v>
      </c>
      <c r="C143" s="26" t="s">
        <v>134</v>
      </c>
      <c r="D143" s="26" t="s">
        <v>32</v>
      </c>
      <c r="E143" s="26">
        <v>1.2</v>
      </c>
      <c r="F143" s="72">
        <f>F135*E143</f>
        <v>84</v>
      </c>
      <c r="G143" s="26"/>
      <c r="H143" s="73"/>
      <c r="I143" s="7"/>
      <c r="J143" s="7">
        <f t="shared" si="0"/>
        <v>0</v>
      </c>
      <c r="K143" s="12"/>
    </row>
    <row r="144" spans="1:11" s="3" customFormat="1" ht="45">
      <c r="A144" s="55" t="s">
        <v>228</v>
      </c>
      <c r="B144" s="51" t="s">
        <v>75</v>
      </c>
      <c r="C144" s="25" t="s">
        <v>173</v>
      </c>
      <c r="D144" s="56" t="s">
        <v>28</v>
      </c>
      <c r="E144" s="56"/>
      <c r="F144" s="76">
        <v>107</v>
      </c>
      <c r="G144" s="56"/>
      <c r="H144" s="37"/>
      <c r="I144" s="83">
        <f>H144/F144</f>
        <v>0</v>
      </c>
      <c r="J144" s="7">
        <f t="shared" si="0"/>
        <v>0</v>
      </c>
      <c r="K144" s="123"/>
    </row>
    <row r="145" spans="1:12" s="3" customFormat="1" ht="15.75" customHeight="1">
      <c r="A145" s="57"/>
      <c r="B145" s="58" t="s">
        <v>4</v>
      </c>
      <c r="C145" s="26" t="s">
        <v>76</v>
      </c>
      <c r="D145" s="30" t="s">
        <v>5</v>
      </c>
      <c r="E145" s="30">
        <f>1.15*2.19</f>
        <v>2.5185</v>
      </c>
      <c r="F145" s="82">
        <f>E145*F144</f>
        <v>269.4795</v>
      </c>
      <c r="G145" s="30"/>
      <c r="H145" s="32"/>
      <c r="I145" s="7"/>
      <c r="J145" s="7">
        <f t="shared" si="0"/>
        <v>0</v>
      </c>
      <c r="K145" s="7">
        <f>H145</f>
        <v>0</v>
      </c>
      <c r="L145" s="3">
        <f>H145/F144*0.8</f>
        <v>0</v>
      </c>
    </row>
    <row r="146" spans="1:11" s="3" customFormat="1" ht="15.75" customHeight="1">
      <c r="A146" s="57"/>
      <c r="B146" s="27" t="s">
        <v>4</v>
      </c>
      <c r="C146" s="26" t="s">
        <v>77</v>
      </c>
      <c r="D146" s="30" t="s">
        <v>16</v>
      </c>
      <c r="E146" s="80">
        <f>1.15*0.02</f>
        <v>0.023</v>
      </c>
      <c r="F146" s="82">
        <f>E146*F144</f>
        <v>2.461</v>
      </c>
      <c r="G146" s="30"/>
      <c r="H146" s="32"/>
      <c r="I146" s="7"/>
      <c r="J146" s="7">
        <f t="shared" si="0"/>
        <v>0</v>
      </c>
      <c r="K146" s="12"/>
    </row>
    <row r="147" spans="1:11" s="3" customFormat="1" ht="15.75" customHeight="1">
      <c r="A147" s="57"/>
      <c r="B147" s="27" t="s">
        <v>71</v>
      </c>
      <c r="C147" s="26" t="s">
        <v>72</v>
      </c>
      <c r="D147" s="30" t="s">
        <v>15</v>
      </c>
      <c r="E147" s="30">
        <v>8</v>
      </c>
      <c r="F147" s="82">
        <f>E147*F144</f>
        <v>856</v>
      </c>
      <c r="G147" s="30"/>
      <c r="H147" s="32"/>
      <c r="I147" s="7"/>
      <c r="J147" s="7">
        <f t="shared" si="0"/>
        <v>0</v>
      </c>
      <c r="K147" s="7"/>
    </row>
    <row r="148" spans="1:11" s="3" customFormat="1" ht="15.75" customHeight="1">
      <c r="A148" s="57"/>
      <c r="B148" s="27" t="s">
        <v>3</v>
      </c>
      <c r="C148" s="26" t="s">
        <v>78</v>
      </c>
      <c r="D148" s="30" t="s">
        <v>48</v>
      </c>
      <c r="E148" s="30">
        <v>1.03</v>
      </c>
      <c r="F148" s="82">
        <f>E148*F144</f>
        <v>110.21000000000001</v>
      </c>
      <c r="G148" s="30"/>
      <c r="H148" s="32"/>
      <c r="I148" s="7"/>
      <c r="J148" s="7">
        <f t="shared" si="0"/>
        <v>0</v>
      </c>
      <c r="K148" s="12"/>
    </row>
    <row r="149" spans="1:11" s="3" customFormat="1" ht="15.75" customHeight="1" thickBot="1">
      <c r="A149" s="59"/>
      <c r="B149" s="54" t="s">
        <v>4</v>
      </c>
      <c r="C149" s="28" t="s">
        <v>20</v>
      </c>
      <c r="D149" s="34" t="s">
        <v>16</v>
      </c>
      <c r="E149" s="34">
        <v>0.006999999999999999</v>
      </c>
      <c r="F149" s="84">
        <f>E149*F144</f>
        <v>0.7489999999999999</v>
      </c>
      <c r="G149" s="34"/>
      <c r="H149" s="60"/>
      <c r="I149" s="7"/>
      <c r="J149" s="7">
        <f t="shared" si="0"/>
        <v>0</v>
      </c>
      <c r="K149" s="12"/>
    </row>
    <row r="150" spans="1:11" s="3" customFormat="1" ht="45">
      <c r="A150" s="55" t="s">
        <v>229</v>
      </c>
      <c r="B150" s="51" t="s">
        <v>83</v>
      </c>
      <c r="C150" s="25" t="s">
        <v>174</v>
      </c>
      <c r="D150" s="56" t="s">
        <v>28</v>
      </c>
      <c r="E150" s="56"/>
      <c r="F150" s="56">
        <v>8</v>
      </c>
      <c r="G150" s="56"/>
      <c r="H150" s="37"/>
      <c r="I150" s="83">
        <f>H150/F150</f>
        <v>0</v>
      </c>
      <c r="J150" s="7">
        <f t="shared" si="0"/>
        <v>0</v>
      </c>
      <c r="K150" s="7"/>
    </row>
    <row r="151" spans="1:12" s="3" customFormat="1" ht="15.75" customHeight="1">
      <c r="A151" s="57"/>
      <c r="B151" s="58" t="s">
        <v>4</v>
      </c>
      <c r="C151" s="26" t="s">
        <v>84</v>
      </c>
      <c r="D151" s="30" t="s">
        <v>5</v>
      </c>
      <c r="E151" s="30">
        <f>1.15*1.14</f>
        <v>1.3109999999999997</v>
      </c>
      <c r="F151" s="82">
        <f>E151*F150</f>
        <v>10.487999999999998</v>
      </c>
      <c r="G151" s="30"/>
      <c r="H151" s="32"/>
      <c r="I151" s="7"/>
      <c r="J151" s="7">
        <f t="shared" si="0"/>
        <v>0</v>
      </c>
      <c r="K151" s="7">
        <f>H151</f>
        <v>0</v>
      </c>
      <c r="L151" s="3">
        <f>H151/F150*0.8</f>
        <v>0</v>
      </c>
    </row>
    <row r="152" spans="1:11" s="3" customFormat="1" ht="15.75" customHeight="1">
      <c r="A152" s="57"/>
      <c r="B152" s="27" t="s">
        <v>4</v>
      </c>
      <c r="C152" s="26" t="s">
        <v>85</v>
      </c>
      <c r="D152" s="30" t="s">
        <v>16</v>
      </c>
      <c r="E152" s="30">
        <f>1.15*0.0166</f>
        <v>0.01909</v>
      </c>
      <c r="F152" s="82">
        <f>E152*F150</f>
        <v>0.15272</v>
      </c>
      <c r="G152" s="30"/>
      <c r="H152" s="32"/>
      <c r="I152" s="7"/>
      <c r="J152" s="7">
        <f t="shared" si="0"/>
        <v>0</v>
      </c>
      <c r="K152" s="12"/>
    </row>
    <row r="153" spans="1:11" s="3" customFormat="1" ht="15.75" customHeight="1">
      <c r="A153" s="57"/>
      <c r="B153" s="27" t="s">
        <v>33</v>
      </c>
      <c r="C153" s="26" t="s">
        <v>114</v>
      </c>
      <c r="D153" s="30" t="s">
        <v>14</v>
      </c>
      <c r="E153" s="30">
        <v>0.0086</v>
      </c>
      <c r="F153" s="82">
        <f>E153*F150</f>
        <v>0.0688</v>
      </c>
      <c r="G153" s="30"/>
      <c r="H153" s="32"/>
      <c r="I153" s="7"/>
      <c r="J153" s="7">
        <f t="shared" si="0"/>
        <v>0</v>
      </c>
      <c r="K153" s="7"/>
    </row>
    <row r="154" spans="1:11" s="3" customFormat="1" ht="15.75" customHeight="1">
      <c r="A154" s="57"/>
      <c r="B154" s="78" t="s">
        <v>118</v>
      </c>
      <c r="C154" s="26" t="s">
        <v>38</v>
      </c>
      <c r="D154" s="30" t="s">
        <v>15</v>
      </c>
      <c r="E154" s="30">
        <v>0.124</v>
      </c>
      <c r="F154" s="82">
        <f>E154*F150</f>
        <v>0.992</v>
      </c>
      <c r="G154" s="30"/>
      <c r="H154" s="32"/>
      <c r="I154" s="7"/>
      <c r="J154" s="7">
        <f t="shared" si="0"/>
        <v>0</v>
      </c>
      <c r="K154" s="12"/>
    </row>
    <row r="155" spans="1:11" s="3" customFormat="1" ht="15.75" customHeight="1">
      <c r="A155" s="57"/>
      <c r="B155" s="27" t="s">
        <v>119</v>
      </c>
      <c r="C155" s="26" t="s">
        <v>115</v>
      </c>
      <c r="D155" s="30" t="s">
        <v>48</v>
      </c>
      <c r="E155" s="30">
        <v>1.03</v>
      </c>
      <c r="F155" s="82">
        <f>E155*F150</f>
        <v>8.24</v>
      </c>
      <c r="G155" s="30"/>
      <c r="H155" s="32"/>
      <c r="I155" s="7"/>
      <c r="J155" s="7">
        <f t="shared" si="0"/>
        <v>0</v>
      </c>
      <c r="K155" s="12"/>
    </row>
    <row r="156" spans="1:11" s="3" customFormat="1" ht="15.75" customHeight="1">
      <c r="A156" s="57"/>
      <c r="B156" s="27" t="s">
        <v>116</v>
      </c>
      <c r="C156" s="26" t="s">
        <v>117</v>
      </c>
      <c r="D156" s="30" t="s">
        <v>34</v>
      </c>
      <c r="E156" s="30">
        <v>1.07</v>
      </c>
      <c r="F156" s="82">
        <f>E156*F150</f>
        <v>8.56</v>
      </c>
      <c r="G156" s="30"/>
      <c r="H156" s="32"/>
      <c r="I156" s="7"/>
      <c r="J156" s="7">
        <f t="shared" si="0"/>
        <v>0</v>
      </c>
      <c r="K156" s="7"/>
    </row>
    <row r="157" spans="1:11" s="3" customFormat="1" ht="15.75" customHeight="1" thickBot="1">
      <c r="A157" s="59"/>
      <c r="B157" s="54" t="s">
        <v>4</v>
      </c>
      <c r="C157" s="28" t="s">
        <v>35</v>
      </c>
      <c r="D157" s="34" t="s">
        <v>16</v>
      </c>
      <c r="E157" s="34">
        <v>0.03</v>
      </c>
      <c r="F157" s="84">
        <f>E157*F150</f>
        <v>0.24</v>
      </c>
      <c r="G157" s="34"/>
      <c r="H157" s="60"/>
      <c r="I157" s="7"/>
      <c r="J157" s="7">
        <f t="shared" si="0"/>
        <v>0</v>
      </c>
      <c r="K157" s="12"/>
    </row>
    <row r="158" spans="1:11" s="3" customFormat="1" ht="32.25">
      <c r="A158" s="55" t="s">
        <v>230</v>
      </c>
      <c r="B158" s="132" t="s">
        <v>105</v>
      </c>
      <c r="C158" s="25" t="s">
        <v>106</v>
      </c>
      <c r="D158" s="25" t="s">
        <v>28</v>
      </c>
      <c r="E158" s="25"/>
      <c r="F158" s="150">
        <v>980</v>
      </c>
      <c r="G158" s="25"/>
      <c r="H158" s="164"/>
      <c r="I158" s="29">
        <f>H158/F158</f>
        <v>0</v>
      </c>
      <c r="J158" s="7">
        <f t="shared" si="0"/>
        <v>0</v>
      </c>
      <c r="K158" s="6"/>
    </row>
    <row r="159" spans="1:12" s="3" customFormat="1" ht="30">
      <c r="A159" s="57"/>
      <c r="B159" s="27" t="s">
        <v>4</v>
      </c>
      <c r="C159" s="26" t="s">
        <v>107</v>
      </c>
      <c r="D159" s="135" t="s">
        <v>5</v>
      </c>
      <c r="E159" s="26">
        <f>1.15*(65.8+11.5+85.6+15.8)/2/100</f>
        <v>1.0275249999999998</v>
      </c>
      <c r="F159" s="72">
        <f>E159*F158</f>
        <v>1006.9744999999998</v>
      </c>
      <c r="G159" s="26"/>
      <c r="H159" s="73"/>
      <c r="J159" s="7">
        <f t="shared" si="0"/>
        <v>0</v>
      </c>
      <c r="K159" s="6">
        <f>H159</f>
        <v>0</v>
      </c>
      <c r="L159" s="3">
        <f>H159/F158*0.8</f>
        <v>0</v>
      </c>
    </row>
    <row r="160" spans="1:10" s="3" customFormat="1" ht="15.75" customHeight="1">
      <c r="A160" s="57"/>
      <c r="B160" s="27" t="s">
        <v>4</v>
      </c>
      <c r="C160" s="26" t="s">
        <v>108</v>
      </c>
      <c r="D160" s="135" t="s">
        <v>16</v>
      </c>
      <c r="E160" s="26">
        <f>1.15*(1+0.02+1.2+0.02)/2/100</f>
        <v>0.012879999999999997</v>
      </c>
      <c r="F160" s="72">
        <f>E160*F158</f>
        <v>12.622399999999997</v>
      </c>
      <c r="G160" s="26"/>
      <c r="H160" s="73"/>
      <c r="J160" s="7">
        <f t="shared" si="0"/>
        <v>0</v>
      </c>
    </row>
    <row r="161" spans="1:10" s="3" customFormat="1" ht="15.75" customHeight="1">
      <c r="A161" s="57"/>
      <c r="B161" s="113" t="s">
        <v>109</v>
      </c>
      <c r="C161" s="26" t="s">
        <v>110</v>
      </c>
      <c r="D161" s="135" t="s">
        <v>15</v>
      </c>
      <c r="E161" s="26">
        <v>0.63</v>
      </c>
      <c r="F161" s="72">
        <f>E161*F158</f>
        <v>617.4</v>
      </c>
      <c r="G161" s="26"/>
      <c r="H161" s="73"/>
      <c r="J161" s="7">
        <f t="shared" si="0"/>
        <v>0</v>
      </c>
    </row>
    <row r="162" spans="1:10" s="3" customFormat="1" ht="15.75" customHeight="1">
      <c r="A162" s="57"/>
      <c r="B162" s="113" t="s">
        <v>113</v>
      </c>
      <c r="C162" s="26" t="s">
        <v>111</v>
      </c>
      <c r="D162" s="135" t="s">
        <v>15</v>
      </c>
      <c r="E162" s="26">
        <f>(79+29+92+32)/2/100</f>
        <v>1.16</v>
      </c>
      <c r="F162" s="151">
        <f>E162*F158</f>
        <v>1136.8</v>
      </c>
      <c r="G162" s="26"/>
      <c r="H162" s="73"/>
      <c r="J162" s="7">
        <f t="shared" si="0"/>
        <v>0</v>
      </c>
    </row>
    <row r="163" spans="1:10" s="3" customFormat="1" ht="15.75" customHeight="1" thickBot="1">
      <c r="A163" s="59"/>
      <c r="B163" s="54" t="s">
        <v>4</v>
      </c>
      <c r="C163" s="28" t="s">
        <v>112</v>
      </c>
      <c r="D163" s="136" t="s">
        <v>16</v>
      </c>
      <c r="E163" s="28">
        <f>(1.6+0.42+1.8+0.42)/2/100</f>
        <v>0.0212</v>
      </c>
      <c r="F163" s="111">
        <f>E163*F158</f>
        <v>20.776</v>
      </c>
      <c r="G163" s="28"/>
      <c r="H163" s="109"/>
      <c r="J163" s="7">
        <f t="shared" si="0"/>
        <v>0</v>
      </c>
    </row>
    <row r="164" spans="1:10" s="12" customFormat="1" ht="30" customHeight="1">
      <c r="A164" s="50">
        <v>35</v>
      </c>
      <c r="B164" s="88" t="s">
        <v>4</v>
      </c>
      <c r="C164" s="25" t="s">
        <v>187</v>
      </c>
      <c r="D164" s="25" t="s">
        <v>32</v>
      </c>
      <c r="E164" s="25"/>
      <c r="F164" s="110">
        <v>5.4</v>
      </c>
      <c r="G164" s="25"/>
      <c r="H164" s="164"/>
      <c r="I164" s="29">
        <f>H164/F164</f>
        <v>0</v>
      </c>
      <c r="J164" s="7">
        <f t="shared" si="0"/>
        <v>0</v>
      </c>
    </row>
    <row r="165" spans="1:10" s="12" customFormat="1" ht="15.75" customHeight="1" thickBot="1">
      <c r="A165" s="65"/>
      <c r="B165" s="81" t="s">
        <v>175</v>
      </c>
      <c r="C165" s="28" t="s">
        <v>36</v>
      </c>
      <c r="D165" s="28" t="str">
        <f>D164</f>
        <v>grZ.m</v>
      </c>
      <c r="E165" s="28">
        <v>1</v>
      </c>
      <c r="F165" s="134">
        <f>F164*E165</f>
        <v>5.4</v>
      </c>
      <c r="G165" s="28"/>
      <c r="H165" s="109"/>
      <c r="I165" s="52"/>
      <c r="J165" s="7">
        <f t="shared" si="0"/>
        <v>0</v>
      </c>
    </row>
    <row r="166" spans="1:10" ht="24.75" customHeight="1">
      <c r="A166" s="35"/>
      <c r="B166" s="36"/>
      <c r="C166" s="25" t="s">
        <v>27</v>
      </c>
      <c r="D166" s="46" t="s">
        <v>16</v>
      </c>
      <c r="E166" s="46"/>
      <c r="F166" s="45"/>
      <c r="G166" s="46"/>
      <c r="H166" s="37"/>
      <c r="J166" s="101">
        <f>SUM(J9:J165)/2</f>
        <v>0</v>
      </c>
    </row>
    <row r="167" spans="1:8" ht="24.75" customHeight="1">
      <c r="A167" s="105"/>
      <c r="B167" s="98"/>
      <c r="C167" s="38" t="s">
        <v>30</v>
      </c>
      <c r="D167" s="96" t="s">
        <v>16</v>
      </c>
      <c r="E167" s="96"/>
      <c r="F167" s="106">
        <v>0.1</v>
      </c>
      <c r="G167" s="96"/>
      <c r="H167" s="97"/>
    </row>
    <row r="168" spans="1:8" s="44" customFormat="1" ht="24.75" customHeight="1">
      <c r="A168" s="40"/>
      <c r="B168" s="41"/>
      <c r="C168" s="42" t="s">
        <v>26</v>
      </c>
      <c r="D168" s="48" t="s">
        <v>16</v>
      </c>
      <c r="E168" s="48"/>
      <c r="F168" s="48"/>
      <c r="G168" s="48"/>
      <c r="H168" s="43"/>
    </row>
    <row r="169" spans="1:8" ht="24.75" customHeight="1">
      <c r="A169" s="39"/>
      <c r="B169" s="27"/>
      <c r="C169" s="26" t="s">
        <v>18</v>
      </c>
      <c r="D169" s="30" t="s">
        <v>16</v>
      </c>
      <c r="E169" s="30"/>
      <c r="F169" s="47">
        <v>0.08</v>
      </c>
      <c r="G169" s="30"/>
      <c r="H169" s="32"/>
    </row>
    <row r="170" spans="1:8" s="4" customFormat="1" ht="24.75" customHeight="1" thickBot="1">
      <c r="A170" s="53"/>
      <c r="B170" s="103"/>
      <c r="C170" s="104" t="s">
        <v>29</v>
      </c>
      <c r="D170" s="108" t="s">
        <v>16</v>
      </c>
      <c r="E170" s="34"/>
      <c r="F170" s="34"/>
      <c r="G170" s="34"/>
      <c r="H170" s="92"/>
    </row>
    <row r="171" spans="1:8" s="14" customFormat="1" ht="18.75" customHeight="1">
      <c r="A171" s="17"/>
      <c r="B171" s="18"/>
      <c r="C171" s="16"/>
      <c r="D171" s="19"/>
      <c r="E171" s="19"/>
      <c r="F171" s="19"/>
      <c r="G171" s="19"/>
      <c r="H171" s="20"/>
    </row>
    <row r="172" spans="1:8" s="14" customFormat="1" ht="18.75" customHeight="1">
      <c r="A172" s="17"/>
      <c r="B172" s="18"/>
      <c r="C172" s="16"/>
      <c r="D172" s="19"/>
      <c r="E172" s="19"/>
      <c r="F172" s="19"/>
      <c r="G172" s="19"/>
      <c r="H172" s="20"/>
    </row>
    <row r="173" spans="1:8" ht="20.25" customHeight="1">
      <c r="A173" s="74"/>
      <c r="B173" s="22"/>
      <c r="C173" s="23"/>
      <c r="D173" s="165"/>
      <c r="E173" s="165"/>
      <c r="F173" s="165"/>
      <c r="G173" s="165"/>
      <c r="H173" s="24"/>
    </row>
  </sheetData>
  <sheetProtection password="CC70" sheet="1"/>
  <mergeCells count="12">
    <mergeCell ref="A1:H1"/>
    <mergeCell ref="A2:H2"/>
    <mergeCell ref="A4:E4"/>
    <mergeCell ref="E6:F6"/>
    <mergeCell ref="A5:H5"/>
    <mergeCell ref="G6:H6"/>
    <mergeCell ref="A6:A7"/>
    <mergeCell ref="F4:G4"/>
    <mergeCell ref="A3:H3"/>
    <mergeCell ref="B6:B7"/>
    <mergeCell ref="C6:C7"/>
    <mergeCell ref="D6:D7"/>
  </mergeCells>
  <printOptions/>
  <pageMargins left="0.67" right="0" top="0.19" bottom="0.3937007874015748" header="0.18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shama</cp:lastModifiedBy>
  <cp:lastPrinted>2014-06-14T12:24:38Z</cp:lastPrinted>
  <dcterms:created xsi:type="dcterms:W3CDTF">1996-10-14T23:33:28Z</dcterms:created>
  <dcterms:modified xsi:type="dcterms:W3CDTF">2014-06-14T14:35:11Z</dcterms:modified>
  <cp:category/>
  <cp:version/>
  <cp:contentType/>
  <cp:contentStatus/>
</cp:coreProperties>
</file>