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UMMARY" sheetId="1" r:id="rId1"/>
    <sheet name="COST ESTIMATE OF BILLS " sheetId="2" r:id="rId2"/>
  </sheets>
  <definedNames>
    <definedName name="_xlnm.Print_Area" localSheetId="1">'COST ESTIMATE OF BILLS '!$A$1:$G$304</definedName>
    <definedName name="_xlnm.Print_Area" localSheetId="0">'SUMMARY'!$A$1:$C$14</definedName>
    <definedName name="_xlnm.Print_Titles" localSheetId="1">'COST ESTIMATE OF BILLS '!$5:$5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B5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<sst xmlns="http://schemas.openxmlformats.org/spreadsheetml/2006/main" count="778" uniqueCount="473">
  <si>
    <t>#</t>
  </si>
  <si>
    <t>km</t>
  </si>
  <si>
    <t>t</t>
  </si>
  <si>
    <t>kg</t>
  </si>
  <si>
    <t>4.1</t>
  </si>
  <si>
    <t>grZ.m</t>
  </si>
  <si>
    <t>4.3</t>
  </si>
  <si>
    <t>4.4</t>
  </si>
  <si>
    <t>4.5</t>
  </si>
  <si>
    <t>4.6</t>
  </si>
  <si>
    <t>4.7</t>
  </si>
  <si>
    <t>4.8</t>
  </si>
  <si>
    <t>4.9</t>
  </si>
  <si>
    <t>4.2</t>
  </si>
  <si>
    <t>3.1.1</t>
  </si>
  <si>
    <t>3.1.2</t>
  </si>
  <si>
    <t>3.1.3</t>
  </si>
  <si>
    <t>3.1.4</t>
  </si>
  <si>
    <t>3.1.5</t>
  </si>
  <si>
    <t>3.1.6</t>
  </si>
  <si>
    <t>3.1.7</t>
  </si>
  <si>
    <t>3.1.12</t>
  </si>
  <si>
    <t>3.2.1</t>
  </si>
  <si>
    <t>3.2.2</t>
  </si>
  <si>
    <t>3.2.3</t>
  </si>
  <si>
    <t>1.8</t>
  </si>
  <si>
    <t>4.11</t>
  </si>
  <si>
    <t>3.1</t>
  </si>
  <si>
    <t>3.2</t>
  </si>
  <si>
    <t>4.10</t>
  </si>
  <si>
    <t>3.1.8</t>
  </si>
  <si>
    <t>3.3</t>
  </si>
  <si>
    <t>3.3.1</t>
  </si>
  <si>
    <t>3.3.2</t>
  </si>
  <si>
    <t>3.3.3</t>
  </si>
  <si>
    <t>3.3.4</t>
  </si>
  <si>
    <t>5.1</t>
  </si>
  <si>
    <t>5.1.1</t>
  </si>
  <si>
    <t>5.1.2</t>
  </si>
  <si>
    <t>5.1.3</t>
  </si>
  <si>
    <t>5.1.4</t>
  </si>
  <si>
    <t>5.1.5</t>
  </si>
  <si>
    <t>5.1.6</t>
  </si>
  <si>
    <t>1.4</t>
  </si>
  <si>
    <t>1.6</t>
  </si>
  <si>
    <t>1.5</t>
  </si>
  <si>
    <t>1.7</t>
  </si>
  <si>
    <t>5.1.7</t>
  </si>
  <si>
    <t>5.1.8</t>
  </si>
  <si>
    <t>5.1.9</t>
  </si>
  <si>
    <t>6</t>
  </si>
  <si>
    <t xml:space="preserve"> </t>
  </si>
  <si>
    <t>1</t>
  </si>
  <si>
    <t>ld-5/2.5</t>
  </si>
  <si>
    <t>89 mm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</si>
  <si>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</si>
  <si>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</si>
  <si>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</si>
  <si>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</si>
  <si>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</si>
  <si>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</si>
  <si>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</si>
  <si>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</si>
  <si>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</si>
  <si>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</si>
  <si>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</si>
  <si>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</si>
  <si>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1.21.1</t>
  </si>
  <si>
    <t>1.21.2</t>
  </si>
  <si>
    <t>1.22</t>
  </si>
  <si>
    <t>1.23</t>
  </si>
  <si>
    <t>1.24</t>
  </si>
  <si>
    <t>1.24.1</t>
  </si>
  <si>
    <t>1.24.2</t>
  </si>
  <si>
    <t>3.2.4</t>
  </si>
  <si>
    <t>3.2.5</t>
  </si>
  <si>
    <t>3.2.6</t>
  </si>
  <si>
    <t xml:space="preserve">  </t>
  </si>
  <si>
    <t>3.2.7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</si>
  <si>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</si>
  <si>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</si>
  <si>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</si>
  <si>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</si>
  <si>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</si>
  <si>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</si>
  <si>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</si>
  <si>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</si>
  <si>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3.4</t>
  </si>
  <si>
    <t>3.4.1</t>
  </si>
  <si>
    <t>3.4.2</t>
  </si>
  <si>
    <t>3.5</t>
  </si>
  <si>
    <t>3.5.1</t>
  </si>
  <si>
    <t>3.6</t>
  </si>
  <si>
    <t>3.6.1</t>
  </si>
  <si>
    <t>3.6.2</t>
  </si>
  <si>
    <t>3.7</t>
  </si>
  <si>
    <t>3.7.1</t>
  </si>
  <si>
    <t>3.7.2</t>
  </si>
  <si>
    <t>3.8</t>
  </si>
  <si>
    <t>3.8.1</t>
  </si>
  <si>
    <t>3.8.2</t>
  </si>
  <si>
    <t>3.8.3</t>
  </si>
  <si>
    <t>3.9</t>
  </si>
  <si>
    <t>3.9.1</t>
  </si>
  <si>
    <t>3.9.2</t>
  </si>
  <si>
    <t>3.10</t>
  </si>
  <si>
    <t>3.10.1</t>
  </si>
  <si>
    <t>3.10.2</t>
  </si>
  <si>
    <t>3.10.3</t>
  </si>
  <si>
    <t>3.10.4</t>
  </si>
  <si>
    <t>3.12</t>
  </si>
  <si>
    <t>3.12.1</t>
  </si>
  <si>
    <t>3.12.2</t>
  </si>
  <si>
    <t>3.12.3</t>
  </si>
  <si>
    <t>3.12.4</t>
  </si>
  <si>
    <t>3.12.5</t>
  </si>
  <si>
    <t>3.13</t>
  </si>
  <si>
    <t>3.13.1</t>
  </si>
  <si>
    <t>3.13.2</t>
  </si>
  <si>
    <t>3.13.3</t>
  </si>
  <si>
    <t>4.12</t>
  </si>
  <si>
    <t>4.13</t>
  </si>
  <si>
    <t>4.14</t>
  </si>
  <si>
    <t>4.15</t>
  </si>
  <si>
    <t>4.16</t>
  </si>
  <si>
    <t>4.17</t>
  </si>
  <si>
    <t>4.18</t>
  </si>
  <si>
    <t>5.2.1</t>
  </si>
  <si>
    <t>5.2.2</t>
  </si>
  <si>
    <t>5.2.3</t>
  </si>
  <si>
    <t>5.2.4</t>
  </si>
  <si>
    <t>5.2.5</t>
  </si>
  <si>
    <t>5.2.6</t>
  </si>
  <si>
    <t>5.2.7</t>
  </si>
  <si>
    <t>5.3</t>
  </si>
  <si>
    <t>5.3.1</t>
  </si>
  <si>
    <t>5.3.2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</si>
  <si>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</si>
  <si>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</si>
  <si>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</si>
  <si>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</si>
  <si>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</si>
  <si>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</si>
  <si>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</si>
  <si>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</si>
  <si>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5.3.10</t>
  </si>
  <si>
    <t>5.5.1</t>
  </si>
  <si>
    <t>5.5.2</t>
  </si>
  <si>
    <t>ld-5/5.5</t>
  </si>
  <si>
    <t>5.6.1</t>
  </si>
  <si>
    <t>5.6.2</t>
  </si>
  <si>
    <t>5.6.3</t>
  </si>
  <si>
    <t>5.6.4</t>
  </si>
  <si>
    <t>5.7.1</t>
  </si>
  <si>
    <t>5.7.2</t>
  </si>
  <si>
    <t>5.7.3</t>
  </si>
  <si>
    <t>5.7.4</t>
  </si>
  <si>
    <t>5.7.5</t>
  </si>
  <si>
    <t>5.7.6</t>
  </si>
  <si>
    <t>5.7.7</t>
  </si>
  <si>
    <t>5.8.1</t>
  </si>
  <si>
    <t>5.8.2</t>
  </si>
  <si>
    <t>5.8.3</t>
  </si>
  <si>
    <t>5.8.4</t>
  </si>
  <si>
    <t>5.8.5</t>
  </si>
  <si>
    <t>5.8.6</t>
  </si>
  <si>
    <t>5.8.7</t>
  </si>
  <si>
    <t>5.8.8</t>
  </si>
  <si>
    <t>5.8.10</t>
  </si>
  <si>
    <t>5.8.11</t>
  </si>
  <si>
    <t>5.8.12</t>
  </si>
  <si>
    <t>5.8.13</t>
  </si>
  <si>
    <t>5.8.14</t>
  </si>
  <si>
    <t>5.8.15</t>
  </si>
  <si>
    <t>5.8.16</t>
  </si>
  <si>
    <t>5.8.17</t>
  </si>
  <si>
    <t>5.8.18</t>
  </si>
  <si>
    <t>5.8.19</t>
  </si>
  <si>
    <t>5.8.20</t>
  </si>
  <si>
    <t>5.8.21</t>
  </si>
  <si>
    <t>3</t>
  </si>
  <si>
    <t>2</t>
  </si>
  <si>
    <t>9.4</t>
  </si>
  <si>
    <t>86</t>
  </si>
  <si>
    <t>121</t>
  </si>
  <si>
    <t>2.31</t>
  </si>
  <si>
    <t>119.35</t>
  </si>
  <si>
    <t>4</t>
  </si>
  <si>
    <t>3.10.5</t>
  </si>
  <si>
    <t>3.10.6</t>
  </si>
  <si>
    <t>3.10.7</t>
  </si>
  <si>
    <t>3.10.8</t>
  </si>
  <si>
    <t>3.10.9</t>
  </si>
  <si>
    <t>3.10.10</t>
  </si>
  <si>
    <t>3.10.11</t>
  </si>
  <si>
    <t>3.1.13</t>
  </si>
  <si>
    <t>3.11.14</t>
  </si>
  <si>
    <t>193</t>
  </si>
  <si>
    <t>5</t>
  </si>
  <si>
    <t>1190</t>
  </si>
  <si>
    <t>794</t>
  </si>
  <si>
    <t>31</t>
  </si>
  <si>
    <t>8</t>
  </si>
  <si>
    <t>610</t>
  </si>
  <si>
    <t>12</t>
  </si>
  <si>
    <t>4454</t>
  </si>
  <si>
    <t>30</t>
  </si>
  <si>
    <t>16</t>
  </si>
  <si>
    <t>6095</t>
  </si>
  <si>
    <t>112</t>
  </si>
  <si>
    <t>5.3.3</t>
  </si>
  <si>
    <t>WORK DESCRIPTION</t>
  </si>
  <si>
    <t>MEAS.        UNIT</t>
  </si>
  <si>
    <t>QTY.</t>
  </si>
  <si>
    <t>PRICE (LARI)</t>
  </si>
  <si>
    <t>UNIT</t>
  </si>
  <si>
    <t>TOTAL</t>
  </si>
  <si>
    <t>Reconditioning and fixing of route in coordinate system</t>
  </si>
  <si>
    <t>Cutting and rooting of shrubs and small trees</t>
  </si>
  <si>
    <r>
      <t>m</t>
    </r>
    <r>
      <rPr>
        <vertAlign val="superscript"/>
        <sz val="10"/>
        <rFont val="Sylfaen"/>
        <family val="1"/>
      </rPr>
      <t>2</t>
    </r>
  </si>
  <si>
    <t>Cutting and rooting trees</t>
  </si>
  <si>
    <t>d=16-20 cm</t>
  </si>
  <si>
    <t>pcs</t>
  </si>
  <si>
    <t>d=20-30 cm</t>
  </si>
  <si>
    <t>d=30-40 cm</t>
  </si>
  <si>
    <t>Dismantling existing metal parts by crane, with placing a side</t>
  </si>
  <si>
    <t>Dismantling existing, damaged flexible guiding posts to be installed on shoulders, loading trucks and hauling to dumpsite</t>
  </si>
  <si>
    <t>Dismantling existing, damaged flexible guiding posts to be installed on marking line, loading trucks and base for reserve</t>
  </si>
  <si>
    <t>Dismantling existing, kilometer signs and installing on new support posts, Concrete for post foundation with dimensions 70x70x70 cm Concrete B25 F200 W6</t>
  </si>
  <si>
    <t>Dismantling the existing road sign and installing on new poste  70x70x70 cm Concrete B25 F200 W6</t>
  </si>
  <si>
    <t>Dismantling existing road sign, loading on trucks and hauling to base as scrap</t>
  </si>
  <si>
    <t>pcs/kg</t>
  </si>
  <si>
    <t>Dismantling existing individual sign and support posts, loading trucks and hauling to base as scrap</t>
  </si>
  <si>
    <t>Dismantling existing support posts, loading trucks and hauling to the base as scrap</t>
  </si>
  <si>
    <t>Dismantling existing metal guardrail, loading trucks and hauling to the base as reserve</t>
  </si>
  <si>
    <t>lin.m/t</t>
  </si>
  <si>
    <t>Dismantling existing metal guardrail and transporting to the base as scrap</t>
  </si>
  <si>
    <t xml:space="preserve">Dismantling and installing existing metal guardrail </t>
  </si>
  <si>
    <t>Dismantling existing special-profile concrete parapets by crane, loading trucks and hauling to the base</t>
  </si>
  <si>
    <r>
      <t>pcs/m</t>
    </r>
    <r>
      <rPr>
        <vertAlign val="superscript"/>
        <sz val="10"/>
        <rFont val="Sylfaen"/>
        <family val="1"/>
      </rPr>
      <t>3</t>
    </r>
  </si>
  <si>
    <t>Demolishing existing metal guardrail end concrete by hammers, loading trucks and hauling to dumpsite</t>
  </si>
  <si>
    <r>
      <t>m</t>
    </r>
    <r>
      <rPr>
        <vertAlign val="superscript"/>
        <sz val="10"/>
        <rFont val="Sylfaen"/>
        <family val="1"/>
      </rPr>
      <t>3</t>
    </r>
  </si>
  <si>
    <t>Demolishing existing reinforced concrete box pipe culvert wings by hammers, loading trucks and hauling to dumpsite</t>
  </si>
  <si>
    <t>Demolishing existing circular reinforced concrete circular pipe portals by hammers, loading trucks and hauling to dumpsite</t>
  </si>
  <si>
    <t>Soil removal and shaping by machinery at outlet of existing box culvert,  loading trucks and hauling to the base</t>
  </si>
  <si>
    <t>Dismantling of existing fence and installation of a new:</t>
  </si>
  <si>
    <t>Dismantling existing wire-net, loading and hauling to dumpsite</t>
  </si>
  <si>
    <t>Installation of wire-net fence on  concrete foundation 0.5x0.2m, B22.5 F200 W6 on metal support posts d=50mm</t>
  </si>
  <si>
    <t>Demolishing r/concrete plate on roof by hammers loading and hauling to dumpsite</t>
  </si>
  <si>
    <t>Demolishing r/concrete walls and base by hammers loading and dumpsite-hauling</t>
  </si>
  <si>
    <t>Demolishing existing shelters:</t>
  </si>
  <si>
    <t>Inventorial standard flat reflecting road signs,III-type size:  according ГОСТ 10807-78, on Concrete foundation</t>
  </si>
  <si>
    <t>unit</t>
  </si>
  <si>
    <t>Installation of inventorial road signs on metal  poles:   warning, priority, forbidding,  indicative, informative  on  single  post .</t>
  </si>
  <si>
    <t>Bill I. Preparation works</t>
  </si>
  <si>
    <t>SUM  BILL № I, TRANSFERED TO THE GRAND TOTAL</t>
  </si>
  <si>
    <t>Removing the soil layer by machinery loading trucks and hauling to dumpsite</t>
  </si>
  <si>
    <t>Removing ground by machinery loading trucks and hauling to dumpsite</t>
  </si>
  <si>
    <t>Removing ground manually loading trucks and hauling to dumpsite</t>
  </si>
  <si>
    <t>Ground processing on roadbed slope to benches and processing soil in trough by machinery, moving 20m in fill</t>
  </si>
  <si>
    <t>Ground processing on roadbed slope to benches and processing soil in trough manually, with side casting in fill</t>
  </si>
  <si>
    <t>Processing gravel ground in borrow pit by excavator, loading trucks and hauling to the fill</t>
  </si>
  <si>
    <t>Filling bogged soil, arrange cushion as riprap Dave-20cm, embedding by vibration roller</t>
  </si>
  <si>
    <t>Spreading the fill and compacting to layers</t>
  </si>
  <si>
    <t>SUM  BILL № II, TRANSFERED TO THE GRAND TOTAL</t>
  </si>
  <si>
    <t>Bill II. Road bed</t>
  </si>
  <si>
    <t>Bill III. Road Structures</t>
  </si>
  <si>
    <t>Construction of reinforced concrete retaining wall</t>
  </si>
  <si>
    <t>Removing soil by excavator, loading and hauling to dumpsite</t>
  </si>
  <si>
    <t>Removing soil manually, loading and hauling to dumpsite</t>
  </si>
  <si>
    <t>Crushed stone mattress h-10cm</t>
  </si>
  <si>
    <t>Concrete preparation layer B20  h=100mm</t>
  </si>
  <si>
    <t>Construction of cast-in-situ reinforced concrete wall foundation:</t>
  </si>
  <si>
    <t>Concrete B30 F200 W6</t>
  </si>
  <si>
    <t xml:space="preserve">Rebar </t>
  </si>
  <si>
    <t>Construction of cast-in-situ r/concrete wall body:</t>
  </si>
  <si>
    <t>Arrange waterproofing and drainage behind the wall:</t>
  </si>
  <si>
    <t>Adhesive sealant waterproofing (2 times)</t>
  </si>
  <si>
    <t>Rich clay screen</t>
  </si>
  <si>
    <t>Rubble (d=200÷300 mm) h=300 mm</t>
  </si>
  <si>
    <t>Plastic perforated drainage pipe d-200mm</t>
  </si>
  <si>
    <t>lin.m</t>
  </si>
  <si>
    <t>Filling the space behind the wall by gravel ground brought from borrow pit and compacting to layers</t>
  </si>
  <si>
    <t>Extension of existing rectangular 1.0X1.5 pipe:</t>
  </si>
  <si>
    <t>Construction of pipe body:</t>
  </si>
  <si>
    <t>Removing soil by machinery, loading and hauling to dumpsite</t>
  </si>
  <si>
    <t>Concrete blanket h-10cm</t>
  </si>
  <si>
    <t>Arranging cast-in-situ r/concrete pipe body and corbel stone:</t>
  </si>
  <si>
    <t>Waterproofing of pipe body</t>
  </si>
  <si>
    <t>Membrane waterproofing</t>
  </si>
  <si>
    <t>Filling gaps by oakum</t>
  </si>
  <si>
    <t>Cement grout</t>
  </si>
  <si>
    <t>Arrange pipe culvert outlet header:</t>
  </si>
  <si>
    <t>Construction of wing header:</t>
  </si>
  <si>
    <t>Crushed stone bedding h-10cm</t>
  </si>
  <si>
    <t>Wings by cast-in-situ concrete B30 F200 W6</t>
  </si>
  <si>
    <t>Groove by cast-in-situ concrete B30 F200 W6</t>
  </si>
  <si>
    <t>Key of cast-in-situ concrete B30 F200 W6</t>
  </si>
  <si>
    <t>Arranging riprap</t>
  </si>
  <si>
    <t>Installation of steel circular pipe d=1020mm, δ=10mm:</t>
  </si>
  <si>
    <t xml:space="preserve">Crushed stone mattress </t>
  </si>
  <si>
    <t>Installation of steel circular pipe d=1020mm, δ=10mm by crane</t>
  </si>
  <si>
    <t>Adhesive sealant waterproofing on pipe body (2 times)</t>
  </si>
  <si>
    <t>Arranging wing header</t>
  </si>
  <si>
    <t>Portal wall of cast-in-situ concrete B25 F200 W6</t>
  </si>
  <si>
    <t>Wings of cast-in-situ concrete B25 F200 W6</t>
  </si>
  <si>
    <t>Groove of cast-in-situ concrete B25 F200 W6</t>
  </si>
  <si>
    <t>Key of cast-in-situ concrete B25 F200 W6</t>
  </si>
  <si>
    <t>Arranging stone riprap</t>
  </si>
  <si>
    <t>Construct cast-in-situ r/concrete inlet well: B30 F200 W6, Crushed stone mattress  and Rebar , Adhesive sealant waterproofing (2 times)</t>
  </si>
  <si>
    <t>Arrange holes in portal wall concrete and installing rebar anchors in holes, using epoxy mastic</t>
  </si>
  <si>
    <t>Arrange flow-absorbing gabion boxes:</t>
  </si>
  <si>
    <t>Boxes with dimensions 2.0x1.0x1.0 m, wire d=2.7mm</t>
  </si>
  <si>
    <t>Boxes with dimensions 1.5x1.0x1.0 m, wire d=2.7mm</t>
  </si>
  <si>
    <t>Wire for connecting d=2.2mm</t>
  </si>
  <si>
    <t>Placing stones into gabion manually, passing by baskets</t>
  </si>
  <si>
    <t>Refilling by gravel ground brought from borrow pit and compaction to layers by vibration roller</t>
  </si>
  <si>
    <t>Fabricating metal grate, transporting and installation by crane, with Steel sheet δ=15 mm and Welding joints</t>
  </si>
  <si>
    <t>Height extension of existing rectangular pipe portal:</t>
  </si>
  <si>
    <t>Arrange holes in portal wall concrete and installing rebar anchors in holes, using epoxy mastic, d=16,0mm AIII, L=400,0mm</t>
  </si>
  <si>
    <t>Arranging of reinforced concrete groove:</t>
  </si>
  <si>
    <t>Construction of cast-in-situ r/concrete groove:</t>
  </si>
  <si>
    <t>Lean concrete bedding h-5cm</t>
  </si>
  <si>
    <t>Arranging of reinforced concrete channel:</t>
  </si>
  <si>
    <t>Construction of cast-in-situ r/concrete open channel:</t>
  </si>
  <si>
    <t xml:space="preserve">Construction of cast-in-situ r/concrete B30 F200 W6 water inlet well </t>
  </si>
  <si>
    <t>Arranging cast-in-situ reinforced concrete groove:</t>
  </si>
  <si>
    <t>Soil removing manually, loading trucks and hauling to dumpsite</t>
  </si>
  <si>
    <t>Angle bars 70X70X5mm</t>
  </si>
  <si>
    <t>Construction of reinforced concrete gutter type I:</t>
  </si>
  <si>
    <t>Construction of cast-in-situ reinforced concrete gutter type I:</t>
  </si>
  <si>
    <t>Construction of reinforced concrete gutter type II:</t>
  </si>
  <si>
    <t>Construction of cast-in-situ reinforced concrete gutter type II:</t>
  </si>
  <si>
    <t>Construction of reinforced concrete water inlet well:</t>
  </si>
  <si>
    <t>Construct cast-in-situ r/concrete inlet well  B30 F200 W6, with Crushed stone mattress, Rebar and Angle bars 70X70X5mm Adhesive sealant waterproofing (2 times)</t>
  </si>
  <si>
    <t xml:space="preserve">Construct cast-in-situ r/concrete inlet well  B30 F200 W6, with Crushed stone mattress and Rebar </t>
  </si>
  <si>
    <t>Arrange holes in concrete rectangular pipe header and installing rebar anchors in holes, using epoxy mastic</t>
  </si>
  <si>
    <t>Construction of reinforced concrete open groove:</t>
  </si>
  <si>
    <t>Dismantling existing Reno type mattress manually, placing stones sideways for further use</t>
  </si>
  <si>
    <t>Soil removing by excavator, loading trucks and hauling to dumpsite</t>
  </si>
  <si>
    <t>Reno mattress 3.0x2.0x0.3m, wire d=2.7mm</t>
  </si>
  <si>
    <t>Gabion boxes with dimensions 2.0x1.0x1.0 m, wire d=2.7mm</t>
  </si>
  <si>
    <t>Gabion boxes with dimensions 1.5x1.0x1.0 m, wire d=2.7mm</t>
  </si>
  <si>
    <t>Connecting wire d=2.2mm</t>
  </si>
  <si>
    <t xml:space="preserve">Placing stones stockpiled earlier into gabion manually, passing by baskets </t>
  </si>
  <si>
    <t>Construction of upper gabion retaining wall</t>
  </si>
  <si>
    <t>Temporary shoring of cut slope by wooden material</t>
  </si>
  <si>
    <t>Installation of gabion wall:</t>
  </si>
  <si>
    <t>boxes with dimensions 2.0x1.0x1.0 m, wire d=2.7mm</t>
  </si>
  <si>
    <t>boxes with dimensions 1.5x1.0x1.0 m, wire d=2.7mm</t>
  </si>
  <si>
    <t>Refilling the space behind the wall by gravel ground brought from borrow pit and compaction to layers by vibration roller</t>
  </si>
  <si>
    <t>Extension of corrugated d=400mm plastic pipe:</t>
  </si>
  <si>
    <t>Installation of d=400mm corrugated plastic pipe:</t>
  </si>
  <si>
    <t>Crushed stone bedding</t>
  </si>
  <si>
    <t>Arranging of Reno mattress 3.0x2.0x0.3 m, galvanized wire d=2.7mm</t>
  </si>
  <si>
    <t>Placing stones stockpiled earlier into boxes manually, passing by baskets</t>
  </si>
  <si>
    <t>Corrugated plastic pipe</t>
  </si>
  <si>
    <t>SUM  BILL № III, TRANSFERED TO THE GRAND TOTAL</t>
  </si>
  <si>
    <t>Bill IV. Road pavement</t>
  </si>
  <si>
    <t xml:space="preserve">Cutting existing a/concrete pavement to 5cm by power saw at points connected to the new pavement </t>
  </si>
  <si>
    <t>Dismantling existing a/concrete pavement by machinery loading trucks and hauling to dumpsite</t>
  </si>
  <si>
    <t>Construction of subbase by sand-gravel aggregate (0-70mm) h-25cm.</t>
  </si>
  <si>
    <t>Construction of subbase by sand-gravel aggregate (0-70mm) h-20cm.</t>
  </si>
  <si>
    <t>Construction of base by graded crushed stone (0-40mm) h-20cm.</t>
  </si>
  <si>
    <t>Construction of base by graded crushed stone (0-40mm) h-16cm.</t>
  </si>
  <si>
    <r>
      <t>Application of liquid bitumen 0,6kg/m</t>
    </r>
    <r>
      <rPr>
        <vertAlign val="superscript"/>
        <sz val="10"/>
        <rFont val="Sylfaen"/>
        <family val="1"/>
      </rPr>
      <t>2</t>
    </r>
  </si>
  <si>
    <t>Construction of upper layer of base by coarse-grained porous, crushed stone asphalt concrete hot mix grade II, h-8cm.</t>
  </si>
  <si>
    <r>
      <t>Application of liquid bitumen 0,2kg/m</t>
    </r>
    <r>
      <rPr>
        <vertAlign val="superscript"/>
        <sz val="10"/>
        <rFont val="Sylfaen"/>
        <family val="1"/>
      </rPr>
      <t>2</t>
    </r>
  </si>
  <si>
    <t>Construction of lower layer of pavement by coarse-grained porous, crushed stone asphalt concrete hot mix grade II, h-8cm.</t>
  </si>
  <si>
    <t>Construction of lower layer of pavement by coarse-grained porous, crushed stone asphalt concrete hot mix grade II, h-6cm.</t>
  </si>
  <si>
    <t>Construction of upper layer of pavement with fine-grained, dense, crushed stone a/concrete hot mix Type"B", Grade II, thickness 5 cm</t>
  </si>
  <si>
    <t>Construction of upper layer of pavement with fine-grained, dense, crushed stone a/concrete hot mix Type"B", Grade II, thickness 4 cm</t>
  </si>
  <si>
    <t>Arrange fill-in shoulders with sand-gravel mix, Have-20cm.</t>
  </si>
  <si>
    <t>Arrange fill-in shoulders with sand-gravel mix, h-25cm.</t>
  </si>
  <si>
    <t>Strengthening shoulders by graded crushed rock (0-40mm), Have.-19cm.</t>
  </si>
  <si>
    <t>Construction of sickle-shape profile pavement by sand-gravel (0-40mm), h-30cm.</t>
  </si>
  <si>
    <t>Bill V. Road furniture and equipment</t>
  </si>
  <si>
    <t>Junctions</t>
  </si>
  <si>
    <t xml:space="preserve">Remove soil by excavator, loading and transporting to dumpsite    </t>
  </si>
  <si>
    <t xml:space="preserve">Remove soil manually, loading and transporting to dumpsite    </t>
  </si>
  <si>
    <t>Construction of lower layer of pavement by coarse-grained porous, crushed stone asphalt concrete hot mix grade II, h-7cm.</t>
  </si>
  <si>
    <t>Strengthening shoulders by graded crushed rock (0-40mm), Have.-11cm.</t>
  </si>
  <si>
    <t>Construction of bus stop shelters (total 11 shelters):</t>
  </si>
  <si>
    <t>Construction of shelter foundation</t>
  </si>
  <si>
    <t>Construction of foundation and floor of shelter structure, including all necessary works, as shown in drawings</t>
  </si>
  <si>
    <t>Installation of shelter structure, painting, roofing and glazing, including all necessary works, as shown in drawings</t>
  </si>
  <si>
    <t>Installation of chairs, including all necessary works, as shown in drawings</t>
  </si>
  <si>
    <t>Construction of boarding platform, including all necessary works, as shown in drawings</t>
  </si>
  <si>
    <r>
      <t>m</t>
    </r>
    <r>
      <rPr>
        <vertAlign val="superscript"/>
        <sz val="10"/>
        <rFont val="Times New Roman"/>
        <family val="1"/>
      </rPr>
      <t>2</t>
    </r>
  </si>
  <si>
    <t>Construction of back site of shelter, including all necessary works, as shown in drawings</t>
  </si>
  <si>
    <t>Construction of stairs and hand-rail, including all necessary works, as shown in drawings</t>
  </si>
  <si>
    <t>L.m</t>
  </si>
  <si>
    <t>Construction of pedestrian path, including all necessary works, as shown in drawings</t>
  </si>
  <si>
    <t>Installation of road signs, delineation and marking</t>
  </si>
  <si>
    <t>Standard flat reflecting road signs, II-type size, covered with light reflecting engineering-prism layer type „IV“with Concrete base  concrete B25 F200 W6,  including all necessary works</t>
  </si>
  <si>
    <t>Standard project road signs of individual design, bilingual, covered by heavy duty IV class adhesive tape of prism-optical system with Concrete base  concrete B25 F200 W6,  including all necessary works</t>
  </si>
  <si>
    <r>
      <rPr>
        <sz val="10"/>
        <rFont val="Times New Roman"/>
        <family val="1"/>
      </rPr>
      <t xml:space="preserve">Installation of road flashing lights d=400mm on metal posts made of  -89 mm pipes on concrete base B25  F200  W6 </t>
    </r>
  </si>
  <si>
    <t>Installation of metal solid frame structure (7 pcs)</t>
  </si>
  <si>
    <t>Soil removing by machinery, loading trucks and hauling to dumpsite</t>
  </si>
  <si>
    <t>Crushed stone bedding h - 10 cm</t>
  </si>
  <si>
    <t>Construction of cast-in-situ concrete foundation</t>
  </si>
  <si>
    <t>Rebar</t>
  </si>
  <si>
    <t>Concrete B22.5 F200 W6</t>
  </si>
  <si>
    <t>Fabricating metallic moulds and arranging for fixing anchors and retainer details in foundation</t>
  </si>
  <si>
    <t>Steel sheet δ-5 mm</t>
  </si>
  <si>
    <t>Angle bars 50x50 δ-3 mm, 3.5 lin.m</t>
  </si>
  <si>
    <t>Backfilling soil manually and compacting by pneumatic roller</t>
  </si>
  <si>
    <t>Arranging anchors and retainer details for fixing support posts, including all necessary works</t>
  </si>
  <si>
    <t>Fabricating metal support posts in factory and transporting to construction site, among them including all necessary works</t>
  </si>
  <si>
    <t>ton</t>
  </si>
  <si>
    <t>Painting metal structures 
1. Double-component epoxy zink-phosphate anti-corrosion coating
2. Double-component acrylic polyurethane enamel
3. Color: silver-colored, mkrTali RAL-9006</t>
  </si>
  <si>
    <t xml:space="preserve">Installation of LED display board/panel) (7 pcs): </t>
  </si>
  <si>
    <t xml:space="preserve">Purchasing of LED display with freely programmed full colors, transporting and installation by crane on continious frame structure, launching software and connecting to tunnel safety programing </t>
  </si>
  <si>
    <t>Connecting a power source and internet to LED board and installation</t>
  </si>
  <si>
    <t xml:space="preserve">Installation of laser camera for detecting oversized cargo (12 units): </t>
  </si>
  <si>
    <t>Installation of posts for camera</t>
  </si>
  <si>
    <t>pcs/t</t>
  </si>
  <si>
    <t>Post foundation 1.0x1.0x1.0 cm concrete B25 F200 W6</t>
  </si>
  <si>
    <t>Purchasing of laser camera, transporting and installation on posts by crane, launching the software and connecting to tunnel safety programme</t>
  </si>
  <si>
    <t>Connecting the power source and internet to laser camera  and installation</t>
  </si>
  <si>
    <r>
      <t>I</t>
    </r>
    <r>
      <rPr>
        <sz val="11"/>
        <rFont val="Sylfaen"/>
        <family val="1"/>
      </rPr>
      <t>nstallation of communication posts</t>
    </r>
  </si>
  <si>
    <t>Post foundation 70x70x70 cm concrete B25 F200 W6</t>
  </si>
  <si>
    <t xml:space="preserve"> Installation of barriers entrance of tunnels (4 pcs): </t>
  </si>
  <si>
    <t>Installation of posts for light  signal</t>
  </si>
  <si>
    <t>76 mm</t>
  </si>
  <si>
    <t>Crushed stone  h - 10 cm</t>
  </si>
  <si>
    <t>Concrete B30 F200 W6  h - 20sm</t>
  </si>
  <si>
    <t>Purchasing of barriers with all accessories (boom 6.0)            transporting and installation by crane , launching software and connecting to tunnel safety programing</t>
  </si>
  <si>
    <t>Purchasing of barriers with all accessories (boom 12.0)
 transporting and installation by crane , launching software and connecting to tunnel safety programing</t>
  </si>
  <si>
    <t>Connecting the power source and internet to barrier  and installation</t>
  </si>
  <si>
    <t>Installation of three-leg stanchion struture (1 unit)</t>
  </si>
  <si>
    <t>Removing soil manualy, loading and hauling to dumpsite</t>
  </si>
  <si>
    <t>Construction of cast-in-situ reinforced concrete foundation:</t>
  </si>
  <si>
    <t>Fabricating metal templets and arranging for fixing anchors and retainer details in foudation:</t>
  </si>
  <si>
    <t>Angle bar 50x50 δ-3 mm, 3.5 lin.m</t>
  </si>
  <si>
    <t>Arranging anchors and retainer details for fixing three-leg stanchions</t>
  </si>
  <si>
    <t>Backfilling soil manually and compaction by pneumatic roller</t>
  </si>
  <si>
    <t>Fabricating metallic stanchions in factory and transporting to installation site</t>
  </si>
  <si>
    <t>Horizontal marking of carriageway:
by single-component (white) road marking paint prepared according design formula based on methilmethacrilate, and improved by night-vision light-reflector glassy beads, size 100-850 mkm</t>
  </si>
  <si>
    <t>Marking by 2-component, white, structural cold plastic, width 3mm</t>
  </si>
  <si>
    <t>Marking by 2-component, red, structural cold plastic, width 3mm</t>
  </si>
  <si>
    <t>Plastic directing posts to be placed at marking line „mb“</t>
  </si>
  <si>
    <t>Plastic guiding posts to be placed on shoulders</t>
  </si>
  <si>
    <t>Construction of cast-in-situ reinforced concrete guardrail:</t>
  </si>
  <si>
    <t>Transporting prefabricated special profile concrete parapets from base and installation, B35 F200 W6</t>
  </si>
  <si>
    <t>Vertical marking of prefabricated, special-profile concrete parapets by perchlorvynil paint</t>
  </si>
  <si>
    <r>
      <t>pcs/m</t>
    </r>
    <r>
      <rPr>
        <vertAlign val="superscript"/>
        <sz val="10"/>
        <rFont val="Sylfaen"/>
        <family val="1"/>
      </rPr>
      <t>2</t>
    </r>
  </si>
  <si>
    <t>IV and V type light-reflecting element</t>
  </si>
  <si>
    <t xml:space="preserve">Installation of guardrails by using metal bars (covered by cinol-alpol) f-3 </t>
  </si>
  <si>
    <t xml:space="preserve">Installation of VI type light-reflectors at approaching outsets of all type guardrails </t>
  </si>
  <si>
    <t xml:space="preserve">Light-reflecting board (rectangular 400x200mm), covered by heavy duty IV class adhesive tape of prism-optical system:  </t>
  </si>
  <si>
    <t>Metal posts ld-5, Ø57 mm, L-1.5 m</t>
  </si>
  <si>
    <t>Concrete foundation 30x30x50 cm (B25 F200 W6)</t>
  </si>
  <si>
    <t>SUM  BILL № IV, TRANSFERED TO THE GRAND TOTAL</t>
  </si>
  <si>
    <t>SUM  BILL № V, TRANSFERED TO THE GRAND TOTAL</t>
  </si>
  <si>
    <t>APPROXIMATE SUMMARY COST ESTIMATE</t>
  </si>
  <si>
    <t>BILL</t>
  </si>
  <si>
    <t>DESCRIPTION</t>
  </si>
  <si>
    <t>SUM 
(LARI)</t>
  </si>
  <si>
    <t>Road bed</t>
  </si>
  <si>
    <t>Road Structures</t>
  </si>
  <si>
    <t xml:space="preserve"> Road pavement</t>
  </si>
  <si>
    <t>Road furniture and equipment</t>
  </si>
  <si>
    <t>SUBTOTAL OF BILLS I-V</t>
  </si>
  <si>
    <t>CONTINGENCY 5%</t>
  </si>
  <si>
    <t>SUM</t>
  </si>
  <si>
    <t>VAT - 18%</t>
  </si>
  <si>
    <t>TOTAL PRICE</t>
  </si>
  <si>
    <t xml:space="preserve">COST ESTIMATE OF BILLS </t>
  </si>
  <si>
    <t>Installation   of permanent inventorial road signs and fencing during the construction period</t>
  </si>
  <si>
    <t>Preparatory works</t>
  </si>
  <si>
    <t xml:space="preserve"> ROAD SAFETY IMPROVEMENTS AND ACCESS ROADS OF THE EXISTING E-60 HIGHWAY                                                                      (Km28 Km114  NATAKHTARI-AGARA SECTION)</t>
  </si>
  <si>
    <t xml:space="preserve"> ROAD SAFETY IMPROVEMENTS AND ACCESS ROADS OF THE EXISTING E-60 HIGHWAY                                                                      (Km28 Km114  NATAKHTARI-AGARA SECTION)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</si>
</sst>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000"/>
    <numFmt numFmtId="187" formatCode="[$-FC19]d\ mmmm\ yyyy\ &quot;г.&quot;"/>
    <numFmt numFmtId="188" formatCode="[$-409]dddd\,\ mmmm\ dd\,\ yyyy"/>
    <numFmt numFmtId="189" formatCode="[$-409]h:mm:ss\ AM/PM"/>
    <numFmt numFmtId="190" formatCode="[$-437]yyyy\ &quot;წლის&quot;\ dd\ mm\,\ dddd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[$-F400]h:mm:ss\ AM/PM"/>
  </numFmts>
  <fonts count="59">
    <font>
      <sz val="10"/>
      <name val="Arial"/>
      <family val="0"/>
    </font>
    <font>
      <sz val="10"/>
      <name val="AcadNusx"/>
      <family val="0"/>
    </font>
    <font>
      <sz val="11"/>
      <name val="AcadNusx"/>
      <family val="0"/>
    </font>
    <font>
      <sz val="10"/>
      <name val="Times New Roman"/>
      <family val="1"/>
    </font>
    <font>
      <b/>
      <sz val="10"/>
      <name val="AcadMtavr"/>
      <family val="0"/>
    </font>
    <font>
      <b/>
      <sz val="10"/>
      <name val="AcadNusx"/>
      <family val="0"/>
    </font>
    <font>
      <b/>
      <sz val="10"/>
      <name val="Times New Roman"/>
      <family val="1"/>
    </font>
    <font>
      <b/>
      <sz val="12"/>
      <name val="AcadMtav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Sylfaen"/>
      <family val="1"/>
    </font>
    <font>
      <vertAlign val="superscript"/>
      <sz val="10"/>
      <name val="Sylfae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x"/>
      <family val="0"/>
    </font>
    <font>
      <b/>
      <sz val="10"/>
      <name val="Sylfaen"/>
      <family val="1"/>
    </font>
    <font>
      <sz val="10"/>
      <name val="Timesw"/>
      <family val="0"/>
    </font>
    <font>
      <sz val="10"/>
      <name val="timesusx"/>
      <family val="0"/>
    </font>
    <font>
      <vertAlign val="superscript"/>
      <sz val="10"/>
      <name val="Times New Roman"/>
      <family val="1"/>
    </font>
    <font>
      <sz val="9"/>
      <name val="Sylfaen"/>
      <family val="1"/>
    </font>
    <font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55" applyFont="1" applyFill="1">
      <alignment/>
      <protection/>
    </xf>
    <xf numFmtId="0" fontId="3" fillId="0" borderId="10" xfId="55" applyNumberFormat="1" applyFont="1" applyFill="1" applyBorder="1" applyAlignment="1">
      <alignment horizontal="center" vertical="center" wrapText="1"/>
      <protection/>
    </xf>
    <xf numFmtId="49" fontId="3" fillId="0" borderId="11" xfId="55" applyNumberFormat="1" applyFont="1" applyFill="1" applyBorder="1" applyAlignment="1">
      <alignment horizontal="center" vertical="center" wrapText="1"/>
      <protection/>
    </xf>
    <xf numFmtId="49" fontId="3" fillId="0" borderId="12" xfId="55" applyNumberFormat="1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left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 shrinkToFit="1"/>
    </xf>
    <xf numFmtId="49" fontId="3" fillId="0" borderId="13" xfId="0" applyNumberFormat="1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56" applyNumberFormat="1" applyFont="1" applyFill="1" applyBorder="1" applyAlignment="1">
      <alignment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2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 vertical="center" wrapText="1"/>
    </xf>
    <xf numFmtId="1" fontId="3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49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vertical="top" wrapText="1" shrinkToFit="1"/>
    </xf>
    <xf numFmtId="49" fontId="3" fillId="0" borderId="13" xfId="0" applyNumberFormat="1" applyFont="1" applyFill="1" applyBorder="1" applyAlignment="1">
      <alignment vertical="top" wrapText="1" shrinkToFit="1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63" applyFont="1">
      <alignment/>
      <protection/>
    </xf>
    <xf numFmtId="0" fontId="0" fillId="0" borderId="0" xfId="63" applyFont="1" applyAlignment="1">
      <alignment vertical="center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0" fillId="0" borderId="0" xfId="63" applyFont="1" applyBorder="1" applyAlignment="1">
      <alignment vertical="center"/>
      <protection/>
    </xf>
    <xf numFmtId="3" fontId="6" fillId="0" borderId="10" xfId="63" applyNumberFormat="1" applyFont="1" applyBorder="1" applyAlignment="1">
      <alignment horizontal="right" vertical="center" wrapText="1" indent="3"/>
      <protection/>
    </xf>
    <xf numFmtId="3" fontId="6" fillId="0" borderId="10" xfId="63" applyNumberFormat="1" applyFont="1" applyFill="1" applyBorder="1" applyAlignment="1">
      <alignment horizontal="right" vertical="center" wrapText="1" indent="3"/>
      <protection/>
    </xf>
    <xf numFmtId="0" fontId="8" fillId="0" borderId="10" xfId="63" applyFont="1" applyBorder="1" applyAlignment="1">
      <alignment horizontal="center" vertical="center" wrapText="1"/>
      <protection/>
    </xf>
    <xf numFmtId="3" fontId="8" fillId="0" borderId="10" xfId="63" applyNumberFormat="1" applyFont="1" applyBorder="1" applyAlignment="1">
      <alignment horizontal="right" vertical="center" wrapText="1" indent="3"/>
      <protection/>
    </xf>
    <xf numFmtId="0" fontId="9" fillId="0" borderId="0" xfId="63" applyFont="1" applyAlignment="1">
      <alignment vertical="center"/>
      <protection/>
    </xf>
    <xf numFmtId="0" fontId="10" fillId="0" borderId="10" xfId="63" applyFont="1" applyBorder="1" applyAlignment="1">
      <alignment horizontal="center" vertical="center" wrapText="1"/>
      <protection/>
    </xf>
    <xf numFmtId="3" fontId="10" fillId="0" borderId="10" xfId="63" applyNumberFormat="1" applyFont="1" applyBorder="1" applyAlignment="1">
      <alignment horizontal="right" vertical="center" wrapText="1" indent="3"/>
      <protection/>
    </xf>
    <xf numFmtId="0" fontId="11" fillId="0" borderId="0" xfId="63" applyFont="1" applyAlignment="1">
      <alignment vertical="center"/>
      <protection/>
    </xf>
    <xf numFmtId="4" fontId="12" fillId="0" borderId="0" xfId="63" applyNumberFormat="1" applyFont="1">
      <alignment/>
      <protection/>
    </xf>
    <xf numFmtId="2" fontId="0" fillId="0" borderId="0" xfId="63" applyNumberFormat="1" applyFont="1">
      <alignment/>
      <protection/>
    </xf>
    <xf numFmtId="4" fontId="0" fillId="0" borderId="0" xfId="63" applyNumberFormat="1" applyFont="1">
      <alignment/>
      <protection/>
    </xf>
    <xf numFmtId="3" fontId="9" fillId="0" borderId="0" xfId="63" applyNumberFormat="1" applyFont="1" applyAlignment="1">
      <alignment vertical="center"/>
      <protection/>
    </xf>
    <xf numFmtId="3" fontId="11" fillId="0" borderId="0" xfId="63" applyNumberFormat="1" applyFont="1" applyAlignment="1">
      <alignment vertical="center"/>
      <protection/>
    </xf>
    <xf numFmtId="0" fontId="6" fillId="32" borderId="10" xfId="63" applyFont="1" applyFill="1" applyBorder="1" applyAlignment="1">
      <alignment horizontal="center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56" applyFont="1" applyFill="1" applyBorder="1" applyAlignment="1">
      <alignment vertical="center" wrapText="1"/>
      <protection/>
    </xf>
    <xf numFmtId="0" fontId="18" fillId="0" borderId="10" xfId="0" applyFont="1" applyFill="1" applyBorder="1" applyAlignment="1">
      <alignment horizontal="left" vertical="center" wrapText="1"/>
    </xf>
    <xf numFmtId="0" fontId="13" fillId="0" borderId="10" xfId="56" applyFont="1" applyFill="1" applyBorder="1" applyAlignment="1">
      <alignment horizontal="center" vertical="center" wrapText="1"/>
      <protection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13" fillId="0" borderId="10" xfId="55" applyFont="1" applyFill="1" applyBorder="1" applyAlignment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3" fillId="0" borderId="10" xfId="56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vertical="center" wrapText="1"/>
      <protection/>
    </xf>
    <xf numFmtId="0" fontId="6" fillId="0" borderId="10" xfId="63" applyFont="1" applyBorder="1" applyAlignment="1">
      <alignment vertical="center" wrapText="1"/>
      <protection/>
    </xf>
    <xf numFmtId="0" fontId="8" fillId="0" borderId="10" xfId="63" applyFont="1" applyFill="1" applyBorder="1" applyAlignment="1">
      <alignment vertical="center" wrapText="1"/>
      <protection/>
    </xf>
    <xf numFmtId="0" fontId="10" fillId="0" borderId="10" xfId="63" applyFont="1" applyFill="1" applyBorder="1" applyAlignment="1">
      <alignment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6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10" fillId="0" borderId="17" xfId="63" applyFont="1" applyBorder="1" applyAlignment="1">
      <alignment horizontal="center" vertical="top"/>
      <protection/>
    </xf>
    <xf numFmtId="0" fontId="3" fillId="0" borderId="10" xfId="56" applyFont="1" applyFill="1" applyBorder="1" applyAlignment="1">
      <alignment horizontal="left" vertical="center" wrapText="1"/>
      <protection/>
    </xf>
    <xf numFmtId="0" fontId="13" fillId="0" borderId="18" xfId="0" applyFont="1" applyFill="1" applyBorder="1" applyAlignment="1">
      <alignment horizontal="left" vertical="center" wrapText="1" shrinkToFit="1"/>
    </xf>
    <xf numFmtId="0" fontId="13" fillId="0" borderId="16" xfId="0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6" xfId="56" applyFont="1" applyFill="1" applyBorder="1" applyAlignment="1">
      <alignment horizontal="left" vertical="center" wrapText="1"/>
      <protection/>
    </xf>
    <xf numFmtId="0" fontId="13" fillId="0" borderId="10" xfId="56" applyFont="1" applyFill="1" applyBorder="1" applyAlignment="1">
      <alignment horizontal="left" vertical="center" wrapText="1"/>
      <protection/>
    </xf>
    <xf numFmtId="49" fontId="13" fillId="0" borderId="18" xfId="0" applyNumberFormat="1" applyFont="1" applyFill="1" applyBorder="1" applyAlignment="1">
      <alignment horizontal="left" vertical="center" wrapText="1"/>
    </xf>
    <xf numFmtId="49" fontId="13" fillId="0" borderId="16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 shrinkToFit="1"/>
    </xf>
    <xf numFmtId="49" fontId="13" fillId="0" borderId="10" xfId="56" applyNumberFormat="1" applyFont="1" applyFill="1" applyBorder="1" applyAlignment="1">
      <alignment horizontal="left" vertical="center" wrapText="1"/>
      <protection/>
    </xf>
    <xf numFmtId="0" fontId="13" fillId="0" borderId="14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left" vertical="center" wrapText="1" shrinkToFi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3" fillId="0" borderId="16" xfId="56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 shrinkToFit="1"/>
    </xf>
    <xf numFmtId="0" fontId="6" fillId="0" borderId="18" xfId="0" applyFont="1" applyFill="1" applyBorder="1" applyAlignment="1">
      <alignment horizontal="left" vertical="center" wrapText="1" shrinkToFit="1"/>
    </xf>
    <xf numFmtId="0" fontId="6" fillId="0" borderId="16" xfId="0" applyFont="1" applyFill="1" applyBorder="1" applyAlignment="1">
      <alignment horizontal="left" vertical="center" wrapText="1" shrinkToFit="1"/>
    </xf>
    <xf numFmtId="0" fontId="3" fillId="0" borderId="16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left" vertical="center" wrapText="1" shrinkToFit="1"/>
    </xf>
    <xf numFmtId="0" fontId="1" fillId="0" borderId="16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3" fillId="0" borderId="14" xfId="56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 shrinkToFit="1"/>
    </xf>
    <xf numFmtId="0" fontId="1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9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 shrinkToFi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 shrinkToFit="1"/>
    </xf>
    <xf numFmtId="0" fontId="13" fillId="0" borderId="18" xfId="56" applyFont="1" applyFill="1" applyBorder="1" applyAlignment="1">
      <alignment horizontal="left" vertical="center" wrapText="1"/>
      <protection/>
    </xf>
    <xf numFmtId="0" fontId="6" fillId="0" borderId="10" xfId="55" applyFont="1" applyFill="1" applyBorder="1" applyAlignment="1">
      <alignment horizontal="left" vertical="center" wrapText="1" shrinkToFit="1"/>
      <protection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 horizontal="left" vertical="center" wrapText="1" shrinkToFit="1"/>
    </xf>
    <xf numFmtId="0" fontId="10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_krebsiti, localuri, kalkulaciebi" xfId="57"/>
    <cellStyle name="Normal 3" xfId="58"/>
    <cellStyle name="Normal 4" xfId="59"/>
    <cellStyle name="Normal 5" xfId="60"/>
    <cellStyle name="Normal 6" xfId="61"/>
    <cellStyle name="Normal 7" xfId="62"/>
    <cellStyle name="Normal_xarjtagricxva-ert-fas-ZOMLETI-gashvebuli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21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6.7109375" style="61" customWidth="1"/>
    <col min="2" max="2" width="62.7109375" style="61" customWidth="1"/>
    <col min="3" max="3" width="20.7109375" style="61" customWidth="1"/>
    <col min="4" max="4" width="11.421875" style="61" bestFit="1" customWidth="1"/>
    <col min="5" max="16384" width="9.140625" style="61" customWidth="1"/>
  </cols>
  <sheetData>
    <row r="1" spans="1:3" ht="43.5" customHeight="1">
      <c r="A1" s="101" t="s">
        <v>471</v>
      </c>
      <c r="B1" s="102"/>
      <c r="C1" s="102"/>
    </row>
    <row r="2" spans="1:3" s="62" customFormat="1" ht="24.75" customHeight="1">
      <c r="A2" s="103" t="s">
        <v>455</v>
      </c>
      <c r="B2" s="103"/>
      <c r="C2" s="103"/>
    </row>
    <row r="3" spans="1:3" ht="39.75" customHeight="1">
      <c r="A3" s="95" t="s">
        <v>456</v>
      </c>
      <c r="B3" s="95" t="s">
        <v>457</v>
      </c>
      <c r="C3" s="95" t="s">
        <v>458</v>
      </c>
    </row>
    <row r="4" spans="1:3" s="64" customFormat="1" ht="15" customHeight="1">
      <c r="A4" s="78">
        <v>1</v>
      </c>
      <c r="B4" s="78">
        <v>2</v>
      </c>
      <c r="C4" s="78">
        <v>3</v>
      </c>
    </row>
    <row r="5" spans="1:3" s="64" customFormat="1" ht="21.75" customHeight="1">
      <c r="A5" s="63">
        <v>1</v>
      </c>
      <c r="B5" s="96" t="s">
        <v>470</v>
      </c>
      <c r="C5" s="65"/>
    </row>
    <row r="6" spans="1:3" s="64" customFormat="1" ht="21.75" customHeight="1">
      <c r="A6" s="63">
        <v>2</v>
      </c>
      <c r="B6" s="97" t="s">
        <v>459</v>
      </c>
      <c r="C6" s="65"/>
    </row>
    <row r="7" spans="1:3" s="64" customFormat="1" ht="21.75" customHeight="1">
      <c r="A7" s="63">
        <v>3</v>
      </c>
      <c r="B7" s="97" t="s">
        <v>460</v>
      </c>
      <c r="C7" s="66"/>
    </row>
    <row r="8" spans="1:3" s="64" customFormat="1" ht="21.75" customHeight="1">
      <c r="A8" s="63">
        <v>4</v>
      </c>
      <c r="B8" s="97" t="s">
        <v>461</v>
      </c>
      <c r="C8" s="65"/>
    </row>
    <row r="9" spans="1:3" s="64" customFormat="1" ht="21.75" customHeight="1">
      <c r="A9" s="63">
        <v>5</v>
      </c>
      <c r="B9" s="97" t="s">
        <v>462</v>
      </c>
      <c r="C9" s="66"/>
    </row>
    <row r="10" spans="1:3" s="69" customFormat="1" ht="24.75" customHeight="1">
      <c r="A10" s="67"/>
      <c r="B10" s="98" t="s">
        <v>463</v>
      </c>
      <c r="C10" s="68"/>
    </row>
    <row r="11" spans="1:3" s="69" customFormat="1" ht="24.75" customHeight="1">
      <c r="A11" s="67"/>
      <c r="B11" s="98" t="s">
        <v>464</v>
      </c>
      <c r="C11" s="68"/>
    </row>
    <row r="12" spans="1:4" s="69" customFormat="1" ht="24.75" customHeight="1">
      <c r="A12" s="67"/>
      <c r="B12" s="98" t="s">
        <v>465</v>
      </c>
      <c r="C12" s="68"/>
      <c r="D12" s="76"/>
    </row>
    <row r="13" spans="1:3" s="69" customFormat="1" ht="24.75" customHeight="1">
      <c r="A13" s="67"/>
      <c r="B13" s="98" t="s">
        <v>466</v>
      </c>
      <c r="C13" s="68"/>
    </row>
    <row r="14" spans="1:4" s="72" customFormat="1" ht="30" customHeight="1">
      <c r="A14" s="70"/>
      <c r="B14" s="99" t="s">
        <v>467</v>
      </c>
      <c r="C14" s="71"/>
      <c r="D14" s="77"/>
    </row>
    <row r="16" ht="15.75">
      <c r="C16" s="73"/>
    </row>
    <row r="18" ht="15.75">
      <c r="C18" s="73"/>
    </row>
    <row r="19" ht="15.75">
      <c r="C19" s="73"/>
    </row>
    <row r="20" spans="2:3" ht="15.75">
      <c r="B20" s="74"/>
      <c r="C20" s="73"/>
    </row>
    <row r="21" ht="12.75">
      <c r="C21" s="75"/>
    </row>
  </sheetData>
  <sheetProtection/>
  <mergeCells count="2">
    <mergeCell ref="A1:C1"/>
    <mergeCell ref="A2:C2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305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9.5" customHeight="1"/>
  <cols>
    <col min="1" max="1" width="6.28125" style="29" customWidth="1"/>
    <col min="2" max="2" width="33.7109375" style="52" customWidth="1"/>
    <col min="3" max="3" width="20.7109375" style="52" customWidth="1"/>
    <col min="4" max="4" width="6.140625" style="29" customWidth="1"/>
    <col min="5" max="5" width="8.7109375" style="29" customWidth="1"/>
    <col min="6" max="7" width="10.28125" style="29" customWidth="1"/>
    <col min="8" max="16384" width="9.140625" style="2" customWidth="1"/>
  </cols>
  <sheetData>
    <row r="1" spans="1:7" ht="21" customHeight="1">
      <c r="A1" s="151" t="s">
        <v>468</v>
      </c>
      <c r="B1" s="152"/>
      <c r="C1" s="152"/>
      <c r="D1" s="152"/>
      <c r="E1" s="152"/>
      <c r="F1" s="152"/>
      <c r="G1" s="152"/>
    </row>
    <row r="2" spans="1:7" ht="37.5" customHeight="1">
      <c r="A2" s="161" t="s">
        <v>472</v>
      </c>
      <c r="B2" s="162"/>
      <c r="C2" s="162"/>
      <c r="D2" s="162"/>
      <c r="E2" s="162"/>
      <c r="F2" s="162"/>
      <c r="G2" s="162"/>
    </row>
    <row r="3" spans="1:7" s="1" customFormat="1" ht="21.75" customHeight="1">
      <c r="A3" s="153" t="s">
        <v>0</v>
      </c>
      <c r="B3" s="155" t="s">
        <v>211</v>
      </c>
      <c r="C3" s="155"/>
      <c r="D3" s="156" t="s">
        <v>212</v>
      </c>
      <c r="E3" s="156" t="s">
        <v>213</v>
      </c>
      <c r="F3" s="158" t="s">
        <v>214</v>
      </c>
      <c r="G3" s="159"/>
    </row>
    <row r="4" spans="1:7" s="1" customFormat="1" ht="21.75" customHeight="1">
      <c r="A4" s="154"/>
      <c r="B4" s="155"/>
      <c r="C4" s="155"/>
      <c r="D4" s="157"/>
      <c r="E4" s="157"/>
      <c r="F4" s="30" t="s">
        <v>215</v>
      </c>
      <c r="G4" s="30" t="s">
        <v>216</v>
      </c>
    </row>
    <row r="5" spans="1:7" s="1" customFormat="1" ht="15" customHeight="1">
      <c r="A5" s="30">
        <v>1</v>
      </c>
      <c r="B5" s="160">
        <v>2</v>
      </c>
      <c r="C5" s="160"/>
      <c r="D5" s="30">
        <v>3</v>
      </c>
      <c r="E5" s="30">
        <v>4</v>
      </c>
      <c r="F5" s="27">
        <v>5</v>
      </c>
      <c r="G5" s="27">
        <v>6</v>
      </c>
    </row>
    <row r="6" spans="1:7" ht="30" customHeight="1">
      <c r="A6" s="130" t="s">
        <v>254</v>
      </c>
      <c r="B6" s="130"/>
      <c r="C6" s="130"/>
      <c r="D6" s="130"/>
      <c r="E6" s="130"/>
      <c r="F6" s="130"/>
      <c r="G6" s="130"/>
    </row>
    <row r="7" spans="1:7" ht="24.75" customHeight="1">
      <c r="A7" s="31">
        <v>1.1</v>
      </c>
      <c r="B7" s="112" t="s">
        <v>217</v>
      </c>
      <c r="C7" s="112"/>
      <c r="D7" s="80" t="s">
        <v>1</v>
      </c>
      <c r="E7" s="7">
        <f>0.5+0.5+0.5+0.2+0.3+0.5+0.5+0.5+1.5+0.5+0.4</f>
        <v>5.9</v>
      </c>
      <c r="F7" s="28"/>
      <c r="G7" s="28"/>
    </row>
    <row r="8" spans="1:7" s="1" customFormat="1" ht="24.75" customHeight="1">
      <c r="A8" s="32">
        <v>1.2</v>
      </c>
      <c r="B8" s="106" t="s">
        <v>218</v>
      </c>
      <c r="C8" s="112"/>
      <c r="D8" s="80" t="s">
        <v>219</v>
      </c>
      <c r="E8" s="7">
        <f>120+7840</f>
        <v>7960</v>
      </c>
      <c r="F8" s="28"/>
      <c r="G8" s="28"/>
    </row>
    <row r="9" spans="1:7" s="1" customFormat="1" ht="24.75" customHeight="1">
      <c r="A9" s="32">
        <v>1.3</v>
      </c>
      <c r="B9" s="106" t="s">
        <v>220</v>
      </c>
      <c r="C9" s="112"/>
      <c r="D9" s="80"/>
      <c r="E9" s="7"/>
      <c r="F9" s="28"/>
      <c r="G9" s="28"/>
    </row>
    <row r="10" spans="1:7" s="1" customFormat="1" ht="24.75" customHeight="1">
      <c r="A10" s="33"/>
      <c r="B10" s="106" t="s">
        <v>221</v>
      </c>
      <c r="C10" s="112"/>
      <c r="D10" s="80" t="s">
        <v>222</v>
      </c>
      <c r="E10" s="7">
        <v>8</v>
      </c>
      <c r="F10" s="28"/>
      <c r="G10" s="28"/>
    </row>
    <row r="11" spans="1:7" s="1" customFormat="1" ht="24.75" customHeight="1">
      <c r="A11" s="33"/>
      <c r="B11" s="106" t="s">
        <v>223</v>
      </c>
      <c r="C11" s="112"/>
      <c r="D11" s="80" t="s">
        <v>222</v>
      </c>
      <c r="E11" s="7">
        <v>4</v>
      </c>
      <c r="F11" s="28"/>
      <c r="G11" s="28"/>
    </row>
    <row r="12" spans="1:7" s="1" customFormat="1" ht="24.75" customHeight="1">
      <c r="A12" s="34"/>
      <c r="B12" s="106" t="s">
        <v>224</v>
      </c>
      <c r="C12" s="112"/>
      <c r="D12" s="80" t="s">
        <v>222</v>
      </c>
      <c r="E12" s="7">
        <v>2</v>
      </c>
      <c r="F12" s="28"/>
      <c r="G12" s="28"/>
    </row>
    <row r="13" spans="1:7" s="1" customFormat="1" ht="24.75" customHeight="1">
      <c r="A13" s="15" t="s">
        <v>43</v>
      </c>
      <c r="B13" s="112" t="s">
        <v>225</v>
      </c>
      <c r="C13" s="112"/>
      <c r="D13" s="80" t="s">
        <v>222</v>
      </c>
      <c r="E13" s="5" t="s">
        <v>52</v>
      </c>
      <c r="F13" s="28"/>
      <c r="G13" s="28"/>
    </row>
    <row r="14" spans="1:7" s="1" customFormat="1" ht="34.5" customHeight="1">
      <c r="A14" s="15" t="s">
        <v>45</v>
      </c>
      <c r="B14" s="112" t="s">
        <v>226</v>
      </c>
      <c r="C14" s="112"/>
      <c r="D14" s="80" t="s">
        <v>222</v>
      </c>
      <c r="E14" s="4">
        <f>12+18+6+2</f>
        <v>38</v>
      </c>
      <c r="F14" s="28"/>
      <c r="G14" s="28"/>
    </row>
    <row r="15" spans="1:7" s="1" customFormat="1" ht="34.5" customHeight="1">
      <c r="A15" s="15" t="s">
        <v>44</v>
      </c>
      <c r="B15" s="112" t="s">
        <v>227</v>
      </c>
      <c r="C15" s="112"/>
      <c r="D15" s="80" t="s">
        <v>222</v>
      </c>
      <c r="E15" s="4">
        <f>24+18</f>
        <v>42</v>
      </c>
      <c r="F15" s="28"/>
      <c r="G15" s="28"/>
    </row>
    <row r="16" spans="1:7" s="1" customFormat="1" ht="49.5" customHeight="1">
      <c r="A16" s="11" t="s">
        <v>46</v>
      </c>
      <c r="B16" s="150" t="s">
        <v>228</v>
      </c>
      <c r="C16" s="125"/>
      <c r="D16" s="80" t="s">
        <v>222</v>
      </c>
      <c r="E16" s="5" t="s">
        <v>180</v>
      </c>
      <c r="F16" s="28"/>
      <c r="G16" s="28"/>
    </row>
    <row r="17" spans="1:7" s="1" customFormat="1" ht="34.5" customHeight="1">
      <c r="A17" s="11" t="s">
        <v>25</v>
      </c>
      <c r="B17" s="126" t="s">
        <v>229</v>
      </c>
      <c r="C17" s="126"/>
      <c r="D17" s="80" t="s">
        <v>222</v>
      </c>
      <c r="E17" s="5" t="s">
        <v>181</v>
      </c>
      <c r="F17" s="28"/>
      <c r="G17" s="28"/>
    </row>
    <row r="18" spans="1:7" s="1" customFormat="1" ht="34.5" customHeight="1">
      <c r="A18" s="15" t="s">
        <v>55</v>
      </c>
      <c r="B18" s="112" t="s">
        <v>230</v>
      </c>
      <c r="C18" s="112"/>
      <c r="D18" s="81" t="s">
        <v>231</v>
      </c>
      <c r="E18" s="5" t="s">
        <v>182</v>
      </c>
      <c r="F18" s="28"/>
      <c r="G18" s="28"/>
    </row>
    <row r="19" spans="1:7" s="1" customFormat="1" ht="34.5" customHeight="1">
      <c r="A19" s="15" t="s">
        <v>56</v>
      </c>
      <c r="B19" s="112" t="s">
        <v>232</v>
      </c>
      <c r="C19" s="112"/>
      <c r="D19" s="81" t="s">
        <v>2</v>
      </c>
      <c r="E19" s="5" t="s">
        <v>183</v>
      </c>
      <c r="F19" s="28"/>
      <c r="G19" s="28"/>
    </row>
    <row r="20" spans="1:7" s="1" customFormat="1" ht="34.5" customHeight="1">
      <c r="A20" s="15" t="s">
        <v>57</v>
      </c>
      <c r="B20" s="112" t="s">
        <v>233</v>
      </c>
      <c r="C20" s="112"/>
      <c r="D20" s="81" t="s">
        <v>231</v>
      </c>
      <c r="E20" s="5" t="s">
        <v>184</v>
      </c>
      <c r="F20" s="28"/>
      <c r="G20" s="28"/>
    </row>
    <row r="21" spans="1:7" s="1" customFormat="1" ht="34.5" customHeight="1">
      <c r="A21" s="15" t="s">
        <v>58</v>
      </c>
      <c r="B21" s="112" t="s">
        <v>234</v>
      </c>
      <c r="C21" s="112"/>
      <c r="D21" s="81" t="s">
        <v>235</v>
      </c>
      <c r="E21" s="5" t="s">
        <v>203</v>
      </c>
      <c r="F21" s="28"/>
      <c r="G21" s="28"/>
    </row>
    <row r="22" spans="1:7" s="1" customFormat="1" ht="34.5" customHeight="1">
      <c r="A22" s="15" t="s">
        <v>59</v>
      </c>
      <c r="B22" s="112" t="s">
        <v>236</v>
      </c>
      <c r="C22" s="112"/>
      <c r="D22" s="81" t="s">
        <v>235</v>
      </c>
      <c r="E22" s="5" t="s">
        <v>204</v>
      </c>
      <c r="F22" s="28"/>
      <c r="G22" s="28"/>
    </row>
    <row r="23" spans="1:7" s="1" customFormat="1" ht="24.75" customHeight="1">
      <c r="A23" s="15" t="s">
        <v>60</v>
      </c>
      <c r="B23" s="112" t="s">
        <v>237</v>
      </c>
      <c r="C23" s="112"/>
      <c r="D23" s="81" t="s">
        <v>235</v>
      </c>
      <c r="E23" s="5" t="s">
        <v>205</v>
      </c>
      <c r="F23" s="28"/>
      <c r="G23" s="28"/>
    </row>
    <row r="24" spans="1:7" s="1" customFormat="1" ht="34.5" customHeight="1">
      <c r="A24" s="15" t="s">
        <v>61</v>
      </c>
      <c r="B24" s="112" t="s">
        <v>238</v>
      </c>
      <c r="C24" s="112"/>
      <c r="D24" s="80" t="s">
        <v>239</v>
      </c>
      <c r="E24" s="5" t="s">
        <v>185</v>
      </c>
      <c r="F24" s="28"/>
      <c r="G24" s="28"/>
    </row>
    <row r="25" spans="1:7" s="1" customFormat="1" ht="34.5" customHeight="1">
      <c r="A25" s="15" t="s">
        <v>62</v>
      </c>
      <c r="B25" s="112" t="s">
        <v>240</v>
      </c>
      <c r="C25" s="112"/>
      <c r="D25" s="80" t="s">
        <v>241</v>
      </c>
      <c r="E25" s="4">
        <f>1+1</f>
        <v>2</v>
      </c>
      <c r="F25" s="28"/>
      <c r="G25" s="28"/>
    </row>
    <row r="26" spans="1:7" s="1" customFormat="1" ht="34.5" customHeight="1">
      <c r="A26" s="15" t="s">
        <v>63</v>
      </c>
      <c r="B26" s="112" t="s">
        <v>242</v>
      </c>
      <c r="C26" s="112"/>
      <c r="D26" s="80" t="s">
        <v>241</v>
      </c>
      <c r="E26" s="4">
        <f>6+1.7+3.4</f>
        <v>11.1</v>
      </c>
      <c r="F26" s="28"/>
      <c r="G26" s="28"/>
    </row>
    <row r="27" spans="1:7" s="1" customFormat="1" ht="34.5" customHeight="1">
      <c r="A27" s="15" t="s">
        <v>64</v>
      </c>
      <c r="B27" s="112" t="s">
        <v>243</v>
      </c>
      <c r="C27" s="112"/>
      <c r="D27" s="80" t="s">
        <v>241</v>
      </c>
      <c r="E27" s="26">
        <f>1.14*1.5*2</f>
        <v>3.42</v>
      </c>
      <c r="F27" s="28"/>
      <c r="G27" s="28"/>
    </row>
    <row r="28" spans="1:7" s="1" customFormat="1" ht="34.5" customHeight="1">
      <c r="A28" s="15" t="s">
        <v>65</v>
      </c>
      <c r="B28" s="112" t="s">
        <v>238</v>
      </c>
      <c r="C28" s="112"/>
      <c r="D28" s="80" t="s">
        <v>239</v>
      </c>
      <c r="E28" s="5" t="s">
        <v>186</v>
      </c>
      <c r="F28" s="28"/>
      <c r="G28" s="28"/>
    </row>
    <row r="29" spans="1:7" s="1" customFormat="1" ht="34.5" customHeight="1">
      <c r="A29" s="15" t="s">
        <v>66</v>
      </c>
      <c r="B29" s="112" t="s">
        <v>244</v>
      </c>
      <c r="C29" s="112"/>
      <c r="D29" s="80" t="s">
        <v>241</v>
      </c>
      <c r="E29" s="4">
        <f>ROUND(1*2*15,0)</f>
        <v>30</v>
      </c>
      <c r="F29" s="28"/>
      <c r="G29" s="28"/>
    </row>
    <row r="30" spans="1:7" s="1" customFormat="1" ht="24.75" customHeight="1">
      <c r="A30" s="37">
        <v>1.21</v>
      </c>
      <c r="B30" s="122" t="s">
        <v>245</v>
      </c>
      <c r="C30" s="123"/>
      <c r="D30" s="123"/>
      <c r="E30" s="123"/>
      <c r="F30" s="123"/>
      <c r="G30" s="124"/>
    </row>
    <row r="31" spans="1:7" s="1" customFormat="1" ht="34.5" customHeight="1">
      <c r="A31" s="9" t="s">
        <v>67</v>
      </c>
      <c r="B31" s="106" t="s">
        <v>246</v>
      </c>
      <c r="C31" s="112"/>
      <c r="D31" s="80" t="s">
        <v>219</v>
      </c>
      <c r="E31" s="4">
        <f>90+195</f>
        <v>285</v>
      </c>
      <c r="F31" s="28"/>
      <c r="G31" s="28"/>
    </row>
    <row r="32" spans="1:7" s="1" customFormat="1" ht="34.5" customHeight="1">
      <c r="A32" s="9" t="s">
        <v>68</v>
      </c>
      <c r="B32" s="125" t="s">
        <v>247</v>
      </c>
      <c r="C32" s="126"/>
      <c r="D32" s="6" t="s">
        <v>5</v>
      </c>
      <c r="E32" s="7">
        <f>60+130</f>
        <v>190</v>
      </c>
      <c r="F32" s="28"/>
      <c r="G32" s="28"/>
    </row>
    <row r="33" spans="1:7" s="1" customFormat="1" ht="24.75" customHeight="1">
      <c r="A33" s="5"/>
      <c r="B33" s="134" t="s">
        <v>250</v>
      </c>
      <c r="C33" s="134"/>
      <c r="D33" s="134"/>
      <c r="E33" s="134"/>
      <c r="F33" s="134"/>
      <c r="G33" s="134"/>
    </row>
    <row r="34" spans="1:7" s="1" customFormat="1" ht="34.5" customHeight="1">
      <c r="A34" s="5" t="s">
        <v>69</v>
      </c>
      <c r="B34" s="135" t="s">
        <v>248</v>
      </c>
      <c r="C34" s="119"/>
      <c r="D34" s="80" t="s">
        <v>241</v>
      </c>
      <c r="E34" s="4">
        <f>ROUND(5*11*0.3,1)</f>
        <v>16.5</v>
      </c>
      <c r="F34" s="28"/>
      <c r="G34" s="28"/>
    </row>
    <row r="35" spans="1:7" s="1" customFormat="1" ht="34.5" customHeight="1">
      <c r="A35" s="5" t="s">
        <v>70</v>
      </c>
      <c r="B35" s="109" t="s">
        <v>249</v>
      </c>
      <c r="C35" s="109"/>
      <c r="D35" s="80" t="s">
        <v>241</v>
      </c>
      <c r="E35" s="4">
        <f>ROUND((0.6*0.2*4*4)+(3*8*0.2),1)</f>
        <v>6.7</v>
      </c>
      <c r="F35" s="28"/>
      <c r="G35" s="28"/>
    </row>
    <row r="36" spans="1:7" s="21" customFormat="1" ht="24.75" customHeight="1">
      <c r="A36" s="23" t="s">
        <v>71</v>
      </c>
      <c r="B36" s="148" t="s">
        <v>469</v>
      </c>
      <c r="C36" s="148"/>
      <c r="D36" s="148"/>
      <c r="E36" s="148"/>
      <c r="F36" s="148"/>
      <c r="G36" s="148"/>
    </row>
    <row r="37" spans="1:7" s="3" customFormat="1" ht="34.5" customHeight="1">
      <c r="A37" s="5" t="s">
        <v>72</v>
      </c>
      <c r="B37" s="125" t="s">
        <v>251</v>
      </c>
      <c r="C37" s="149"/>
      <c r="D37" s="83" t="s">
        <v>252</v>
      </c>
      <c r="E37" s="4">
        <v>10</v>
      </c>
      <c r="F37" s="28"/>
      <c r="G37" s="28"/>
    </row>
    <row r="38" spans="1:7" s="21" customFormat="1" ht="24.75" customHeight="1">
      <c r="A38" s="24" t="s">
        <v>73</v>
      </c>
      <c r="B38" s="125" t="s">
        <v>253</v>
      </c>
      <c r="C38" s="126"/>
      <c r="D38" s="83" t="s">
        <v>3</v>
      </c>
      <c r="E38" s="22">
        <f>31+54+0.9+360+27</f>
        <v>472.9</v>
      </c>
      <c r="F38" s="28"/>
      <c r="G38" s="28"/>
    </row>
    <row r="39" spans="1:7" ht="24.75" customHeight="1">
      <c r="A39" s="6"/>
      <c r="B39" s="134" t="s">
        <v>255</v>
      </c>
      <c r="C39" s="134"/>
      <c r="D39" s="134"/>
      <c r="E39" s="134"/>
      <c r="F39" s="134"/>
      <c r="G39" s="79"/>
    </row>
    <row r="40" spans="1:7" ht="30" customHeight="1">
      <c r="A40" s="130" t="s">
        <v>265</v>
      </c>
      <c r="B40" s="130"/>
      <c r="C40" s="130"/>
      <c r="D40" s="130"/>
      <c r="E40" s="130"/>
      <c r="F40" s="130"/>
      <c r="G40" s="130"/>
    </row>
    <row r="41" spans="1:7" ht="34.5" customHeight="1">
      <c r="A41" s="37">
        <v>2.1</v>
      </c>
      <c r="B41" s="114" t="s">
        <v>256</v>
      </c>
      <c r="C41" s="106"/>
      <c r="D41" s="80" t="s">
        <v>241</v>
      </c>
      <c r="E41" s="7">
        <f>720+374+726+1424+272+917+2889+202+4736+1661</f>
        <v>13921</v>
      </c>
      <c r="F41" s="28"/>
      <c r="G41" s="28"/>
    </row>
    <row r="42" spans="1:7" ht="34.5" customHeight="1">
      <c r="A42" s="37">
        <v>2.2</v>
      </c>
      <c r="B42" s="114" t="s">
        <v>257</v>
      </c>
      <c r="C42" s="106"/>
      <c r="D42" s="80" t="s">
        <v>241</v>
      </c>
      <c r="E42" s="13">
        <f>350+5022</f>
        <v>5372</v>
      </c>
      <c r="F42" s="28"/>
      <c r="G42" s="28"/>
    </row>
    <row r="43" spans="1:7" ht="24.75" customHeight="1">
      <c r="A43" s="37">
        <v>2.3</v>
      </c>
      <c r="B43" s="114" t="s">
        <v>258</v>
      </c>
      <c r="C43" s="106"/>
      <c r="D43" s="80" t="s">
        <v>241</v>
      </c>
      <c r="E43" s="13">
        <f>18+90</f>
        <v>108</v>
      </c>
      <c r="F43" s="28"/>
      <c r="G43" s="28"/>
    </row>
    <row r="44" spans="1:7" ht="34.5" customHeight="1">
      <c r="A44" s="37">
        <v>2.4</v>
      </c>
      <c r="B44" s="112" t="s">
        <v>259</v>
      </c>
      <c r="C44" s="112"/>
      <c r="D44" s="80" t="s">
        <v>241</v>
      </c>
      <c r="E44" s="13">
        <f>1704.3+770+3059+960</f>
        <v>6493.3</v>
      </c>
      <c r="F44" s="28"/>
      <c r="G44" s="28"/>
    </row>
    <row r="45" spans="1:7" ht="34.5" customHeight="1">
      <c r="A45" s="37">
        <v>2.5</v>
      </c>
      <c r="B45" s="112" t="s">
        <v>260</v>
      </c>
      <c r="C45" s="112"/>
      <c r="D45" s="80" t="s">
        <v>241</v>
      </c>
      <c r="E45" s="13">
        <f>89.7+41+161+51</f>
        <v>342.7</v>
      </c>
      <c r="F45" s="28"/>
      <c r="G45" s="28"/>
    </row>
    <row r="46" spans="1:7" ht="34.5" customHeight="1">
      <c r="A46" s="37">
        <v>2.6</v>
      </c>
      <c r="B46" s="112" t="s">
        <v>261</v>
      </c>
      <c r="C46" s="112"/>
      <c r="D46" s="80" t="s">
        <v>241</v>
      </c>
      <c r="E46" s="13">
        <f>3370.4+368+3666+345+273+4210+1449+79+2838</f>
        <v>16598.4</v>
      </c>
      <c r="F46" s="28"/>
      <c r="G46" s="28"/>
    </row>
    <row r="47" spans="1:7" ht="34.5" customHeight="1">
      <c r="A47" s="37">
        <v>2.7</v>
      </c>
      <c r="B47" s="112" t="s">
        <v>262</v>
      </c>
      <c r="C47" s="112"/>
      <c r="D47" s="80" t="s">
        <v>241</v>
      </c>
      <c r="E47" s="7">
        <v>665</v>
      </c>
      <c r="F47" s="28"/>
      <c r="G47" s="28"/>
    </row>
    <row r="48" spans="1:7" ht="24.75" customHeight="1">
      <c r="A48" s="37">
        <v>2.8</v>
      </c>
      <c r="B48" s="112" t="s">
        <v>263</v>
      </c>
      <c r="C48" s="112"/>
      <c r="D48" s="80" t="s">
        <v>241</v>
      </c>
      <c r="E48" s="13">
        <f>E44+E45+E46</f>
        <v>23434.4</v>
      </c>
      <c r="F48" s="28"/>
      <c r="G48" s="28"/>
    </row>
    <row r="49" spans="1:7" ht="24.75" customHeight="1">
      <c r="A49" s="6"/>
      <c r="B49" s="134" t="s">
        <v>264</v>
      </c>
      <c r="C49" s="134"/>
      <c r="D49" s="134"/>
      <c r="E49" s="134"/>
      <c r="F49" s="134"/>
      <c r="G49" s="79"/>
    </row>
    <row r="50" spans="1:7" ht="30" customHeight="1">
      <c r="A50" s="130" t="s">
        <v>266</v>
      </c>
      <c r="B50" s="130"/>
      <c r="C50" s="130"/>
      <c r="D50" s="130"/>
      <c r="E50" s="130"/>
      <c r="F50" s="130"/>
      <c r="G50" s="130"/>
    </row>
    <row r="51" spans="1:7" s="3" customFormat="1" ht="24.75" customHeight="1">
      <c r="A51" s="14" t="s">
        <v>27</v>
      </c>
      <c r="B51" s="131" t="s">
        <v>267</v>
      </c>
      <c r="C51" s="132"/>
      <c r="D51" s="132"/>
      <c r="E51" s="132"/>
      <c r="F51" s="132"/>
      <c r="G51" s="133"/>
    </row>
    <row r="52" spans="1:7" s="1" customFormat="1" ht="24.75" customHeight="1">
      <c r="A52" s="10" t="s">
        <v>14</v>
      </c>
      <c r="B52" s="129" t="s">
        <v>268</v>
      </c>
      <c r="C52" s="108"/>
      <c r="D52" s="80" t="s">
        <v>241</v>
      </c>
      <c r="E52" s="12">
        <v>96</v>
      </c>
      <c r="F52" s="28"/>
      <c r="G52" s="28"/>
    </row>
    <row r="53" spans="1:7" s="1" customFormat="1" ht="24.75" customHeight="1">
      <c r="A53" s="5" t="s">
        <v>15</v>
      </c>
      <c r="B53" s="129" t="s">
        <v>269</v>
      </c>
      <c r="C53" s="108"/>
      <c r="D53" s="84" t="s">
        <v>241</v>
      </c>
      <c r="E53" s="4">
        <v>5</v>
      </c>
      <c r="F53" s="28"/>
      <c r="G53" s="28"/>
    </row>
    <row r="54" spans="1:7" s="1" customFormat="1" ht="24.75" customHeight="1">
      <c r="A54" s="5" t="s">
        <v>16</v>
      </c>
      <c r="B54" s="109" t="s">
        <v>270</v>
      </c>
      <c r="C54" s="109"/>
      <c r="D54" s="80" t="s">
        <v>241</v>
      </c>
      <c r="E54" s="4">
        <v>10</v>
      </c>
      <c r="F54" s="28"/>
      <c r="G54" s="28"/>
    </row>
    <row r="55" spans="1:7" s="1" customFormat="1" ht="24.75" customHeight="1">
      <c r="A55" s="10" t="s">
        <v>17</v>
      </c>
      <c r="B55" s="109" t="s">
        <v>271</v>
      </c>
      <c r="C55" s="109"/>
      <c r="D55" s="80" t="s">
        <v>241</v>
      </c>
      <c r="E55" s="4">
        <v>7.2</v>
      </c>
      <c r="F55" s="28"/>
      <c r="G55" s="28"/>
    </row>
    <row r="56" spans="1:7" s="1" customFormat="1" ht="24.75" customHeight="1">
      <c r="A56" s="9" t="s">
        <v>18</v>
      </c>
      <c r="B56" s="147" t="s">
        <v>272</v>
      </c>
      <c r="C56" s="108"/>
      <c r="D56" s="85"/>
      <c r="E56" s="38"/>
      <c r="F56" s="28"/>
      <c r="G56" s="28"/>
    </row>
    <row r="57" spans="1:7" s="1" customFormat="1" ht="24.75" customHeight="1">
      <c r="A57" s="8"/>
      <c r="B57" s="108" t="s">
        <v>273</v>
      </c>
      <c r="C57" s="109"/>
      <c r="D57" s="80" t="s">
        <v>241</v>
      </c>
      <c r="E57" s="4">
        <v>46.2</v>
      </c>
      <c r="F57" s="28"/>
      <c r="G57" s="28"/>
    </row>
    <row r="58" spans="1:7" s="1" customFormat="1" ht="24.75" customHeight="1">
      <c r="A58" s="10"/>
      <c r="B58" s="108" t="s">
        <v>274</v>
      </c>
      <c r="C58" s="109"/>
      <c r="D58" s="80" t="s">
        <v>3</v>
      </c>
      <c r="E58" s="4">
        <v>2220</v>
      </c>
      <c r="F58" s="28"/>
      <c r="G58" s="28"/>
    </row>
    <row r="59" spans="1:7" s="1" customFormat="1" ht="24.75" customHeight="1">
      <c r="A59" s="8" t="s">
        <v>19</v>
      </c>
      <c r="B59" s="108" t="s">
        <v>275</v>
      </c>
      <c r="C59" s="109"/>
      <c r="D59" s="85"/>
      <c r="E59" s="38"/>
      <c r="F59" s="28"/>
      <c r="G59" s="28"/>
    </row>
    <row r="60" spans="1:7" s="1" customFormat="1" ht="24.75" customHeight="1">
      <c r="A60" s="8"/>
      <c r="B60" s="108" t="s">
        <v>273</v>
      </c>
      <c r="C60" s="109"/>
      <c r="D60" s="80" t="s">
        <v>241</v>
      </c>
      <c r="E60" s="4">
        <v>44.1</v>
      </c>
      <c r="F60" s="28"/>
      <c r="G60" s="28"/>
    </row>
    <row r="61" spans="1:7" s="1" customFormat="1" ht="24.75" customHeight="1">
      <c r="A61" s="10"/>
      <c r="B61" s="108" t="s">
        <v>274</v>
      </c>
      <c r="C61" s="109"/>
      <c r="D61" s="80" t="s">
        <v>3</v>
      </c>
      <c r="E61" s="4">
        <v>1320</v>
      </c>
      <c r="F61" s="28"/>
      <c r="G61" s="28"/>
    </row>
    <row r="62" spans="1:7" s="1" customFormat="1" ht="24.75" customHeight="1">
      <c r="A62" s="9" t="s">
        <v>20</v>
      </c>
      <c r="B62" s="109" t="s">
        <v>276</v>
      </c>
      <c r="C62" s="109"/>
      <c r="D62" s="85"/>
      <c r="E62" s="38"/>
      <c r="F62" s="28"/>
      <c r="G62" s="28"/>
    </row>
    <row r="63" spans="1:7" s="1" customFormat="1" ht="24.75" customHeight="1">
      <c r="A63" s="8"/>
      <c r="B63" s="108" t="s">
        <v>277</v>
      </c>
      <c r="C63" s="109"/>
      <c r="D63" s="80" t="s">
        <v>219</v>
      </c>
      <c r="E63" s="4">
        <v>179</v>
      </c>
      <c r="F63" s="28"/>
      <c r="G63" s="28"/>
    </row>
    <row r="64" spans="1:7" s="1" customFormat="1" ht="24.75" customHeight="1">
      <c r="A64" s="8"/>
      <c r="B64" s="108" t="s">
        <v>278</v>
      </c>
      <c r="C64" s="109"/>
      <c r="D64" s="80" t="s">
        <v>241</v>
      </c>
      <c r="E64" s="4">
        <v>14</v>
      </c>
      <c r="F64" s="28"/>
      <c r="G64" s="28"/>
    </row>
    <row r="65" spans="1:7" s="1" customFormat="1" ht="24.75" customHeight="1">
      <c r="A65" s="8"/>
      <c r="B65" s="108" t="s">
        <v>279</v>
      </c>
      <c r="C65" s="109"/>
      <c r="D65" s="80" t="s">
        <v>241</v>
      </c>
      <c r="E65" s="4">
        <v>22</v>
      </c>
      <c r="F65" s="28"/>
      <c r="G65" s="28"/>
    </row>
    <row r="66" spans="1:7" s="1" customFormat="1" ht="24.75" customHeight="1">
      <c r="A66" s="10"/>
      <c r="B66" s="108" t="s">
        <v>280</v>
      </c>
      <c r="C66" s="109"/>
      <c r="D66" s="80" t="s">
        <v>281</v>
      </c>
      <c r="E66" s="4">
        <v>12</v>
      </c>
      <c r="F66" s="28"/>
      <c r="G66" s="28"/>
    </row>
    <row r="67" spans="1:7" s="1" customFormat="1" ht="34.5" customHeight="1">
      <c r="A67" s="5" t="s">
        <v>30</v>
      </c>
      <c r="B67" s="108" t="s">
        <v>282</v>
      </c>
      <c r="C67" s="109"/>
      <c r="D67" s="80" t="s">
        <v>241</v>
      </c>
      <c r="E67" s="4">
        <v>193</v>
      </c>
      <c r="F67" s="28"/>
      <c r="G67" s="28"/>
    </row>
    <row r="68" spans="1:7" s="3" customFormat="1" ht="24.75" customHeight="1">
      <c r="A68" s="14" t="s">
        <v>28</v>
      </c>
      <c r="B68" s="143" t="s">
        <v>283</v>
      </c>
      <c r="C68" s="144"/>
      <c r="D68" s="144"/>
      <c r="E68" s="144"/>
      <c r="F68" s="144"/>
      <c r="G68" s="145"/>
    </row>
    <row r="69" spans="1:7" ht="24.75" customHeight="1">
      <c r="A69" s="5"/>
      <c r="B69" s="146" t="s">
        <v>284</v>
      </c>
      <c r="C69" s="146"/>
      <c r="D69" s="146"/>
      <c r="E69" s="146"/>
      <c r="F69" s="146"/>
      <c r="G69" s="146"/>
    </row>
    <row r="70" spans="1:7" ht="24.75" customHeight="1">
      <c r="A70" s="15" t="s">
        <v>22</v>
      </c>
      <c r="B70" s="129" t="s">
        <v>285</v>
      </c>
      <c r="C70" s="108"/>
      <c r="D70" s="80" t="s">
        <v>241</v>
      </c>
      <c r="E70" s="13">
        <v>12</v>
      </c>
      <c r="F70" s="28"/>
      <c r="G70" s="28"/>
    </row>
    <row r="71" spans="1:7" s="1" customFormat="1" ht="24.75" customHeight="1">
      <c r="A71" s="5" t="s">
        <v>23</v>
      </c>
      <c r="B71" s="129" t="s">
        <v>270</v>
      </c>
      <c r="C71" s="108"/>
      <c r="D71" s="80" t="s">
        <v>241</v>
      </c>
      <c r="E71" s="7">
        <v>1.7999999999999998</v>
      </c>
      <c r="F71" s="28"/>
      <c r="G71" s="28"/>
    </row>
    <row r="72" spans="1:7" s="1" customFormat="1" ht="24.75" customHeight="1">
      <c r="A72" s="9" t="s">
        <v>24</v>
      </c>
      <c r="B72" s="108" t="s">
        <v>286</v>
      </c>
      <c r="C72" s="109"/>
      <c r="D72" s="80" t="s">
        <v>241</v>
      </c>
      <c r="E72" s="7">
        <v>1.6</v>
      </c>
      <c r="F72" s="28"/>
      <c r="G72" s="28"/>
    </row>
    <row r="73" spans="1:7" s="1" customFormat="1" ht="24.75" customHeight="1">
      <c r="A73" s="9" t="s">
        <v>74</v>
      </c>
      <c r="B73" s="108" t="s">
        <v>287</v>
      </c>
      <c r="C73" s="109"/>
      <c r="D73" s="80"/>
      <c r="E73" s="7"/>
      <c r="F73" s="28"/>
      <c r="G73" s="28"/>
    </row>
    <row r="74" spans="1:7" s="1" customFormat="1" ht="24.75" customHeight="1">
      <c r="A74" s="8"/>
      <c r="B74" s="108" t="s">
        <v>273</v>
      </c>
      <c r="C74" s="109"/>
      <c r="D74" s="80" t="s">
        <v>241</v>
      </c>
      <c r="E74" s="7">
        <v>12.389999999999999</v>
      </c>
      <c r="F74" s="28"/>
      <c r="G74" s="28"/>
    </row>
    <row r="75" spans="1:7" s="1" customFormat="1" ht="24.75" customHeight="1">
      <c r="A75" s="25"/>
      <c r="B75" s="108" t="s">
        <v>274</v>
      </c>
      <c r="C75" s="109"/>
      <c r="D75" s="84" t="s">
        <v>3</v>
      </c>
      <c r="E75" s="7">
        <v>1835</v>
      </c>
      <c r="F75" s="28"/>
      <c r="G75" s="28"/>
    </row>
    <row r="76" spans="1:7" s="1" customFormat="1" ht="24.75" customHeight="1">
      <c r="A76" s="9" t="s">
        <v>75</v>
      </c>
      <c r="B76" s="108" t="s">
        <v>288</v>
      </c>
      <c r="C76" s="109"/>
      <c r="D76" s="86"/>
      <c r="E76" s="7"/>
      <c r="F76" s="28"/>
      <c r="G76" s="28"/>
    </row>
    <row r="77" spans="1:7" s="1" customFormat="1" ht="24.75" customHeight="1">
      <c r="A77" s="18"/>
      <c r="B77" s="108" t="s">
        <v>277</v>
      </c>
      <c r="C77" s="109"/>
      <c r="D77" s="80" t="s">
        <v>219</v>
      </c>
      <c r="E77" s="7">
        <v>64</v>
      </c>
      <c r="F77" s="28"/>
      <c r="G77" s="28"/>
    </row>
    <row r="78" spans="1:7" s="1" customFormat="1" ht="24.75" customHeight="1">
      <c r="A78" s="18"/>
      <c r="B78" s="109" t="s">
        <v>289</v>
      </c>
      <c r="C78" s="109"/>
      <c r="D78" s="80" t="s">
        <v>219</v>
      </c>
      <c r="E78" s="7">
        <v>3</v>
      </c>
      <c r="F78" s="28"/>
      <c r="G78" s="28"/>
    </row>
    <row r="79" spans="1:7" s="1" customFormat="1" ht="24.75" customHeight="1">
      <c r="A79" s="18"/>
      <c r="B79" s="109" t="s">
        <v>290</v>
      </c>
      <c r="C79" s="109"/>
      <c r="D79" s="87" t="s">
        <v>3</v>
      </c>
      <c r="E79" s="7">
        <v>6</v>
      </c>
      <c r="F79" s="28"/>
      <c r="G79" s="28"/>
    </row>
    <row r="80" spans="1:7" s="1" customFormat="1" ht="24.75" customHeight="1">
      <c r="A80" s="19"/>
      <c r="B80" s="109" t="s">
        <v>291</v>
      </c>
      <c r="C80" s="109"/>
      <c r="D80" s="84" t="s">
        <v>241</v>
      </c>
      <c r="E80" s="7">
        <v>0.02</v>
      </c>
      <c r="F80" s="28"/>
      <c r="G80" s="28"/>
    </row>
    <row r="81" spans="1:7" ht="24.75" customHeight="1">
      <c r="A81" s="5"/>
      <c r="B81" s="134" t="s">
        <v>292</v>
      </c>
      <c r="C81" s="134"/>
      <c r="D81" s="134"/>
      <c r="E81" s="134"/>
      <c r="F81" s="134"/>
      <c r="G81" s="134"/>
    </row>
    <row r="82" spans="1:7" s="1" customFormat="1" ht="24.75" customHeight="1">
      <c r="A82" s="11" t="s">
        <v>76</v>
      </c>
      <c r="B82" s="129" t="s">
        <v>293</v>
      </c>
      <c r="C82" s="108"/>
      <c r="D82" s="80"/>
      <c r="E82" s="4"/>
      <c r="F82" s="28"/>
      <c r="G82" s="28"/>
    </row>
    <row r="83" spans="1:7" s="1" customFormat="1" ht="24.75" customHeight="1">
      <c r="A83" s="35"/>
      <c r="B83" s="129" t="s">
        <v>294</v>
      </c>
      <c r="C83" s="108"/>
      <c r="D83" s="80" t="s">
        <v>241</v>
      </c>
      <c r="E83" s="4">
        <v>2.0999999999999996</v>
      </c>
      <c r="F83" s="28"/>
      <c r="G83" s="28"/>
    </row>
    <row r="84" spans="1:7" s="1" customFormat="1" ht="24.75" customHeight="1">
      <c r="A84" s="35"/>
      <c r="B84" s="108" t="s">
        <v>286</v>
      </c>
      <c r="C84" s="109"/>
      <c r="D84" s="80" t="s">
        <v>241</v>
      </c>
      <c r="E84" s="4" t="s">
        <v>77</v>
      </c>
      <c r="F84" s="28"/>
      <c r="G84" s="28"/>
    </row>
    <row r="85" spans="1:7" s="1" customFormat="1" ht="24.75" customHeight="1">
      <c r="A85" s="16"/>
      <c r="B85" s="109" t="s">
        <v>295</v>
      </c>
      <c r="C85" s="109"/>
      <c r="D85" s="80" t="s">
        <v>241</v>
      </c>
      <c r="E85" s="4">
        <v>4.35</v>
      </c>
      <c r="F85" s="28"/>
      <c r="G85" s="28"/>
    </row>
    <row r="86" spans="1:7" s="1" customFormat="1" ht="24.75" customHeight="1">
      <c r="A86" s="16"/>
      <c r="B86" s="109" t="s">
        <v>296</v>
      </c>
      <c r="C86" s="109"/>
      <c r="D86" s="80" t="s">
        <v>241</v>
      </c>
      <c r="E86" s="4">
        <v>4.29</v>
      </c>
      <c r="F86" s="28"/>
      <c r="G86" s="28"/>
    </row>
    <row r="87" spans="1:7" s="1" customFormat="1" ht="24.75" customHeight="1">
      <c r="A87" s="16"/>
      <c r="B87" s="109" t="s">
        <v>297</v>
      </c>
      <c r="C87" s="109"/>
      <c r="D87" s="80" t="s">
        <v>241</v>
      </c>
      <c r="E87" s="4">
        <v>2.0999999999999996</v>
      </c>
      <c r="F87" s="28"/>
      <c r="G87" s="28"/>
    </row>
    <row r="88" spans="1:7" s="1" customFormat="1" ht="24.75" customHeight="1">
      <c r="A88" s="141"/>
      <c r="B88" s="108" t="s">
        <v>274</v>
      </c>
      <c r="C88" s="109"/>
      <c r="D88" s="84" t="s">
        <v>3</v>
      </c>
      <c r="E88" s="4">
        <v>775</v>
      </c>
      <c r="F88" s="28"/>
      <c r="G88" s="28"/>
    </row>
    <row r="89" spans="1:7" s="1" customFormat="1" ht="24.75" customHeight="1">
      <c r="A89" s="142"/>
      <c r="B89" s="108" t="s">
        <v>277</v>
      </c>
      <c r="C89" s="109"/>
      <c r="D89" s="80" t="s">
        <v>219</v>
      </c>
      <c r="E89" s="4">
        <v>21</v>
      </c>
      <c r="F89" s="28"/>
      <c r="G89" s="28"/>
    </row>
    <row r="90" spans="1:7" s="1" customFormat="1" ht="24.75" customHeight="1">
      <c r="A90" s="5" t="s">
        <v>78</v>
      </c>
      <c r="B90" s="109" t="s">
        <v>298</v>
      </c>
      <c r="C90" s="109"/>
      <c r="D90" s="88" t="s">
        <v>241</v>
      </c>
      <c r="E90" s="4">
        <v>23</v>
      </c>
      <c r="F90" s="28"/>
      <c r="G90" s="28"/>
    </row>
    <row r="91" spans="1:7" s="3" customFormat="1" ht="24.75" customHeight="1">
      <c r="A91" s="14" t="s">
        <v>31</v>
      </c>
      <c r="B91" s="131" t="s">
        <v>299</v>
      </c>
      <c r="C91" s="132"/>
      <c r="D91" s="132"/>
      <c r="E91" s="132"/>
      <c r="F91" s="132"/>
      <c r="G91" s="133"/>
    </row>
    <row r="92" spans="1:7" s="1" customFormat="1" ht="24.75" customHeight="1">
      <c r="A92" s="5" t="s">
        <v>32</v>
      </c>
      <c r="B92" s="129" t="s">
        <v>285</v>
      </c>
      <c r="C92" s="108"/>
      <c r="D92" s="80" t="s">
        <v>241</v>
      </c>
      <c r="E92" s="7">
        <f>125+153+68+208</f>
        <v>554</v>
      </c>
      <c r="F92" s="28"/>
      <c r="G92" s="28"/>
    </row>
    <row r="93" spans="1:7" s="1" customFormat="1" ht="24.75" customHeight="1">
      <c r="A93" s="15" t="s">
        <v>33</v>
      </c>
      <c r="B93" s="129" t="s">
        <v>269</v>
      </c>
      <c r="C93" s="108"/>
      <c r="D93" s="80" t="s">
        <v>241</v>
      </c>
      <c r="E93" s="7">
        <f>6+8+3+11</f>
        <v>28</v>
      </c>
      <c r="F93" s="28"/>
      <c r="G93" s="28"/>
    </row>
    <row r="94" spans="1:7" s="1" customFormat="1" ht="24.75" customHeight="1">
      <c r="A94" s="5" t="s">
        <v>34</v>
      </c>
      <c r="B94" s="129" t="s">
        <v>300</v>
      </c>
      <c r="C94" s="108"/>
      <c r="D94" s="80" t="s">
        <v>241</v>
      </c>
      <c r="E94" s="41">
        <f>34+35+6.4+7+8</f>
        <v>90.4</v>
      </c>
      <c r="F94" s="28"/>
      <c r="G94" s="28"/>
    </row>
    <row r="95" spans="1:7" s="1" customFormat="1" ht="24.75" customHeight="1">
      <c r="A95" s="5" t="s">
        <v>35</v>
      </c>
      <c r="B95" s="109" t="s">
        <v>301</v>
      </c>
      <c r="C95" s="109"/>
      <c r="D95" s="80" t="s">
        <v>235</v>
      </c>
      <c r="E95" s="5" t="s">
        <v>197</v>
      </c>
      <c r="F95" s="28"/>
      <c r="G95" s="28"/>
    </row>
    <row r="96" spans="1:7" s="1" customFormat="1" ht="24.75" customHeight="1">
      <c r="A96" s="5" t="s">
        <v>79</v>
      </c>
      <c r="B96" s="108" t="s">
        <v>302</v>
      </c>
      <c r="C96" s="109"/>
      <c r="D96" s="80" t="s">
        <v>219</v>
      </c>
      <c r="E96" s="4">
        <f>80+218+224+31+63</f>
        <v>616</v>
      </c>
      <c r="F96" s="28"/>
      <c r="G96" s="28"/>
    </row>
    <row r="97" spans="1:7" s="1" customFormat="1" ht="24.75" customHeight="1">
      <c r="A97" s="11" t="s">
        <v>80</v>
      </c>
      <c r="B97" s="109" t="s">
        <v>303</v>
      </c>
      <c r="C97" s="109"/>
      <c r="D97" s="80"/>
      <c r="E97" s="4"/>
      <c r="F97" s="28"/>
      <c r="G97" s="28"/>
    </row>
    <row r="98" spans="1:7" s="1" customFormat="1" ht="24.75" customHeight="1">
      <c r="A98" s="8"/>
      <c r="B98" s="129" t="s">
        <v>270</v>
      </c>
      <c r="C98" s="108"/>
      <c r="D98" s="80" t="s">
        <v>241</v>
      </c>
      <c r="E98" s="4">
        <f>1.5+1.5+0.5+2+3</f>
        <v>8.5</v>
      </c>
      <c r="F98" s="28"/>
      <c r="G98" s="28"/>
    </row>
    <row r="99" spans="1:7" s="1" customFormat="1" ht="24.75" customHeight="1">
      <c r="A99" s="8"/>
      <c r="B99" s="108" t="s">
        <v>304</v>
      </c>
      <c r="C99" s="109"/>
      <c r="D99" s="80" t="s">
        <v>241</v>
      </c>
      <c r="E99" s="4">
        <f>9.32+9.32+9.32+9.32+28</f>
        <v>65.28</v>
      </c>
      <c r="F99" s="28"/>
      <c r="G99" s="28"/>
    </row>
    <row r="100" spans="1:7" s="1" customFormat="1" ht="24.75" customHeight="1">
      <c r="A100" s="8"/>
      <c r="B100" s="108" t="s">
        <v>305</v>
      </c>
      <c r="C100" s="109"/>
      <c r="D100" s="80" t="s">
        <v>241</v>
      </c>
      <c r="E100" s="4">
        <f>4.71+4.71+4.71+5</f>
        <v>19.13</v>
      </c>
      <c r="F100" s="28"/>
      <c r="G100" s="28"/>
    </row>
    <row r="101" spans="1:7" s="1" customFormat="1" ht="24.75" customHeight="1">
      <c r="A101" s="8"/>
      <c r="B101" s="108" t="s">
        <v>306</v>
      </c>
      <c r="C101" s="109"/>
      <c r="D101" s="80" t="s">
        <v>241</v>
      </c>
      <c r="E101" s="4">
        <f>1.56+1.56+1.56+2</f>
        <v>6.68</v>
      </c>
      <c r="F101" s="28"/>
      <c r="G101" s="28"/>
    </row>
    <row r="102" spans="1:7" s="1" customFormat="1" ht="24.75" customHeight="1">
      <c r="A102" s="8"/>
      <c r="B102" s="108" t="s">
        <v>307</v>
      </c>
      <c r="C102" s="109"/>
      <c r="D102" s="80" t="s">
        <v>241</v>
      </c>
      <c r="E102" s="4">
        <f>1.81+1.81+1.8+2</f>
        <v>7.42</v>
      </c>
      <c r="F102" s="28"/>
      <c r="G102" s="28"/>
    </row>
    <row r="103" spans="1:7" s="1" customFormat="1" ht="24.75" customHeight="1">
      <c r="A103" s="10"/>
      <c r="B103" s="108" t="s">
        <v>277</v>
      </c>
      <c r="C103" s="109"/>
      <c r="D103" s="80" t="s">
        <v>219</v>
      </c>
      <c r="E103" s="4">
        <f>54+27+144+58</f>
        <v>283</v>
      </c>
      <c r="F103" s="28"/>
      <c r="G103" s="28"/>
    </row>
    <row r="104" spans="1:8" s="1" customFormat="1" ht="24.75" customHeight="1">
      <c r="A104" s="40" t="s">
        <v>81</v>
      </c>
      <c r="B104" s="109" t="s">
        <v>308</v>
      </c>
      <c r="C104" s="109"/>
      <c r="D104" s="80" t="s">
        <v>241</v>
      </c>
      <c r="E104" s="4">
        <f>10.8+22</f>
        <v>32.8</v>
      </c>
      <c r="F104" s="28"/>
      <c r="G104" s="28"/>
      <c r="H104" s="53"/>
    </row>
    <row r="105" spans="1:7" ht="34.5" customHeight="1">
      <c r="A105" s="9" t="s">
        <v>82</v>
      </c>
      <c r="B105" s="136" t="s">
        <v>309</v>
      </c>
      <c r="C105" s="139"/>
      <c r="D105" s="80" t="s">
        <v>241</v>
      </c>
      <c r="E105" s="41">
        <v>8.475000000000001</v>
      </c>
      <c r="F105" s="28"/>
      <c r="G105" s="28"/>
    </row>
    <row r="106" spans="1:7" s="1" customFormat="1" ht="34.5" customHeight="1">
      <c r="A106" s="8"/>
      <c r="B106" s="120" t="s">
        <v>310</v>
      </c>
      <c r="C106" s="121"/>
      <c r="D106" s="84" t="s">
        <v>3</v>
      </c>
      <c r="E106" s="41">
        <v>118.5</v>
      </c>
      <c r="F106" s="28"/>
      <c r="G106" s="28"/>
    </row>
    <row r="107" spans="1:7" s="1" customFormat="1" ht="24.75" customHeight="1">
      <c r="A107" s="40" t="s">
        <v>83</v>
      </c>
      <c r="B107" s="108" t="s">
        <v>311</v>
      </c>
      <c r="C107" s="109"/>
      <c r="D107" s="80"/>
      <c r="E107" s="13"/>
      <c r="F107" s="28"/>
      <c r="G107" s="28"/>
    </row>
    <row r="108" spans="1:7" s="1" customFormat="1" ht="24.75" customHeight="1">
      <c r="A108" s="42"/>
      <c r="B108" s="106" t="s">
        <v>312</v>
      </c>
      <c r="C108" s="112"/>
      <c r="D108" s="80" t="s">
        <v>231</v>
      </c>
      <c r="E108" s="43" t="s">
        <v>181</v>
      </c>
      <c r="F108" s="28"/>
      <c r="G108" s="28"/>
    </row>
    <row r="109" spans="1:7" s="1" customFormat="1" ht="24.75" customHeight="1">
      <c r="A109" s="42"/>
      <c r="B109" s="106" t="s">
        <v>313</v>
      </c>
      <c r="C109" s="112"/>
      <c r="D109" s="80" t="s">
        <v>231</v>
      </c>
      <c r="E109" s="43" t="s">
        <v>198</v>
      </c>
      <c r="F109" s="28"/>
      <c r="G109" s="28"/>
    </row>
    <row r="110" spans="1:7" s="1" customFormat="1" ht="24.75" customHeight="1">
      <c r="A110" s="42"/>
      <c r="B110" s="106" t="s">
        <v>314</v>
      </c>
      <c r="C110" s="112"/>
      <c r="D110" s="80" t="s">
        <v>3</v>
      </c>
      <c r="E110" s="13">
        <v>5.29</v>
      </c>
      <c r="F110" s="28"/>
      <c r="G110" s="28"/>
    </row>
    <row r="111" spans="1:7" s="1" customFormat="1" ht="24.75" customHeight="1">
      <c r="A111" s="44"/>
      <c r="B111" s="106" t="s">
        <v>315</v>
      </c>
      <c r="C111" s="112"/>
      <c r="D111" s="80" t="s">
        <v>241</v>
      </c>
      <c r="E111" s="13">
        <v>11.5</v>
      </c>
      <c r="F111" s="28"/>
      <c r="G111" s="28"/>
    </row>
    <row r="112" spans="1:7" s="1" customFormat="1" ht="34.5" customHeight="1">
      <c r="A112" s="39" t="s">
        <v>84</v>
      </c>
      <c r="B112" s="121" t="s">
        <v>316</v>
      </c>
      <c r="C112" s="121"/>
      <c r="D112" s="80" t="s">
        <v>241</v>
      </c>
      <c r="E112" s="13">
        <v>68.9</v>
      </c>
      <c r="F112" s="28"/>
      <c r="G112" s="28"/>
    </row>
    <row r="113" spans="1:7" ht="49.5" customHeight="1">
      <c r="A113" s="5" t="s">
        <v>85</v>
      </c>
      <c r="B113" s="136" t="s">
        <v>334</v>
      </c>
      <c r="C113" s="139"/>
      <c r="D113" s="80" t="s">
        <v>241</v>
      </c>
      <c r="E113" s="7">
        <f>19.04+14.28</f>
        <v>33.32</v>
      </c>
      <c r="F113" s="28"/>
      <c r="G113" s="28"/>
    </row>
    <row r="114" spans="1:7" s="1" customFormat="1" ht="34.5" customHeight="1">
      <c r="A114" s="8" t="s">
        <v>86</v>
      </c>
      <c r="B114" s="138" t="s">
        <v>317</v>
      </c>
      <c r="C114" s="138"/>
      <c r="D114" s="80" t="s">
        <v>3</v>
      </c>
      <c r="E114" s="13">
        <f>1432.8+1075+3.7</f>
        <v>2511.5</v>
      </c>
      <c r="F114" s="28"/>
      <c r="G114" s="28"/>
    </row>
    <row r="115" spans="1:7" s="3" customFormat="1" ht="24.75" customHeight="1">
      <c r="A115" s="14" t="s">
        <v>87</v>
      </c>
      <c r="B115" s="131" t="s">
        <v>318</v>
      </c>
      <c r="C115" s="132"/>
      <c r="D115" s="132"/>
      <c r="E115" s="132"/>
      <c r="F115" s="132"/>
      <c r="G115" s="133"/>
    </row>
    <row r="116" spans="1:7" ht="34.5" customHeight="1">
      <c r="A116" s="15" t="s">
        <v>88</v>
      </c>
      <c r="B116" s="140" t="s">
        <v>319</v>
      </c>
      <c r="C116" s="140"/>
      <c r="D116" s="80" t="s">
        <v>3</v>
      </c>
      <c r="E116" s="4">
        <v>2.49</v>
      </c>
      <c r="F116" s="28"/>
      <c r="G116" s="28"/>
    </row>
    <row r="117" spans="1:7" s="1" customFormat="1" ht="24.75" customHeight="1">
      <c r="A117" s="8" t="s">
        <v>89</v>
      </c>
      <c r="B117" s="108" t="s">
        <v>273</v>
      </c>
      <c r="C117" s="109"/>
      <c r="D117" s="80" t="s">
        <v>241</v>
      </c>
      <c r="E117" s="4">
        <f>ROUND(0.3*0.3*2,2)</f>
        <v>0.18</v>
      </c>
      <c r="F117" s="28"/>
      <c r="G117" s="28"/>
    </row>
    <row r="118" spans="1:7" s="3" customFormat="1" ht="24.75" customHeight="1">
      <c r="A118" s="14" t="s">
        <v>90</v>
      </c>
      <c r="B118" s="131" t="s">
        <v>320</v>
      </c>
      <c r="C118" s="132"/>
      <c r="D118" s="132"/>
      <c r="E118" s="132"/>
      <c r="F118" s="132"/>
      <c r="G118" s="133"/>
    </row>
    <row r="119" spans="1:7" ht="24.75" customHeight="1">
      <c r="A119" s="11" t="s">
        <v>91</v>
      </c>
      <c r="B119" s="119" t="s">
        <v>321</v>
      </c>
      <c r="C119" s="107"/>
      <c r="D119" s="90"/>
      <c r="E119" s="20"/>
      <c r="F119" s="28"/>
      <c r="G119" s="28"/>
    </row>
    <row r="120" spans="1:7" s="1" customFormat="1" ht="24.75" customHeight="1">
      <c r="A120" s="51"/>
      <c r="B120" s="129" t="s">
        <v>322</v>
      </c>
      <c r="C120" s="108"/>
      <c r="D120" s="80" t="s">
        <v>241</v>
      </c>
      <c r="E120" s="4">
        <v>2.33</v>
      </c>
      <c r="F120" s="28"/>
      <c r="G120" s="28"/>
    </row>
    <row r="121" spans="1:7" s="1" customFormat="1" ht="24.75" customHeight="1">
      <c r="A121" s="51"/>
      <c r="B121" s="108" t="s">
        <v>273</v>
      </c>
      <c r="C121" s="109"/>
      <c r="D121" s="80" t="s">
        <v>241</v>
      </c>
      <c r="E121" s="4">
        <v>8.3</v>
      </c>
      <c r="F121" s="28"/>
      <c r="G121" s="28"/>
    </row>
    <row r="122" spans="1:7" s="1" customFormat="1" ht="24.75" customHeight="1">
      <c r="A122" s="47"/>
      <c r="B122" s="108" t="s">
        <v>274</v>
      </c>
      <c r="C122" s="109"/>
      <c r="D122" s="80" t="s">
        <v>3</v>
      </c>
      <c r="E122" s="4">
        <v>211</v>
      </c>
      <c r="F122" s="28"/>
      <c r="G122" s="28"/>
    </row>
    <row r="123" spans="1:7" s="3" customFormat="1" ht="24.75" customHeight="1">
      <c r="A123" s="14" t="s">
        <v>92</v>
      </c>
      <c r="B123" s="131" t="s">
        <v>323</v>
      </c>
      <c r="C123" s="132"/>
      <c r="D123" s="132"/>
      <c r="E123" s="132"/>
      <c r="F123" s="132"/>
      <c r="G123" s="133"/>
    </row>
    <row r="124" spans="1:7" ht="24.75" customHeight="1">
      <c r="A124" s="11" t="s">
        <v>93</v>
      </c>
      <c r="B124" s="119" t="s">
        <v>324</v>
      </c>
      <c r="C124" s="107"/>
      <c r="D124" s="90"/>
      <c r="E124" s="20"/>
      <c r="F124" s="28"/>
      <c r="G124" s="28"/>
    </row>
    <row r="125" spans="1:7" s="1" customFormat="1" ht="24.75" customHeight="1">
      <c r="A125" s="16"/>
      <c r="B125" s="129" t="s">
        <v>270</v>
      </c>
      <c r="C125" s="108"/>
      <c r="D125" s="80" t="s">
        <v>241</v>
      </c>
      <c r="E125" s="4">
        <f>91+45</f>
        <v>136</v>
      </c>
      <c r="F125" s="28"/>
      <c r="G125" s="28"/>
    </row>
    <row r="126" spans="1:7" s="1" customFormat="1" ht="24.75" customHeight="1">
      <c r="A126" s="16"/>
      <c r="B126" s="108" t="s">
        <v>273</v>
      </c>
      <c r="C126" s="109"/>
      <c r="D126" s="80" t="s">
        <v>241</v>
      </c>
      <c r="E126" s="4">
        <f>91+45</f>
        <v>136</v>
      </c>
      <c r="F126" s="28"/>
      <c r="G126" s="28"/>
    </row>
    <row r="127" spans="1:7" s="1" customFormat="1" ht="24.75" customHeight="1">
      <c r="A127" s="17"/>
      <c r="B127" s="108" t="s">
        <v>274</v>
      </c>
      <c r="C127" s="109"/>
      <c r="D127" s="80" t="s">
        <v>2</v>
      </c>
      <c r="E127" s="4">
        <f>4.82+3.22</f>
        <v>8.040000000000001</v>
      </c>
      <c r="F127" s="28"/>
      <c r="G127" s="28"/>
    </row>
    <row r="128" spans="1:7" ht="24.75" customHeight="1">
      <c r="A128" s="11" t="s">
        <v>94</v>
      </c>
      <c r="B128" s="119" t="s">
        <v>325</v>
      </c>
      <c r="C128" s="107"/>
      <c r="D128" s="80" t="s">
        <v>241</v>
      </c>
      <c r="E128" s="4">
        <f>ROUND(3.3,0)</f>
        <v>3</v>
      </c>
      <c r="F128" s="28"/>
      <c r="G128" s="28"/>
    </row>
    <row r="129" spans="1:7" ht="24.75" customHeight="1">
      <c r="A129" s="11" t="s">
        <v>95</v>
      </c>
      <c r="B129" s="133" t="s">
        <v>326</v>
      </c>
      <c r="C129" s="130"/>
      <c r="D129" s="20"/>
      <c r="E129" s="20"/>
      <c r="F129" s="28"/>
      <c r="G129" s="28"/>
    </row>
    <row r="130" spans="1:7" s="1" customFormat="1" ht="24.75" customHeight="1">
      <c r="A130" s="11" t="s">
        <v>96</v>
      </c>
      <c r="B130" s="129" t="s">
        <v>327</v>
      </c>
      <c r="C130" s="108"/>
      <c r="D130" s="80" t="s">
        <v>241</v>
      </c>
      <c r="E130" s="4">
        <f>ROUND(0.9*14,0)</f>
        <v>13</v>
      </c>
      <c r="F130" s="28"/>
      <c r="G130" s="28"/>
    </row>
    <row r="131" spans="1:7" s="1" customFormat="1" ht="24.75" customHeight="1">
      <c r="A131" s="8"/>
      <c r="B131" s="129" t="s">
        <v>270</v>
      </c>
      <c r="C131" s="108"/>
      <c r="D131" s="80" t="s">
        <v>241</v>
      </c>
      <c r="E131" s="4">
        <f>ROUND(1.1*0.1*14,1)</f>
        <v>1.5</v>
      </c>
      <c r="F131" s="28"/>
      <c r="G131" s="28"/>
    </row>
    <row r="132" spans="1:7" s="1" customFormat="1" ht="24.75" customHeight="1">
      <c r="A132" s="8"/>
      <c r="B132" s="108" t="s">
        <v>273</v>
      </c>
      <c r="C132" s="109"/>
      <c r="D132" s="80" t="s">
        <v>241</v>
      </c>
      <c r="E132" s="4">
        <f>ROUND(0.305*14,1)</f>
        <v>4.3</v>
      </c>
      <c r="F132" s="28"/>
      <c r="G132" s="28"/>
    </row>
    <row r="133" spans="1:7" s="1" customFormat="1" ht="24.75" customHeight="1">
      <c r="A133" s="8"/>
      <c r="B133" s="108" t="s">
        <v>274</v>
      </c>
      <c r="C133" s="109"/>
      <c r="D133" s="80" t="s">
        <v>3</v>
      </c>
      <c r="E133" s="4">
        <f>ROUND((9.5+20.3)*14,0)</f>
        <v>417</v>
      </c>
      <c r="F133" s="28"/>
      <c r="G133" s="28"/>
    </row>
    <row r="134" spans="1:7" s="1" customFormat="1" ht="24.75" customHeight="1">
      <c r="A134" s="10"/>
      <c r="B134" s="108" t="s">
        <v>328</v>
      </c>
      <c r="C134" s="109"/>
      <c r="D134" s="80" t="s">
        <v>3</v>
      </c>
      <c r="E134" s="4">
        <f>ROUND((10.8)*14,0)</f>
        <v>151</v>
      </c>
      <c r="F134" s="28"/>
      <c r="G134" s="28"/>
    </row>
    <row r="135" spans="1:7" s="1" customFormat="1" ht="34.5" customHeight="1">
      <c r="A135" s="8" t="s">
        <v>97</v>
      </c>
      <c r="B135" s="138" t="s">
        <v>317</v>
      </c>
      <c r="C135" s="138"/>
      <c r="D135" s="80" t="s">
        <v>3</v>
      </c>
      <c r="E135" s="4">
        <f>ROUND((125.8)*14,0)+29</f>
        <v>1790</v>
      </c>
      <c r="F135" s="28"/>
      <c r="G135" s="28"/>
    </row>
    <row r="136" spans="1:7" s="3" customFormat="1" ht="24.75" customHeight="1">
      <c r="A136" s="14" t="s">
        <v>98</v>
      </c>
      <c r="B136" s="131" t="s">
        <v>329</v>
      </c>
      <c r="C136" s="132"/>
      <c r="D136" s="132"/>
      <c r="E136" s="132"/>
      <c r="F136" s="132"/>
      <c r="G136" s="133"/>
    </row>
    <row r="137" spans="1:7" ht="24.75" customHeight="1">
      <c r="A137" s="11" t="s">
        <v>99</v>
      </c>
      <c r="B137" s="136" t="s">
        <v>330</v>
      </c>
      <c r="C137" s="139"/>
      <c r="D137" s="20"/>
      <c r="E137" s="20"/>
      <c r="F137" s="28"/>
      <c r="G137" s="28"/>
    </row>
    <row r="138" spans="1:7" s="1" customFormat="1" ht="24.75" customHeight="1">
      <c r="A138" s="16"/>
      <c r="B138" s="129" t="s">
        <v>270</v>
      </c>
      <c r="C138" s="108"/>
      <c r="D138" s="80" t="s">
        <v>241</v>
      </c>
      <c r="E138" s="4">
        <f>ROUND(1.1*14*0.1,0)</f>
        <v>2</v>
      </c>
      <c r="F138" s="28"/>
      <c r="G138" s="28"/>
    </row>
    <row r="139" spans="1:7" s="1" customFormat="1" ht="24.75" customHeight="1">
      <c r="A139" s="16"/>
      <c r="B139" s="108" t="s">
        <v>273</v>
      </c>
      <c r="C139" s="109"/>
      <c r="D139" s="80" t="s">
        <v>241</v>
      </c>
      <c r="E139" s="4">
        <f>ROUND(0.305*14,2)</f>
        <v>4.27</v>
      </c>
      <c r="F139" s="28"/>
      <c r="G139" s="28"/>
    </row>
    <row r="140" spans="1:7" s="1" customFormat="1" ht="24.75" customHeight="1">
      <c r="A140" s="16"/>
      <c r="B140" s="108" t="s">
        <v>274</v>
      </c>
      <c r="C140" s="109"/>
      <c r="D140" s="80" t="s">
        <v>2</v>
      </c>
      <c r="E140" s="4">
        <f>ROUND((9.5+20.3)*14/1000,2)</f>
        <v>0.42</v>
      </c>
      <c r="F140" s="28"/>
      <c r="G140" s="28"/>
    </row>
    <row r="141" spans="1:7" s="1" customFormat="1" ht="24.75" customHeight="1">
      <c r="A141" s="17"/>
      <c r="B141" s="108" t="s">
        <v>328</v>
      </c>
      <c r="C141" s="109"/>
      <c r="D141" s="80" t="s">
        <v>3</v>
      </c>
      <c r="E141" s="4">
        <f>ROUND((10.8)*14,0)</f>
        <v>151</v>
      </c>
      <c r="F141" s="28"/>
      <c r="G141" s="28"/>
    </row>
    <row r="142" spans="1:7" s="1" customFormat="1" ht="34.5" customHeight="1">
      <c r="A142" s="8" t="s">
        <v>100</v>
      </c>
      <c r="B142" s="138" t="s">
        <v>317</v>
      </c>
      <c r="C142" s="138"/>
      <c r="D142" s="80" t="s">
        <v>3</v>
      </c>
      <c r="E142" s="4">
        <f>ROUND((125.8)*14,0)+29</f>
        <v>1790</v>
      </c>
      <c r="F142" s="28"/>
      <c r="G142" s="28"/>
    </row>
    <row r="143" spans="1:7" s="1" customFormat="1" ht="24.75" customHeight="1">
      <c r="A143" s="11" t="s">
        <v>101</v>
      </c>
      <c r="B143" s="108" t="s">
        <v>277</v>
      </c>
      <c r="C143" s="109"/>
      <c r="D143" s="80" t="s">
        <v>219</v>
      </c>
      <c r="E143" s="4">
        <f>ROUND(0.6*14*2,0)</f>
        <v>17</v>
      </c>
      <c r="F143" s="28"/>
      <c r="G143" s="28"/>
    </row>
    <row r="144" spans="1:7" s="3" customFormat="1" ht="24.75" customHeight="1">
      <c r="A144" s="14" t="s">
        <v>102</v>
      </c>
      <c r="B144" s="131" t="s">
        <v>331</v>
      </c>
      <c r="C144" s="132"/>
      <c r="D144" s="132"/>
      <c r="E144" s="132"/>
      <c r="F144" s="132"/>
      <c r="G144" s="133"/>
    </row>
    <row r="145" spans="1:7" ht="24.75" customHeight="1">
      <c r="A145" s="11" t="s">
        <v>103</v>
      </c>
      <c r="B145" s="119" t="s">
        <v>332</v>
      </c>
      <c r="C145" s="107"/>
      <c r="D145" s="90"/>
      <c r="E145" s="20"/>
      <c r="F145" s="28"/>
      <c r="G145" s="28"/>
    </row>
    <row r="146" spans="1:7" s="1" customFormat="1" ht="24.75" customHeight="1">
      <c r="A146" s="16"/>
      <c r="B146" s="129" t="s">
        <v>270</v>
      </c>
      <c r="C146" s="108"/>
      <c r="D146" s="80" t="s">
        <v>241</v>
      </c>
      <c r="E146" s="4">
        <f>ROUND(1.1*(39)*0.1,0)</f>
        <v>4</v>
      </c>
      <c r="F146" s="28"/>
      <c r="G146" s="28"/>
    </row>
    <row r="147" spans="1:7" s="1" customFormat="1" ht="24.75" customHeight="1">
      <c r="A147" s="16"/>
      <c r="B147" s="108" t="s">
        <v>273</v>
      </c>
      <c r="C147" s="109"/>
      <c r="D147" s="80" t="s">
        <v>241</v>
      </c>
      <c r="E147" s="4">
        <f>ROUND(0.315*39,2)</f>
        <v>12.29</v>
      </c>
      <c r="F147" s="28"/>
      <c r="G147" s="28"/>
    </row>
    <row r="148" spans="1:7" s="1" customFormat="1" ht="24.75" customHeight="1">
      <c r="A148" s="17"/>
      <c r="B148" s="108" t="s">
        <v>274</v>
      </c>
      <c r="C148" s="109"/>
      <c r="D148" s="80" t="s">
        <v>2</v>
      </c>
      <c r="E148" s="4">
        <f>ROUND((2+4)*39/1000,2)</f>
        <v>0.23</v>
      </c>
      <c r="F148" s="28"/>
      <c r="G148" s="28"/>
    </row>
    <row r="149" spans="1:7" s="1" customFormat="1" ht="24.75" customHeight="1">
      <c r="A149" s="11" t="s">
        <v>104</v>
      </c>
      <c r="B149" s="108" t="s">
        <v>277</v>
      </c>
      <c r="C149" s="109"/>
      <c r="D149" s="80" t="s">
        <v>219</v>
      </c>
      <c r="E149" s="4">
        <f>ROUND(0.6*39*2,0)</f>
        <v>47</v>
      </c>
      <c r="F149" s="28"/>
      <c r="G149" s="28"/>
    </row>
    <row r="150" spans="1:7" s="3" customFormat="1" ht="24.75" customHeight="1">
      <c r="A150" s="14" t="s">
        <v>105</v>
      </c>
      <c r="B150" s="131" t="s">
        <v>333</v>
      </c>
      <c r="C150" s="132"/>
      <c r="D150" s="132"/>
      <c r="E150" s="132"/>
      <c r="F150" s="132"/>
      <c r="G150" s="133"/>
    </row>
    <row r="151" spans="1:7" s="1" customFormat="1" ht="24.75" customHeight="1">
      <c r="A151" s="5" t="s">
        <v>106</v>
      </c>
      <c r="B151" s="129" t="s">
        <v>339</v>
      </c>
      <c r="C151" s="108"/>
      <c r="D151" s="80" t="s">
        <v>241</v>
      </c>
      <c r="E151" s="4">
        <f>ROUND(4.4*4*5,2)</f>
        <v>88</v>
      </c>
      <c r="F151" s="28"/>
      <c r="G151" s="28"/>
    </row>
    <row r="152" spans="1:7" s="1" customFormat="1" ht="24.75" customHeight="1">
      <c r="A152" s="5" t="s">
        <v>107</v>
      </c>
      <c r="B152" s="129" t="s">
        <v>327</v>
      </c>
      <c r="C152" s="108"/>
      <c r="D152" s="80" t="s">
        <v>241</v>
      </c>
      <c r="E152" s="4">
        <f>E151*0.1</f>
        <v>8.8</v>
      </c>
      <c r="F152" s="28"/>
      <c r="G152" s="28"/>
    </row>
    <row r="153" spans="1:7" ht="34.5" customHeight="1">
      <c r="A153" s="15" t="s">
        <v>108</v>
      </c>
      <c r="B153" s="136" t="s">
        <v>335</v>
      </c>
      <c r="C153" s="137"/>
      <c r="D153" s="80" t="s">
        <v>241</v>
      </c>
      <c r="E153" s="41">
        <v>17.32</v>
      </c>
      <c r="F153" s="28"/>
      <c r="G153" s="28"/>
    </row>
    <row r="154" spans="1:7" s="1" customFormat="1" ht="34.5" customHeight="1">
      <c r="A154" s="5" t="s">
        <v>109</v>
      </c>
      <c r="B154" s="108" t="s">
        <v>336</v>
      </c>
      <c r="C154" s="109"/>
      <c r="D154" s="80" t="s">
        <v>231</v>
      </c>
      <c r="E154" s="43" t="s">
        <v>187</v>
      </c>
      <c r="F154" s="28"/>
      <c r="G154" s="28"/>
    </row>
    <row r="155" spans="1:7" s="1" customFormat="1" ht="24.75" customHeight="1">
      <c r="A155" s="5" t="s">
        <v>188</v>
      </c>
      <c r="B155" s="108" t="s">
        <v>277</v>
      </c>
      <c r="C155" s="109"/>
      <c r="D155" s="80" t="s">
        <v>219</v>
      </c>
      <c r="E155" s="4">
        <f>ROUND(20*2.05,0)</f>
        <v>41</v>
      </c>
      <c r="F155" s="28"/>
      <c r="G155" s="28"/>
    </row>
    <row r="156" spans="1:7" s="1" customFormat="1" ht="34.5" customHeight="1">
      <c r="A156" s="15" t="s">
        <v>189</v>
      </c>
      <c r="B156" s="109" t="s">
        <v>316</v>
      </c>
      <c r="C156" s="109"/>
      <c r="D156" s="80" t="s">
        <v>241</v>
      </c>
      <c r="E156" s="13">
        <f>1.4*4*4</f>
        <v>22.4</v>
      </c>
      <c r="F156" s="28"/>
      <c r="G156" s="28"/>
    </row>
    <row r="157" spans="1:7" s="3" customFormat="1" ht="24.75" customHeight="1">
      <c r="A157" s="5" t="s">
        <v>190</v>
      </c>
      <c r="B157" s="131" t="s">
        <v>337</v>
      </c>
      <c r="C157" s="132"/>
      <c r="D157" s="132"/>
      <c r="E157" s="132"/>
      <c r="F157" s="132"/>
      <c r="G157" s="132"/>
    </row>
    <row r="158" spans="1:7" s="1" customFormat="1" ht="34.5" customHeight="1">
      <c r="A158" s="5" t="s">
        <v>191</v>
      </c>
      <c r="B158" s="106" t="s">
        <v>338</v>
      </c>
      <c r="C158" s="112"/>
      <c r="D158" s="80" t="s">
        <v>241</v>
      </c>
      <c r="E158" s="13">
        <v>14</v>
      </c>
      <c r="F158" s="28"/>
      <c r="G158" s="28"/>
    </row>
    <row r="159" spans="1:7" s="1" customFormat="1" ht="24.75" customHeight="1">
      <c r="A159" s="15" t="s">
        <v>192</v>
      </c>
      <c r="B159" s="129" t="s">
        <v>339</v>
      </c>
      <c r="C159" s="108"/>
      <c r="D159" s="80" t="s">
        <v>241</v>
      </c>
      <c r="E159" s="13">
        <v>458</v>
      </c>
      <c r="F159" s="28"/>
      <c r="G159" s="28"/>
    </row>
    <row r="160" spans="1:7" s="1" customFormat="1" ht="24.75" customHeight="1">
      <c r="A160" s="5" t="s">
        <v>193</v>
      </c>
      <c r="B160" s="129" t="s">
        <v>327</v>
      </c>
      <c r="C160" s="108"/>
      <c r="D160" s="80" t="s">
        <v>241</v>
      </c>
      <c r="E160" s="13">
        <v>24</v>
      </c>
      <c r="F160" s="28"/>
      <c r="G160" s="28"/>
    </row>
    <row r="161" spans="1:7" ht="24.75" customHeight="1">
      <c r="A161" s="11" t="s">
        <v>194</v>
      </c>
      <c r="B161" s="109" t="s">
        <v>337</v>
      </c>
      <c r="C161" s="109"/>
      <c r="D161" s="80"/>
      <c r="E161" s="43"/>
      <c r="F161" s="28"/>
      <c r="G161" s="28"/>
    </row>
    <row r="162" spans="1:7" s="1" customFormat="1" ht="24.75" customHeight="1">
      <c r="A162" s="35"/>
      <c r="B162" s="129" t="s">
        <v>270</v>
      </c>
      <c r="C162" s="108"/>
      <c r="D162" s="80" t="s">
        <v>241</v>
      </c>
      <c r="E162" s="13">
        <v>8.8</v>
      </c>
      <c r="F162" s="28"/>
      <c r="G162" s="28"/>
    </row>
    <row r="163" spans="1:7" s="1" customFormat="1" ht="24.75" customHeight="1">
      <c r="A163" s="35"/>
      <c r="B163" s="108" t="s">
        <v>273</v>
      </c>
      <c r="C163" s="109"/>
      <c r="D163" s="80" t="s">
        <v>241</v>
      </c>
      <c r="E163" s="41">
        <v>51.099999999999994</v>
      </c>
      <c r="F163" s="28"/>
      <c r="G163" s="28"/>
    </row>
    <row r="164" spans="1:7" s="1" customFormat="1" ht="24.75" customHeight="1">
      <c r="A164" s="36"/>
      <c r="B164" s="108" t="s">
        <v>274</v>
      </c>
      <c r="C164" s="109"/>
      <c r="D164" s="80" t="s">
        <v>3</v>
      </c>
      <c r="E164" s="13">
        <v>3594</v>
      </c>
      <c r="F164" s="28"/>
      <c r="G164" s="28"/>
    </row>
    <row r="165" spans="1:7" s="1" customFormat="1" ht="24.75" customHeight="1">
      <c r="A165" s="11" t="s">
        <v>21</v>
      </c>
      <c r="B165" s="108" t="s">
        <v>277</v>
      </c>
      <c r="C165" s="109"/>
      <c r="D165" s="80" t="s">
        <v>219</v>
      </c>
      <c r="E165" s="13">
        <v>68</v>
      </c>
      <c r="F165" s="28"/>
      <c r="G165" s="28"/>
    </row>
    <row r="166" spans="1:7" s="1" customFormat="1" ht="24.75" customHeight="1">
      <c r="A166" s="40" t="s">
        <v>195</v>
      </c>
      <c r="B166" s="108" t="s">
        <v>311</v>
      </c>
      <c r="C166" s="109"/>
      <c r="D166" s="80"/>
      <c r="E166" s="13"/>
      <c r="F166" s="28"/>
      <c r="G166" s="28"/>
    </row>
    <row r="167" spans="1:7" s="1" customFormat="1" ht="24.75" customHeight="1">
      <c r="A167" s="42"/>
      <c r="B167" s="106" t="s">
        <v>340</v>
      </c>
      <c r="C167" s="112"/>
      <c r="D167" s="80" t="s">
        <v>231</v>
      </c>
      <c r="E167" s="43" t="s">
        <v>50</v>
      </c>
      <c r="F167" s="28"/>
      <c r="G167" s="28"/>
    </row>
    <row r="168" spans="1:7" s="1" customFormat="1" ht="24.75" customHeight="1">
      <c r="A168" s="42"/>
      <c r="B168" s="106" t="s">
        <v>341</v>
      </c>
      <c r="C168" s="112"/>
      <c r="D168" s="80" t="s">
        <v>231</v>
      </c>
      <c r="E168" s="43" t="s">
        <v>201</v>
      </c>
      <c r="F168" s="28"/>
      <c r="G168" s="28"/>
    </row>
    <row r="169" spans="1:7" s="1" customFormat="1" ht="24.75" customHeight="1">
      <c r="A169" s="42"/>
      <c r="B169" s="106" t="s">
        <v>342</v>
      </c>
      <c r="C169" s="112"/>
      <c r="D169" s="80" t="s">
        <v>231</v>
      </c>
      <c r="E169" s="43" t="s">
        <v>202</v>
      </c>
      <c r="F169" s="28"/>
      <c r="G169" s="28"/>
    </row>
    <row r="170" spans="1:7" s="1" customFormat="1" ht="24.75" customHeight="1">
      <c r="A170" s="45"/>
      <c r="B170" s="106" t="s">
        <v>343</v>
      </c>
      <c r="C170" s="112"/>
      <c r="D170" s="80" t="s">
        <v>3</v>
      </c>
      <c r="E170" s="13">
        <v>42.53999999999999</v>
      </c>
      <c r="F170" s="28"/>
      <c r="G170" s="28"/>
    </row>
    <row r="171" spans="1:7" s="1" customFormat="1" ht="24.75" customHeight="1">
      <c r="A171" s="45"/>
      <c r="B171" s="106" t="s">
        <v>315</v>
      </c>
      <c r="C171" s="112"/>
      <c r="D171" s="80" t="s">
        <v>241</v>
      </c>
      <c r="E171" s="13">
        <v>70.8</v>
      </c>
      <c r="F171" s="28"/>
      <c r="G171" s="28"/>
    </row>
    <row r="172" spans="1:7" s="1" customFormat="1" ht="34.5" customHeight="1">
      <c r="A172" s="46"/>
      <c r="B172" s="106" t="s">
        <v>344</v>
      </c>
      <c r="C172" s="112"/>
      <c r="D172" s="80" t="s">
        <v>241</v>
      </c>
      <c r="E172" s="13">
        <v>14</v>
      </c>
      <c r="F172" s="28"/>
      <c r="G172" s="28"/>
    </row>
    <row r="173" spans="1:7" s="1" customFormat="1" ht="34.5" customHeight="1">
      <c r="A173" s="39" t="s">
        <v>196</v>
      </c>
      <c r="B173" s="109" t="s">
        <v>316</v>
      </c>
      <c r="C173" s="109"/>
      <c r="D173" s="80" t="s">
        <v>241</v>
      </c>
      <c r="E173" s="13">
        <v>238.5</v>
      </c>
      <c r="F173" s="28"/>
      <c r="G173" s="28"/>
    </row>
    <row r="174" spans="1:7" s="3" customFormat="1" ht="24.75" customHeight="1">
      <c r="A174" s="14" t="s">
        <v>110</v>
      </c>
      <c r="B174" s="131" t="s">
        <v>345</v>
      </c>
      <c r="C174" s="132"/>
      <c r="D174" s="132"/>
      <c r="E174" s="132"/>
      <c r="F174" s="132"/>
      <c r="G174" s="133"/>
    </row>
    <row r="175" spans="1:7" s="1" customFormat="1" ht="24.75" customHeight="1">
      <c r="A175" s="39" t="s">
        <v>111</v>
      </c>
      <c r="B175" s="129" t="s">
        <v>339</v>
      </c>
      <c r="C175" s="108"/>
      <c r="D175" s="80" t="s">
        <v>241</v>
      </c>
      <c r="E175" s="13">
        <v>4352.9</v>
      </c>
      <c r="F175" s="28"/>
      <c r="G175" s="28"/>
    </row>
    <row r="176" spans="1:7" s="1" customFormat="1" ht="24.75" customHeight="1">
      <c r="A176" s="39" t="s">
        <v>112</v>
      </c>
      <c r="B176" s="129" t="s">
        <v>327</v>
      </c>
      <c r="C176" s="108"/>
      <c r="D176" s="80" t="s">
        <v>241</v>
      </c>
      <c r="E176" s="13">
        <v>217.645</v>
      </c>
      <c r="F176" s="28"/>
      <c r="G176" s="28"/>
    </row>
    <row r="177" spans="1:7" s="1" customFormat="1" ht="24.75" customHeight="1">
      <c r="A177" s="5" t="s">
        <v>113</v>
      </c>
      <c r="B177" s="129" t="s">
        <v>346</v>
      </c>
      <c r="C177" s="108"/>
      <c r="D177" s="80" t="s">
        <v>219</v>
      </c>
      <c r="E177" s="13">
        <v>420</v>
      </c>
      <c r="F177" s="28"/>
      <c r="G177" s="28"/>
    </row>
    <row r="178" spans="1:7" s="1" customFormat="1" ht="24.75" customHeight="1">
      <c r="A178" s="40" t="s">
        <v>114</v>
      </c>
      <c r="B178" s="108" t="s">
        <v>347</v>
      </c>
      <c r="C178" s="109"/>
      <c r="D178" s="80"/>
      <c r="E178" s="41"/>
      <c r="F178" s="28"/>
      <c r="G178" s="28"/>
    </row>
    <row r="179" spans="1:7" s="1" customFormat="1" ht="24.75" customHeight="1">
      <c r="A179" s="42"/>
      <c r="B179" s="106" t="s">
        <v>348</v>
      </c>
      <c r="C179" s="112"/>
      <c r="D179" s="80" t="s">
        <v>231</v>
      </c>
      <c r="E179" s="43" t="s">
        <v>199</v>
      </c>
      <c r="F179" s="28"/>
      <c r="G179" s="28"/>
    </row>
    <row r="180" spans="1:7" s="1" customFormat="1" ht="24.75" customHeight="1">
      <c r="A180" s="42"/>
      <c r="B180" s="106" t="s">
        <v>349</v>
      </c>
      <c r="C180" s="112"/>
      <c r="D180" s="80" t="s">
        <v>231</v>
      </c>
      <c r="E180" s="43" t="s">
        <v>200</v>
      </c>
      <c r="F180" s="28"/>
      <c r="G180" s="28"/>
    </row>
    <row r="181" spans="1:7" s="1" customFormat="1" ht="24.75" customHeight="1">
      <c r="A181" s="42"/>
      <c r="B181" s="106" t="s">
        <v>343</v>
      </c>
      <c r="C181" s="112"/>
      <c r="D181" s="80" t="s">
        <v>3</v>
      </c>
      <c r="E181" s="13">
        <v>1642.61</v>
      </c>
      <c r="F181" s="28"/>
      <c r="G181" s="28"/>
    </row>
    <row r="182" spans="1:7" s="1" customFormat="1" ht="24.75" customHeight="1">
      <c r="A182" s="44"/>
      <c r="B182" s="106" t="s">
        <v>315</v>
      </c>
      <c r="C182" s="112"/>
      <c r="D182" s="80" t="s">
        <v>241</v>
      </c>
      <c r="E182" s="13">
        <v>3571</v>
      </c>
      <c r="F182" s="28"/>
      <c r="G182" s="28"/>
    </row>
    <row r="183" spans="1:7" s="1" customFormat="1" ht="34.5" customHeight="1">
      <c r="A183" s="39" t="s">
        <v>115</v>
      </c>
      <c r="B183" s="109" t="s">
        <v>350</v>
      </c>
      <c r="C183" s="109"/>
      <c r="D183" s="80" t="s">
        <v>241</v>
      </c>
      <c r="E183" s="13">
        <v>711</v>
      </c>
      <c r="F183" s="28"/>
      <c r="G183" s="28"/>
    </row>
    <row r="184" spans="1:7" s="3" customFormat="1" ht="24.75" customHeight="1">
      <c r="A184" s="14" t="s">
        <v>116</v>
      </c>
      <c r="B184" s="131" t="s">
        <v>351</v>
      </c>
      <c r="C184" s="132"/>
      <c r="D184" s="132"/>
      <c r="E184" s="132"/>
      <c r="F184" s="132"/>
      <c r="G184" s="133"/>
    </row>
    <row r="185" spans="1:7" s="1" customFormat="1" ht="24.75" customHeight="1">
      <c r="A185" s="5" t="s">
        <v>117</v>
      </c>
      <c r="B185" s="129" t="s">
        <v>339</v>
      </c>
      <c r="C185" s="108"/>
      <c r="D185" s="84" t="s">
        <v>241</v>
      </c>
      <c r="E185" s="4">
        <f>8+4</f>
        <v>12</v>
      </c>
      <c r="F185" s="28"/>
      <c r="G185" s="28"/>
    </row>
    <row r="186" spans="1:7" s="1" customFormat="1" ht="24.75" customHeight="1">
      <c r="A186" s="5" t="s">
        <v>118</v>
      </c>
      <c r="B186" s="129" t="s">
        <v>327</v>
      </c>
      <c r="C186" s="108"/>
      <c r="D186" s="84" t="s">
        <v>241</v>
      </c>
      <c r="E186" s="4">
        <f>0.8+0.4</f>
        <v>1.2000000000000002</v>
      </c>
      <c r="F186" s="28"/>
      <c r="G186" s="28"/>
    </row>
    <row r="187" spans="1:7" s="1" customFormat="1" ht="34.5" customHeight="1">
      <c r="A187" s="5" t="s">
        <v>119</v>
      </c>
      <c r="B187" s="106" t="s">
        <v>338</v>
      </c>
      <c r="C187" s="112"/>
      <c r="D187" s="80" t="s">
        <v>241</v>
      </c>
      <c r="E187" s="41">
        <f>3.6+7</f>
        <v>10.6</v>
      </c>
      <c r="F187" s="28"/>
      <c r="G187" s="28"/>
    </row>
    <row r="188" spans="1:7" ht="24.75" customHeight="1">
      <c r="A188" s="11" t="s">
        <v>114</v>
      </c>
      <c r="B188" s="119" t="s">
        <v>352</v>
      </c>
      <c r="C188" s="107"/>
      <c r="D188" s="80"/>
      <c r="E188" s="20"/>
      <c r="F188" s="28"/>
      <c r="G188" s="28"/>
    </row>
    <row r="189" spans="1:7" s="1" customFormat="1" ht="24.75" customHeight="1">
      <c r="A189" s="16"/>
      <c r="B189" s="108" t="s">
        <v>353</v>
      </c>
      <c r="C189" s="109"/>
      <c r="D189" s="80" t="s">
        <v>241</v>
      </c>
      <c r="E189" s="26">
        <f>5.25+2</f>
        <v>7.25</v>
      </c>
      <c r="F189" s="28"/>
      <c r="G189" s="28"/>
    </row>
    <row r="190" spans="1:7" s="1" customFormat="1" ht="24.75" customHeight="1">
      <c r="A190" s="16"/>
      <c r="B190" s="108" t="s">
        <v>354</v>
      </c>
      <c r="C190" s="109"/>
      <c r="D190" s="80" t="s">
        <v>231</v>
      </c>
      <c r="E190" s="26">
        <v>6</v>
      </c>
      <c r="F190" s="28"/>
      <c r="G190" s="28"/>
    </row>
    <row r="191" spans="1:7" s="1" customFormat="1" ht="24.75" customHeight="1">
      <c r="A191" s="16"/>
      <c r="B191" s="119" t="s">
        <v>343</v>
      </c>
      <c r="C191" s="107"/>
      <c r="D191" s="80" t="s">
        <v>3</v>
      </c>
      <c r="E191" s="4">
        <f>2.85+5.7</f>
        <v>8.55</v>
      </c>
      <c r="F191" s="28"/>
      <c r="G191" s="28"/>
    </row>
    <row r="192" spans="1:7" s="1" customFormat="1" ht="34.5" customHeight="1">
      <c r="A192" s="16"/>
      <c r="B192" s="119" t="s">
        <v>355</v>
      </c>
      <c r="C192" s="107"/>
      <c r="D192" s="80" t="s">
        <v>241</v>
      </c>
      <c r="E192" s="26">
        <f>3.6+7.2</f>
        <v>10.8</v>
      </c>
      <c r="F192" s="28"/>
      <c r="G192" s="28"/>
    </row>
    <row r="193" spans="1:7" s="1" customFormat="1" ht="24.75" customHeight="1">
      <c r="A193" s="17"/>
      <c r="B193" s="108" t="s">
        <v>356</v>
      </c>
      <c r="C193" s="109"/>
      <c r="D193" s="91" t="s">
        <v>281</v>
      </c>
      <c r="E193" s="26">
        <f>10.5+2</f>
        <v>12.5</v>
      </c>
      <c r="F193" s="28"/>
      <c r="G193" s="28"/>
    </row>
    <row r="194" spans="1:7" ht="24.75" customHeight="1">
      <c r="A194" s="6"/>
      <c r="B194" s="134" t="s">
        <v>357</v>
      </c>
      <c r="C194" s="134"/>
      <c r="D194" s="134"/>
      <c r="E194" s="134"/>
      <c r="F194" s="134"/>
      <c r="G194" s="79"/>
    </row>
    <row r="195" spans="1:7" ht="30" customHeight="1">
      <c r="A195" s="130" t="s">
        <v>358</v>
      </c>
      <c r="B195" s="130"/>
      <c r="C195" s="130"/>
      <c r="D195" s="130"/>
      <c r="E195" s="130"/>
      <c r="F195" s="130"/>
      <c r="G195" s="130"/>
    </row>
    <row r="196" spans="1:7" s="1" customFormat="1" ht="34.5" customHeight="1">
      <c r="A196" s="5" t="s">
        <v>4</v>
      </c>
      <c r="B196" s="135" t="s">
        <v>359</v>
      </c>
      <c r="C196" s="119"/>
      <c r="D196" s="80" t="s">
        <v>281</v>
      </c>
      <c r="E196" s="7">
        <v>5</v>
      </c>
      <c r="F196" s="28"/>
      <c r="G196" s="28"/>
    </row>
    <row r="197" spans="1:7" ht="34.5" customHeight="1">
      <c r="A197" s="47" t="s">
        <v>13</v>
      </c>
      <c r="B197" s="129" t="s">
        <v>360</v>
      </c>
      <c r="C197" s="108"/>
      <c r="D197" s="92" t="s">
        <v>241</v>
      </c>
      <c r="E197" s="7">
        <f>194*0.6</f>
        <v>116.39999999999999</v>
      </c>
      <c r="F197" s="28"/>
      <c r="G197" s="28"/>
    </row>
    <row r="198" spans="1:7" ht="24.75" customHeight="1">
      <c r="A198" s="5" t="s">
        <v>6</v>
      </c>
      <c r="B198" s="109" t="s">
        <v>361</v>
      </c>
      <c r="C198" s="109"/>
      <c r="D198" s="87" t="s">
        <v>241</v>
      </c>
      <c r="E198" s="4">
        <f>1164+544+595+179+539+1164+895+247+1092+1199</f>
        <v>7618</v>
      </c>
      <c r="F198" s="28"/>
      <c r="G198" s="28"/>
    </row>
    <row r="199" spans="1:7" ht="24.75" customHeight="1">
      <c r="A199" s="5" t="s">
        <v>7</v>
      </c>
      <c r="B199" s="109" t="s">
        <v>362</v>
      </c>
      <c r="C199" s="109"/>
      <c r="D199" s="87" t="s">
        <v>241</v>
      </c>
      <c r="E199" s="4">
        <v>15</v>
      </c>
      <c r="F199" s="28"/>
      <c r="G199" s="28"/>
    </row>
    <row r="200" spans="1:7" ht="24.75" customHeight="1">
      <c r="A200" s="5" t="s">
        <v>8</v>
      </c>
      <c r="B200" s="109" t="s">
        <v>363</v>
      </c>
      <c r="C200" s="109"/>
      <c r="D200" s="87" t="s">
        <v>219</v>
      </c>
      <c r="E200" s="4">
        <f>3184+1461+1666+497+1460+3184+2005+3318</f>
        <v>16775</v>
      </c>
      <c r="F200" s="28"/>
      <c r="G200" s="28"/>
    </row>
    <row r="201" spans="1:7" ht="24.75" customHeight="1">
      <c r="A201" s="5" t="s">
        <v>9</v>
      </c>
      <c r="B201" s="109" t="s">
        <v>364</v>
      </c>
      <c r="C201" s="109"/>
      <c r="D201" s="87" t="s">
        <v>219</v>
      </c>
      <c r="E201" s="4">
        <v>51</v>
      </c>
      <c r="F201" s="28"/>
      <c r="G201" s="28"/>
    </row>
    <row r="202" spans="1:7" ht="24.75" customHeight="1">
      <c r="A202" s="5" t="s">
        <v>10</v>
      </c>
      <c r="B202" s="109" t="s">
        <v>365</v>
      </c>
      <c r="C202" s="109"/>
      <c r="D202" s="87" t="s">
        <v>2</v>
      </c>
      <c r="E202" s="26">
        <f>E203*0.6/1000</f>
        <v>6.881754</v>
      </c>
      <c r="F202" s="28"/>
      <c r="G202" s="28"/>
    </row>
    <row r="203" spans="1:7" ht="34.5" customHeight="1">
      <c r="A203" s="5" t="s">
        <v>11</v>
      </c>
      <c r="B203" s="109" t="s">
        <v>366</v>
      </c>
      <c r="C203" s="109"/>
      <c r="D203" s="87" t="s">
        <v>219</v>
      </c>
      <c r="E203" s="4">
        <f>2764+1106+1554+449+1343+2764+1486+3.59</f>
        <v>11469.59</v>
      </c>
      <c r="F203" s="28"/>
      <c r="G203" s="28"/>
    </row>
    <row r="204" spans="1:7" ht="24.75" customHeight="1">
      <c r="A204" s="5" t="s">
        <v>12</v>
      </c>
      <c r="B204" s="109" t="s">
        <v>367</v>
      </c>
      <c r="C204" s="109"/>
      <c r="D204" s="87" t="s">
        <v>2</v>
      </c>
      <c r="E204" s="26">
        <f>(E205+E206)*0.2/1000</f>
        <v>2.3033180000000004</v>
      </c>
      <c r="F204" s="28"/>
      <c r="G204" s="28"/>
    </row>
    <row r="205" spans="1:7" ht="34.5" customHeight="1">
      <c r="A205" s="5" t="s">
        <v>29</v>
      </c>
      <c r="B205" s="109" t="s">
        <v>368</v>
      </c>
      <c r="C205" s="109"/>
      <c r="D205" s="87" t="s">
        <v>219</v>
      </c>
      <c r="E205" s="4">
        <f>E203</f>
        <v>11469.59</v>
      </c>
      <c r="F205" s="28"/>
      <c r="G205" s="28"/>
    </row>
    <row r="206" spans="1:7" ht="34.5" customHeight="1">
      <c r="A206" s="5" t="s">
        <v>26</v>
      </c>
      <c r="B206" s="109" t="s">
        <v>369</v>
      </c>
      <c r="C206" s="109"/>
      <c r="D206" s="87" t="s">
        <v>219</v>
      </c>
      <c r="E206" s="4">
        <v>47</v>
      </c>
      <c r="F206" s="28"/>
      <c r="G206" s="28"/>
    </row>
    <row r="207" spans="1:7" ht="24.75" customHeight="1">
      <c r="A207" s="5" t="s">
        <v>120</v>
      </c>
      <c r="B207" s="109" t="s">
        <v>367</v>
      </c>
      <c r="C207" s="109"/>
      <c r="D207" s="87" t="s">
        <v>2</v>
      </c>
      <c r="E207" s="26">
        <f>(E208+E209)*0.2/1000</f>
        <v>2.3033180000000004</v>
      </c>
      <c r="F207" s="28"/>
      <c r="G207" s="28"/>
    </row>
    <row r="208" spans="1:7" ht="34.5" customHeight="1">
      <c r="A208" s="5" t="s">
        <v>121</v>
      </c>
      <c r="B208" s="109" t="s">
        <v>370</v>
      </c>
      <c r="C208" s="109"/>
      <c r="D208" s="87" t="s">
        <v>219</v>
      </c>
      <c r="E208" s="4">
        <f>E205</f>
        <v>11469.59</v>
      </c>
      <c r="F208" s="28"/>
      <c r="G208" s="28"/>
    </row>
    <row r="209" spans="1:7" ht="34.5" customHeight="1">
      <c r="A209" s="5" t="s">
        <v>122</v>
      </c>
      <c r="B209" s="109" t="s">
        <v>371</v>
      </c>
      <c r="C209" s="109"/>
      <c r="D209" s="87" t="s">
        <v>219</v>
      </c>
      <c r="E209" s="4">
        <v>47</v>
      </c>
      <c r="F209" s="28"/>
      <c r="G209" s="28"/>
    </row>
    <row r="210" spans="1:7" ht="24.75" customHeight="1">
      <c r="A210" s="5" t="s">
        <v>123</v>
      </c>
      <c r="B210" s="109" t="s">
        <v>372</v>
      </c>
      <c r="C210" s="109"/>
      <c r="D210" s="87" t="s">
        <v>241</v>
      </c>
      <c r="E210" s="4">
        <f>144+51+82+15+51+66+170</f>
        <v>579</v>
      </c>
      <c r="F210" s="28"/>
      <c r="G210" s="28"/>
    </row>
    <row r="211" spans="1:7" ht="24.75" customHeight="1">
      <c r="A211" s="5" t="s">
        <v>124</v>
      </c>
      <c r="B211" s="109" t="s">
        <v>373</v>
      </c>
      <c r="C211" s="109"/>
      <c r="D211" s="87" t="s">
        <v>241</v>
      </c>
      <c r="E211" s="4">
        <v>2</v>
      </c>
      <c r="F211" s="28"/>
      <c r="G211" s="28"/>
    </row>
    <row r="212" spans="1:7" ht="34.5" customHeight="1">
      <c r="A212" s="5" t="s">
        <v>125</v>
      </c>
      <c r="B212" s="109" t="s">
        <v>374</v>
      </c>
      <c r="C212" s="109"/>
      <c r="D212" s="87" t="s">
        <v>219</v>
      </c>
      <c r="E212" s="4">
        <f>667+233+378+68+233+952+606+97</f>
        <v>3234</v>
      </c>
      <c r="F212" s="28"/>
      <c r="G212" s="28"/>
    </row>
    <row r="213" spans="1:7" ht="34.5" customHeight="1">
      <c r="A213" s="5" t="s">
        <v>126</v>
      </c>
      <c r="B213" s="108" t="s">
        <v>375</v>
      </c>
      <c r="C213" s="109"/>
      <c r="D213" s="80" t="s">
        <v>219</v>
      </c>
      <c r="E213" s="4">
        <f>952+557+7955</f>
        <v>9464</v>
      </c>
      <c r="F213" s="28"/>
      <c r="G213" s="28"/>
    </row>
    <row r="214" spans="1:7" ht="24.75" customHeight="1">
      <c r="A214" s="6"/>
      <c r="B214" s="134" t="s">
        <v>453</v>
      </c>
      <c r="C214" s="134"/>
      <c r="D214" s="134"/>
      <c r="E214" s="134"/>
      <c r="F214" s="134"/>
      <c r="G214" s="79"/>
    </row>
    <row r="215" spans="1:7" s="1" customFormat="1" ht="30" customHeight="1">
      <c r="A215" s="130" t="s">
        <v>376</v>
      </c>
      <c r="B215" s="130"/>
      <c r="C215" s="130"/>
      <c r="D215" s="130"/>
      <c r="E215" s="130"/>
      <c r="F215" s="130"/>
      <c r="G215" s="130"/>
    </row>
    <row r="216" spans="1:7" ht="24.75" customHeight="1">
      <c r="A216" s="5" t="s">
        <v>36</v>
      </c>
      <c r="B216" s="130" t="s">
        <v>377</v>
      </c>
      <c r="C216" s="130"/>
      <c r="D216" s="130"/>
      <c r="E216" s="130"/>
      <c r="F216" s="130"/>
      <c r="G216" s="130"/>
    </row>
    <row r="217" spans="1:7" s="1" customFormat="1" ht="24.75" customHeight="1">
      <c r="A217" s="5" t="s">
        <v>37</v>
      </c>
      <c r="B217" s="112" t="s">
        <v>378</v>
      </c>
      <c r="C217" s="112"/>
      <c r="D217" s="80" t="s">
        <v>241</v>
      </c>
      <c r="E217" s="4">
        <f>62+65</f>
        <v>127</v>
      </c>
      <c r="F217" s="28"/>
      <c r="G217" s="28"/>
    </row>
    <row r="218" spans="1:7" s="1" customFormat="1" ht="24.75" customHeight="1">
      <c r="A218" s="15" t="s">
        <v>38</v>
      </c>
      <c r="B218" s="109" t="s">
        <v>379</v>
      </c>
      <c r="C218" s="109"/>
      <c r="D218" s="80" t="s">
        <v>241</v>
      </c>
      <c r="E218" s="7">
        <f>3+3</f>
        <v>6</v>
      </c>
      <c r="F218" s="28"/>
      <c r="G218" s="28"/>
    </row>
    <row r="219" spans="1:7" ht="24.75" customHeight="1">
      <c r="A219" s="5" t="s">
        <v>39</v>
      </c>
      <c r="B219" s="109" t="s">
        <v>361</v>
      </c>
      <c r="C219" s="109"/>
      <c r="D219" s="87" t="s">
        <v>241</v>
      </c>
      <c r="E219" s="4">
        <f>52+54</f>
        <v>106</v>
      </c>
      <c r="F219" s="28"/>
      <c r="G219" s="28"/>
    </row>
    <row r="220" spans="1:7" ht="24.75" customHeight="1">
      <c r="A220" s="5" t="s">
        <v>40</v>
      </c>
      <c r="B220" s="109" t="s">
        <v>363</v>
      </c>
      <c r="C220" s="109"/>
      <c r="D220" s="87" t="s">
        <v>219</v>
      </c>
      <c r="E220" s="4">
        <f>208+217</f>
        <v>425</v>
      </c>
      <c r="F220" s="28"/>
      <c r="G220" s="28"/>
    </row>
    <row r="221" spans="1:7" ht="24.75" customHeight="1">
      <c r="A221" s="5" t="s">
        <v>41</v>
      </c>
      <c r="B221" s="109" t="s">
        <v>365</v>
      </c>
      <c r="C221" s="109"/>
      <c r="D221" s="87" t="s">
        <v>2</v>
      </c>
      <c r="E221" s="48">
        <v>0.26</v>
      </c>
      <c r="F221" s="28"/>
      <c r="G221" s="28"/>
    </row>
    <row r="222" spans="1:7" ht="34.5" customHeight="1">
      <c r="A222" s="5" t="s">
        <v>41</v>
      </c>
      <c r="B222" s="109" t="s">
        <v>380</v>
      </c>
      <c r="C222" s="109"/>
      <c r="D222" s="87" t="s">
        <v>219</v>
      </c>
      <c r="E222" s="4">
        <f>208+217</f>
        <v>425</v>
      </c>
      <c r="F222" s="28"/>
      <c r="G222" s="28"/>
    </row>
    <row r="223" spans="1:7" ht="24.75" customHeight="1">
      <c r="A223" s="5" t="s">
        <v>42</v>
      </c>
      <c r="B223" s="109" t="s">
        <v>367</v>
      </c>
      <c r="C223" s="109"/>
      <c r="D223" s="87" t="s">
        <v>2</v>
      </c>
      <c r="E223" s="48">
        <v>0.09</v>
      </c>
      <c r="F223" s="28"/>
      <c r="G223" s="28"/>
    </row>
    <row r="224" spans="1:7" ht="34.5" customHeight="1">
      <c r="A224" s="5" t="s">
        <v>47</v>
      </c>
      <c r="B224" s="109" t="s">
        <v>370</v>
      </c>
      <c r="C224" s="109"/>
      <c r="D224" s="87" t="s">
        <v>219</v>
      </c>
      <c r="E224" s="4">
        <f>E222</f>
        <v>425</v>
      </c>
      <c r="F224" s="28"/>
      <c r="G224" s="28"/>
    </row>
    <row r="225" spans="1:7" ht="24.75" customHeight="1">
      <c r="A225" s="5" t="s">
        <v>48</v>
      </c>
      <c r="B225" s="109" t="s">
        <v>372</v>
      </c>
      <c r="C225" s="109"/>
      <c r="D225" s="87" t="s">
        <v>241</v>
      </c>
      <c r="E225" s="4">
        <f>6+6</f>
        <v>12</v>
      </c>
      <c r="F225" s="28"/>
      <c r="G225" s="28"/>
    </row>
    <row r="226" spans="1:7" ht="34.5" customHeight="1">
      <c r="A226" s="5" t="s">
        <v>49</v>
      </c>
      <c r="B226" s="109" t="s">
        <v>381</v>
      </c>
      <c r="C226" s="109"/>
      <c r="D226" s="87" t="s">
        <v>219</v>
      </c>
      <c r="E226" s="4">
        <f>30+30</f>
        <v>60</v>
      </c>
      <c r="F226" s="28"/>
      <c r="G226" s="28"/>
    </row>
    <row r="227" spans="1:7" ht="24.75" customHeight="1">
      <c r="A227" s="31">
        <v>5.2</v>
      </c>
      <c r="B227" s="130" t="s">
        <v>382</v>
      </c>
      <c r="C227" s="130"/>
      <c r="D227" s="130"/>
      <c r="E227" s="130"/>
      <c r="F227" s="130"/>
      <c r="G227" s="130"/>
    </row>
    <row r="228" spans="1:7" ht="24.75" customHeight="1">
      <c r="A228" s="49"/>
      <c r="B228" s="131" t="s">
        <v>383</v>
      </c>
      <c r="C228" s="132"/>
      <c r="D228" s="132"/>
      <c r="E228" s="132"/>
      <c r="F228" s="132"/>
      <c r="G228" s="133"/>
    </row>
    <row r="229" spans="1:7" s="1" customFormat="1" ht="34.5" customHeight="1">
      <c r="A229" s="11" t="s">
        <v>127</v>
      </c>
      <c r="B229" s="115" t="s">
        <v>384</v>
      </c>
      <c r="C229" s="115"/>
      <c r="D229" s="100" t="s">
        <v>252</v>
      </c>
      <c r="E229" s="7">
        <v>11</v>
      </c>
      <c r="F229" s="28"/>
      <c r="G229" s="28"/>
    </row>
    <row r="230" spans="1:7" ht="34.5" customHeight="1">
      <c r="A230" s="5" t="s">
        <v>128</v>
      </c>
      <c r="B230" s="104" t="s">
        <v>385</v>
      </c>
      <c r="C230" s="104"/>
      <c r="D230" s="100" t="s">
        <v>252</v>
      </c>
      <c r="E230" s="4">
        <v>11</v>
      </c>
      <c r="F230" s="28"/>
      <c r="G230" s="28"/>
    </row>
    <row r="231" spans="1:7" ht="34.5" customHeight="1">
      <c r="A231" s="15" t="s">
        <v>129</v>
      </c>
      <c r="B231" s="104" t="s">
        <v>386</v>
      </c>
      <c r="C231" s="104"/>
      <c r="D231" s="100" t="s">
        <v>252</v>
      </c>
      <c r="E231" s="50">
        <v>66</v>
      </c>
      <c r="F231" s="28"/>
      <c r="G231" s="28"/>
    </row>
    <row r="232" spans="1:7" s="1" customFormat="1" ht="34.5" customHeight="1">
      <c r="A232" s="11" t="s">
        <v>130</v>
      </c>
      <c r="B232" s="115" t="s">
        <v>387</v>
      </c>
      <c r="C232" s="115"/>
      <c r="D232" s="31" t="s">
        <v>388</v>
      </c>
      <c r="E232" s="7">
        <v>560</v>
      </c>
      <c r="F232" s="28"/>
      <c r="G232" s="28"/>
    </row>
    <row r="233" spans="1:7" s="1" customFormat="1" ht="34.5" customHeight="1">
      <c r="A233" s="15" t="s">
        <v>131</v>
      </c>
      <c r="B233" s="104" t="s">
        <v>389</v>
      </c>
      <c r="C233" s="104"/>
      <c r="D233" s="31" t="s">
        <v>388</v>
      </c>
      <c r="E233" s="7">
        <v>293</v>
      </c>
      <c r="F233" s="28"/>
      <c r="G233" s="28"/>
    </row>
    <row r="234" spans="1:7" s="1" customFormat="1" ht="34.5" customHeight="1">
      <c r="A234" s="15" t="s">
        <v>132</v>
      </c>
      <c r="B234" s="115" t="s">
        <v>390</v>
      </c>
      <c r="C234" s="115"/>
      <c r="D234" s="31" t="s">
        <v>391</v>
      </c>
      <c r="E234" s="7">
        <v>63.9</v>
      </c>
      <c r="F234" s="28"/>
      <c r="G234" s="28"/>
    </row>
    <row r="235" spans="1:7" s="1" customFormat="1" ht="34.5" customHeight="1">
      <c r="A235" s="15" t="s">
        <v>133</v>
      </c>
      <c r="B235" s="104" t="s">
        <v>392</v>
      </c>
      <c r="C235" s="104"/>
      <c r="D235" s="100" t="s">
        <v>388</v>
      </c>
      <c r="E235" s="7">
        <v>1879.5</v>
      </c>
      <c r="F235" s="28"/>
      <c r="G235" s="28"/>
    </row>
    <row r="236" spans="1:7" ht="24.75" customHeight="1">
      <c r="A236" s="5" t="s">
        <v>134</v>
      </c>
      <c r="B236" s="130" t="s">
        <v>393</v>
      </c>
      <c r="C236" s="130"/>
      <c r="D236" s="130"/>
      <c r="E236" s="130"/>
      <c r="F236" s="130"/>
      <c r="G236" s="130"/>
    </row>
    <row r="237" spans="1:7" s="1" customFormat="1" ht="49.5" customHeight="1">
      <c r="A237" s="9" t="s">
        <v>135</v>
      </c>
      <c r="B237" s="125" t="s">
        <v>394</v>
      </c>
      <c r="C237" s="126"/>
      <c r="D237" s="80" t="s">
        <v>222</v>
      </c>
      <c r="E237" s="31">
        <v>229</v>
      </c>
      <c r="F237" s="28"/>
      <c r="G237" s="28"/>
    </row>
    <row r="238" spans="1:7" s="1" customFormat="1" ht="49.5" customHeight="1">
      <c r="A238" s="9" t="s">
        <v>136</v>
      </c>
      <c r="B238" s="125" t="s">
        <v>395</v>
      </c>
      <c r="C238" s="126"/>
      <c r="D238" s="80" t="s">
        <v>222</v>
      </c>
      <c r="E238" s="7">
        <v>1</v>
      </c>
      <c r="F238" s="28"/>
      <c r="G238" s="28"/>
    </row>
    <row r="239" spans="1:7" s="1" customFormat="1" ht="34.5" customHeight="1">
      <c r="A239" s="11" t="s">
        <v>210</v>
      </c>
      <c r="B239" s="127" t="s">
        <v>396</v>
      </c>
      <c r="C239" s="128"/>
      <c r="D239" s="80" t="s">
        <v>222</v>
      </c>
      <c r="E239" s="31">
        <v>12</v>
      </c>
      <c r="F239" s="28"/>
      <c r="G239" s="28"/>
    </row>
    <row r="240" spans="1:7" s="3" customFormat="1" ht="24.75" customHeight="1">
      <c r="A240" s="54">
        <v>5.4</v>
      </c>
      <c r="B240" s="122" t="s">
        <v>397</v>
      </c>
      <c r="C240" s="123"/>
      <c r="D240" s="123"/>
      <c r="E240" s="123"/>
      <c r="F240" s="124"/>
      <c r="G240" s="55"/>
    </row>
    <row r="241" spans="1:7" s="1" customFormat="1" ht="34.5" customHeight="1">
      <c r="A241" s="5" t="s">
        <v>137</v>
      </c>
      <c r="B241" s="129" t="s">
        <v>398</v>
      </c>
      <c r="C241" s="108"/>
      <c r="D241" s="80" t="s">
        <v>241</v>
      </c>
      <c r="E241" s="4">
        <f>30*14</f>
        <v>420</v>
      </c>
      <c r="F241" s="28"/>
      <c r="G241" s="28"/>
    </row>
    <row r="242" spans="1:7" s="1" customFormat="1" ht="34.5" customHeight="1">
      <c r="A242" s="15" t="s">
        <v>138</v>
      </c>
      <c r="B242" s="112" t="s">
        <v>269</v>
      </c>
      <c r="C242" s="112"/>
      <c r="D242" s="80" t="s">
        <v>241</v>
      </c>
      <c r="E242" s="4">
        <f>E241*0.05</f>
        <v>21</v>
      </c>
      <c r="F242" s="28"/>
      <c r="G242" s="28"/>
    </row>
    <row r="243" spans="1:7" ht="24.75" customHeight="1">
      <c r="A243" s="15" t="s">
        <v>139</v>
      </c>
      <c r="B243" s="109" t="s">
        <v>399</v>
      </c>
      <c r="C243" s="109"/>
      <c r="D243" s="80" t="s">
        <v>241</v>
      </c>
      <c r="E243" s="50">
        <f>5*3*0.1*14</f>
        <v>21</v>
      </c>
      <c r="F243" s="28"/>
      <c r="G243" s="28"/>
    </row>
    <row r="244" spans="1:7" s="1" customFormat="1" ht="24.75" customHeight="1">
      <c r="A244" s="9" t="s">
        <v>140</v>
      </c>
      <c r="B244" s="108" t="s">
        <v>400</v>
      </c>
      <c r="C244" s="109"/>
      <c r="D244" s="85"/>
      <c r="E244" s="38"/>
      <c r="F244" s="28"/>
      <c r="G244" s="28"/>
    </row>
    <row r="245" spans="1:7" s="1" customFormat="1" ht="24" customHeight="1">
      <c r="A245" s="8"/>
      <c r="B245" s="108" t="s">
        <v>401</v>
      </c>
      <c r="C245" s="109"/>
      <c r="D245" s="80" t="s">
        <v>3</v>
      </c>
      <c r="E245" s="4">
        <f>261.7*14</f>
        <v>3663.7999999999997</v>
      </c>
      <c r="F245" s="28"/>
      <c r="G245" s="28"/>
    </row>
    <row r="246" spans="1:7" s="1" customFormat="1" ht="24" customHeight="1">
      <c r="A246" s="10"/>
      <c r="B246" s="108" t="s">
        <v>402</v>
      </c>
      <c r="C246" s="109"/>
      <c r="D246" s="80" t="s">
        <v>241</v>
      </c>
      <c r="E246" s="4">
        <f>20.4*14</f>
        <v>285.59999999999997</v>
      </c>
      <c r="F246" s="28"/>
      <c r="G246" s="28"/>
    </row>
    <row r="247" spans="1:7" s="1" customFormat="1" ht="34.5" customHeight="1">
      <c r="A247" s="9" t="s">
        <v>141</v>
      </c>
      <c r="B247" s="108" t="s">
        <v>403</v>
      </c>
      <c r="C247" s="109"/>
      <c r="D247" s="85"/>
      <c r="E247" s="38"/>
      <c r="F247" s="28"/>
      <c r="G247" s="28"/>
    </row>
    <row r="248" spans="1:7" s="1" customFormat="1" ht="24" customHeight="1">
      <c r="A248" s="8"/>
      <c r="B248" s="108" t="s">
        <v>404</v>
      </c>
      <c r="C248" s="109"/>
      <c r="D248" s="80" t="s">
        <v>3</v>
      </c>
      <c r="E248" s="5" t="s">
        <v>206</v>
      </c>
      <c r="F248" s="28"/>
      <c r="G248" s="28"/>
    </row>
    <row r="249" spans="1:7" s="1" customFormat="1" ht="24" customHeight="1">
      <c r="A249" s="8"/>
      <c r="B249" s="108" t="s">
        <v>405</v>
      </c>
      <c r="C249" s="109"/>
      <c r="D249" s="80" t="s">
        <v>3</v>
      </c>
      <c r="E249" s="5" t="s">
        <v>207</v>
      </c>
      <c r="F249" s="28"/>
      <c r="G249" s="28"/>
    </row>
    <row r="250" spans="1:7" s="1" customFormat="1" ht="34.5" customHeight="1">
      <c r="A250" s="9" t="s">
        <v>142</v>
      </c>
      <c r="B250" s="120" t="s">
        <v>407</v>
      </c>
      <c r="C250" s="121"/>
      <c r="D250" s="80" t="s">
        <v>3</v>
      </c>
      <c r="E250" s="56" t="s">
        <v>208</v>
      </c>
      <c r="F250" s="28"/>
      <c r="G250" s="28"/>
    </row>
    <row r="251" spans="1:7" ht="24.75" customHeight="1">
      <c r="A251" s="11" t="s">
        <v>143</v>
      </c>
      <c r="B251" s="109" t="s">
        <v>406</v>
      </c>
      <c r="C251" s="109"/>
      <c r="D251" s="80" t="s">
        <v>241</v>
      </c>
      <c r="E251" s="50">
        <f>(E241+E242)-(20.4*14)</f>
        <v>155.40000000000003</v>
      </c>
      <c r="F251" s="28"/>
      <c r="G251" s="28"/>
    </row>
    <row r="252" spans="1:7" s="1" customFormat="1" ht="34.5" customHeight="1">
      <c r="A252" s="9" t="s">
        <v>144</v>
      </c>
      <c r="B252" s="120" t="s">
        <v>408</v>
      </c>
      <c r="C252" s="121"/>
      <c r="D252" s="93" t="s">
        <v>409</v>
      </c>
      <c r="E252" s="57">
        <v>89.2444</v>
      </c>
      <c r="F252" s="28"/>
      <c r="G252" s="28"/>
    </row>
    <row r="253" spans="1:7" s="1" customFormat="1" ht="75" customHeight="1">
      <c r="A253" s="9" t="s">
        <v>145</v>
      </c>
      <c r="B253" s="108" t="s">
        <v>410</v>
      </c>
      <c r="C253" s="109"/>
      <c r="D253" s="80" t="s">
        <v>219</v>
      </c>
      <c r="E253" s="57">
        <f>34*7</f>
        <v>238</v>
      </c>
      <c r="F253" s="28"/>
      <c r="G253" s="28"/>
    </row>
    <row r="254" spans="1:7" s="3" customFormat="1" ht="24.75" customHeight="1">
      <c r="A254" s="54">
        <v>5.5</v>
      </c>
      <c r="B254" s="122" t="s">
        <v>411</v>
      </c>
      <c r="C254" s="123"/>
      <c r="D254" s="123"/>
      <c r="E254" s="123"/>
      <c r="F254" s="124"/>
      <c r="G254" s="55"/>
    </row>
    <row r="255" spans="1:7" ht="54.75" customHeight="1">
      <c r="A255" s="11" t="s">
        <v>146</v>
      </c>
      <c r="B255" s="109" t="s">
        <v>412</v>
      </c>
      <c r="C255" s="109"/>
      <c r="D255" s="80" t="s">
        <v>222</v>
      </c>
      <c r="E255" s="50">
        <v>7</v>
      </c>
      <c r="F255" s="28"/>
      <c r="G255" s="28"/>
    </row>
    <row r="256" spans="1:7" ht="24.75" customHeight="1">
      <c r="A256" s="11" t="s">
        <v>147</v>
      </c>
      <c r="B256" s="109" t="s">
        <v>413</v>
      </c>
      <c r="C256" s="109"/>
      <c r="D256" s="80" t="s">
        <v>281</v>
      </c>
      <c r="E256" s="50">
        <v>2341</v>
      </c>
      <c r="F256" s="28"/>
      <c r="G256" s="28"/>
    </row>
    <row r="257" spans="1:7" s="3" customFormat="1" ht="24.75" customHeight="1">
      <c r="A257" s="54">
        <v>5.6</v>
      </c>
      <c r="B257" s="122" t="s">
        <v>414</v>
      </c>
      <c r="C257" s="123"/>
      <c r="D257" s="123"/>
      <c r="E257" s="123"/>
      <c r="F257" s="123"/>
      <c r="G257" s="124"/>
    </row>
    <row r="258" spans="1:7" ht="24.75" customHeight="1">
      <c r="A258" s="11" t="s">
        <v>149</v>
      </c>
      <c r="B258" s="109" t="s">
        <v>415</v>
      </c>
      <c r="C258" s="109"/>
      <c r="D258" s="80"/>
      <c r="E258" s="50"/>
      <c r="F258" s="28"/>
      <c r="G258" s="28"/>
    </row>
    <row r="259" spans="1:7" s="1" customFormat="1" ht="24.75" customHeight="1">
      <c r="A259" s="58"/>
      <c r="B259" s="82" t="s">
        <v>148</v>
      </c>
      <c r="C259" s="89" t="s">
        <v>54</v>
      </c>
      <c r="D259" s="80" t="s">
        <v>416</v>
      </c>
      <c r="E259" s="5" t="s">
        <v>204</v>
      </c>
      <c r="F259" s="28"/>
      <c r="G259" s="28"/>
    </row>
    <row r="260" spans="1:7" s="1" customFormat="1" ht="24.75" customHeight="1">
      <c r="A260" s="59"/>
      <c r="B260" s="119" t="s">
        <v>417</v>
      </c>
      <c r="C260" s="107"/>
      <c r="D260" s="80" t="s">
        <v>241</v>
      </c>
      <c r="E260" s="4">
        <f>ROUND(1*1*1*12,2)</f>
        <v>12</v>
      </c>
      <c r="F260" s="28"/>
      <c r="G260" s="28"/>
    </row>
    <row r="261" spans="1:7" ht="54.75" customHeight="1">
      <c r="A261" s="11" t="s">
        <v>150</v>
      </c>
      <c r="B261" s="109" t="s">
        <v>418</v>
      </c>
      <c r="C261" s="109"/>
      <c r="D261" s="80" t="s">
        <v>231</v>
      </c>
      <c r="E261" s="60" t="s">
        <v>204</v>
      </c>
      <c r="F261" s="28"/>
      <c r="G261" s="28"/>
    </row>
    <row r="262" spans="1:7" ht="34.5" customHeight="1">
      <c r="A262" s="11" t="s">
        <v>151</v>
      </c>
      <c r="B262" s="109" t="s">
        <v>419</v>
      </c>
      <c r="C262" s="109"/>
      <c r="D262" s="94" t="s">
        <v>281</v>
      </c>
      <c r="E262" s="50">
        <v>5616</v>
      </c>
      <c r="F262" s="28"/>
      <c r="G262" s="28"/>
    </row>
    <row r="263" spans="1:7" ht="24.75" customHeight="1">
      <c r="A263" s="11" t="s">
        <v>152</v>
      </c>
      <c r="B263" s="109" t="s">
        <v>420</v>
      </c>
      <c r="C263" s="109"/>
      <c r="D263" s="80"/>
      <c r="E263" s="50"/>
      <c r="F263" s="28"/>
      <c r="G263" s="28"/>
    </row>
    <row r="264" spans="1:7" s="1" customFormat="1" ht="24.75" customHeight="1">
      <c r="A264" s="58"/>
      <c r="B264" s="82" t="s">
        <v>148</v>
      </c>
      <c r="C264" s="89" t="s">
        <v>54</v>
      </c>
      <c r="D264" s="80" t="s">
        <v>416</v>
      </c>
      <c r="E264" s="5" t="s">
        <v>209</v>
      </c>
      <c r="F264" s="28"/>
      <c r="G264" s="28"/>
    </row>
    <row r="265" spans="1:7" s="1" customFormat="1" ht="24.75" customHeight="1">
      <c r="A265" s="59"/>
      <c r="B265" s="119" t="s">
        <v>421</v>
      </c>
      <c r="C265" s="107"/>
      <c r="D265" s="80" t="s">
        <v>241</v>
      </c>
      <c r="E265" s="4">
        <f>ROUND(0.7*0.7*0.7*112,2)</f>
        <v>38.42</v>
      </c>
      <c r="F265" s="28"/>
      <c r="G265" s="28"/>
    </row>
    <row r="266" spans="1:7" s="3" customFormat="1" ht="24.75" customHeight="1">
      <c r="A266" s="54">
        <v>5.7</v>
      </c>
      <c r="B266" s="122" t="s">
        <v>422</v>
      </c>
      <c r="C266" s="123"/>
      <c r="D266" s="123"/>
      <c r="E266" s="123"/>
      <c r="F266" s="123"/>
      <c r="G266" s="124"/>
    </row>
    <row r="267" spans="1:7" s="1" customFormat="1" ht="24.75" customHeight="1">
      <c r="A267" s="15" t="s">
        <v>153</v>
      </c>
      <c r="B267" s="109" t="s">
        <v>379</v>
      </c>
      <c r="C267" s="109"/>
      <c r="D267" s="80" t="s">
        <v>241</v>
      </c>
      <c r="E267" s="12">
        <f>(0.343*6)+(0.9*0.9*0.3*4)</f>
        <v>3.0300000000000002</v>
      </c>
      <c r="F267" s="28"/>
      <c r="G267" s="28"/>
    </row>
    <row r="268" spans="1:7" ht="24.75" customHeight="1">
      <c r="A268" s="11" t="s">
        <v>154</v>
      </c>
      <c r="B268" s="109" t="s">
        <v>423</v>
      </c>
      <c r="C268" s="109"/>
      <c r="D268" s="6"/>
      <c r="E268" s="50"/>
      <c r="F268" s="28"/>
      <c r="G268" s="28"/>
    </row>
    <row r="269" spans="1:7" s="1" customFormat="1" ht="24.75" customHeight="1">
      <c r="A269" s="58"/>
      <c r="B269" s="82" t="s">
        <v>53</v>
      </c>
      <c r="C269" s="89" t="s">
        <v>424</v>
      </c>
      <c r="D269" s="80" t="s">
        <v>416</v>
      </c>
      <c r="E269" s="5" t="s">
        <v>50</v>
      </c>
      <c r="F269" s="28"/>
      <c r="G269" s="28"/>
    </row>
    <row r="270" spans="1:7" s="1" customFormat="1" ht="24.75" customHeight="1">
      <c r="A270" s="59"/>
      <c r="B270" s="119" t="s">
        <v>421</v>
      </c>
      <c r="C270" s="107"/>
      <c r="D270" s="80" t="s">
        <v>241</v>
      </c>
      <c r="E270" s="4">
        <f>ROUND(0.7*0.7*0.7*6,2)</f>
        <v>2.06</v>
      </c>
      <c r="F270" s="28"/>
      <c r="G270" s="28"/>
    </row>
    <row r="271" spans="1:7" ht="24.75" customHeight="1">
      <c r="A271" s="15" t="s">
        <v>155</v>
      </c>
      <c r="B271" s="109" t="s">
        <v>425</v>
      </c>
      <c r="C271" s="109"/>
      <c r="D271" s="80" t="s">
        <v>241</v>
      </c>
      <c r="E271" s="50">
        <f>0.8*0.8*0.1*4</f>
        <v>0.25600000000000006</v>
      </c>
      <c r="F271" s="28"/>
      <c r="G271" s="28"/>
    </row>
    <row r="272" spans="1:7" s="1" customFormat="1" ht="24" customHeight="1">
      <c r="A272" s="15" t="s">
        <v>156</v>
      </c>
      <c r="B272" s="109" t="s">
        <v>426</v>
      </c>
      <c r="C272" s="109"/>
      <c r="D272" s="80" t="s">
        <v>241</v>
      </c>
      <c r="E272" s="4">
        <f>0.8*0.8*0.2*4</f>
        <v>0.5120000000000001</v>
      </c>
      <c r="F272" s="28"/>
      <c r="G272" s="28"/>
    </row>
    <row r="273" spans="1:7" ht="54.75" customHeight="1">
      <c r="A273" s="11" t="s">
        <v>157</v>
      </c>
      <c r="B273" s="109" t="s">
        <v>427</v>
      </c>
      <c r="C273" s="109"/>
      <c r="D273" s="80" t="s">
        <v>231</v>
      </c>
      <c r="E273" s="60" t="s">
        <v>181</v>
      </c>
      <c r="F273" s="28"/>
      <c r="G273" s="28"/>
    </row>
    <row r="274" spans="1:7" ht="54.75" customHeight="1">
      <c r="A274" s="11" t="s">
        <v>158</v>
      </c>
      <c r="B274" s="109" t="s">
        <v>428</v>
      </c>
      <c r="C274" s="109"/>
      <c r="D274" s="80" t="s">
        <v>231</v>
      </c>
      <c r="E274" s="60" t="s">
        <v>181</v>
      </c>
      <c r="F274" s="28"/>
      <c r="G274" s="28"/>
    </row>
    <row r="275" spans="1:7" ht="24.75" customHeight="1">
      <c r="A275" s="11" t="s">
        <v>159</v>
      </c>
      <c r="B275" s="109" t="s">
        <v>429</v>
      </c>
      <c r="C275" s="109"/>
      <c r="D275" s="94" t="s">
        <v>281</v>
      </c>
      <c r="E275" s="50">
        <v>560</v>
      </c>
      <c r="F275" s="28"/>
      <c r="G275" s="28"/>
    </row>
    <row r="276" spans="1:7" s="3" customFormat="1" ht="24.75" customHeight="1">
      <c r="A276" s="54">
        <v>5.8</v>
      </c>
      <c r="B276" s="122" t="s">
        <v>430</v>
      </c>
      <c r="C276" s="123"/>
      <c r="D276" s="123"/>
      <c r="E276" s="123"/>
      <c r="F276" s="124"/>
      <c r="G276" s="55"/>
    </row>
    <row r="277" spans="1:7" s="1" customFormat="1" ht="24.75" customHeight="1">
      <c r="A277" s="5" t="s">
        <v>160</v>
      </c>
      <c r="B277" s="109" t="s">
        <v>268</v>
      </c>
      <c r="C277" s="109"/>
      <c r="D277" s="80" t="s">
        <v>241</v>
      </c>
      <c r="E277" s="4">
        <v>14</v>
      </c>
      <c r="F277" s="28"/>
      <c r="G277" s="28"/>
    </row>
    <row r="278" spans="1:7" s="1" customFormat="1" ht="24.75" customHeight="1">
      <c r="A278" s="15" t="s">
        <v>161</v>
      </c>
      <c r="B278" s="109" t="s">
        <v>431</v>
      </c>
      <c r="C278" s="109"/>
      <c r="D278" s="80" t="s">
        <v>241</v>
      </c>
      <c r="E278" s="4">
        <v>8</v>
      </c>
      <c r="F278" s="28"/>
      <c r="G278" s="28"/>
    </row>
    <row r="279" spans="1:7" ht="24.75" customHeight="1">
      <c r="A279" s="15" t="s">
        <v>162</v>
      </c>
      <c r="B279" s="109" t="s">
        <v>399</v>
      </c>
      <c r="C279" s="109"/>
      <c r="D279" s="80" t="s">
        <v>241</v>
      </c>
      <c r="E279" s="50">
        <v>0.9</v>
      </c>
      <c r="F279" s="28"/>
      <c r="G279" s="28"/>
    </row>
    <row r="280" spans="1:7" s="1" customFormat="1" ht="24.75" customHeight="1">
      <c r="A280" s="9" t="s">
        <v>163</v>
      </c>
      <c r="B280" s="108" t="s">
        <v>432</v>
      </c>
      <c r="C280" s="109"/>
      <c r="D280" s="85"/>
      <c r="E280" s="38"/>
      <c r="F280" s="28"/>
      <c r="G280" s="28"/>
    </row>
    <row r="281" spans="1:7" s="1" customFormat="1" ht="24" customHeight="1">
      <c r="A281" s="8"/>
      <c r="B281" s="108" t="s">
        <v>401</v>
      </c>
      <c r="C281" s="109"/>
      <c r="D281" s="80" t="s">
        <v>3</v>
      </c>
      <c r="E281" s="4">
        <f>32.3+206.2</f>
        <v>238.5</v>
      </c>
      <c r="F281" s="28"/>
      <c r="G281" s="28"/>
    </row>
    <row r="282" spans="1:7" s="1" customFormat="1" ht="24" customHeight="1">
      <c r="A282" s="10"/>
      <c r="B282" s="108" t="s">
        <v>402</v>
      </c>
      <c r="C282" s="109"/>
      <c r="D282" s="80" t="s">
        <v>241</v>
      </c>
      <c r="E282" s="4">
        <v>9</v>
      </c>
      <c r="F282" s="28"/>
      <c r="G282" s="28"/>
    </row>
    <row r="283" spans="1:7" s="1" customFormat="1" ht="34.5" customHeight="1">
      <c r="A283" s="9" t="s">
        <v>164</v>
      </c>
      <c r="B283" s="108" t="s">
        <v>433</v>
      </c>
      <c r="C283" s="109"/>
      <c r="D283" s="85"/>
      <c r="E283" s="38"/>
      <c r="F283" s="28"/>
      <c r="G283" s="28"/>
    </row>
    <row r="284" spans="1:7" s="1" customFormat="1" ht="24" customHeight="1">
      <c r="A284" s="8"/>
      <c r="B284" s="108" t="s">
        <v>404</v>
      </c>
      <c r="C284" s="109"/>
      <c r="D284" s="80" t="s">
        <v>231</v>
      </c>
      <c r="E284" s="5" t="s">
        <v>206</v>
      </c>
      <c r="F284" s="28"/>
      <c r="G284" s="28"/>
    </row>
    <row r="285" spans="1:7" s="1" customFormat="1" ht="24" customHeight="1">
      <c r="A285" s="8"/>
      <c r="B285" s="108" t="s">
        <v>434</v>
      </c>
      <c r="C285" s="109"/>
      <c r="D285" s="80" t="s">
        <v>231</v>
      </c>
      <c r="E285" s="5" t="s">
        <v>207</v>
      </c>
      <c r="F285" s="28"/>
      <c r="G285" s="28"/>
    </row>
    <row r="286" spans="1:7" s="1" customFormat="1" ht="24.75" customHeight="1">
      <c r="A286" s="9" t="s">
        <v>165</v>
      </c>
      <c r="B286" s="120" t="s">
        <v>435</v>
      </c>
      <c r="C286" s="121"/>
      <c r="D286" s="80" t="s">
        <v>3</v>
      </c>
      <c r="E286" s="57">
        <f>61.7+67.3+1.9+2.6+0.4</f>
        <v>133.9</v>
      </c>
      <c r="F286" s="28"/>
      <c r="G286" s="28"/>
    </row>
    <row r="287" spans="1:7" ht="24.75" customHeight="1">
      <c r="A287" s="11" t="s">
        <v>166</v>
      </c>
      <c r="B287" s="109" t="s">
        <v>436</v>
      </c>
      <c r="C287" s="109"/>
      <c r="D287" s="80" t="s">
        <v>241</v>
      </c>
      <c r="E287" s="50">
        <v>19</v>
      </c>
      <c r="F287" s="28"/>
      <c r="G287" s="28"/>
    </row>
    <row r="288" spans="1:7" s="1" customFormat="1" ht="34.5" customHeight="1">
      <c r="A288" s="9" t="s">
        <v>167</v>
      </c>
      <c r="B288" s="120" t="s">
        <v>437</v>
      </c>
      <c r="C288" s="121"/>
      <c r="D288" s="80" t="s">
        <v>3</v>
      </c>
      <c r="E288" s="4">
        <f>399.6+186.3+8.8</f>
        <v>594.7</v>
      </c>
      <c r="F288" s="28"/>
      <c r="G288" s="28"/>
    </row>
    <row r="289" spans="1:7" s="1" customFormat="1" ht="75" customHeight="1">
      <c r="A289" s="9" t="s">
        <v>168</v>
      </c>
      <c r="B289" s="108" t="s">
        <v>410</v>
      </c>
      <c r="C289" s="109"/>
      <c r="D289" s="80" t="s">
        <v>219</v>
      </c>
      <c r="E289" s="57">
        <v>11</v>
      </c>
      <c r="F289" s="28"/>
      <c r="G289" s="28"/>
    </row>
    <row r="290" spans="1:7" s="1" customFormat="1" ht="60" customHeight="1">
      <c r="A290" s="11" t="s">
        <v>169</v>
      </c>
      <c r="B290" s="106" t="s">
        <v>438</v>
      </c>
      <c r="C290" s="112"/>
      <c r="D290" s="80" t="s">
        <v>219</v>
      </c>
      <c r="E290" s="4">
        <v>2305</v>
      </c>
      <c r="F290" s="28"/>
      <c r="G290" s="28"/>
    </row>
    <row r="291" spans="1:7" s="1" customFormat="1" ht="24.75" customHeight="1">
      <c r="A291" s="15" t="s">
        <v>170</v>
      </c>
      <c r="B291" s="113" t="s">
        <v>439</v>
      </c>
      <c r="C291" s="113"/>
      <c r="D291" s="87" t="s">
        <v>219</v>
      </c>
      <c r="E291" s="4">
        <f>38+9.6</f>
        <v>47.6</v>
      </c>
      <c r="F291" s="28"/>
      <c r="G291" s="28"/>
    </row>
    <row r="292" spans="1:7" s="1" customFormat="1" ht="24.75" customHeight="1">
      <c r="A292" s="15" t="s">
        <v>171</v>
      </c>
      <c r="B292" s="113" t="s">
        <v>440</v>
      </c>
      <c r="C292" s="113"/>
      <c r="D292" s="87" t="s">
        <v>219</v>
      </c>
      <c r="E292" s="4">
        <f>94+20.4</f>
        <v>114.4</v>
      </c>
      <c r="F292" s="28"/>
      <c r="G292" s="28"/>
    </row>
    <row r="293" spans="1:7" s="1" customFormat="1" ht="24.75" customHeight="1">
      <c r="A293" s="11" t="s">
        <v>172</v>
      </c>
      <c r="B293" s="114" t="s">
        <v>441</v>
      </c>
      <c r="C293" s="106"/>
      <c r="D293" s="80" t="s">
        <v>222</v>
      </c>
      <c r="E293" s="4">
        <f>44+48+44+20+67+44+28+10</f>
        <v>305</v>
      </c>
      <c r="F293" s="28"/>
      <c r="G293" s="28"/>
    </row>
    <row r="294" spans="1:7" s="1" customFormat="1" ht="24.75" customHeight="1">
      <c r="A294" s="11" t="s">
        <v>173</v>
      </c>
      <c r="B294" s="114" t="s">
        <v>442</v>
      </c>
      <c r="C294" s="106"/>
      <c r="D294" s="80" t="s">
        <v>222</v>
      </c>
      <c r="E294" s="4">
        <f>12+8+5+24+29+103</f>
        <v>181</v>
      </c>
      <c r="F294" s="28"/>
      <c r="G294" s="28"/>
    </row>
    <row r="295" spans="1:7" s="1" customFormat="1" ht="24.75" customHeight="1">
      <c r="A295" s="11" t="s">
        <v>174</v>
      </c>
      <c r="B295" s="116" t="s">
        <v>443</v>
      </c>
      <c r="C295" s="117"/>
      <c r="D295" s="94" t="s">
        <v>281</v>
      </c>
      <c r="E295" s="4">
        <v>480</v>
      </c>
      <c r="F295" s="28"/>
      <c r="G295" s="28"/>
    </row>
    <row r="296" spans="1:7" s="3" customFormat="1" ht="34.5" customHeight="1">
      <c r="A296" s="11" t="s">
        <v>175</v>
      </c>
      <c r="B296" s="118" t="s">
        <v>444</v>
      </c>
      <c r="C296" s="119"/>
      <c r="D296" s="80" t="s">
        <v>241</v>
      </c>
      <c r="E296" s="7">
        <v>29.26</v>
      </c>
      <c r="F296" s="28"/>
      <c r="G296" s="28"/>
    </row>
    <row r="297" spans="1:7" s="3" customFormat="1" ht="34.5" customHeight="1">
      <c r="A297" s="11" t="s">
        <v>176</v>
      </c>
      <c r="B297" s="118" t="s">
        <v>445</v>
      </c>
      <c r="C297" s="119"/>
      <c r="D297" s="80" t="s">
        <v>219</v>
      </c>
      <c r="E297" s="7">
        <v>140.6</v>
      </c>
      <c r="F297" s="28"/>
      <c r="G297" s="28"/>
    </row>
    <row r="298" spans="1:7" s="1" customFormat="1" ht="24.75" customHeight="1">
      <c r="A298" s="11" t="s">
        <v>177</v>
      </c>
      <c r="B298" s="105" t="s">
        <v>447</v>
      </c>
      <c r="C298" s="106"/>
      <c r="D298" s="80" t="s">
        <v>222</v>
      </c>
      <c r="E298" s="7">
        <v>38</v>
      </c>
      <c r="F298" s="28"/>
      <c r="G298" s="28"/>
    </row>
    <row r="299" spans="1:7" s="1" customFormat="1" ht="34.5" customHeight="1">
      <c r="A299" s="15" t="s">
        <v>178</v>
      </c>
      <c r="B299" s="107" t="s">
        <v>448</v>
      </c>
      <c r="C299" s="107"/>
      <c r="D299" s="80" t="s">
        <v>235</v>
      </c>
      <c r="E299" s="7">
        <v>28910</v>
      </c>
      <c r="F299" s="28"/>
      <c r="G299" s="28"/>
    </row>
    <row r="300" spans="1:7" s="1" customFormat="1" ht="34.5" customHeight="1">
      <c r="A300" s="11" t="s">
        <v>179</v>
      </c>
      <c r="B300" s="108" t="s">
        <v>449</v>
      </c>
      <c r="C300" s="109"/>
      <c r="D300" s="80" t="s">
        <v>222</v>
      </c>
      <c r="E300" s="7">
        <f>1+1+1+2</f>
        <v>5</v>
      </c>
      <c r="F300" s="28"/>
      <c r="G300" s="28"/>
    </row>
    <row r="301" spans="1:7" s="1" customFormat="1" ht="49.5" customHeight="1">
      <c r="A301" s="42"/>
      <c r="B301" s="110" t="s">
        <v>450</v>
      </c>
      <c r="C301" s="111"/>
      <c r="D301" s="80" t="s">
        <v>446</v>
      </c>
      <c r="E301" s="43" t="s">
        <v>58</v>
      </c>
      <c r="F301" s="28"/>
      <c r="G301" s="28"/>
    </row>
    <row r="302" spans="1:7" s="1" customFormat="1" ht="24.75" customHeight="1">
      <c r="A302" s="8"/>
      <c r="B302" s="108" t="s">
        <v>451</v>
      </c>
      <c r="C302" s="109"/>
      <c r="D302" s="80" t="s">
        <v>416</v>
      </c>
      <c r="E302" s="7">
        <v>0.038</v>
      </c>
      <c r="F302" s="28"/>
      <c r="G302" s="28"/>
    </row>
    <row r="303" spans="1:7" s="1" customFormat="1" ht="24.75" customHeight="1">
      <c r="A303" s="10"/>
      <c r="B303" s="110" t="s">
        <v>452</v>
      </c>
      <c r="C303" s="111"/>
      <c r="D303" s="80" t="s">
        <v>241</v>
      </c>
      <c r="E303" s="7">
        <f>0.045+0.045+0.045+0.09</f>
        <v>0.225</v>
      </c>
      <c r="F303" s="28"/>
      <c r="G303" s="28"/>
    </row>
    <row r="304" spans="1:7" ht="24.75" customHeight="1">
      <c r="A304" s="6"/>
      <c r="B304" s="134" t="s">
        <v>454</v>
      </c>
      <c r="C304" s="134"/>
      <c r="D304" s="134"/>
      <c r="E304" s="134"/>
      <c r="F304" s="134"/>
      <c r="G304" s="79"/>
    </row>
    <row r="305" ht="19.5" customHeight="1">
      <c r="C305" s="52" t="s">
        <v>51</v>
      </c>
    </row>
  </sheetData>
  <sheetProtection/>
  <mergeCells count="305">
    <mergeCell ref="B304:F304"/>
    <mergeCell ref="A1:G1"/>
    <mergeCell ref="A2:G2"/>
    <mergeCell ref="A3:A4"/>
    <mergeCell ref="B3:C4"/>
    <mergeCell ref="D3:D4"/>
    <mergeCell ref="E3:E4"/>
    <mergeCell ref="F3:G3"/>
    <mergeCell ref="B5:C5"/>
    <mergeCell ref="A6:G6"/>
    <mergeCell ref="B7:C7"/>
    <mergeCell ref="B8:C8"/>
    <mergeCell ref="B9:C9"/>
    <mergeCell ref="B10:C10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  <mergeCell ref="B21:C21"/>
    <mergeCell ref="B22:C22"/>
    <mergeCell ref="B23:C23"/>
    <mergeCell ref="B24:C24"/>
    <mergeCell ref="B25:C25"/>
    <mergeCell ref="B26:C26"/>
    <mergeCell ref="B33:G33"/>
    <mergeCell ref="B34:C34"/>
    <mergeCell ref="B27:C27"/>
    <mergeCell ref="B28:C28"/>
    <mergeCell ref="B29:C29"/>
    <mergeCell ref="B30:G30"/>
    <mergeCell ref="B31:C31"/>
    <mergeCell ref="B32:C32"/>
    <mergeCell ref="B35:C35"/>
    <mergeCell ref="B36:G36"/>
    <mergeCell ref="B37:C37"/>
    <mergeCell ref="B38:C38"/>
    <mergeCell ref="A40:G40"/>
    <mergeCell ref="B41:C41"/>
    <mergeCell ref="B39:F39"/>
    <mergeCell ref="B54:C54"/>
    <mergeCell ref="B42:C42"/>
    <mergeCell ref="B43:C43"/>
    <mergeCell ref="B44:C44"/>
    <mergeCell ref="B45:C45"/>
    <mergeCell ref="B46:C46"/>
    <mergeCell ref="B47:C47"/>
    <mergeCell ref="B49:F49"/>
    <mergeCell ref="B55:C55"/>
    <mergeCell ref="B56:C56"/>
    <mergeCell ref="B57:C57"/>
    <mergeCell ref="B58:C58"/>
    <mergeCell ref="B59:C59"/>
    <mergeCell ref="B48:C48"/>
    <mergeCell ref="A50:G50"/>
    <mergeCell ref="B51:G51"/>
    <mergeCell ref="B52:C52"/>
    <mergeCell ref="B53:C53"/>
    <mergeCell ref="B60:C60"/>
    <mergeCell ref="B61:C61"/>
    <mergeCell ref="B62:C62"/>
    <mergeCell ref="B63:C63"/>
    <mergeCell ref="B64:C64"/>
    <mergeCell ref="B65:C65"/>
    <mergeCell ref="B66:C66"/>
    <mergeCell ref="B67:C67"/>
    <mergeCell ref="B68:G68"/>
    <mergeCell ref="B69:G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G81"/>
    <mergeCell ref="B82:C82"/>
    <mergeCell ref="B83:C83"/>
    <mergeCell ref="B84:C84"/>
    <mergeCell ref="B85:C85"/>
    <mergeCell ref="B86:C86"/>
    <mergeCell ref="B87:C87"/>
    <mergeCell ref="A88:A89"/>
    <mergeCell ref="B88:C88"/>
    <mergeCell ref="B89:C89"/>
    <mergeCell ref="B90:C90"/>
    <mergeCell ref="B91:G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14:C114"/>
    <mergeCell ref="B115:G115"/>
    <mergeCell ref="B108:C108"/>
    <mergeCell ref="B109:C109"/>
    <mergeCell ref="B110:C110"/>
    <mergeCell ref="B111:C111"/>
    <mergeCell ref="B112:C112"/>
    <mergeCell ref="B113:C113"/>
    <mergeCell ref="B116:C116"/>
    <mergeCell ref="B117:C117"/>
    <mergeCell ref="B118:G118"/>
    <mergeCell ref="B119:C119"/>
    <mergeCell ref="B120:C120"/>
    <mergeCell ref="B121:C121"/>
    <mergeCell ref="B122:C122"/>
    <mergeCell ref="B123:G123"/>
    <mergeCell ref="B124:C124"/>
    <mergeCell ref="B125:C125"/>
    <mergeCell ref="B126:C126"/>
    <mergeCell ref="B127:C127"/>
    <mergeCell ref="B134:C134"/>
    <mergeCell ref="B135:C135"/>
    <mergeCell ref="B136:G136"/>
    <mergeCell ref="B137:C137"/>
    <mergeCell ref="B128:C128"/>
    <mergeCell ref="B129:C129"/>
    <mergeCell ref="B130:C130"/>
    <mergeCell ref="B131:C131"/>
    <mergeCell ref="B132:C132"/>
    <mergeCell ref="B133:C133"/>
    <mergeCell ref="B143:C143"/>
    <mergeCell ref="B144:G144"/>
    <mergeCell ref="B145:C145"/>
    <mergeCell ref="B146:C146"/>
    <mergeCell ref="B147:C147"/>
    <mergeCell ref="B138:C138"/>
    <mergeCell ref="B139:C139"/>
    <mergeCell ref="B140:C140"/>
    <mergeCell ref="B141:C141"/>
    <mergeCell ref="B142:C142"/>
    <mergeCell ref="B148:C148"/>
    <mergeCell ref="B149:C149"/>
    <mergeCell ref="B150:G150"/>
    <mergeCell ref="B151:C151"/>
    <mergeCell ref="B152:C152"/>
    <mergeCell ref="B153:C153"/>
    <mergeCell ref="B154:C154"/>
    <mergeCell ref="B155:C155"/>
    <mergeCell ref="B156:C156"/>
    <mergeCell ref="B157:G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G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G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A195:G195"/>
    <mergeCell ref="B196:C196"/>
    <mergeCell ref="B194:F194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5:G215"/>
    <mergeCell ref="B214:F214"/>
    <mergeCell ref="B216:G216"/>
    <mergeCell ref="B217:C217"/>
    <mergeCell ref="B218:C218"/>
    <mergeCell ref="B219:C219"/>
    <mergeCell ref="B220:C220"/>
    <mergeCell ref="B221:C221"/>
    <mergeCell ref="B236:G236"/>
    <mergeCell ref="B237:C237"/>
    <mergeCell ref="B228:G228"/>
    <mergeCell ref="B222:C222"/>
    <mergeCell ref="B223:C223"/>
    <mergeCell ref="B224:C224"/>
    <mergeCell ref="B225:C225"/>
    <mergeCell ref="B226:C226"/>
    <mergeCell ref="B227:G227"/>
    <mergeCell ref="B234:C234"/>
    <mergeCell ref="B238:C238"/>
    <mergeCell ref="B239:C239"/>
    <mergeCell ref="B240:F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F254"/>
    <mergeCell ref="B255:C255"/>
    <mergeCell ref="B256:C256"/>
    <mergeCell ref="B257:G257"/>
    <mergeCell ref="B258:C258"/>
    <mergeCell ref="B260:C260"/>
    <mergeCell ref="B261:C261"/>
    <mergeCell ref="B262:C262"/>
    <mergeCell ref="B263:C263"/>
    <mergeCell ref="B265:C265"/>
    <mergeCell ref="B266:G266"/>
    <mergeCell ref="B267:C267"/>
    <mergeCell ref="B268:C268"/>
    <mergeCell ref="B270:C270"/>
    <mergeCell ref="B271:C271"/>
    <mergeCell ref="B272:C272"/>
    <mergeCell ref="B273:C273"/>
    <mergeCell ref="B274:C274"/>
    <mergeCell ref="B275:C275"/>
    <mergeCell ref="B276:F276"/>
    <mergeCell ref="B277:C277"/>
    <mergeCell ref="B278:C278"/>
    <mergeCell ref="B279:C279"/>
    <mergeCell ref="B280:C280"/>
    <mergeCell ref="B281:C281"/>
    <mergeCell ref="B282:C282"/>
    <mergeCell ref="B294:C294"/>
    <mergeCell ref="B283:C283"/>
    <mergeCell ref="B284:C284"/>
    <mergeCell ref="B285:C285"/>
    <mergeCell ref="B286:C286"/>
    <mergeCell ref="B287:C287"/>
    <mergeCell ref="B288:C288"/>
    <mergeCell ref="B229:C229"/>
    <mergeCell ref="B230:C230"/>
    <mergeCell ref="B231:C231"/>
    <mergeCell ref="B232:C232"/>
    <mergeCell ref="B233:C233"/>
    <mergeCell ref="B303:C303"/>
    <mergeCell ref="B295:C295"/>
    <mergeCell ref="B296:C296"/>
    <mergeCell ref="B297:C297"/>
    <mergeCell ref="B289:C289"/>
    <mergeCell ref="B235:C235"/>
    <mergeCell ref="B298:C298"/>
    <mergeCell ref="B299:C299"/>
    <mergeCell ref="B300:C300"/>
    <mergeCell ref="B301:C301"/>
    <mergeCell ref="B302:C302"/>
    <mergeCell ref="B290:C290"/>
    <mergeCell ref="B291:C291"/>
    <mergeCell ref="B292:C292"/>
    <mergeCell ref="B293:C293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Proektmsheni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Mariam Bakhtadze</cp:lastModifiedBy>
  <cp:lastPrinted>2017-10-14T07:00:47Z</cp:lastPrinted>
  <dcterms:created xsi:type="dcterms:W3CDTF">2011-02-09T10:48:42Z</dcterms:created>
  <dcterms:modified xsi:type="dcterms:W3CDTF">2017-12-05T14:21:06Z</dcterms:modified>
  <cp:category/>
  <cp:version/>
  <cp:contentType/>
  <cp:contentStatus/>
</cp:coreProperties>
</file>