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05" tabRatio="895" activeTab="3"/>
  </bookViews>
  <sheets>
    <sheet name="NAKREBI" sheetId="1" r:id="rId1"/>
    <sheet name="OBIEKTURI #1" sheetId="2" r:id="rId2"/>
    <sheet name="1-1" sheetId="3" r:id="rId3"/>
    <sheet name="1-2" sheetId="4" r:id="rId4"/>
    <sheet name="1-3" sheetId="5" r:id="rId5"/>
    <sheet name="2" sheetId="6" r:id="rId6"/>
    <sheet name="3" sheetId="7" r:id="rId7"/>
    <sheet name="4" sheetId="8" r:id="rId8"/>
  </sheets>
  <definedNames>
    <definedName name="_xlnm._FilterDatabase" localSheetId="4" hidden="1">'1-3'!$G$1:$G$58</definedName>
    <definedName name="_xlnm.Print_Area" localSheetId="2">'1-1'!$A$1:$M$227</definedName>
    <definedName name="_xlnm.Print_Area" localSheetId="3">'1-2'!$A$1:$M$85</definedName>
    <definedName name="_xlnm.Print_Area" localSheetId="5">'2'!$A$1:$M$64</definedName>
    <definedName name="_xlnm.Print_Area" localSheetId="7">'4'!$A$1:$M$109</definedName>
    <definedName name="_xlnm.Print_Area" localSheetId="0">'NAKREBI'!$A$2:$H$65</definedName>
  </definedNames>
  <calcPr fullCalcOnLoad="1"/>
</workbook>
</file>

<file path=xl/sharedStrings.xml><?xml version="1.0" encoding="utf-8"?>
<sst xmlns="http://schemas.openxmlformats.org/spreadsheetml/2006/main" count="1425" uniqueCount="510">
  <si>
    <t>samSeneblo samuSaoebi</t>
  </si>
  <si>
    <t xml:space="preserve">saxarjTaRricxvo Rirebuleba </t>
  </si>
  <si>
    <t>saxarjTaRricxvo xelfasi</t>
  </si>
  <si>
    <t>normatiuli Sromatevadoba</t>
  </si>
  <si>
    <t>#</t>
  </si>
  <si>
    <t>safuZveli</t>
  </si>
  <si>
    <t>raodenoba</t>
  </si>
  <si>
    <t>ganz. erTeulze</t>
  </si>
  <si>
    <t>saproeqto monacemze</t>
  </si>
  <si>
    <t>1</t>
  </si>
  <si>
    <t>100 kvm</t>
  </si>
  <si>
    <t>kac/sT</t>
  </si>
  <si>
    <t>man</t>
  </si>
  <si>
    <t>3</t>
  </si>
  <si>
    <t>kubm</t>
  </si>
  <si>
    <t>4</t>
  </si>
  <si>
    <t>5</t>
  </si>
  <si>
    <t>6</t>
  </si>
  <si>
    <t>7</t>
  </si>
  <si>
    <t>tona</t>
  </si>
  <si>
    <t>8</t>
  </si>
  <si>
    <t>9</t>
  </si>
  <si>
    <t>kg</t>
  </si>
  <si>
    <t>kvm</t>
  </si>
  <si>
    <t xml:space="preserve"> sxva masala</t>
  </si>
  <si>
    <t>100 g/m</t>
  </si>
  <si>
    <t>cali</t>
  </si>
  <si>
    <t>g/m</t>
  </si>
  <si>
    <t>sabazro saxelSekrulebo</t>
  </si>
  <si>
    <t>kv.m.</t>
  </si>
  <si>
    <t>s.n. da w.  IV-2-82 t-2 cx.11-8-1(2)</t>
  </si>
  <si>
    <t>iatakebze cementis mWimis mowyoba sisqiT 35 mm</t>
  </si>
  <si>
    <t>lari</t>
  </si>
  <si>
    <t>m/sT</t>
  </si>
  <si>
    <t>s.n. da w.   IV-2-82 t-2   cx.15-15-3</t>
  </si>
  <si>
    <t xml:space="preserve"> kafeli</t>
  </si>
  <si>
    <t>j a m i</t>
  </si>
  <si>
    <t xml:space="preserve"> </t>
  </si>
  <si>
    <t>saxarjTaRricxvo Rirebuleba</t>
  </si>
  <si>
    <t>Sromis gadasaxadi</t>
  </si>
  <si>
    <t>aT lari</t>
  </si>
  <si>
    <t>saxarjTaRricxvo  nomeri</t>
  </si>
  <si>
    <t>samuSaos da xarjebis dasaxeleba</t>
  </si>
  <si>
    <t>erTeulis Rirebulebis maCvenebeli</t>
  </si>
  <si>
    <t>samontaJo samuSaoebi</t>
  </si>
  <si>
    <t>danadgarebze, avejsa da inventarze</t>
  </si>
  <si>
    <t>sxvadasxva xarjebi</t>
  </si>
  <si>
    <t>sul</t>
  </si>
  <si>
    <t>saxarjTaRricxvo angariSis da xarjTaRricxvis nomeri</t>
  </si>
  <si>
    <t>obieqtis, samuSaoebis da xarjebis dasaxeleba</t>
  </si>
  <si>
    <t>saxarjTRricxvo Rirebuleba aTasi lari</t>
  </si>
  <si>
    <t xml:space="preserve">samSeneblo samuSaoebi </t>
  </si>
  <si>
    <t>danadgarebi aveji inventari</t>
  </si>
  <si>
    <t>sxva xarjebi</t>
  </si>
  <si>
    <t>saerTo saxarjTaR ricxvo Rirebuleba</t>
  </si>
  <si>
    <t>Tavi I</t>
  </si>
  <si>
    <t>teritoriis momzadeba</t>
  </si>
  <si>
    <t>Tavi II</t>
  </si>
  <si>
    <t>mSeneblobis ZiriTadi obieqtebi</t>
  </si>
  <si>
    <t>2.1</t>
  </si>
  <si>
    <t>j a m i Tavi II</t>
  </si>
  <si>
    <t>Tavi III</t>
  </si>
  <si>
    <t>damxmare da samomsaxuro obieqtebi</t>
  </si>
  <si>
    <t>3.1</t>
  </si>
  <si>
    <t>j a m i Tavi III</t>
  </si>
  <si>
    <t>Tavi IV</t>
  </si>
  <si>
    <t>energetikuli meurneobis obieqtebi</t>
  </si>
  <si>
    <t>4.1</t>
  </si>
  <si>
    <t>Tavi V</t>
  </si>
  <si>
    <t>satransporto meurneobis obieqtebi da kavSirgabmuloba</t>
  </si>
  <si>
    <t>5.1</t>
  </si>
  <si>
    <t>Tavi VI</t>
  </si>
  <si>
    <t>gare qselebi</t>
  </si>
  <si>
    <t>6.1</t>
  </si>
  <si>
    <t>Tavi VI jami</t>
  </si>
  <si>
    <t>Tavi VII</t>
  </si>
  <si>
    <t>teritoriis keTilmowyoba da gamwvaneba</t>
  </si>
  <si>
    <t>Tavi I-VII jami</t>
  </si>
  <si>
    <t>Tavi VIII</t>
  </si>
  <si>
    <t>droebiTi Senobebi da nagebobebi</t>
  </si>
  <si>
    <t>8.1</t>
  </si>
  <si>
    <t>xarjebi ar aris</t>
  </si>
  <si>
    <t>Tavi IX</t>
  </si>
  <si>
    <t>9.1</t>
  </si>
  <si>
    <t>Tavi IX jami</t>
  </si>
  <si>
    <t>Tavi I-IX jami</t>
  </si>
  <si>
    <t>jami</t>
  </si>
  <si>
    <t>damatebiTi Rirebulebis gadasaxadi 18%</t>
  </si>
  <si>
    <t xml:space="preserve">sul krebsiTi saxarjTaRricxvo Rirebuleba </t>
  </si>
  <si>
    <t>damtkicebulia:</t>
  </si>
  <si>
    <t>nakrebi saxarjTaRricxvo gaangariSeba</t>
  </si>
  <si>
    <t>maT Soris: damatebiTi Rirebulebis gadasaxadi</t>
  </si>
  <si>
    <t>Sromis danaxarji</t>
  </si>
  <si>
    <t>(damtkicebis Sesaxeb dokumentze miTiTeba)</t>
  </si>
  <si>
    <t>(mSeneblobis dasaxeleba)</t>
  </si>
  <si>
    <t>WanWiki qanCiT da sayeluriT</t>
  </si>
  <si>
    <t>cecxlgamZle xsnari</t>
  </si>
  <si>
    <t>plastmasis kuTxovana</t>
  </si>
  <si>
    <t>sxva masala (1,69+0,74)</t>
  </si>
  <si>
    <t>Rirebuleba -- aTasi lari</t>
  </si>
  <si>
    <t>plastmasis Weris profili siganiT 28 sm</t>
  </si>
  <si>
    <t>aTasi lari</t>
  </si>
  <si>
    <t>(organizaciis dasaxeleba)</t>
  </si>
  <si>
    <t>Sromis gadasaxadis saSualeba aTas larebSi</t>
  </si>
  <si>
    <t>aTasi Llari</t>
  </si>
  <si>
    <t>kac.saaTi</t>
  </si>
  <si>
    <t>duRabi mosapirkeTebeli</t>
  </si>
  <si>
    <t xml:space="preserve">sn da w IV-2-82 t-5 cx.34-59-8;  cx 34-61-11              </t>
  </si>
  <si>
    <t>eleqtrodi</t>
  </si>
  <si>
    <t>s.n. da w.        IV-2-82 t-3 cx.16-7-3</t>
  </si>
  <si>
    <t>gr.m</t>
  </si>
  <si>
    <t xml:space="preserve"> sxvadasxva masala</t>
  </si>
  <si>
    <t>2</t>
  </si>
  <si>
    <t>milsadenebze Camketi armaturis dayeneba</t>
  </si>
  <si>
    <t>s.n. da w.        IV-2-82 t-3 cx.16-12-1</t>
  </si>
  <si>
    <t>ventili 3/8"</t>
  </si>
  <si>
    <t>s.n. da w.        IV-2-82 t-3 cx.17-3-3</t>
  </si>
  <si>
    <t>milsadenebis hidravlikuri gamocda</t>
  </si>
  <si>
    <t>s.n. da w.        IV-2-82 t-3 cx.16-22</t>
  </si>
  <si>
    <t>wyali</t>
  </si>
  <si>
    <t>s.n. da w.        IV-2-82 t-3 cx.16-6-1</t>
  </si>
  <si>
    <t>fasonuri nawilebi</t>
  </si>
  <si>
    <t>samagri detalebi</t>
  </si>
  <si>
    <r>
      <t xml:space="preserve">sakanalizacio plastmasis mili  </t>
    </r>
    <r>
      <rPr>
        <sz val="10"/>
        <rFont val="Calibri"/>
        <family val="2"/>
      </rPr>
      <t xml:space="preserve">ф50 </t>
    </r>
    <r>
      <rPr>
        <sz val="10"/>
        <rFont val="AcadNusx"/>
        <family val="0"/>
      </rPr>
      <t>mm</t>
    </r>
  </si>
  <si>
    <t>s.n. da w.        IV-2-82 t-3 cx.16-6-2</t>
  </si>
  <si>
    <t>plastmasis sakanalizacio milis gayvana _ diametriT 50 mm</t>
  </si>
  <si>
    <t>igive _ diametriT 100 mm</t>
  </si>
  <si>
    <r>
      <t xml:space="preserve">sakanalizacio plastmasis mili </t>
    </r>
    <r>
      <rPr>
        <sz val="10"/>
        <rFont val="Calibri"/>
        <family val="2"/>
      </rPr>
      <t xml:space="preserve">ф100 </t>
    </r>
    <r>
      <rPr>
        <sz val="10"/>
        <rFont val="AcadNusx"/>
        <family val="0"/>
      </rPr>
      <t>mm</t>
    </r>
  </si>
  <si>
    <t>s.n. da w.        IV-2-82 t-3 cx.17-1-3</t>
  </si>
  <si>
    <t>komp.</t>
  </si>
  <si>
    <t xml:space="preserve">xelsabani  </t>
  </si>
  <si>
    <t>s.n. da w.        IV-2-82 t-3 cx.17-4-4</t>
  </si>
  <si>
    <t>s.n. da w.        IV-2-82 t-3 cx.17-1-9</t>
  </si>
  <si>
    <r>
      <t xml:space="preserve">trapi </t>
    </r>
    <r>
      <rPr>
        <sz val="10"/>
        <rFont val="Calibri"/>
        <family val="2"/>
      </rPr>
      <t>ф</t>
    </r>
    <r>
      <rPr>
        <sz val="10"/>
        <rFont val="AcadNusx"/>
        <family val="0"/>
      </rPr>
      <t>50 mm</t>
    </r>
  </si>
  <si>
    <t>s.n. da w.        IV-2-82 t-3 cx.18-5-3</t>
  </si>
  <si>
    <t>el.samontaJo samuSaoebi</t>
  </si>
  <si>
    <t>11</t>
  </si>
  <si>
    <t>100 kubm</t>
  </si>
  <si>
    <t>mSeneblobis Rirebulebis nakrebi saxarjTaRricxvo angariSi</t>
  </si>
  <si>
    <t xml:space="preserve">sabazro </t>
  </si>
  <si>
    <t xml:space="preserve">SromiTi danaxarji </t>
  </si>
  <si>
    <t>daxerxili xe-tye</t>
  </si>
  <si>
    <t>s.n. da w.        IV-2-82 t-3 cx.21-27-1</t>
  </si>
  <si>
    <t xml:space="preserve"> Semyvan-gamanawilebeli faris dayeneba da momzadeba CarTvisaTvis</t>
  </si>
  <si>
    <t>Semyvan-gamanawilebeli fari</t>
  </si>
  <si>
    <t>s.n. da w.        IV-2-82 t-3 cx.21-18-1</t>
  </si>
  <si>
    <t>eleqtro sadenebis gayvana daxuruli el.gayvanilobisTvis</t>
  </si>
  <si>
    <t>gamanawilebeli kolofi</t>
  </si>
  <si>
    <t>s.n. da w.        IV-2-82 t-3 cx.21-23-2</t>
  </si>
  <si>
    <t>Cafluli tipis CamrTvelis dayeneba</t>
  </si>
  <si>
    <t>s.n. da w.        IV-2-82 t-3 cx.21-23-7</t>
  </si>
  <si>
    <t>Cafluli tipis Stefseluri rozetis dayeneba</t>
  </si>
  <si>
    <t>Stefseluri rozeti damiwebis kontaqtiTa da samontaJo kolofiT</t>
  </si>
  <si>
    <t>s.n. da w.        IV-2-82 t-3 cx.21-25-1</t>
  </si>
  <si>
    <t>13</t>
  </si>
  <si>
    <t>sn da w IV-2-82 t-1 1-11-15</t>
  </si>
  <si>
    <t>1000 kubm</t>
  </si>
  <si>
    <t>sxva masala</t>
  </si>
  <si>
    <t>SromiTi danaxarji</t>
  </si>
  <si>
    <t>Semrevi xelsabanis</t>
  </si>
  <si>
    <t xml:space="preserve"> daxerxili xe-tye</t>
  </si>
  <si>
    <t>sn da w  IV-2-82 t-2 cx.6-16-1</t>
  </si>
  <si>
    <t>s.n. da w.  IV-2-82 t-2 cx.6-1-20</t>
  </si>
  <si>
    <r>
      <t xml:space="preserve">armatura </t>
    </r>
    <r>
      <rPr>
        <sz val="10"/>
        <rFont val="Arial"/>
        <family val="2"/>
      </rPr>
      <t>A</t>
    </r>
    <r>
      <rPr>
        <sz val="10"/>
        <rFont val="AcadNusx"/>
        <family val="0"/>
      </rPr>
      <t xml:space="preserve"> </t>
    </r>
    <r>
      <rPr>
        <sz val="10"/>
        <rFont val="Academiuri Nuskhuri"/>
        <family val="0"/>
      </rPr>
      <t>I</t>
    </r>
  </si>
  <si>
    <r>
      <t xml:space="preserve">armatura </t>
    </r>
    <r>
      <rPr>
        <sz val="10"/>
        <rFont val="Arial"/>
        <family val="2"/>
      </rPr>
      <t>A</t>
    </r>
    <r>
      <rPr>
        <sz val="10"/>
        <rFont val="AcadNusx"/>
        <family val="0"/>
      </rPr>
      <t xml:space="preserve"> </t>
    </r>
    <r>
      <rPr>
        <sz val="10"/>
        <rFont val="Academiuri Nuskhuri"/>
        <family val="0"/>
      </rPr>
      <t>III</t>
    </r>
  </si>
  <si>
    <t xml:space="preserve">saxarjTaRricxvo Rirebuleba sul: </t>
  </si>
  <si>
    <t xml:space="preserve"> SromiTi danaxarji </t>
  </si>
  <si>
    <t xml:space="preserve"> yalibis fari </t>
  </si>
  <si>
    <t xml:space="preserve"> manqanebi </t>
  </si>
  <si>
    <t xml:space="preserve"> manqanebi</t>
  </si>
  <si>
    <t xml:space="preserve"> SromiTi danaxarji</t>
  </si>
  <si>
    <t xml:space="preserve">manqanebi </t>
  </si>
  <si>
    <t>manqanebi</t>
  </si>
  <si>
    <t>sxva manqanebi</t>
  </si>
  <si>
    <t>s.n. da w.        IV-2-82 t-3 cx.21-16-2</t>
  </si>
  <si>
    <r>
      <t>orZarRva spilenZis sadeni 2×2,5 mm</t>
    </r>
    <r>
      <rPr>
        <sz val="10"/>
        <rFont val="Arial Cyr"/>
        <family val="0"/>
      </rPr>
      <t>²</t>
    </r>
    <r>
      <rPr>
        <sz val="10"/>
        <rFont val="AcadNusx"/>
        <family val="0"/>
      </rPr>
      <t xml:space="preserve">² </t>
    </r>
  </si>
  <si>
    <t>s.n. da w.  IV-2-82 t-2 cx.6-15-9</t>
  </si>
  <si>
    <t xml:space="preserve">sxva masala </t>
  </si>
  <si>
    <t>gm</t>
  </si>
  <si>
    <t>s.n. da w.  IV-2-82 t-2 damateba    cx.7-58-1</t>
  </si>
  <si>
    <t xml:space="preserve"> manqanebi (1,5+0,24)</t>
  </si>
  <si>
    <t>minapaketiT Seminuli metaloplastikis fanjrebisa da vitraJebis Casma</t>
  </si>
  <si>
    <t xml:space="preserve"> sxva masala </t>
  </si>
  <si>
    <t>Tavi VII jami</t>
  </si>
  <si>
    <t>1.1</t>
  </si>
  <si>
    <t>j a m i Tavi I</t>
  </si>
  <si>
    <t xml:space="preserve">s.n. da w.  IV-2-82 t-1 cx.1-120 </t>
  </si>
  <si>
    <t xml:space="preserve">  sxva manqanebi </t>
  </si>
  <si>
    <t>qviSa-xreSovani narevi</t>
  </si>
  <si>
    <t xml:space="preserve">eqskavatori 0,5 kub.m </t>
  </si>
  <si>
    <t>vibrosatkepni</t>
  </si>
  <si>
    <t>sabazro</t>
  </si>
  <si>
    <t>Siga wyalmomarageba da sakanalizacio qseli</t>
  </si>
  <si>
    <t>100 kub.m.</t>
  </si>
  <si>
    <t>SromiTi danaxarjebi</t>
  </si>
  <si>
    <t>l</t>
  </si>
  <si>
    <t>kub.m.</t>
  </si>
  <si>
    <t>sxvadasxva masalebi</t>
  </si>
  <si>
    <t>t</t>
  </si>
  <si>
    <t>fari ficris. yalibis</t>
  </si>
  <si>
    <t>k=1,15</t>
  </si>
  <si>
    <t xml:space="preserve">Zeli III x 40-60mm </t>
  </si>
  <si>
    <t>ficari Camoganuli III x 40-mm da zeviT</t>
  </si>
  <si>
    <t>sxvadasxva  masalebi</t>
  </si>
  <si>
    <t>kompl.</t>
  </si>
  <si>
    <t>grZ.m</t>
  </si>
  <si>
    <t>I. samSeneblo samuSaoebi</t>
  </si>
  <si>
    <t>unitazis dayeneba</t>
  </si>
  <si>
    <t>14</t>
  </si>
  <si>
    <t>v</t>
  </si>
  <si>
    <t>samagri kronSteinebi</t>
  </si>
  <si>
    <t>avtomaturi amomrTveli 16-32 a</t>
  </si>
  <si>
    <t>k/sT</t>
  </si>
  <si>
    <t>unitazi avziT</t>
  </si>
  <si>
    <t xml:space="preserve"> Semrevis dayeneba</t>
  </si>
  <si>
    <t xml:space="preserve"> SromiTi danaxarji 1,15*2,9</t>
  </si>
  <si>
    <t>sn da w                                                                                                                                                                                                                          9_5_1</t>
  </si>
  <si>
    <t>sn da w 15_164_8</t>
  </si>
  <si>
    <t>100                                                                                                                                                                                                                        kv.m.</t>
  </si>
  <si>
    <t>antikoroziuli  saRebavi</t>
  </si>
  <si>
    <t>zeTovani saRebavi</t>
  </si>
  <si>
    <t>gamxsneli</t>
  </si>
  <si>
    <t>centraluri ventilaciis agregatis mowyoba saregulacio JaluziT.</t>
  </si>
  <si>
    <t>trapis  dayeneba</t>
  </si>
  <si>
    <t>betoni klasiT В25</t>
  </si>
  <si>
    <t xml:space="preserve"> CamrTveli erTpolusa samontaJo kolofiT</t>
  </si>
  <si>
    <t>s.n. da w. IV-2-82 t-2 cx.12-8-5 misadagebiT</t>
  </si>
  <si>
    <t>Tunuqi moTuTiebuli</t>
  </si>
  <si>
    <t>III kategoriis gruntis damuSaveba qvabulSi eqskavatoriT, CamCis tevadobiT 0,5 kub.m gverdze dayriT</t>
  </si>
  <si>
    <t>rezervi gauTvaliswinebel  xarjebze - 3%</t>
  </si>
  <si>
    <t xml:space="preserve">wyalmomaragebis milebis gayvana </t>
  </si>
  <si>
    <t>sndaw 6-11-1</t>
  </si>
  <si>
    <t>svel wertilebSi  Werze plastikatis profilebis akvra მეტალის karkasze</t>
  </si>
  <si>
    <t>კგ</t>
  </si>
  <si>
    <t>მეტალის კარკასი</t>
  </si>
  <si>
    <r>
      <rPr>
        <sz val="9"/>
        <color indexed="8"/>
        <rFont val="AcadNusx"/>
        <family val="0"/>
      </rPr>
      <t>#</t>
    </r>
  </si>
  <si>
    <r>
      <t>samuSaos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CamonaTvali</t>
    </r>
  </si>
  <si>
    <r>
      <t>ganz.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erT</t>
    </r>
  </si>
  <si>
    <r>
      <rPr>
        <sz val="9"/>
        <color indexed="8"/>
        <rFont val="AcadNusx"/>
        <family val="0"/>
      </rPr>
      <t>m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a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s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a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l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a</t>
    </r>
  </si>
  <si>
    <r>
      <rPr>
        <sz val="9"/>
        <color indexed="8"/>
        <rFont val="AcadNusx"/>
        <family val="0"/>
      </rPr>
      <t>xelfasi</t>
    </r>
  </si>
  <si>
    <r>
      <t>transporti da</t>
    </r>
    <r>
      <rPr>
        <sz val="9"/>
        <color indexed="8"/>
        <rFont val="AcadNusx"/>
        <family val="0"/>
      </rPr>
      <t xml:space="preserve"> meqanizmebi</t>
    </r>
  </si>
  <si>
    <t>Gjami</t>
  </si>
  <si>
    <r>
      <rPr>
        <sz val="9"/>
        <color indexed="8"/>
        <rFont val="AcadNusx"/>
        <family val="0"/>
      </rPr>
      <t>samuSaos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CamonaTvali</t>
    </r>
  </si>
  <si>
    <r>
      <rPr>
        <sz val="9"/>
        <color indexed="8"/>
        <rFont val="AcadNusx"/>
        <family val="0"/>
      </rPr>
      <t>ganz.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erT</t>
    </r>
  </si>
  <si>
    <r>
      <rPr>
        <sz val="9"/>
        <color indexed="8"/>
        <rFont val="AcadNusx"/>
        <family val="0"/>
      </rPr>
      <t>erT.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fasi</t>
    </r>
  </si>
  <si>
    <r>
      <rPr>
        <sz val="9"/>
        <color indexed="8"/>
        <rFont val="AcadNusx"/>
        <family val="0"/>
      </rPr>
      <t>Gjami</t>
    </r>
  </si>
  <si>
    <t>`----------~-------------------------------- 2016  weli</t>
  </si>
  <si>
    <t>lokaluri uwyisis jami:</t>
  </si>
  <si>
    <t>1. SromiTi resursebi</t>
  </si>
  <si>
    <t>2. samSeneblo manqanebi</t>
  </si>
  <si>
    <t>3. Mmaterialuri resursebi</t>
  </si>
  <si>
    <t>samSeneblo resursebis mixedviT pirdapiri danaxarjebis jami</t>
  </si>
  <si>
    <t>lokalur-resursuli xarjTaRricxva #1/1</t>
  </si>
  <si>
    <t>კვ.მ</t>
  </si>
  <si>
    <r>
      <t xml:space="preserve">betoni </t>
    </r>
    <r>
      <rPr>
        <sz val="9"/>
        <rFont val="Arial"/>
        <family val="2"/>
      </rPr>
      <t>B</t>
    </r>
    <r>
      <rPr>
        <sz val="9"/>
        <rFont val="AcadNusx"/>
        <family val="0"/>
      </rPr>
      <t>15</t>
    </r>
  </si>
  <si>
    <t xml:space="preserve">betoni В25 </t>
  </si>
  <si>
    <t>sn da w    11-3-1</t>
  </si>
  <si>
    <t xml:space="preserve"> kvm</t>
  </si>
  <si>
    <t xml:space="preserve"> bitulinis mastika</t>
  </si>
  <si>
    <r>
      <t>armatura A</t>
    </r>
    <r>
      <rPr>
        <sz val="9"/>
        <rFont val="Arial"/>
        <family val="2"/>
      </rPr>
      <t>A­I</t>
    </r>
  </si>
  <si>
    <r>
      <t>armatura A</t>
    </r>
    <r>
      <rPr>
        <sz val="9"/>
        <rFont val="Arial"/>
        <family val="2"/>
      </rPr>
      <t>A­III</t>
    </r>
  </si>
  <si>
    <t>ლარი</t>
  </si>
  <si>
    <t xml:space="preserve">saZirkvlebis qveS fuZis (baliSis) mowyoba qviSa-xreSovani nareviT da vibraciuli  satkepniT datkepna fena-fena </t>
  </si>
  <si>
    <t xml:space="preserve"> duRabi msxvilmarcvlovani </t>
  </si>
  <si>
    <t xml:space="preserve"> manqanebi 1,15*0,41</t>
  </si>
  <si>
    <t xml:space="preserve"> minapaketiT Seminuli თეთრი ფერის metalo-plastikis fanjara da vitraJi (montaJiT)</t>
  </si>
  <si>
    <t xml:space="preserve"> SromiTi danaxarji 1,15*83</t>
  </si>
  <si>
    <t xml:space="preserve">fanjrisqveSa პლასტმასის rafebis dayeneba </t>
  </si>
  <si>
    <t>fanjrisqveSa   rafa  (montaJiT)</t>
  </si>
  <si>
    <t>s.n. da w.  IV-2-82 t-2 cx.11-1-11</t>
  </si>
  <si>
    <t>sabazro-saxelS.</t>
  </si>
  <si>
    <t>Sromis danaxarji  0,83X308X1,15</t>
  </si>
  <si>
    <t>TabaSir-muyaos fila kompleqti karkasiT</t>
  </si>
  <si>
    <t>m2</t>
  </si>
  <si>
    <t xml:space="preserve">sxva manqanebi  </t>
  </si>
  <si>
    <t xml:space="preserve">sxva masalebi  </t>
  </si>
  <si>
    <t>saZirkvlebis  hidroizoliacia bitulinis mastikiT</t>
  </si>
  <si>
    <t>bitumi dagruntvis</t>
  </si>
  <si>
    <t>amwe ავტომობილის ბაზაზე (ტვირთამწეობით 16ტ)</t>
  </si>
  <si>
    <t>manq/sT</t>
  </si>
  <si>
    <t>liT. konstuqciebi montaJisaTvis (sayrdenebi da samontaJo elementebi)</t>
  </si>
  <si>
    <t>WanWiki</t>
  </si>
  <si>
    <t xml:space="preserve"> liTonis fermebisa da  sxva liTonis konstruqciebis SeRebva antikoroziuli da zeTovani saRebaviT</t>
  </si>
  <si>
    <t>sndaw IV-2-82 t-1 1-22-15 1-118-11</t>
  </si>
  <si>
    <t xml:space="preserve"> eqskavatoriT gruntis ukuCayra da vibrosatkepniT datkepna  qvabulis ferdoebSi da I sarTulis iatakis qveS, zedmeti gruntis teritoriaze mosworebiT. </t>
  </si>
  <si>
    <t>SromiTi danaxarji (20+1,34)</t>
  </si>
  <si>
    <t>eqskavatori 0,5 kub.m muxluxa svlaze</t>
  </si>
  <si>
    <t>pnevmaturi satkepni</t>
  </si>
  <si>
    <t>s.n. da w. IV-2-82 t-2 cx.12-6-1 misadagebiT</t>
  </si>
  <si>
    <t xml:space="preserve"> Surupi </t>
  </si>
  <si>
    <t xml:space="preserve">kedlebze kafelis filebis akvra svel wertilebSi </t>
  </si>
  <si>
    <t xml:space="preserve">გრძ. </t>
  </si>
  <si>
    <t>xelsabanis  dayeneba</t>
  </si>
  <si>
    <r>
      <t xml:space="preserve">  gare kibeebisa da pandusis mowyoba В25 klasis betoniT </t>
    </r>
  </si>
  <si>
    <t>ელექტროდი</t>
  </si>
  <si>
    <r>
      <t xml:space="preserve">betoni </t>
    </r>
    <r>
      <rPr>
        <sz val="10"/>
        <rFont val="Calibri"/>
        <family val="2"/>
      </rPr>
      <t>B</t>
    </r>
    <r>
      <rPr>
        <sz val="10"/>
        <rFont val="AcadNusx"/>
        <family val="0"/>
      </rPr>
      <t>-15</t>
    </r>
  </si>
  <si>
    <t>obieqt. xarjT. #1</t>
  </si>
  <si>
    <t>saobieqto-saxarjTaRricxvo angariSi #1</t>
  </si>
  <si>
    <t>lokalur-resursuli xarjTaRricxva #1/2</t>
  </si>
  <si>
    <t>lokalur-resursuli xarjTaRricxva #1/3</t>
  </si>
  <si>
    <t>lok. xarjTaRricxva #1/1</t>
  </si>
  <si>
    <t>lok. xarjTaRricxva #1/2</t>
  </si>
  <si>
    <t>lok. xarjTaRricxva #1/3</t>
  </si>
  <si>
    <t xml:space="preserve">მეტალიs karebis Casma </t>
  </si>
  <si>
    <t>მეტალის  karebi mowyobilobiT (montaJiT)</t>
  </si>
  <si>
    <t>poliqronvilis milis gayvana kedlebSi diametriT 32 mm</t>
  </si>
  <si>
    <t>poliqronvilis mili ф32 mm</t>
  </si>
  <si>
    <t>sanaTuris dayeneba ekonaTuriT</t>
  </si>
  <si>
    <t>ventilaciis agregati warmadobiT 4.2 kub.m/wT</t>
  </si>
  <si>
    <t xml:space="preserve"> CamrTveli orpolusa samontaJo kolofiT</t>
  </si>
  <si>
    <t>kuTxovana 50X50X7 (ირიბანები და დგარები)</t>
  </si>
  <si>
    <t>qviSaxreSovani balasti</t>
  </si>
  <si>
    <t>penoplastis saizolacio fila sisqe 7 sm</t>
  </si>
  <si>
    <t>s.n. da w.  IV-2-82 t-3 cx.23-15-1 მის.</t>
  </si>
  <si>
    <r>
      <t>betoni</t>
    </r>
    <r>
      <rPr>
        <sz val="10"/>
        <rFont val="Calibri"/>
        <family val="2"/>
      </rPr>
      <t xml:space="preserve"> B</t>
    </r>
    <r>
      <rPr>
        <sz val="10"/>
        <rFont val="AcadNusx"/>
        <family val="0"/>
      </rPr>
      <t>-15</t>
    </r>
  </si>
  <si>
    <t>sakanalizacio xufi (fekaluri, Tujis)</t>
  </si>
  <si>
    <t>10</t>
  </si>
  <si>
    <t>80 l tevadobis wyalgamacxeleblis dayeneba</t>
  </si>
  <si>
    <t>80 l tevadobis wyalgamacxelebeli</t>
  </si>
  <si>
    <r>
      <t xml:space="preserve">ventili </t>
    </r>
    <r>
      <rPr>
        <sz val="10"/>
        <rFont val="Calibri"/>
        <family val="2"/>
      </rPr>
      <t xml:space="preserve">ф15 </t>
    </r>
    <r>
      <rPr>
        <sz val="10"/>
        <rFont val="AcadNusx"/>
        <family val="0"/>
      </rPr>
      <t>mm</t>
    </r>
  </si>
  <si>
    <r>
      <t xml:space="preserve">finingi </t>
    </r>
    <r>
      <rPr>
        <sz val="10"/>
        <rFont val="Calibri"/>
        <family val="2"/>
      </rPr>
      <t>ф</t>
    </r>
    <r>
      <rPr>
        <sz val="10"/>
        <rFont val="AcadNusx"/>
        <family val="0"/>
      </rPr>
      <t>15 mm</t>
    </r>
  </si>
  <si>
    <t>zeZirkvlis mopirkeTeba feradi galvanizirebuli furceliT sisqe 0.5 mm</t>
  </si>
  <si>
    <t>feradi galvanizirebuli furceli sisqe 0.5</t>
  </si>
  <si>
    <t>s.n. da w.  IV-2-82 t-2 cx.15-168-7(8); cx.15-161-5(6)</t>
  </si>
  <si>
    <t xml:space="preserve"> saRebavi </t>
  </si>
  <si>
    <t xml:space="preserve"> fiTxi </t>
  </si>
  <si>
    <t xml:space="preserve">muyaoTabaSiris Siga kedlebisa da Werebis damuSaveba da maRalxarisxovani SeRebva </t>
  </si>
  <si>
    <t>100  kvm</t>
  </si>
  <si>
    <t xml:space="preserve">gare ganaTeba </t>
  </si>
  <si>
    <t>SemoRobva da keTilmowyoba</t>
  </si>
  <si>
    <t>ZiriTadi Senoba (vet. klinika)</t>
  </si>
  <si>
    <t>6.2</t>
  </si>
  <si>
    <t>7.2</t>
  </si>
  <si>
    <t>lok.. xarjT. #2</t>
  </si>
  <si>
    <t>lok.. xarjT. #3</t>
  </si>
  <si>
    <t>lok.. xarjT. #4</t>
  </si>
  <si>
    <t>lokalur-resursuli xarjTaRricxva #4</t>
  </si>
  <si>
    <t xml:space="preserve">გარე წყალმომარაგების ქსელი </t>
  </si>
  <si>
    <t>eqskavatori 0,5 kub.m</t>
  </si>
  <si>
    <t>s.n. da w.        IV-2-82 t-1 cx.1-80-3</t>
  </si>
  <si>
    <t>gruntis gaTxra arxSi xeliT</t>
  </si>
  <si>
    <t>s.n. da w.        IV-2-82 t-1 cx.1-81-3</t>
  </si>
  <si>
    <t>gruntis ukuCayra xeliT da zedmeti gruntis adgilze gasworeba</t>
  </si>
  <si>
    <t>wyalmomaragebis milebis gayvana diametriT - 25 mm</t>
  </si>
  <si>
    <r>
      <t xml:space="preserve">mili polipropileni </t>
    </r>
    <r>
      <rPr>
        <sz val="9"/>
        <rFont val="Calibri"/>
        <family val="2"/>
      </rPr>
      <t xml:space="preserve">ф25 </t>
    </r>
    <r>
      <rPr>
        <sz val="9"/>
        <rFont val="AcadNusx"/>
        <family val="0"/>
      </rPr>
      <t>mm</t>
    </r>
  </si>
  <si>
    <r>
      <t xml:space="preserve">finingi </t>
    </r>
    <r>
      <rPr>
        <sz val="9"/>
        <rFont val="Calibri"/>
        <family val="2"/>
      </rPr>
      <t>ф</t>
    </r>
    <r>
      <rPr>
        <sz val="9"/>
        <rFont val="AcadNusx"/>
        <family val="0"/>
      </rPr>
      <t>25 mm</t>
    </r>
  </si>
  <si>
    <r>
      <t xml:space="preserve">ventili </t>
    </r>
    <r>
      <rPr>
        <sz val="9"/>
        <rFont val="Calibri"/>
        <family val="2"/>
      </rPr>
      <t xml:space="preserve">ф25 </t>
    </r>
    <r>
      <rPr>
        <sz val="9"/>
        <rFont val="AcadNusx"/>
        <family val="0"/>
      </rPr>
      <t>mm</t>
    </r>
  </si>
  <si>
    <t>III kategoriis gruntis damuSaveba qvabulSi eqskavatoriT, CamCis tevadobiT 0,65 kub.m gverdze dayriT</t>
  </si>
  <si>
    <t>eqskavatori 0,65 kub.m</t>
  </si>
  <si>
    <t>sn da w IV-2-82 t-1 1-64-3</t>
  </si>
  <si>
    <t>qvabulis Ziris moSandakeba xeliT</t>
  </si>
  <si>
    <t>kbm</t>
  </si>
  <si>
    <t>sxva masalebi</t>
  </si>
  <si>
    <t>sxvadasxva manqanebi</t>
  </si>
  <si>
    <t>sn da w IV-2-82 t-3 22-8-6</t>
  </si>
  <si>
    <t>sn da w IV-2-82 t-1 1-81-3 mis.</t>
  </si>
  <si>
    <t>gruntis ukuCayra  da zedmeti gruntis adgilze gasworeba</t>
  </si>
  <si>
    <t>lokalur-resursuli uwyisis jami</t>
  </si>
  <si>
    <t>lokalur-resursuli xarjTaRricxva #2</t>
  </si>
  <si>
    <t>1. ტერიტორიის პროფილირება</t>
  </si>
  <si>
    <t xml:space="preserve">sn da w                                                                                                                                                                                                                       1-29_7                           </t>
  </si>
  <si>
    <t>III kat. gruntis damuSaveba  buldozeriT da gadaadgileba 30 grZ.m manZilze teritoriis dasaprofileblad</t>
  </si>
  <si>
    <t>1000 kub.m.</t>
  </si>
  <si>
    <t xml:space="preserve"> buldozeri </t>
  </si>
  <si>
    <t>man/sT</t>
  </si>
  <si>
    <t>1--80-3 t.n.                                                                                                                                                                                                  3,107, k=1,2,</t>
  </si>
  <si>
    <t>III kategoriis gruntis damuSaveba xeliT</t>
  </si>
  <si>
    <t>100kbm</t>
  </si>
  <si>
    <t xml:space="preserve"> SromiTi danaxarjebi                   </t>
  </si>
  <si>
    <t xml:space="preserve">saZirkvlebis qveS fuZis (baliSis) mowyoba qviSa-xreSovani nareviT da vibraciuli  satkepniT datkepna </t>
  </si>
  <si>
    <r>
      <t xml:space="preserve">monoliTuri lenturi saZirkvlis mowyoba klasiT </t>
    </r>
    <r>
      <rPr>
        <b/>
        <sz val="9"/>
        <rFont val="Arial"/>
        <family val="2"/>
      </rPr>
      <t>B</t>
    </r>
    <r>
      <rPr>
        <b/>
        <sz val="9"/>
        <rFont val="AcadNusx"/>
        <family val="0"/>
      </rPr>
      <t xml:space="preserve"> 15</t>
    </r>
  </si>
  <si>
    <t xml:space="preserve">fari yalibis </t>
  </si>
  <si>
    <t xml:space="preserve">SromiTi danaxarjebi </t>
  </si>
  <si>
    <t>m</t>
  </si>
  <si>
    <t xml:space="preserve"> monoliTuri rk.betonis zeZirkvlis mowyoba </t>
  </si>
  <si>
    <t>betoni klasiT В20</t>
  </si>
  <si>
    <t>Robis zeZirkvlis hidroizolacia Sesagozi mastikiT</t>
  </si>
  <si>
    <t>bitulinis mastika</t>
  </si>
  <si>
    <t>sabazro-saxelSekrulebo</t>
  </si>
  <si>
    <t>Robe boZebiT</t>
  </si>
  <si>
    <t>ankerebi da samagri masalebi</t>
  </si>
  <si>
    <t>30х10х75 sm kveTis  betonis bordiuris 
mowyoba betonis safuZvelze</t>
  </si>
  <si>
    <t>muSa mSeneblebis SromiTi danaxarjebi</t>
  </si>
  <si>
    <t>betonis bordiuri</t>
  </si>
  <si>
    <t>betoni В-15</t>
  </si>
  <si>
    <t>cementis xsnari m 50</t>
  </si>
  <si>
    <t>qviSa</t>
  </si>
  <si>
    <t xml:space="preserve">saleqari, gare wyalmomaragebis, gare kanalizaciis da saniaRvre qseli </t>
  </si>
  <si>
    <t>gare ganaTeba</t>
  </si>
  <si>
    <t xml:space="preserve">s.n. da w.        IV-6-82  </t>
  </si>
  <si>
    <t>c</t>
  </si>
  <si>
    <t>s.n. da w.        IV-6-82 T-6. cx.8-142-1</t>
  </si>
  <si>
    <t xml:space="preserve">arxSi kabelisTvis qviSis safenisa da safaris mowyoba </t>
  </si>
  <si>
    <t>100 grm arxi</t>
  </si>
  <si>
    <t>lokalur-resursuli uwyisis jami: samSeneblo samuSaoebi</t>
  </si>
  <si>
    <t xml:space="preserve"> SromiTi resursi</t>
  </si>
  <si>
    <t xml:space="preserve"> transporti da manqana-meqanizmebi </t>
  </si>
  <si>
    <t>materialuri resursebi</t>
  </si>
  <si>
    <t>sul: samSeneblo samuSaoebi</t>
  </si>
  <si>
    <t xml:space="preserve">kabelis da dasamiwebeli liTonis zolis Cadeba  tranSeaSi </t>
  </si>
  <si>
    <t>100 m</t>
  </si>
  <si>
    <t xml:space="preserve">kabeli სპილენძის ძარღვით- 4X2,5 kv mm </t>
  </si>
  <si>
    <r>
      <t xml:space="preserve">horizintaluri dasamiwebeli liTonis zoli </t>
    </r>
    <r>
      <rPr>
        <sz val="10"/>
        <rFont val="Calibri"/>
        <family val="2"/>
      </rPr>
      <t>A</t>
    </r>
    <r>
      <rPr>
        <sz val="10"/>
        <rFont val="AcadNusx"/>
        <family val="0"/>
      </rPr>
      <t xml:space="preserve">-I </t>
    </r>
    <r>
      <rPr>
        <sz val="10"/>
        <rFont val="Calibri"/>
        <family val="2"/>
      </rPr>
      <t>d</t>
    </r>
    <r>
      <rPr>
        <sz val="10"/>
        <rFont val="AcadNusx"/>
        <family val="0"/>
      </rPr>
      <t xml:space="preserve">=6mm </t>
    </r>
  </si>
  <si>
    <t xml:space="preserve">8-471-1 mis. </t>
  </si>
  <si>
    <t>damiwebis konturis mowyoba  kuTxura foladisagan</t>
  </si>
  <si>
    <t>kuTxovana 50X50X5</t>
  </si>
  <si>
    <t xml:space="preserve">zolana 4X40
</t>
  </si>
  <si>
    <t xml:space="preserve">m
</t>
  </si>
  <si>
    <t>lokalur-resursuli uwyisis jami: samontaJo samuSaoebi</t>
  </si>
  <si>
    <t>sul: samontaJo samuSaoebi</t>
  </si>
  <si>
    <t>sul: xarjTaRricxviT</t>
  </si>
  <si>
    <t>maT Soris:  SromiTi resursi</t>
  </si>
  <si>
    <t>lokalur-resursuli xarjTaRricxva #3</t>
  </si>
  <si>
    <r>
      <rPr>
        <b/>
        <sz val="10"/>
        <rFont val="LitNusx"/>
        <family val="0"/>
      </rPr>
      <t xml:space="preserve">metaloplastikis </t>
    </r>
    <r>
      <rPr>
        <b/>
        <sz val="10"/>
        <rFont val="AcadNusx"/>
        <family val="0"/>
      </rPr>
      <t xml:space="preserve">karebis Casma </t>
    </r>
  </si>
  <si>
    <t>metaloplastikis karebi mowyobilobiT (montaJiT)</t>
  </si>
  <si>
    <r>
      <rPr>
        <b/>
        <sz val="10"/>
        <rFont val="Calibri"/>
        <family val="2"/>
      </rPr>
      <t>MDF</t>
    </r>
    <r>
      <rPr>
        <b/>
        <sz val="10"/>
        <rFont val="LitNusx"/>
        <family val="0"/>
      </rPr>
      <t xml:space="preserve">-is </t>
    </r>
    <r>
      <rPr>
        <b/>
        <sz val="10"/>
        <rFont val="AcadNusx"/>
        <family val="0"/>
      </rPr>
      <t xml:space="preserve">karebis Casma </t>
    </r>
  </si>
  <si>
    <t>mdf karebi mowyobilobiT (montaJiT)</t>
  </si>
  <si>
    <t>fanjrebze Tunuqis sacremleebis mowyoba_8.5gr.m</t>
  </si>
  <si>
    <t xml:space="preserve"> იატაკზე teqnogranitis mocurebasawinaaRmdego zedapiriT mowyoba</t>
  </si>
  <si>
    <t xml:space="preserve"> teqnograniti mocurebasawinaaRmdego zedapiriT </t>
  </si>
  <si>
    <t xml:space="preserve"> teqnogranitiს პლინტუსი</t>
  </si>
  <si>
    <t xml:space="preserve">pandusis moajiris  mowyoba aluminis asawyobi detalebisagan </t>
  </si>
  <si>
    <t>aluminis moajiri</t>
  </si>
  <si>
    <t>sarecxi niJaris  dayeneba</t>
  </si>
  <si>
    <t>sarecxi niJara orsaqciani uJangavi metalisagan</t>
  </si>
  <si>
    <t>Semrevi sarecxi niJaris</t>
  </si>
  <si>
    <t>saCexis mowyoba polikarbonatis gadaxurviT</t>
  </si>
  <si>
    <t>polikarbonatis furceli 16mm</t>
  </si>
  <si>
    <t>kvadratuli mili 40*40</t>
  </si>
  <si>
    <t>s.n. da w.  IV-2-82 t-2 cx.12-8-4</t>
  </si>
  <si>
    <t>Sekiduli tipis wyalsadinari Rarebis mowyoba</t>
  </si>
  <si>
    <t xml:space="preserve"> SromiTi danaxarji 1,15*28,60</t>
  </si>
  <si>
    <t xml:space="preserve"> wyalsadinari Rarebi</t>
  </si>
  <si>
    <t xml:space="preserve"> lursmani</t>
  </si>
  <si>
    <t xml:space="preserve"> WanWiki</t>
  </si>
  <si>
    <t xml:space="preserve"> naWedi</t>
  </si>
  <si>
    <t>s.n. da w.  IV-2-82 t-3 cx.16-17-1</t>
  </si>
  <si>
    <t>wyalmimRebi Zabris dayeneba</t>
  </si>
  <si>
    <t xml:space="preserve"> wyalmimRebi Zabri</t>
  </si>
  <si>
    <t>s.n. da w.  IV-2-82 t-3 cx.16-6-2 misadagebiT</t>
  </si>
  <si>
    <t xml:space="preserve">wyalsawreti milebis dayeneba </t>
  </si>
  <si>
    <t xml:space="preserve"> SromiTi danaxarji 1,15*58,3</t>
  </si>
  <si>
    <t xml:space="preserve"> manqanebi 1,15*0,46</t>
  </si>
  <si>
    <t xml:space="preserve"> wyalsawreti plastmasis mili </t>
  </si>
  <si>
    <t xml:space="preserve"> sarini d-100 mm</t>
  </si>
  <si>
    <t>muxli-100mm</t>
  </si>
  <si>
    <t xml:space="preserve"> samagri detalebi</t>
  </si>
  <si>
    <r>
      <t xml:space="preserve"> lenturi saZirkvlis  mowyoba klasiT </t>
    </r>
    <r>
      <rPr>
        <b/>
        <sz val="9"/>
        <rFont val="Arial"/>
        <family val="2"/>
      </rPr>
      <t>B</t>
    </r>
    <r>
      <rPr>
        <b/>
        <sz val="9"/>
        <rFont val="AcadNusx"/>
        <family val="0"/>
      </rPr>
      <t xml:space="preserve"> 15</t>
    </r>
  </si>
  <si>
    <r>
      <t xml:space="preserve"> monoliTuri rk.betonis zeZirkvlebis mowyoba</t>
    </r>
    <r>
      <rPr>
        <b/>
        <sz val="9"/>
        <rFont val="Calibri"/>
        <family val="2"/>
      </rPr>
      <t xml:space="preserve"> B-</t>
    </r>
    <r>
      <rPr>
        <b/>
        <sz val="9"/>
        <rFont val="AcadNusx"/>
        <family val="0"/>
      </rPr>
      <t>25</t>
    </r>
  </si>
  <si>
    <r>
      <t xml:space="preserve">monoloTuri rk/betonis pirveli sarTulis iatakis filis mowyoba klasiT </t>
    </r>
    <r>
      <rPr>
        <b/>
        <sz val="9"/>
        <rFont val="Arial Cyr"/>
        <family val="0"/>
      </rPr>
      <t>B</t>
    </r>
    <r>
      <rPr>
        <b/>
        <sz val="9"/>
        <rFont val="AcadNusx"/>
        <family val="0"/>
      </rPr>
      <t>25 sisqe 12 sm</t>
    </r>
  </si>
  <si>
    <r>
      <t xml:space="preserve">monoloTuri rk/betonis kedlebisa da arxis fskeris mowyoba klasiT </t>
    </r>
    <r>
      <rPr>
        <b/>
        <sz val="10"/>
        <rFont val="Arial Cyr"/>
        <family val="0"/>
      </rPr>
      <t>B</t>
    </r>
    <r>
      <rPr>
        <b/>
        <sz val="10"/>
        <rFont val="AcadNusx"/>
        <family val="0"/>
      </rPr>
      <t xml:space="preserve">20 </t>
    </r>
  </si>
  <si>
    <t>sn da w                                                                                                                                                                                                                9_17_5                                                                                                                                                                                                                           miy.</t>
  </si>
  <si>
    <t>metalis cxaurebis mowyoba a-III klasis armaturiT  kuTxovanis 50X50 CarCoSi</t>
  </si>
  <si>
    <t>lariı</t>
  </si>
  <si>
    <t>a-III klasis armatura d=22</t>
  </si>
  <si>
    <t xml:space="preserve"> ezos r/betonis filis mowyoba sisqiT 15 sm, armireba badiT,   qviSaxreSovani momzadebiT</t>
  </si>
  <si>
    <r>
      <t xml:space="preserve">armirebis bade </t>
    </r>
    <r>
      <rPr>
        <sz val="10"/>
        <rFont val="Calibri"/>
        <family val="2"/>
      </rPr>
      <t>Bp</t>
    </r>
    <r>
      <rPr>
        <sz val="10"/>
        <rFont val="AcadNusx"/>
        <family val="0"/>
      </rPr>
      <t>-2 d-6mm biji 100mm</t>
    </r>
  </si>
  <si>
    <t xml:space="preserve">1. შემოღობვა </t>
  </si>
  <si>
    <t>Weris sanaTi  eკოnaTuriT</t>
  </si>
  <si>
    <t>sanaTi hermetuli SesrulebiT</t>
  </si>
  <si>
    <r>
      <t xml:space="preserve">mili plastmasi minaboWkovani SriT </t>
    </r>
    <r>
      <rPr>
        <sz val="10"/>
        <rFont val="Calibri"/>
        <family val="2"/>
      </rPr>
      <t>ф15</t>
    </r>
    <r>
      <rPr>
        <sz val="10"/>
        <rFont val="AcadNusx"/>
        <family val="0"/>
      </rPr>
      <t>mm</t>
    </r>
  </si>
  <si>
    <t xml:space="preserve">Sedgenilia 2016wlis III kvartlis  fasebSi </t>
  </si>
  <si>
    <t xml:space="preserve">Senobis karkasis liTonis konstruqciis blokis (8 კოლონა, 4 cali ferma, mali-5.6m.)  vertikaluri da horizontaluri  kavSirebiT, damzadeba da montaJi </t>
  </si>
  <si>
    <t>kuTxovana 50X50X7 (ფერმის ქვედა da zeda  თარო)</t>
  </si>
  <si>
    <t>kvadratuli mili 200X200X8 (kolonebi)</t>
  </si>
  <si>
    <t>furceli 10mm</t>
  </si>
  <si>
    <r>
      <t>kvadratuli mili 50X50X3 (</t>
    </r>
    <r>
      <rPr>
        <sz val="11"/>
        <rFont val="AcadNusx"/>
        <family val="0"/>
      </rPr>
      <t>iribana</t>
    </r>
    <r>
      <rPr>
        <sz val="10"/>
        <rFont val="AcadNusx"/>
        <family val="0"/>
      </rPr>
      <t>)</t>
    </r>
  </si>
  <si>
    <t>sn da w 11-3-1</t>
  </si>
  <si>
    <t>kvadratuli mili 200X100X6 (rigeli)</t>
  </si>
  <si>
    <r>
      <t>kvadratuli mili 60X60X3 (</t>
    </r>
    <r>
      <rPr>
        <sz val="11"/>
        <rFont val="AcadNusx"/>
        <family val="0"/>
      </rPr>
      <t>grZivebi</t>
    </r>
    <r>
      <rPr>
        <sz val="10"/>
        <rFont val="AcadNusx"/>
        <family val="0"/>
      </rPr>
      <t>)</t>
    </r>
  </si>
  <si>
    <r>
      <t>kvadratuli mili 100X100X3 (</t>
    </r>
    <r>
      <rPr>
        <sz val="11"/>
        <rFont val="AcadNusx"/>
        <family val="0"/>
      </rPr>
      <t>damat. kolona</t>
    </r>
    <r>
      <rPr>
        <sz val="10"/>
        <rFont val="AcadNusx"/>
        <family val="0"/>
      </rPr>
      <t>)</t>
    </r>
  </si>
  <si>
    <t xml:space="preserve">კედლების mowyoba feradi galvanizirebuli სენდვიჩპანელით sisqiT 80 mm  </t>
  </si>
  <si>
    <t>feradi galvanizirebuli სენდვიჩპანელი kedlis sisqe 80mm</t>
  </si>
  <si>
    <t xml:space="preserve"> Sambo (sawmendi ormo)</t>
  </si>
  <si>
    <t xml:space="preserve">Sambos mowyoba  (sawmendi ormo)  </t>
  </si>
  <si>
    <t>r/betonis rgoli d-1000</t>
  </si>
  <si>
    <t xml:space="preserve">gruntis gaTxra  kabelis arxisaTvis xeliT </t>
  </si>
  <si>
    <t xml:space="preserve"> arsebuli Robis gadatana Senobis ukan</t>
  </si>
  <si>
    <t>RorRi 0-40mm</t>
  </si>
  <si>
    <t>გადახურვის mowyoba feradi მეტალოკრამიტით sisqiT 0,5 mm  მოლარტყვით</t>
  </si>
  <si>
    <t>feradi galvanizirebuli furclovani Tunuqi sisqe 0,5mm</t>
  </si>
  <si>
    <t xml:space="preserve"> samSeneblo naWedi</t>
  </si>
  <si>
    <t xml:space="preserve"> daxerxili xe-tye ლარტყა</t>
  </si>
  <si>
    <t>feradi profilirebuli furcelisisqe 0,5mm</t>
  </si>
  <si>
    <t xml:space="preserve">saizolacio fila </t>
  </si>
  <si>
    <t>kv.m</t>
  </si>
  <si>
    <r>
      <t xml:space="preserve">armatura </t>
    </r>
    <r>
      <rPr>
        <sz val="9"/>
        <rFont val="Arial"/>
        <family val="2"/>
      </rPr>
      <t>Bp</t>
    </r>
    <r>
      <rPr>
        <sz val="9"/>
        <rFont val="AcadNusx"/>
        <family val="0"/>
      </rPr>
      <t xml:space="preserve"> </t>
    </r>
    <r>
      <rPr>
        <sz val="9"/>
        <rFont val="Academiuri Nuskhuri"/>
        <family val="0"/>
      </rPr>
      <t>2</t>
    </r>
  </si>
  <si>
    <t xml:space="preserve">kedlebis mowyoba muyao TabaSiris filebiT penoplastis SemavsebliT, rkinis karkasze </t>
  </si>
  <si>
    <t xml:space="preserve">kedlis mopirkeTeba muyao TabaSiris filebiT rkinis karkasze  </t>
  </si>
  <si>
    <t xml:space="preserve">Werebis mopirkeTeba muyao TabaSiris filebiT rkinis karkasze </t>
  </si>
  <si>
    <t>zedanadebi xarjebi 8%</t>
  </si>
  <si>
    <t>gegmiuri dagroveba 6%</t>
  </si>
  <si>
    <t xml:space="preserve"> kan.  polieTilenis milis montaJi diametri 100 mm</t>
  </si>
  <si>
    <t>mili kan. poliTilenis d-100 mm</t>
  </si>
  <si>
    <t>22</t>
  </si>
  <si>
    <t>betoni klasiT В15</t>
  </si>
  <si>
    <r>
      <t>konstruqciuli asawyobi Robis (mavTulis diametri 3mm, ujredis zoma 50X200mm, izolireba-</t>
    </r>
    <r>
      <rPr>
        <b/>
        <sz val="9"/>
        <rFont val="Calibri"/>
        <family val="2"/>
      </rPr>
      <t>PVC,</t>
    </r>
    <r>
      <rPr>
        <b/>
        <sz val="9"/>
        <rFont val="AcadNusx"/>
        <family val="0"/>
      </rPr>
      <t xml:space="preserve"> seqciis sigrZe 2.50m, simaRle 1.5m, boZi kvadratuli mili 40X40mm) mowyoba</t>
    </r>
  </si>
  <si>
    <t xml:space="preserve"> iatakis filis qveS da saZirkvlis koWis qveS fuZis (baliSis) mowyoba qviSa-xreSovani nareviT da vibraciuli  satkepniT datkepna fena-fena sisqe 30 sm</t>
  </si>
  <si>
    <t>შენიშვნა: უნდა შეივსოს მხოლოდ ყვითლად მონიშნული გრაფები</t>
  </si>
  <si>
    <t>zedanadebi xarjebi %</t>
  </si>
  <si>
    <t>gegmiuri dagroveba %</t>
  </si>
  <si>
    <t>zednadebi xarjebi % (SromiTi resursebidan)</t>
  </si>
  <si>
    <t>საბაზრო</t>
  </si>
  <si>
    <t>ცალი</t>
  </si>
  <si>
    <t>შრომითი დანახარჯი</t>
  </si>
  <si>
    <t>მანქანები</t>
  </si>
  <si>
    <t>,,ლაითბოქსი" გაბარიტებით 4.0 მ*0.6 მ</t>
  </si>
  <si>
    <t>,,ლაითბოქსის" მოწყობა გაბარიტებით        4.0 მ*0.6 მ</t>
  </si>
  <si>
    <t>სხვადასხვა მასალები</t>
  </si>
  <si>
    <t>კაც/სთ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</si>
</sst>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Lari&quot;;\-#,##0\ &quot;Lari&quot;"/>
    <numFmt numFmtId="189" formatCode="#,##0\ &quot;Lari&quot;;[Red]\-#,##0\ &quot;Lari&quot;"/>
    <numFmt numFmtId="190" formatCode="#,##0.00\ &quot;Lari&quot;;\-#,##0.00\ &quot;Lari&quot;"/>
    <numFmt numFmtId="191" formatCode="#,##0.00\ &quot;Lari&quot;;[Red]\-#,##0.00\ &quot;Lari&quot;"/>
    <numFmt numFmtId="192" formatCode="_-* #,##0\ &quot;Lari&quot;_-;\-* #,##0\ &quot;Lari&quot;_-;_-* &quot;-&quot;\ &quot;Lari&quot;_-;_-@_-"/>
    <numFmt numFmtId="193" formatCode="_-* #,##0\ _L_a_r_i_-;\-* #,##0\ _L_a_r_i_-;_-* &quot;-&quot;\ _L_a_r_i_-;_-@_-"/>
    <numFmt numFmtId="194" formatCode="_-* #,##0.00\ &quot;Lari&quot;_-;\-* #,##0.00\ &quot;Lari&quot;_-;_-* &quot;-&quot;??\ &quot;Lari&quot;_-;_-@_-"/>
    <numFmt numFmtId="195" formatCode="_-* #,##0.00\ _L_a_r_i_-;\-* #,##0.00\ _L_a_r_i_-;_-* &quot;-&quot;??\ _L_a_r_i_-;_-@_-"/>
    <numFmt numFmtId="196" formatCode="0.000"/>
    <numFmt numFmtId="197" formatCode="0.0"/>
    <numFmt numFmtId="198" formatCode="0.0000"/>
    <numFmt numFmtId="199" formatCode="0.000000"/>
    <numFmt numFmtId="200" formatCode="0.00000"/>
    <numFmt numFmtId="201" formatCode="0.00000000"/>
    <numFmt numFmtId="202" formatCode="0.0000000"/>
    <numFmt numFmtId="203" formatCode="#,##0_);\-#,##0"/>
    <numFmt numFmtId="204" formatCode="#,##0.000_);\-#,##0.000"/>
    <numFmt numFmtId="205" formatCode="#,##0.00_);\-#,##0.00"/>
    <numFmt numFmtId="206" formatCode="[$-FC19]d\ mmmm\ yyyy\ &quot;г.&quot;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#,##0.0_);\-#,##0.0"/>
    <numFmt numFmtId="212" formatCode="#,##0.0_);[Red]#,##0.0"/>
    <numFmt numFmtId="213" formatCode="#,##0.00_);[Red]#,##0.00"/>
  </numFmts>
  <fonts count="124">
    <font>
      <sz val="10"/>
      <name val="Arial"/>
      <family val="0"/>
    </font>
    <font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9"/>
      <name val="AcadNusx"/>
      <family val="0"/>
    </font>
    <font>
      <sz val="10"/>
      <color indexed="10"/>
      <name val="AcadNusx"/>
      <family val="0"/>
    </font>
    <font>
      <sz val="10"/>
      <name val="Academiuri Nuskhuri"/>
      <family val="0"/>
    </font>
    <font>
      <b/>
      <sz val="10"/>
      <name val="Academiuri Nuskhuri"/>
      <family val="0"/>
    </font>
    <font>
      <sz val="8"/>
      <name val="Arial"/>
      <family val="2"/>
    </font>
    <font>
      <sz val="8"/>
      <name val="AcadNusx"/>
      <family val="0"/>
    </font>
    <font>
      <sz val="12"/>
      <name val="AcadNusx"/>
      <family val="0"/>
    </font>
    <font>
      <sz val="10"/>
      <name val="Calibri"/>
      <family val="2"/>
    </font>
    <font>
      <b/>
      <sz val="10"/>
      <name val="Acad Nusx Geo"/>
      <family val="2"/>
    </font>
    <font>
      <sz val="10"/>
      <name val="Acad Nusx Geo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2"/>
      <name val="AcadNusx"/>
      <family val="0"/>
    </font>
    <font>
      <b/>
      <sz val="12"/>
      <name val="Arial"/>
      <family val="2"/>
    </font>
    <font>
      <b/>
      <sz val="11"/>
      <name val="AcadNusx"/>
      <family val="0"/>
    </font>
    <font>
      <sz val="9"/>
      <color indexed="8"/>
      <name val="AcadNusx"/>
      <family val="0"/>
    </font>
    <font>
      <sz val="9"/>
      <name val="Arial"/>
      <family val="2"/>
    </font>
    <font>
      <b/>
      <sz val="9"/>
      <color indexed="8"/>
      <name val="AcadNusx"/>
      <family val="0"/>
    </font>
    <font>
      <b/>
      <sz val="9"/>
      <name val="Calibri"/>
      <family val="2"/>
    </font>
    <font>
      <b/>
      <sz val="9"/>
      <name val="Arial"/>
      <family val="2"/>
    </font>
    <font>
      <sz val="9"/>
      <name val="Academiuri Nuskhuri"/>
      <family val="0"/>
    </font>
    <font>
      <b/>
      <sz val="9"/>
      <name val="Acad Nusx Geo"/>
      <family val="2"/>
    </font>
    <font>
      <b/>
      <sz val="9"/>
      <name val="Arial Cyr"/>
      <family val="0"/>
    </font>
    <font>
      <b/>
      <sz val="9"/>
      <color indexed="10"/>
      <name val="AcadNusx"/>
      <family val="0"/>
    </font>
    <font>
      <sz val="9"/>
      <color indexed="10"/>
      <name val="AcadNusx"/>
      <family val="0"/>
    </font>
    <font>
      <sz val="9"/>
      <color indexed="12"/>
      <name val="AcadNusx"/>
      <family val="0"/>
    </font>
    <font>
      <sz val="9"/>
      <name val="Calibri"/>
      <family val="2"/>
    </font>
    <font>
      <b/>
      <sz val="10"/>
      <name val="Arial"/>
      <family val="2"/>
    </font>
    <font>
      <b/>
      <sz val="10"/>
      <name val="LitNusx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cadNusx"/>
      <family val="0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10"/>
      <name val="AcadNusx"/>
      <family val="0"/>
    </font>
    <font>
      <sz val="10"/>
      <color indexed="10"/>
      <name val="Acad Nusx Geo"/>
      <family val="2"/>
    </font>
    <font>
      <sz val="10"/>
      <color indexed="56"/>
      <name val="AcadNusx"/>
      <family val="0"/>
    </font>
    <font>
      <sz val="10"/>
      <color indexed="30"/>
      <name val="Acad Nusx Geo"/>
      <family val="2"/>
    </font>
    <font>
      <sz val="9"/>
      <color indexed="30"/>
      <name val="AcadNusx"/>
      <family val="0"/>
    </font>
    <font>
      <sz val="11"/>
      <color indexed="10"/>
      <name val="AcadNusx"/>
      <family val="0"/>
    </font>
    <font>
      <sz val="11"/>
      <color indexed="30"/>
      <name val="AcadNusx"/>
      <family val="0"/>
    </font>
    <font>
      <b/>
      <sz val="9"/>
      <color indexed="30"/>
      <name val="AcadNusx"/>
      <family val="0"/>
    </font>
    <font>
      <sz val="9"/>
      <color indexed="10"/>
      <name val="Arial"/>
      <family val="2"/>
    </font>
    <font>
      <sz val="9"/>
      <color indexed="30"/>
      <name val="Arial"/>
      <family val="2"/>
    </font>
    <font>
      <sz val="10"/>
      <color indexed="8"/>
      <name val="AcadNusx"/>
      <family val="0"/>
    </font>
    <font>
      <sz val="10"/>
      <color indexed="10"/>
      <name val="Academiuri Nuskhuri"/>
      <family val="0"/>
    </font>
    <font>
      <sz val="10"/>
      <color indexed="30"/>
      <name val="Academiuri Nuskhuri"/>
      <family val="0"/>
    </font>
    <font>
      <b/>
      <sz val="9"/>
      <color indexed="56"/>
      <name val="AcadNusx"/>
      <family val="0"/>
    </font>
    <font>
      <b/>
      <sz val="10"/>
      <color indexed="8"/>
      <name val="AcadNusx"/>
      <family val="0"/>
    </font>
    <font>
      <sz val="9"/>
      <color indexed="13"/>
      <name val="Arial"/>
      <family val="2"/>
    </font>
    <font>
      <sz val="9"/>
      <color indexed="36"/>
      <name val="AcadNusx"/>
      <family val="0"/>
    </font>
    <font>
      <b/>
      <sz val="10"/>
      <color indexed="30"/>
      <name val="AcadNusx"/>
      <family val="0"/>
    </font>
    <font>
      <sz val="10"/>
      <color indexed="36"/>
      <name val="Arial"/>
      <family val="2"/>
    </font>
    <font>
      <b/>
      <sz val="12"/>
      <color indexed="8"/>
      <name val="AcadNusx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cadNusx"/>
      <family val="0"/>
    </font>
    <font>
      <sz val="10"/>
      <color rgb="FF0070C0"/>
      <name val="AcadNusx"/>
      <family val="0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cadNusx"/>
      <family val="0"/>
    </font>
    <font>
      <sz val="10"/>
      <color rgb="FFFF0000"/>
      <name val="Acad Nusx Geo"/>
      <family val="2"/>
    </font>
    <font>
      <sz val="10"/>
      <color rgb="FF002060"/>
      <name val="AcadNusx"/>
      <family val="0"/>
    </font>
    <font>
      <sz val="10"/>
      <color rgb="FF0070C0"/>
      <name val="Acad Nusx Geo"/>
      <family val="2"/>
    </font>
    <font>
      <b/>
      <sz val="9"/>
      <color rgb="FFFF0000"/>
      <name val="AcadNusx"/>
      <family val="0"/>
    </font>
    <font>
      <sz val="9"/>
      <color rgb="FFFF0000"/>
      <name val="AcadNusx"/>
      <family val="0"/>
    </font>
    <font>
      <sz val="9"/>
      <color rgb="FF000000"/>
      <name val="AcadNusx"/>
      <family val="0"/>
    </font>
    <font>
      <sz val="9"/>
      <color rgb="FF0070C0"/>
      <name val="AcadNusx"/>
      <family val="0"/>
    </font>
    <font>
      <sz val="11"/>
      <color rgb="FFFF0000"/>
      <name val="AcadNusx"/>
      <family val="0"/>
    </font>
    <font>
      <sz val="11"/>
      <color rgb="FF0070C0"/>
      <name val="AcadNusx"/>
      <family val="0"/>
    </font>
    <font>
      <b/>
      <sz val="9"/>
      <color rgb="FF0070C0"/>
      <name val="AcadNusx"/>
      <family val="0"/>
    </font>
    <font>
      <sz val="9"/>
      <color rgb="FFFF0000"/>
      <name val="Arial"/>
      <family val="2"/>
    </font>
    <font>
      <sz val="9"/>
      <color rgb="FF0070C0"/>
      <name val="Arial"/>
      <family val="2"/>
    </font>
    <font>
      <sz val="10"/>
      <color rgb="FF000000"/>
      <name val="AcadNusx"/>
      <family val="0"/>
    </font>
    <font>
      <sz val="10"/>
      <color rgb="FFFF0000"/>
      <name val="Academiuri Nuskhuri"/>
      <family val="0"/>
    </font>
    <font>
      <sz val="10"/>
      <color rgb="FF0070C0"/>
      <name val="Academiuri Nuskhuri"/>
      <family val="0"/>
    </font>
    <font>
      <b/>
      <sz val="9"/>
      <color rgb="FF000000"/>
      <name val="AcadNusx"/>
      <family val="0"/>
    </font>
    <font>
      <b/>
      <sz val="9"/>
      <color theme="3"/>
      <name val="AcadNusx"/>
      <family val="0"/>
    </font>
    <font>
      <sz val="9"/>
      <color theme="1"/>
      <name val="AcadNusx"/>
      <family val="0"/>
    </font>
    <font>
      <b/>
      <sz val="10"/>
      <color theme="1"/>
      <name val="AcadNusx"/>
      <family val="0"/>
    </font>
    <font>
      <sz val="10"/>
      <color theme="1"/>
      <name val="AcadNusx"/>
      <family val="0"/>
    </font>
    <font>
      <sz val="9"/>
      <color rgb="FFFFFF00"/>
      <name val="Arial"/>
      <family val="2"/>
    </font>
    <font>
      <sz val="9"/>
      <color rgb="FF7030A0"/>
      <name val="AcadNusx"/>
      <family val="0"/>
    </font>
    <font>
      <b/>
      <sz val="10"/>
      <color rgb="FF0070C0"/>
      <name val="AcadNusx"/>
      <family val="0"/>
    </font>
    <font>
      <sz val="10"/>
      <color rgb="FF7030A0"/>
      <name val="Arial"/>
      <family val="2"/>
    </font>
    <font>
      <b/>
      <sz val="9"/>
      <color theme="1"/>
      <name val="AcadNusx"/>
      <family val="0"/>
    </font>
    <font>
      <b/>
      <sz val="12"/>
      <color theme="1"/>
      <name val="AcadNusx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2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7" borderId="0" applyNumberFormat="0" applyBorder="0" applyAlignment="0" applyProtection="0"/>
    <xf numFmtId="0" fontId="78" fillId="10" borderId="0" applyNumberFormat="0" applyBorder="0" applyAlignment="0" applyProtection="0"/>
    <xf numFmtId="0" fontId="78" fillId="3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9" borderId="0" applyNumberFormat="0" applyBorder="0" applyAlignment="0" applyProtection="0"/>
    <xf numFmtId="0" fontId="79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3" borderId="0" applyNumberFormat="0" applyBorder="0" applyAlignment="0" applyProtection="0"/>
    <xf numFmtId="0" fontId="15" fillId="0" borderId="0">
      <alignment/>
      <protection/>
    </xf>
    <xf numFmtId="0" fontId="79" fillId="11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80" fillId="19" borderId="1" applyNumberFormat="0" applyAlignment="0" applyProtection="0"/>
    <xf numFmtId="0" fontId="81" fillId="2" borderId="2" applyNumberFormat="0" applyAlignment="0" applyProtection="0"/>
    <xf numFmtId="0" fontId="82" fillId="2" borderId="1" applyNumberFormat="0" applyAlignment="0" applyProtection="0"/>
    <xf numFmtId="0" fontId="8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44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0" borderId="7" applyNumberFormat="0" applyAlignment="0" applyProtection="0"/>
    <xf numFmtId="0" fontId="19" fillId="0" borderId="0" applyNumberFormat="0" applyFill="0" applyBorder="0" applyAlignment="0" applyProtection="0"/>
    <xf numFmtId="0" fontId="86" fillId="21" borderId="0" applyNumberFormat="0" applyBorder="0" applyAlignment="0" applyProtection="0"/>
    <xf numFmtId="0" fontId="7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2" fillId="2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1" fontId="6" fillId="0" borderId="0" xfId="0" applyNumberFormat="1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0" fontId="95" fillId="0" borderId="0" xfId="0" applyFont="1" applyAlignment="1">
      <alignment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horizontal="center" vertical="center"/>
    </xf>
    <xf numFmtId="0" fontId="97" fillId="0" borderId="0" xfId="0" applyFont="1" applyAlignment="1">
      <alignment horizontal="center" vertical="center" wrapText="1"/>
    </xf>
    <xf numFmtId="0" fontId="98" fillId="0" borderId="0" xfId="0" applyFont="1" applyAlignment="1">
      <alignment horizontal="center" vertical="center" wrapText="1"/>
    </xf>
    <xf numFmtId="0" fontId="99" fillId="0" borderId="0" xfId="0" applyFont="1" applyAlignment="1">
      <alignment horizontal="center" vertical="center" wrapText="1"/>
    </xf>
    <xf numFmtId="0" fontId="99" fillId="0" borderId="0" xfId="0" applyFont="1" applyFill="1" applyAlignment="1">
      <alignment horizontal="center" vertical="center" wrapText="1"/>
    </xf>
    <xf numFmtId="0" fontId="95" fillId="0" borderId="0" xfId="0" applyFont="1" applyFill="1" applyAlignment="1">
      <alignment/>
    </xf>
    <xf numFmtId="1" fontId="95" fillId="0" borderId="0" xfId="0" applyNumberFormat="1" applyFont="1" applyFill="1" applyAlignment="1">
      <alignment horizontal="center" vertical="center"/>
    </xf>
    <xf numFmtId="0" fontId="93" fillId="0" borderId="0" xfId="0" applyFont="1" applyFill="1" applyAlignment="1">
      <alignment/>
    </xf>
    <xf numFmtId="0" fontId="93" fillId="0" borderId="0" xfId="0" applyFont="1" applyFill="1" applyAlignment="1">
      <alignment horizontal="center" vertical="center"/>
    </xf>
    <xf numFmtId="0" fontId="93" fillId="0" borderId="0" xfId="0" applyFont="1" applyAlignment="1">
      <alignment/>
    </xf>
    <xf numFmtId="0" fontId="93" fillId="0" borderId="0" xfId="0" applyFont="1" applyAlignment="1">
      <alignment horizontal="center" vertical="center"/>
    </xf>
    <xf numFmtId="0" fontId="94" fillId="0" borderId="0" xfId="0" applyFont="1" applyFill="1" applyAlignment="1">
      <alignment/>
    </xf>
    <xf numFmtId="1" fontId="96" fillId="0" borderId="0" xfId="0" applyNumberFormat="1" applyFont="1" applyFill="1" applyAlignment="1">
      <alignment horizontal="center" vertical="center"/>
    </xf>
    <xf numFmtId="0" fontId="94" fillId="0" borderId="0" xfId="0" applyFont="1" applyFill="1" applyAlignment="1">
      <alignment horizontal="center" vertical="center"/>
    </xf>
    <xf numFmtId="0" fontId="94" fillId="0" borderId="0" xfId="0" applyFont="1" applyFill="1" applyAlignment="1">
      <alignment horizontal="center" vertical="center" wrapText="1"/>
    </xf>
    <xf numFmtId="0" fontId="100" fillId="0" borderId="0" xfId="0" applyFont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 vertical="center" wrapText="1"/>
    </xf>
    <xf numFmtId="2" fontId="4" fillId="25" borderId="10" xfId="0" applyNumberFormat="1" applyFon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 vertical="center"/>
    </xf>
    <xf numFmtId="2" fontId="2" fillId="25" borderId="0" xfId="0" applyNumberFormat="1" applyFont="1" applyFill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49" fontId="2" fillId="25" borderId="0" xfId="0" applyNumberFormat="1" applyFont="1" applyFill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1" fontId="2" fillId="25" borderId="10" xfId="0" applyNumberFormat="1" applyFont="1" applyFill="1" applyBorder="1" applyAlignment="1">
      <alignment horizontal="center" vertical="center" wrapText="1"/>
    </xf>
    <xf numFmtId="49" fontId="4" fillId="25" borderId="10" xfId="0" applyNumberFormat="1" applyFont="1" applyFill="1" applyBorder="1" applyAlignment="1">
      <alignment horizontal="center" vertical="center" wrapText="1"/>
    </xf>
    <xf numFmtId="1" fontId="4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 wrapText="1"/>
    </xf>
    <xf numFmtId="49" fontId="13" fillId="25" borderId="10" xfId="0" applyNumberFormat="1" applyFont="1" applyFill="1" applyBorder="1" applyAlignment="1">
      <alignment horizontal="center" vertical="center" wrapText="1"/>
    </xf>
    <xf numFmtId="0" fontId="2" fillId="25" borderId="0" xfId="0" applyFont="1" applyFill="1" applyAlignment="1">
      <alignment vertical="center" wrapText="1"/>
    </xf>
    <xf numFmtId="49" fontId="2" fillId="25" borderId="0" xfId="0" applyNumberFormat="1" applyFont="1" applyFill="1" applyAlignment="1">
      <alignment vertical="center" wrapText="1"/>
    </xf>
    <xf numFmtId="14" fontId="2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4" fillId="25" borderId="0" xfId="0" applyFont="1" applyFill="1" applyAlignment="1">
      <alignment horizontal="center" vertical="center" wrapText="1"/>
    </xf>
    <xf numFmtId="0" fontId="2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 vertical="center"/>
    </xf>
    <xf numFmtId="49" fontId="5" fillId="25" borderId="10" xfId="0" applyNumberFormat="1" applyFont="1" applyFill="1" applyBorder="1" applyAlignment="1">
      <alignment horizontal="center" vertical="center" wrapText="1"/>
    </xf>
    <xf numFmtId="211" fontId="2" fillId="25" borderId="12" xfId="0" applyNumberFormat="1" applyFont="1" applyFill="1" applyBorder="1" applyAlignment="1">
      <alignment horizontal="center" vertical="center" wrapText="1"/>
    </xf>
    <xf numFmtId="197" fontId="2" fillId="25" borderId="10" xfId="0" applyNumberFormat="1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 vertical="center" wrapText="1"/>
    </xf>
    <xf numFmtId="0" fontId="4" fillId="25" borderId="10" xfId="0" applyNumberFormat="1" applyFont="1" applyFill="1" applyBorder="1" applyAlignment="1">
      <alignment horizontal="center" vertical="center"/>
    </xf>
    <xf numFmtId="0" fontId="4" fillId="25" borderId="10" xfId="56" applyFont="1" applyFill="1" applyBorder="1" applyAlignment="1">
      <alignment horizontal="center" vertical="center" wrapText="1"/>
      <protection/>
    </xf>
    <xf numFmtId="2" fontId="4" fillId="25" borderId="10" xfId="56" applyNumberFormat="1" applyFont="1" applyFill="1" applyBorder="1" applyAlignment="1">
      <alignment horizontal="center" vertical="center" wrapText="1"/>
      <protection/>
    </xf>
    <xf numFmtId="0" fontId="2" fillId="25" borderId="10" xfId="56" applyFont="1" applyFill="1" applyBorder="1" applyAlignment="1">
      <alignment horizontal="center" vertical="center" wrapText="1"/>
      <protection/>
    </xf>
    <xf numFmtId="49" fontId="4" fillId="25" borderId="0" xfId="0" applyNumberFormat="1" applyFont="1" applyFill="1" applyAlignment="1">
      <alignment horizontal="center" vertical="center" wrapText="1"/>
    </xf>
    <xf numFmtId="2" fontId="2" fillId="25" borderId="10" xfId="56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49" fontId="2" fillId="25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14" fontId="2" fillId="0" borderId="10" xfId="56" applyNumberFormat="1" applyFont="1" applyBorder="1" applyAlignment="1">
      <alignment horizontal="center" vertical="center" wrapText="1"/>
      <protection/>
    </xf>
    <xf numFmtId="0" fontId="93" fillId="0" borderId="10" xfId="0" applyFont="1" applyBorder="1" applyAlignment="1">
      <alignment horizontal="center" vertical="center" wrapText="1"/>
    </xf>
    <xf numFmtId="2" fontId="93" fillId="0" borderId="10" xfId="0" applyNumberFormat="1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 wrapText="1"/>
    </xf>
    <xf numFmtId="49" fontId="10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2" fontId="93" fillId="25" borderId="10" xfId="0" applyNumberFormat="1" applyFont="1" applyFill="1" applyBorder="1" applyAlignment="1">
      <alignment horizontal="center" vertical="center" wrapText="1"/>
    </xf>
    <xf numFmtId="2" fontId="6" fillId="25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103" fillId="0" borderId="13" xfId="0" applyFont="1" applyBorder="1" applyAlignment="1">
      <alignment horizontal="center" vertical="center" wrapText="1"/>
    </xf>
    <xf numFmtId="0" fontId="103" fillId="0" borderId="14" xfId="0" applyFont="1" applyBorder="1" applyAlignment="1">
      <alignment horizontal="center" vertical="center" wrapText="1"/>
    </xf>
    <xf numFmtId="0" fontId="103" fillId="0" borderId="15" xfId="0" applyFont="1" applyBorder="1" applyAlignment="1">
      <alignment horizontal="center" vertical="center" wrapText="1"/>
    </xf>
    <xf numFmtId="0" fontId="103" fillId="0" borderId="16" xfId="0" applyFont="1" applyBorder="1" applyAlignment="1">
      <alignment horizontal="center" vertical="center" wrapText="1"/>
    </xf>
    <xf numFmtId="0" fontId="103" fillId="0" borderId="17" xfId="0" applyFont="1" applyBorder="1" applyAlignment="1">
      <alignment horizontal="center" vertical="center" wrapText="1"/>
    </xf>
    <xf numFmtId="0" fontId="93" fillId="25" borderId="10" xfId="0" applyFont="1" applyFill="1" applyBorder="1" applyAlignment="1">
      <alignment horizontal="center" vertical="center" wrapText="1"/>
    </xf>
    <xf numFmtId="0" fontId="97" fillId="25" borderId="10" xfId="0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2" fontId="94" fillId="0" borderId="10" xfId="0" applyNumberFormat="1" applyFont="1" applyFill="1" applyBorder="1" applyAlignment="1">
      <alignment horizontal="center" vertical="center" wrapText="1"/>
    </xf>
    <xf numFmtId="0" fontId="94" fillId="25" borderId="10" xfId="0" applyFont="1" applyFill="1" applyBorder="1" applyAlignment="1">
      <alignment horizontal="center" vertical="center" wrapText="1"/>
    </xf>
    <xf numFmtId="2" fontId="94" fillId="25" borderId="10" xfId="0" applyNumberFormat="1" applyFont="1" applyFill="1" applyBorder="1" applyAlignment="1">
      <alignment horizontal="center" vertical="center" wrapText="1"/>
    </xf>
    <xf numFmtId="49" fontId="93" fillId="25" borderId="10" xfId="0" applyNumberFormat="1" applyFont="1" applyFill="1" applyBorder="1" applyAlignment="1">
      <alignment horizontal="center" vertical="center" wrapText="1"/>
    </xf>
    <xf numFmtId="49" fontId="94" fillId="25" borderId="10" xfId="0" applyNumberFormat="1" applyFont="1" applyFill="1" applyBorder="1" applyAlignment="1">
      <alignment horizontal="center" vertical="center" wrapText="1"/>
    </xf>
    <xf numFmtId="1" fontId="94" fillId="25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9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3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95" fillId="0" borderId="10" xfId="0" applyFont="1" applyBorder="1" applyAlignment="1">
      <alignment/>
    </xf>
    <xf numFmtId="0" fontId="96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93" fillId="0" borderId="10" xfId="0" applyFont="1" applyBorder="1" applyAlignment="1">
      <alignment/>
    </xf>
    <xf numFmtId="0" fontId="95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/>
    </xf>
    <xf numFmtId="0" fontId="96" fillId="0" borderId="10" xfId="0" applyFont="1" applyFill="1" applyBorder="1" applyAlignment="1">
      <alignment horizontal="center" vertical="center"/>
    </xf>
    <xf numFmtId="1" fontId="93" fillId="25" borderId="10" xfId="0" applyNumberFormat="1" applyFont="1" applyFill="1" applyBorder="1" applyAlignment="1">
      <alignment horizontal="center" vertical="center" wrapText="1"/>
    </xf>
    <xf numFmtId="0" fontId="93" fillId="25" borderId="10" xfId="0" applyFont="1" applyFill="1" applyBorder="1" applyAlignment="1">
      <alignment horizontal="left" vertical="center" wrapText="1"/>
    </xf>
    <xf numFmtId="1" fontId="95" fillId="0" borderId="10" xfId="0" applyNumberFormat="1" applyFont="1" applyFill="1" applyBorder="1" applyAlignment="1">
      <alignment horizontal="center" vertical="center"/>
    </xf>
    <xf numFmtId="2" fontId="95" fillId="25" borderId="10" xfId="0" applyNumberFormat="1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center" vertical="center"/>
    </xf>
    <xf numFmtId="2" fontId="96" fillId="25" borderId="1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4" fillId="0" borderId="0" xfId="0" applyFont="1" applyAlignment="1">
      <alignment horizontal="center" vertical="center"/>
    </xf>
    <xf numFmtId="211" fontId="93" fillId="25" borderId="12" xfId="0" applyNumberFormat="1" applyFont="1" applyFill="1" applyBorder="1" applyAlignment="1">
      <alignment horizontal="center" vertical="center" wrapText="1"/>
    </xf>
    <xf numFmtId="49" fontId="102" fillId="25" borderId="10" xfId="0" applyNumberFormat="1" applyFont="1" applyFill="1" applyBorder="1" applyAlignment="1">
      <alignment horizontal="center" vertical="center" wrapText="1"/>
    </xf>
    <xf numFmtId="211" fontId="94" fillId="25" borderId="12" xfId="0" applyNumberFormat="1" applyFont="1" applyFill="1" applyBorder="1" applyAlignment="1">
      <alignment horizontal="center" vertical="center" wrapText="1"/>
    </xf>
    <xf numFmtId="49" fontId="104" fillId="25" borderId="10" xfId="0" applyNumberFormat="1" applyFont="1" applyFill="1" applyBorder="1" applyAlignment="1">
      <alignment horizontal="center" vertical="center" wrapText="1"/>
    </xf>
    <xf numFmtId="196" fontId="94" fillId="25" borderId="10" xfId="0" applyNumberFormat="1" applyFont="1" applyFill="1" applyBorder="1" applyAlignment="1">
      <alignment horizontal="center" vertical="center" wrapText="1"/>
    </xf>
    <xf numFmtId="0" fontId="94" fillId="25" borderId="10" xfId="0" applyFont="1" applyFill="1" applyBorder="1" applyAlignment="1">
      <alignment horizontal="left" vertical="center" wrapText="1"/>
    </xf>
    <xf numFmtId="2" fontId="93" fillId="25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center" wrapText="1"/>
    </xf>
    <xf numFmtId="2" fontId="102" fillId="0" borderId="10" xfId="0" applyNumberFormat="1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center" vertical="center" wrapText="1"/>
    </xf>
    <xf numFmtId="2" fontId="106" fillId="0" borderId="10" xfId="0" applyNumberFormat="1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2" fontId="104" fillId="0" borderId="10" xfId="0" applyNumberFormat="1" applyFont="1" applyBorder="1" applyAlignment="1">
      <alignment horizontal="center" vertical="center" wrapText="1"/>
    </xf>
    <xf numFmtId="49" fontId="104" fillId="0" borderId="10" xfId="0" applyNumberFormat="1" applyFont="1" applyFill="1" applyBorder="1" applyAlignment="1">
      <alignment horizontal="center" vertical="center" wrapText="1"/>
    </xf>
    <xf numFmtId="2" fontId="2" fillId="25" borderId="18" xfId="0" applyNumberFormat="1" applyFont="1" applyFill="1" applyBorder="1" applyAlignment="1">
      <alignment horizontal="center" vertical="center" wrapText="1"/>
    </xf>
    <xf numFmtId="2" fontId="93" fillId="25" borderId="18" xfId="0" applyNumberFormat="1" applyFont="1" applyFill="1" applyBorder="1" applyAlignment="1">
      <alignment horizontal="center" vertical="center" wrapText="1"/>
    </xf>
    <xf numFmtId="14" fontId="93" fillId="0" borderId="10" xfId="56" applyNumberFormat="1" applyFont="1" applyBorder="1" applyAlignment="1">
      <alignment horizontal="center" vertical="center" wrapText="1"/>
      <protection/>
    </xf>
    <xf numFmtId="14" fontId="94" fillId="0" borderId="10" xfId="56" applyNumberFormat="1" applyFont="1" applyBorder="1" applyAlignment="1">
      <alignment horizontal="center" vertical="center" wrapText="1"/>
      <protection/>
    </xf>
    <xf numFmtId="0" fontId="94" fillId="0" borderId="10" xfId="56" applyFont="1" applyBorder="1" applyAlignment="1">
      <alignment horizontal="center" vertical="center" wrapText="1"/>
      <protection/>
    </xf>
    <xf numFmtId="0" fontId="5" fillId="25" borderId="10" xfId="0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2" fontId="5" fillId="25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2" fontId="102" fillId="0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2" fontId="102" fillId="25" borderId="10" xfId="0" applyNumberFormat="1" applyFont="1" applyFill="1" applyBorder="1" applyAlignment="1">
      <alignment horizontal="center" vertical="center" wrapText="1"/>
    </xf>
    <xf numFmtId="0" fontId="108" fillId="0" borderId="10" xfId="0" applyFont="1" applyBorder="1" applyAlignment="1">
      <alignment horizontal="center" vertical="center"/>
    </xf>
    <xf numFmtId="0" fontId="108" fillId="25" borderId="10" xfId="0" applyFont="1" applyFill="1" applyBorder="1" applyAlignment="1">
      <alignment horizontal="center" vertical="center"/>
    </xf>
    <xf numFmtId="2" fontId="104" fillId="25" borderId="10" xfId="0" applyNumberFormat="1" applyFont="1" applyFill="1" applyBorder="1" applyAlignment="1">
      <alignment horizontal="center" vertical="center" wrapText="1"/>
    </xf>
    <xf numFmtId="0" fontId="109" fillId="0" borderId="10" xfId="0" applyFont="1" applyBorder="1" applyAlignment="1">
      <alignment horizontal="center" vertical="center"/>
    </xf>
    <xf numFmtId="0" fontId="109" fillId="25" borderId="10" xfId="0" applyFont="1" applyFill="1" applyBorder="1" applyAlignment="1">
      <alignment horizontal="center" vertical="center"/>
    </xf>
    <xf numFmtId="2" fontId="3" fillId="25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0" fontId="24" fillId="25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3" fillId="25" borderId="0" xfId="0" applyNumberFormat="1" applyFont="1" applyFill="1" applyAlignment="1">
      <alignment horizontal="center" vertical="center" wrapText="1"/>
    </xf>
    <xf numFmtId="49" fontId="4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03" fillId="25" borderId="16" xfId="0" applyFont="1" applyFill="1" applyBorder="1" applyAlignment="1">
      <alignment horizontal="center" vertical="center" wrapText="1"/>
    </xf>
    <xf numFmtId="197" fontId="3" fillId="0" borderId="10" xfId="0" applyNumberFormat="1" applyFont="1" applyBorder="1" applyAlignment="1">
      <alignment horizontal="center" vertical="center" wrapText="1"/>
    </xf>
    <xf numFmtId="0" fontId="103" fillId="25" borderId="10" xfId="0" applyFont="1" applyFill="1" applyBorder="1" applyAlignment="1">
      <alignment horizontal="center" vertical="center" wrapText="1"/>
    </xf>
    <xf numFmtId="0" fontId="103" fillId="25" borderId="17" xfId="0" applyFont="1" applyFill="1" applyBorder="1" applyAlignment="1">
      <alignment horizontal="center" vertical="center" wrapText="1"/>
    </xf>
    <xf numFmtId="2" fontId="104" fillId="0" borderId="10" xfId="0" applyNumberFormat="1" applyFont="1" applyFill="1" applyBorder="1" applyAlignment="1">
      <alignment horizontal="center" vertical="center" wrapText="1"/>
    </xf>
    <xf numFmtId="0" fontId="102" fillId="25" borderId="10" xfId="0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2" fontId="20" fillId="25" borderId="10" xfId="0" applyNumberFormat="1" applyFont="1" applyFill="1" applyBorder="1" applyAlignment="1">
      <alignment horizontal="center" vertical="center" wrapText="1"/>
    </xf>
    <xf numFmtId="0" fontId="104" fillId="25" borderId="10" xfId="0" applyFont="1" applyFill="1" applyBorder="1" applyAlignment="1">
      <alignment horizontal="center" vertical="center" wrapText="1"/>
    </xf>
    <xf numFmtId="14" fontId="102" fillId="0" borderId="10" xfId="0" applyNumberFormat="1" applyFont="1" applyBorder="1" applyAlignment="1">
      <alignment horizontal="center" vertical="center" wrapText="1"/>
    </xf>
    <xf numFmtId="49" fontId="29" fillId="25" borderId="10" xfId="0" applyNumberFormat="1" applyFont="1" applyFill="1" applyBorder="1" applyAlignment="1">
      <alignment horizontal="center" vertical="center" wrapText="1"/>
    </xf>
    <xf numFmtId="1" fontId="5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110" fillId="25" borderId="10" xfId="0" applyFont="1" applyFill="1" applyBorder="1" applyAlignment="1">
      <alignment horizontal="center" vertical="center" wrapText="1"/>
    </xf>
    <xf numFmtId="2" fontId="110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0" fontId="103" fillId="25" borderId="15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8" fillId="0" borderId="0" xfId="0" applyFont="1" applyAlignment="1">
      <alignment horizontal="center" vertical="center"/>
    </xf>
    <xf numFmtId="0" fontId="109" fillId="0" borderId="0" xfId="0" applyFont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2" fontId="108" fillId="0" borderId="0" xfId="0" applyNumberFormat="1" applyFont="1" applyAlignment="1">
      <alignment horizontal="center" vertical="center"/>
    </xf>
    <xf numFmtId="2" fontId="109" fillId="0" borderId="0" xfId="0" applyNumberFormat="1" applyFont="1" applyAlignment="1">
      <alignment horizontal="center" vertical="center"/>
    </xf>
    <xf numFmtId="2" fontId="93" fillId="25" borderId="10" xfId="56" applyNumberFormat="1" applyFont="1" applyFill="1" applyBorder="1" applyAlignment="1">
      <alignment horizontal="center" vertical="center" wrapText="1"/>
      <protection/>
    </xf>
    <xf numFmtId="2" fontId="94" fillId="25" borderId="10" xfId="56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Font="1" applyAlignment="1">
      <alignment horizontal="center" vertical="center"/>
    </xf>
    <xf numFmtId="2" fontId="95" fillId="0" borderId="0" xfId="0" applyNumberFormat="1" applyFont="1" applyAlignment="1">
      <alignment horizontal="center" vertical="center"/>
    </xf>
    <xf numFmtId="2" fontId="96" fillId="0" borderId="0" xfId="0" applyNumberFormat="1" applyFont="1" applyAlignment="1">
      <alignment horizontal="center" vertical="center"/>
    </xf>
    <xf numFmtId="0" fontId="109" fillId="25" borderId="0" xfId="0" applyFont="1" applyFill="1" applyAlignment="1">
      <alignment horizontal="center" vertical="center"/>
    </xf>
    <xf numFmtId="2" fontId="94" fillId="2" borderId="10" xfId="0" applyNumberFormat="1" applyFont="1" applyFill="1" applyBorder="1" applyAlignment="1">
      <alignment horizontal="center" vertical="center" wrapText="1"/>
    </xf>
    <xf numFmtId="197" fontId="3" fillId="25" borderId="10" xfId="0" applyNumberFormat="1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1" fontId="2" fillId="25" borderId="0" xfId="0" applyNumberFormat="1" applyFont="1" applyFill="1" applyAlignment="1">
      <alignment horizontal="center" vertical="center" wrapText="1"/>
    </xf>
    <xf numFmtId="0" fontId="103" fillId="25" borderId="14" xfId="0" applyFont="1" applyFill="1" applyBorder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/>
    </xf>
    <xf numFmtId="0" fontId="103" fillId="25" borderId="13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93" fillId="25" borderId="10" xfId="56" applyFont="1" applyFill="1" applyBorder="1" applyAlignment="1">
      <alignment horizontal="center" vertical="center" wrapText="1"/>
      <protection/>
    </xf>
    <xf numFmtId="0" fontId="94" fillId="25" borderId="10" xfId="56" applyFont="1" applyFill="1" applyBorder="1" applyAlignment="1">
      <alignment horizontal="center" vertical="center" wrapText="1"/>
      <protection/>
    </xf>
    <xf numFmtId="0" fontId="105" fillId="25" borderId="10" xfId="0" applyFont="1" applyFill="1" applyBorder="1" applyAlignment="1">
      <alignment horizontal="center" vertical="center" wrapText="1"/>
    </xf>
    <xf numFmtId="0" fontId="106" fillId="25" borderId="10" xfId="0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horizontal="center" vertical="center" wrapText="1"/>
    </xf>
    <xf numFmtId="1" fontId="105" fillId="25" borderId="10" xfId="0" applyNumberFormat="1" applyFont="1" applyFill="1" applyBorder="1" applyAlignment="1">
      <alignment horizontal="center" vertical="center" wrapText="1"/>
    </xf>
    <xf numFmtId="1" fontId="106" fillId="25" borderId="10" xfId="0" applyNumberFormat="1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center" vertical="center" wrapText="1"/>
    </xf>
    <xf numFmtId="0" fontId="103" fillId="25" borderId="10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0" fontId="103" fillId="0" borderId="14" xfId="0" applyFont="1" applyBorder="1" applyAlignment="1">
      <alignment horizontal="center" vertical="center" wrapText="1"/>
    </xf>
    <xf numFmtId="0" fontId="103" fillId="0" borderId="17" xfId="0" applyFont="1" applyBorder="1" applyAlignment="1">
      <alignment horizontal="center" vertical="center" wrapText="1"/>
    </xf>
    <xf numFmtId="0" fontId="103" fillId="0" borderId="15" xfId="0" applyFont="1" applyBorder="1" applyAlignment="1">
      <alignment horizontal="center" vertical="center" wrapText="1"/>
    </xf>
    <xf numFmtId="49" fontId="2" fillId="25" borderId="0" xfId="0" applyNumberFormat="1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93" fillId="0" borderId="10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108" fillId="25" borderId="10" xfId="0" applyNumberFormat="1" applyFont="1" applyFill="1" applyBorder="1" applyAlignment="1">
      <alignment horizontal="center" vertical="center"/>
    </xf>
    <xf numFmtId="2" fontId="109" fillId="25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25" borderId="10" xfId="0" applyNumberFormat="1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2" fontId="4" fillId="25" borderId="10" xfId="0" applyNumberFormat="1" applyFont="1" applyFill="1" applyBorder="1" applyAlignment="1">
      <alignment horizontal="center" vertical="center"/>
    </xf>
    <xf numFmtId="0" fontId="111" fillId="25" borderId="10" xfId="0" applyFont="1" applyFill="1" applyBorder="1" applyAlignment="1">
      <alignment horizontal="center" vertical="center"/>
    </xf>
    <xf numFmtId="0" fontId="112" fillId="25" borderId="10" xfId="0" applyFont="1" applyFill="1" applyBorder="1" applyAlignment="1">
      <alignment horizontal="center" vertical="center"/>
    </xf>
    <xf numFmtId="2" fontId="94" fillId="25" borderId="10" xfId="0" applyNumberFormat="1" applyFont="1" applyFill="1" applyBorder="1" applyAlignment="1">
      <alignment horizontal="center" vertical="center"/>
    </xf>
    <xf numFmtId="1" fontId="94" fillId="0" borderId="10" xfId="0" applyNumberFormat="1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center" wrapText="1"/>
    </xf>
    <xf numFmtId="1" fontId="105" fillId="0" borderId="10" xfId="0" applyNumberFormat="1" applyFont="1" applyFill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 wrapText="1"/>
    </xf>
    <xf numFmtId="1" fontId="106" fillId="0" borderId="10" xfId="0" applyNumberFormat="1" applyFont="1" applyFill="1" applyBorder="1" applyAlignment="1">
      <alignment horizontal="center" vertical="center" wrapText="1"/>
    </xf>
    <xf numFmtId="2" fontId="4" fillId="25" borderId="18" xfId="0" applyNumberFormat="1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49" fontId="2" fillId="25" borderId="0" xfId="0" applyNumberFormat="1" applyFont="1" applyFill="1" applyAlignment="1">
      <alignment horizontal="center" vertical="center" wrapText="1"/>
    </xf>
    <xf numFmtId="1" fontId="2" fillId="25" borderId="0" xfId="0" applyNumberFormat="1" applyFont="1" applyFill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0" fontId="103" fillId="25" borderId="14" xfId="0" applyFont="1" applyFill="1" applyBorder="1" applyAlignment="1">
      <alignment horizontal="center" vertical="center" wrapText="1"/>
    </xf>
    <xf numFmtId="0" fontId="103" fillId="0" borderId="14" xfId="0" applyFont="1" applyBorder="1" applyAlignment="1">
      <alignment horizontal="center" vertical="center" wrapText="1"/>
    </xf>
    <xf numFmtId="0" fontId="103" fillId="0" borderId="17" xfId="0" applyFont="1" applyBorder="1" applyAlignment="1">
      <alignment horizontal="center" vertical="center" wrapText="1"/>
    </xf>
    <xf numFmtId="0" fontId="103" fillId="0" borderId="15" xfId="0" applyFont="1" applyBorder="1" applyAlignment="1">
      <alignment horizontal="center" vertical="center" wrapText="1"/>
    </xf>
    <xf numFmtId="0" fontId="2" fillId="25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11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2" fontId="32" fillId="25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2" fontId="33" fillId="25" borderId="10" xfId="0" applyNumberFormat="1" applyFont="1" applyFill="1" applyBorder="1" applyAlignment="1">
      <alignment horizontal="center" vertical="center" wrapText="1"/>
    </xf>
    <xf numFmtId="196" fontId="5" fillId="25" borderId="10" xfId="0" applyNumberFormat="1" applyFont="1" applyFill="1" applyBorder="1" applyAlignment="1">
      <alignment horizontal="center" vertical="center" wrapText="1"/>
    </xf>
    <xf numFmtId="0" fontId="3" fillId="0" borderId="10" xfId="55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25" borderId="10" xfId="56" applyFont="1" applyFill="1" applyBorder="1" applyAlignment="1">
      <alignment horizontal="center" vertical="center" wrapText="1"/>
      <protection/>
    </xf>
    <xf numFmtId="2" fontId="5" fillId="25" borderId="10" xfId="56" applyNumberFormat="1" applyFont="1" applyFill="1" applyBorder="1" applyAlignment="1">
      <alignment horizontal="center" vertical="center" wrapText="1"/>
      <protection/>
    </xf>
    <xf numFmtId="2" fontId="5" fillId="0" borderId="10" xfId="56" applyNumberFormat="1" applyFont="1" applyBorder="1" applyAlignment="1">
      <alignment horizontal="center" vertical="center" wrapText="1"/>
      <protection/>
    </xf>
    <xf numFmtId="1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" fontId="3" fillId="25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25" borderId="0" xfId="0" applyFont="1" applyFill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16" fontId="5" fillId="0" borderId="10" xfId="0" applyNumberFormat="1" applyFont="1" applyBorder="1" applyAlignment="1">
      <alignment horizontal="center" vertical="center" wrapText="1"/>
    </xf>
    <xf numFmtId="16" fontId="31" fillId="0" borderId="10" xfId="0" applyNumberFormat="1" applyFont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0" fontId="35" fillId="0" borderId="0" xfId="0" applyFont="1" applyAlignment="1">
      <alignment horizontal="center" vertical="center"/>
    </xf>
    <xf numFmtId="0" fontId="35" fillId="0" borderId="10" xfId="0" applyFont="1" applyBorder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2" fontId="114" fillId="25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 wrapText="1"/>
    </xf>
    <xf numFmtId="1" fontId="2" fillId="25" borderId="0" xfId="0" applyNumberFormat="1" applyFont="1" applyFill="1" applyBorder="1" applyAlignment="1">
      <alignment horizontal="center" vertical="center" wrapText="1"/>
    </xf>
    <xf numFmtId="1" fontId="4" fillId="25" borderId="0" xfId="0" applyNumberFormat="1" applyFont="1" applyFill="1" applyBorder="1" applyAlignment="1">
      <alignment horizontal="center" vertical="center" wrapText="1"/>
    </xf>
    <xf numFmtId="0" fontId="93" fillId="25" borderId="0" xfId="0" applyFont="1" applyFill="1" applyAlignment="1">
      <alignment horizontal="center" vertical="center" wrapText="1"/>
    </xf>
    <xf numFmtId="0" fontId="4" fillId="25" borderId="19" xfId="0" applyFont="1" applyFill="1" applyBorder="1" applyAlignment="1">
      <alignment horizontal="center" vertical="center" wrapText="1"/>
    </xf>
    <xf numFmtId="0" fontId="4" fillId="25" borderId="18" xfId="0" applyFont="1" applyFill="1" applyBorder="1" applyAlignment="1">
      <alignment horizontal="center" vertical="center" wrapText="1"/>
    </xf>
    <xf numFmtId="0" fontId="95" fillId="25" borderId="10" xfId="0" applyFont="1" applyFill="1" applyBorder="1" applyAlignment="1">
      <alignment/>
    </xf>
    <xf numFmtId="0" fontId="93" fillId="25" borderId="19" xfId="0" applyFont="1" applyFill="1" applyBorder="1" applyAlignment="1">
      <alignment horizontal="center" vertical="center" wrapText="1"/>
    </xf>
    <xf numFmtId="0" fontId="93" fillId="25" borderId="18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96" fillId="25" borderId="10" xfId="0" applyFont="1" applyFill="1" applyBorder="1" applyAlignment="1">
      <alignment/>
    </xf>
    <xf numFmtId="0" fontId="94" fillId="25" borderId="18" xfId="0" applyFont="1" applyFill="1" applyBorder="1" applyAlignment="1">
      <alignment horizontal="center" vertical="center" wrapText="1"/>
    </xf>
    <xf numFmtId="0" fontId="94" fillId="25" borderId="0" xfId="0" applyFont="1" applyFill="1" applyAlignment="1">
      <alignment horizontal="center" vertical="center" wrapText="1"/>
    </xf>
    <xf numFmtId="0" fontId="94" fillId="25" borderId="19" xfId="0" applyFont="1" applyFill="1" applyBorder="1" applyAlignment="1">
      <alignment horizontal="center" vertical="center" wrapText="1"/>
    </xf>
    <xf numFmtId="2" fontId="94" fillId="25" borderId="18" xfId="0" applyNumberFormat="1" applyFont="1" applyFill="1" applyBorder="1" applyAlignment="1">
      <alignment horizontal="center" vertical="center" wrapText="1"/>
    </xf>
    <xf numFmtId="14" fontId="4" fillId="25" borderId="10" xfId="0" applyNumberFormat="1" applyFont="1" applyFill="1" applyBorder="1" applyAlignment="1">
      <alignment horizontal="center" vertical="center" wrapText="1"/>
    </xf>
    <xf numFmtId="14" fontId="93" fillId="25" borderId="10" xfId="0" applyNumberFormat="1" applyFont="1" applyFill="1" applyBorder="1" applyAlignment="1">
      <alignment horizontal="center" vertical="center" wrapText="1"/>
    </xf>
    <xf numFmtId="14" fontId="94" fillId="25" borderId="10" xfId="0" applyNumberFormat="1" applyFont="1" applyFill="1" applyBorder="1" applyAlignment="1">
      <alignment horizontal="center" vertical="center" wrapText="1"/>
    </xf>
    <xf numFmtId="211" fontId="2" fillId="25" borderId="13" xfId="0" applyNumberFormat="1" applyFont="1" applyFill="1" applyBorder="1" applyAlignment="1">
      <alignment horizontal="center" vertical="center" wrapText="1"/>
    </xf>
    <xf numFmtId="211" fontId="2" fillId="25" borderId="13" xfId="0" applyNumberFormat="1" applyFont="1" applyFill="1" applyBorder="1" applyAlignment="1">
      <alignment horizontal="center" vertical="center"/>
    </xf>
    <xf numFmtId="2" fontId="2" fillId="25" borderId="13" xfId="0" applyNumberFormat="1" applyFont="1" applyFill="1" applyBorder="1" applyAlignment="1">
      <alignment horizontal="center" vertical="center" wrapText="1"/>
    </xf>
    <xf numFmtId="2" fontId="2" fillId="25" borderId="20" xfId="0" applyNumberFormat="1" applyFont="1" applyFill="1" applyBorder="1" applyAlignment="1">
      <alignment horizontal="center" vertical="center" wrapText="1"/>
    </xf>
    <xf numFmtId="211" fontId="0" fillId="25" borderId="13" xfId="0" applyNumberFormat="1" applyFont="1" applyFill="1" applyBorder="1" applyAlignment="1">
      <alignment horizontal="center" vertical="center" wrapText="1"/>
    </xf>
    <xf numFmtId="211" fontId="2" fillId="25" borderId="13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49" fontId="2" fillId="25" borderId="0" xfId="0" applyNumberFormat="1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197" fontId="115" fillId="0" borderId="10" xfId="0" applyNumberFormat="1" applyFont="1" applyBorder="1" applyAlignment="1">
      <alignment horizontal="center" vertical="center" wrapText="1"/>
    </xf>
    <xf numFmtId="196" fontId="4" fillId="25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16" fillId="0" borderId="10" xfId="0" applyFont="1" applyBorder="1" applyAlignment="1">
      <alignment horizontal="center" vertical="center" wrapText="1"/>
    </xf>
    <xf numFmtId="0" fontId="116" fillId="25" borderId="10" xfId="0" applyFont="1" applyFill="1" applyBorder="1" applyAlignment="1">
      <alignment horizontal="center" vertical="center" wrapText="1"/>
    </xf>
    <xf numFmtId="0" fontId="117" fillId="0" borderId="10" xfId="0" applyFont="1" applyBorder="1" applyAlignment="1">
      <alignment horizontal="center" vertical="center" wrapText="1"/>
    </xf>
    <xf numFmtId="0" fontId="117" fillId="25" borderId="10" xfId="0" applyFont="1" applyFill="1" applyBorder="1" applyAlignment="1">
      <alignment horizontal="center" vertical="center" wrapText="1"/>
    </xf>
    <xf numFmtId="2" fontId="117" fillId="25" borderId="10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0" fontId="0" fillId="25" borderId="0" xfId="0" applyFill="1" applyAlignment="1">
      <alignment/>
    </xf>
    <xf numFmtId="196" fontId="4" fillId="25" borderId="18" xfId="0" applyNumberFormat="1" applyFont="1" applyFill="1" applyBorder="1" applyAlignment="1">
      <alignment horizontal="center" vertical="center" wrapText="1"/>
    </xf>
    <xf numFmtId="0" fontId="118" fillId="25" borderId="10" xfId="0" applyFont="1" applyFill="1" applyBorder="1" applyAlignment="1">
      <alignment horizontal="center" vertical="center"/>
    </xf>
    <xf numFmtId="1" fontId="2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198" fontId="5" fillId="25" borderId="10" xfId="0" applyNumberFormat="1" applyFont="1" applyFill="1" applyBorder="1" applyAlignment="1">
      <alignment horizontal="center" vertical="center" wrapText="1"/>
    </xf>
    <xf numFmtId="0" fontId="93" fillId="2" borderId="10" xfId="0" applyFont="1" applyFill="1" applyBorder="1" applyAlignment="1">
      <alignment horizontal="left" vertical="center" wrapText="1"/>
    </xf>
    <xf numFmtId="0" fontId="93" fillId="2" borderId="10" xfId="0" applyFont="1" applyFill="1" applyBorder="1" applyAlignment="1">
      <alignment horizontal="center" vertical="center" wrapText="1"/>
    </xf>
    <xf numFmtId="0" fontId="94" fillId="2" borderId="1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2" fontId="93" fillId="2" borderId="10" xfId="0" applyNumberFormat="1" applyFont="1" applyFill="1" applyBorder="1" applyAlignment="1">
      <alignment horizontal="center" vertical="center" wrapText="1"/>
    </xf>
    <xf numFmtId="2" fontId="105" fillId="0" borderId="10" xfId="0" applyNumberFormat="1" applyFont="1" applyFill="1" applyBorder="1" applyAlignment="1">
      <alignment horizontal="center" vertical="center" wrapText="1"/>
    </xf>
    <xf numFmtId="197" fontId="2" fillId="25" borderId="10" xfId="0" applyNumberFormat="1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1" fontId="2" fillId="25" borderId="0" xfId="0" applyNumberFormat="1" applyFont="1" applyFill="1" applyAlignment="1">
      <alignment horizontal="center" vertical="center" wrapText="1"/>
    </xf>
    <xf numFmtId="49" fontId="2" fillId="25" borderId="0" xfId="0" applyNumberFormat="1" applyFont="1" applyFill="1" applyAlignment="1">
      <alignment horizontal="center" vertical="center" wrapText="1"/>
    </xf>
    <xf numFmtId="0" fontId="2" fillId="25" borderId="0" xfId="0" applyFont="1" applyFill="1" applyAlignment="1">
      <alignment horizontal="right" vertical="center" wrapText="1"/>
    </xf>
    <xf numFmtId="2" fontId="2" fillId="26" borderId="10" xfId="0" applyNumberFormat="1" applyFont="1" applyFill="1" applyBorder="1" applyAlignment="1">
      <alignment horizontal="center" vertical="center" wrapText="1"/>
    </xf>
    <xf numFmtId="2" fontId="102" fillId="26" borderId="10" xfId="0" applyNumberFormat="1" applyFont="1" applyFill="1" applyBorder="1" applyAlignment="1">
      <alignment horizontal="center" vertical="center" wrapText="1"/>
    </xf>
    <xf numFmtId="2" fontId="95" fillId="26" borderId="10" xfId="0" applyNumberFormat="1" applyFont="1" applyFill="1" applyBorder="1" applyAlignment="1">
      <alignment horizontal="center" vertical="center"/>
    </xf>
    <xf numFmtId="2" fontId="4" fillId="26" borderId="10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horizontal="center" vertical="center"/>
    </xf>
    <xf numFmtId="2" fontId="93" fillId="26" borderId="10" xfId="0" applyNumberFormat="1" applyFont="1" applyFill="1" applyBorder="1" applyAlignment="1">
      <alignment horizontal="center" vertical="center" wrapText="1"/>
    </xf>
    <xf numFmtId="2" fontId="96" fillId="26" borderId="10" xfId="0" applyNumberFormat="1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2" fontId="5" fillId="26" borderId="10" xfId="0" applyNumberFormat="1" applyFont="1" applyFill="1" applyBorder="1" applyAlignment="1">
      <alignment horizontal="center" vertical="center" wrapText="1"/>
    </xf>
    <xf numFmtId="2" fontId="101" fillId="26" borderId="10" xfId="0" applyNumberFormat="1" applyFont="1" applyFill="1" applyBorder="1" applyAlignment="1">
      <alignment horizontal="center" vertical="center" wrapText="1"/>
    </xf>
    <xf numFmtId="2" fontId="107" fillId="26" borderId="10" xfId="0" applyNumberFormat="1" applyFont="1" applyFill="1" applyBorder="1" applyAlignment="1">
      <alignment horizontal="center" vertical="center" wrapText="1"/>
    </xf>
    <xf numFmtId="2" fontId="3" fillId="26" borderId="10" xfId="0" applyNumberFormat="1" applyFont="1" applyFill="1" applyBorder="1" applyAlignment="1">
      <alignment horizontal="center" vertical="center" wrapText="1"/>
    </xf>
    <xf numFmtId="1" fontId="0" fillId="26" borderId="10" xfId="0" applyNumberFormat="1" applyFont="1" applyFill="1" applyBorder="1" applyAlignment="1">
      <alignment horizontal="center" vertical="center"/>
    </xf>
    <xf numFmtId="2" fontId="24" fillId="26" borderId="10" xfId="0" applyNumberFormat="1" applyFont="1" applyFill="1" applyBorder="1" applyAlignment="1">
      <alignment horizontal="center" vertical="center"/>
    </xf>
    <xf numFmtId="0" fontId="96" fillId="26" borderId="10" xfId="0" applyFont="1" applyFill="1" applyBorder="1" applyAlignment="1">
      <alignment horizontal="center" vertical="center"/>
    </xf>
    <xf numFmtId="1" fontId="96" fillId="26" borderId="10" xfId="0" applyNumberFormat="1" applyFont="1" applyFill="1" applyBorder="1" applyAlignment="1">
      <alignment horizontal="center" vertical="center"/>
    </xf>
    <xf numFmtId="2" fontId="119" fillId="26" borderId="10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2" fontId="94" fillId="26" borderId="10" xfId="0" applyNumberFormat="1" applyFont="1" applyFill="1" applyBorder="1" applyAlignment="1">
      <alignment/>
    </xf>
    <xf numFmtId="2" fontId="2" fillId="26" borderId="10" xfId="0" applyNumberFormat="1" applyFont="1" applyFill="1" applyBorder="1" applyAlignment="1">
      <alignment/>
    </xf>
    <xf numFmtId="2" fontId="96" fillId="26" borderId="10" xfId="0" applyNumberFormat="1" applyFont="1" applyFill="1" applyBorder="1" applyAlignment="1">
      <alignment/>
    </xf>
    <xf numFmtId="2" fontId="0" fillId="26" borderId="10" xfId="0" applyNumberFormat="1" applyFont="1" applyFill="1" applyBorder="1" applyAlignment="1">
      <alignment/>
    </xf>
    <xf numFmtId="2" fontId="94" fillId="26" borderId="10" xfId="0" applyNumberFormat="1" applyFont="1" applyFill="1" applyBorder="1" applyAlignment="1">
      <alignment horizontal="center" vertical="center" wrapText="1"/>
    </xf>
    <xf numFmtId="2" fontId="0" fillId="26" borderId="10" xfId="0" applyNumberFormat="1" applyFont="1" applyFill="1" applyBorder="1" applyAlignment="1">
      <alignment horizontal="center"/>
    </xf>
    <xf numFmtId="2" fontId="104" fillId="26" borderId="10" xfId="0" applyNumberFormat="1" applyFont="1" applyFill="1" applyBorder="1" applyAlignment="1">
      <alignment horizontal="center" vertical="center" wrapText="1"/>
    </xf>
    <xf numFmtId="2" fontId="94" fillId="26" borderId="10" xfId="56" applyNumberFormat="1" applyFont="1" applyFill="1" applyBorder="1" applyAlignment="1">
      <alignment horizontal="center" vertical="center" wrapText="1"/>
      <protection/>
    </xf>
    <xf numFmtId="2" fontId="2" fillId="26" borderId="10" xfId="56" applyNumberFormat="1" applyFont="1" applyFill="1" applyBorder="1" applyAlignment="1">
      <alignment horizontal="center" vertical="center" wrapText="1"/>
      <protection/>
    </xf>
    <xf numFmtId="0" fontId="110" fillId="26" borderId="10" xfId="0" applyFont="1" applyFill="1" applyBorder="1" applyAlignment="1">
      <alignment horizontal="center" vertical="center" wrapText="1"/>
    </xf>
    <xf numFmtId="0" fontId="94" fillId="26" borderId="10" xfId="0" applyFont="1" applyFill="1" applyBorder="1" applyAlignment="1">
      <alignment horizontal="center" vertical="center" wrapText="1"/>
    </xf>
    <xf numFmtId="1" fontId="2" fillId="26" borderId="10" xfId="0" applyNumberFormat="1" applyFont="1" applyFill="1" applyBorder="1" applyAlignment="1">
      <alignment horizontal="center" vertical="center" wrapText="1"/>
    </xf>
    <xf numFmtId="1" fontId="94" fillId="26" borderId="10" xfId="0" applyNumberFormat="1" applyFont="1" applyFill="1" applyBorder="1" applyAlignment="1">
      <alignment horizontal="center" vertical="center" wrapText="1"/>
    </xf>
    <xf numFmtId="2" fontId="109" fillId="26" borderId="10" xfId="0" applyNumberFormat="1" applyFont="1" applyFill="1" applyBorder="1" applyAlignment="1">
      <alignment horizontal="center" vertical="center"/>
    </xf>
    <xf numFmtId="2" fontId="4" fillId="26" borderId="10" xfId="56" applyNumberFormat="1" applyFont="1" applyFill="1" applyBorder="1" applyAlignment="1">
      <alignment horizontal="center" vertical="center" wrapText="1"/>
      <protection/>
    </xf>
    <xf numFmtId="2" fontId="106" fillId="26" borderId="10" xfId="0" applyNumberFormat="1" applyFont="1" applyFill="1" applyBorder="1" applyAlignment="1">
      <alignment horizontal="center" vertical="center" wrapText="1"/>
    </xf>
    <xf numFmtId="2" fontId="1" fillId="26" borderId="10" xfId="0" applyNumberFormat="1" applyFont="1" applyFill="1" applyBorder="1" applyAlignment="1">
      <alignment horizontal="center" vertical="center" wrapText="1"/>
    </xf>
    <xf numFmtId="2" fontId="120" fillId="26" borderId="10" xfId="0" applyNumberFormat="1" applyFont="1" applyFill="1" applyBorder="1" applyAlignment="1">
      <alignment horizontal="center" vertical="center" wrapText="1"/>
    </xf>
    <xf numFmtId="2" fontId="22" fillId="26" borderId="10" xfId="0" applyNumberFormat="1" applyFont="1" applyFill="1" applyBorder="1" applyAlignment="1">
      <alignment horizontal="center" vertical="center" wrapText="1"/>
    </xf>
    <xf numFmtId="0" fontId="104" fillId="26" borderId="10" xfId="0" applyFont="1" applyFill="1" applyBorder="1" applyAlignment="1">
      <alignment horizontal="center" vertical="center" wrapText="1"/>
    </xf>
    <xf numFmtId="2" fontId="108" fillId="26" borderId="10" xfId="0" applyNumberFormat="1" applyFont="1" applyFill="1" applyBorder="1" applyAlignment="1">
      <alignment horizontal="center" vertical="center"/>
    </xf>
    <xf numFmtId="2" fontId="3" fillId="26" borderId="10" xfId="0" applyNumberFormat="1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 wrapText="1"/>
    </xf>
    <xf numFmtId="2" fontId="94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2" fontId="121" fillId="26" borderId="10" xfId="0" applyNumberFormat="1" applyFont="1" applyFill="1" applyBorder="1" applyAlignment="1">
      <alignment horizontal="center" vertical="center"/>
    </xf>
    <xf numFmtId="2" fontId="2" fillId="26" borderId="10" xfId="64" applyNumberFormat="1" applyFont="1" applyFill="1" applyBorder="1" applyAlignment="1">
      <alignment horizontal="center" vertical="center" wrapText="1"/>
    </xf>
    <xf numFmtId="2" fontId="0" fillId="26" borderId="10" xfId="0" applyNumberFormat="1" applyFont="1" applyFill="1" applyBorder="1" applyAlignment="1">
      <alignment horizontal="center" vertical="center" wrapText="1"/>
    </xf>
    <xf numFmtId="2" fontId="6" fillId="26" borderId="10" xfId="0" applyNumberFormat="1" applyFont="1" applyFill="1" applyBorder="1" applyAlignment="1">
      <alignment horizontal="center" vertical="center" wrapText="1"/>
    </xf>
    <xf numFmtId="2" fontId="33" fillId="26" borderId="10" xfId="0" applyNumberFormat="1" applyFont="1" applyFill="1" applyBorder="1" applyAlignment="1">
      <alignment horizontal="center" vertical="center" wrapText="1"/>
    </xf>
    <xf numFmtId="2" fontId="20" fillId="26" borderId="10" xfId="0" applyNumberFormat="1" applyFont="1" applyFill="1" applyBorder="1" applyAlignment="1">
      <alignment horizontal="center" vertical="center" wrapText="1"/>
    </xf>
    <xf numFmtId="0" fontId="117" fillId="26" borderId="10" xfId="0" applyFont="1" applyFill="1" applyBorder="1" applyAlignment="1">
      <alignment horizontal="center" vertical="center" wrapText="1"/>
    </xf>
    <xf numFmtId="2" fontId="117" fillId="26" borderId="10" xfId="0" applyNumberFormat="1" applyFont="1" applyFill="1" applyBorder="1" applyAlignment="1">
      <alignment horizontal="center" vertical="center" wrapText="1"/>
    </xf>
    <xf numFmtId="2" fontId="32" fillId="26" borderId="10" xfId="0" applyNumberFormat="1" applyFont="1" applyFill="1" applyBorder="1" applyAlignment="1">
      <alignment horizontal="center" vertical="center" wrapText="1"/>
    </xf>
    <xf numFmtId="2" fontId="25" fillId="26" borderId="10" xfId="0" applyNumberFormat="1" applyFont="1" applyFill="1" applyBorder="1" applyAlignment="1">
      <alignment horizontal="center" vertical="center" wrapText="1"/>
    </xf>
    <xf numFmtId="0" fontId="103" fillId="26" borderId="10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/>
    </xf>
    <xf numFmtId="2" fontId="4" fillId="26" borderId="0" xfId="0" applyNumberFormat="1" applyFont="1" applyFill="1" applyAlignment="1">
      <alignment horizontal="center" vertical="center" wrapText="1"/>
    </xf>
    <xf numFmtId="2" fontId="11" fillId="26" borderId="10" xfId="0" applyNumberFormat="1" applyFont="1" applyFill="1" applyBorder="1" applyAlignment="1">
      <alignment horizontal="center" vertical="center" wrapText="1"/>
    </xf>
    <xf numFmtId="2" fontId="2" fillId="26" borderId="0" xfId="0" applyNumberFormat="1" applyFont="1" applyFill="1" applyAlignment="1">
      <alignment horizontal="center" vertical="center" wrapText="1"/>
    </xf>
    <xf numFmtId="1" fontId="2" fillId="26" borderId="0" xfId="0" applyNumberFormat="1" applyFont="1" applyFill="1" applyAlignment="1">
      <alignment horizontal="center" vertical="center" wrapText="1"/>
    </xf>
    <xf numFmtId="2" fontId="11" fillId="26" borderId="0" xfId="0" applyNumberFormat="1" applyFont="1" applyFill="1" applyAlignment="1">
      <alignment horizontal="center" vertical="center" wrapText="1"/>
    </xf>
    <xf numFmtId="2" fontId="3" fillId="26" borderId="0" xfId="0" applyNumberFormat="1" applyFont="1" applyFill="1" applyAlignment="1">
      <alignment horizontal="center" vertical="center" wrapText="1"/>
    </xf>
    <xf numFmtId="1" fontId="3" fillId="26" borderId="0" xfId="0" applyNumberFormat="1" applyFont="1" applyFill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197" fontId="122" fillId="0" borderId="10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4" fillId="26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2" xfId="0" applyFont="1" applyBorder="1" applyAlignment="1">
      <alignment horizontal="center" vertical="center" textRotation="90" wrapText="1"/>
    </xf>
    <xf numFmtId="0" fontId="0" fillId="0" borderId="23" xfId="0" applyBorder="1" applyAlignment="1">
      <alignment textRotation="90"/>
    </xf>
    <xf numFmtId="0" fontId="2" fillId="0" borderId="23" xfId="0" applyFont="1" applyBorder="1" applyAlignment="1">
      <alignment horizontal="center" vertical="center" textRotation="90" wrapText="1"/>
    </xf>
    <xf numFmtId="0" fontId="123" fillId="26" borderId="0" xfId="0" applyFont="1" applyFill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0" fontId="116" fillId="26" borderId="0" xfId="0" applyFont="1" applyFill="1" applyAlignment="1">
      <alignment horizontal="center" vertical="center" wrapText="1"/>
    </xf>
    <xf numFmtId="0" fontId="103" fillId="25" borderId="14" xfId="0" applyFont="1" applyFill="1" applyBorder="1" applyAlignment="1">
      <alignment horizontal="center" vertical="center" wrapText="1"/>
    </xf>
    <xf numFmtId="0" fontId="103" fillId="25" borderId="25" xfId="0" applyFont="1" applyFill="1" applyBorder="1" applyAlignment="1">
      <alignment horizontal="center" vertical="center" wrapText="1"/>
    </xf>
    <xf numFmtId="0" fontId="103" fillId="25" borderId="26" xfId="0" applyFont="1" applyFill="1" applyBorder="1" applyAlignment="1">
      <alignment horizontal="center" vertical="center" wrapText="1"/>
    </xf>
    <xf numFmtId="0" fontId="103" fillId="25" borderId="27" xfId="0" applyFont="1" applyFill="1" applyBorder="1" applyAlignment="1">
      <alignment horizontal="center" vertical="center" wrapText="1"/>
    </xf>
    <xf numFmtId="1" fontId="2" fillId="25" borderId="0" xfId="0" applyNumberFormat="1" applyFont="1" applyFill="1" applyAlignment="1">
      <alignment horizontal="center" vertical="center" wrapText="1"/>
    </xf>
    <xf numFmtId="0" fontId="103" fillId="0" borderId="14" xfId="0" applyFont="1" applyBorder="1" applyAlignment="1">
      <alignment horizontal="center" vertical="center" wrapText="1"/>
    </xf>
    <xf numFmtId="0" fontId="103" fillId="0" borderId="17" xfId="0" applyFont="1" applyBorder="1" applyAlignment="1">
      <alignment horizontal="center" vertical="center" wrapText="1"/>
    </xf>
    <xf numFmtId="0" fontId="103" fillId="0" borderId="15" xfId="0" applyFont="1" applyBorder="1" applyAlignment="1">
      <alignment horizontal="center" vertical="center" wrapText="1"/>
    </xf>
    <xf numFmtId="0" fontId="3" fillId="25" borderId="0" xfId="0" applyFont="1" applyFill="1" applyAlignment="1">
      <alignment horizontal="center" vertical="center" wrapText="1"/>
    </xf>
    <xf numFmtId="49" fontId="2" fillId="25" borderId="0" xfId="0" applyNumberFormat="1" applyFont="1" applyFill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left" vertical="center" wrapText="1"/>
    </xf>
    <xf numFmtId="0" fontId="103" fillId="0" borderId="26" xfId="0" applyFont="1" applyBorder="1" applyAlignment="1">
      <alignment horizontal="center" vertical="center" wrapText="1"/>
    </xf>
    <xf numFmtId="0" fontId="103" fillId="0" borderId="27" xfId="0" applyFont="1" applyBorder="1" applyAlignment="1">
      <alignment horizontal="center" vertical="center" wrapText="1"/>
    </xf>
    <xf numFmtId="0" fontId="2" fillId="25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03" fillId="0" borderId="25" xfId="0" applyFont="1" applyBorder="1" applyAlignment="1">
      <alignment horizontal="center" vertical="center" wrapText="1"/>
    </xf>
    <xf numFmtId="0" fontId="4" fillId="26" borderId="0" xfId="0" applyFont="1" applyFill="1" applyAlignment="1">
      <alignment horizontal="center" vertical="center" wrapText="1"/>
    </xf>
    <xf numFmtId="0" fontId="2" fillId="25" borderId="0" xfId="0" applyFont="1" applyFill="1" applyAlignment="1">
      <alignment horizontal="center" vertical="center"/>
    </xf>
    <xf numFmtId="0" fontId="5" fillId="26" borderId="0" xfId="0" applyFont="1" applyFill="1" applyAlignment="1">
      <alignment horizontal="center" vertical="center" wrapText="1"/>
    </xf>
    <xf numFmtId="0" fontId="5" fillId="25" borderId="0" xfId="0" applyFont="1" applyFill="1" applyAlignment="1">
      <alignment horizontal="center" vertical="center" wrapText="1"/>
    </xf>
    <xf numFmtId="1" fontId="3" fillId="25" borderId="0" xfId="0" applyNumberFormat="1" applyFont="1" applyFill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25" borderId="0" xfId="0" applyFont="1" applyFill="1" applyAlignment="1">
      <alignment horizontal="center" vertical="center" wrapText="1"/>
    </xf>
    <xf numFmtId="49" fontId="2" fillId="25" borderId="0" xfId="0" applyNumberFormat="1" applyFont="1" applyFill="1" applyAlignment="1">
      <alignment horizontal="righ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Обычный_S.S.S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361950</xdr:rowOff>
    </xdr:from>
    <xdr:to>
      <xdr:col>5</xdr:col>
      <xdr:colOff>0</xdr:colOff>
      <xdr:row>9</xdr:row>
      <xdr:rowOff>76200</xdr:rowOff>
    </xdr:to>
    <xdr:sp>
      <xdr:nvSpPr>
        <xdr:cNvPr id="1" name="Line 1"/>
        <xdr:cNvSpPr>
          <a:spLocks/>
        </xdr:cNvSpPr>
      </xdr:nvSpPr>
      <xdr:spPr>
        <a:xfrm>
          <a:off x="4857750" y="18002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361950</xdr:rowOff>
    </xdr:from>
    <xdr:to>
      <xdr:col>7</xdr:col>
      <xdr:colOff>9525</xdr:colOff>
      <xdr:row>8</xdr:row>
      <xdr:rowOff>361950</xdr:rowOff>
    </xdr:to>
    <xdr:sp>
      <xdr:nvSpPr>
        <xdr:cNvPr id="2" name="Line 2"/>
        <xdr:cNvSpPr>
          <a:spLocks/>
        </xdr:cNvSpPr>
      </xdr:nvSpPr>
      <xdr:spPr>
        <a:xfrm flipH="1">
          <a:off x="6124575" y="18002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K65"/>
  <sheetViews>
    <sheetView view="pageBreakPreview" zoomScaleSheetLayoutView="100" zoomScalePageLayoutView="0" workbookViewId="0" topLeftCell="A56">
      <selection activeCell="L57" sqref="L57"/>
    </sheetView>
  </sheetViews>
  <sheetFormatPr defaultColWidth="9.140625" defaultRowHeight="12.75"/>
  <cols>
    <col min="1" max="1" width="5.140625" style="21" customWidth="1"/>
    <col min="2" max="2" width="19.7109375" style="3" customWidth="1"/>
    <col min="3" max="3" width="43.140625" style="11" customWidth="1"/>
    <col min="4" max="4" width="13.00390625" style="11" customWidth="1"/>
    <col min="5" max="5" width="11.57421875" style="11" customWidth="1"/>
    <col min="6" max="6" width="13.57421875" style="11" customWidth="1"/>
    <col min="7" max="7" width="12.57421875" style="11" customWidth="1"/>
    <col min="8" max="8" width="16.7109375" style="11" customWidth="1"/>
    <col min="9" max="16384" width="9.140625" style="11" customWidth="1"/>
  </cols>
  <sheetData>
    <row r="2" spans="1:8" s="14" customFormat="1" ht="19.5" customHeight="1">
      <c r="A2" s="470"/>
      <c r="B2" s="470"/>
      <c r="C2" s="469" t="s">
        <v>498</v>
      </c>
      <c r="D2" s="469"/>
      <c r="E2" s="469"/>
      <c r="F2" s="469"/>
      <c r="G2" s="469"/>
      <c r="H2" s="469"/>
    </row>
    <row r="3" spans="1:8" ht="15.75" customHeight="1">
      <c r="A3" s="471" t="s">
        <v>102</v>
      </c>
      <c r="B3" s="471"/>
      <c r="C3" s="471"/>
      <c r="D3" s="471"/>
      <c r="E3" s="471"/>
      <c r="F3" s="471"/>
      <c r="G3" s="471"/>
      <c r="H3" s="471"/>
    </row>
    <row r="4" spans="1:8" ht="9.75" customHeight="1">
      <c r="A4" s="471"/>
      <c r="B4" s="471"/>
      <c r="C4" s="471"/>
      <c r="D4" s="471"/>
      <c r="E4" s="471"/>
      <c r="F4" s="471"/>
      <c r="G4" s="471"/>
      <c r="H4" s="471"/>
    </row>
    <row r="5" spans="1:2" ht="15.75" customHeight="1">
      <c r="A5" s="472" t="s">
        <v>89</v>
      </c>
      <c r="B5" s="472"/>
    </row>
    <row r="6" spans="1:5" ht="17.25" customHeight="1">
      <c r="A6" s="474" t="s">
        <v>90</v>
      </c>
      <c r="B6" s="474"/>
      <c r="C6" s="474"/>
      <c r="D6" s="459">
        <f>H64</f>
        <v>0</v>
      </c>
      <c r="E6" s="19" t="s">
        <v>40</v>
      </c>
    </row>
    <row r="7" spans="1:5" ht="19.5" customHeight="1">
      <c r="A7" s="474" t="s">
        <v>91</v>
      </c>
      <c r="B7" s="474"/>
      <c r="C7" s="474"/>
      <c r="D7" s="459">
        <f>H63</f>
        <v>0</v>
      </c>
      <c r="E7" s="19" t="s">
        <v>40</v>
      </c>
    </row>
    <row r="8" spans="1:5" ht="17.25" customHeight="1">
      <c r="A8" s="20"/>
      <c r="B8" s="20"/>
      <c r="C8" s="20" t="s">
        <v>92</v>
      </c>
      <c r="D8" s="459">
        <f>'OBIEKTURI #1'!I15</f>
        <v>0</v>
      </c>
      <c r="E8" s="19" t="s">
        <v>40</v>
      </c>
    </row>
    <row r="9" spans="1:3" ht="15" customHeight="1">
      <c r="A9" s="472"/>
      <c r="B9" s="472"/>
      <c r="C9" s="472"/>
    </row>
    <row r="10" spans="1:8" ht="13.5">
      <c r="A10" s="473"/>
      <c r="B10" s="473"/>
      <c r="C10" s="473"/>
      <c r="D10" s="473"/>
      <c r="E10" s="473"/>
      <c r="F10" s="473"/>
      <c r="G10" s="473"/>
      <c r="H10" s="473"/>
    </row>
    <row r="11" spans="1:8" ht="20.25" customHeight="1">
      <c r="A11" s="468" t="s">
        <v>93</v>
      </c>
      <c r="B11" s="468"/>
      <c r="C11" s="468"/>
      <c r="D11" s="468"/>
      <c r="E11" s="468"/>
      <c r="F11" s="468"/>
      <c r="G11" s="468"/>
      <c r="H11" s="468"/>
    </row>
    <row r="12" spans="1:8" ht="13.5">
      <c r="A12" s="475" t="s">
        <v>246</v>
      </c>
      <c r="B12" s="475"/>
      <c r="C12" s="475"/>
      <c r="D12" s="475"/>
      <c r="E12" s="475"/>
      <c r="F12" s="475"/>
      <c r="G12" s="475"/>
      <c r="H12" s="475"/>
    </row>
    <row r="15" spans="1:8" ht="23.25" customHeight="1">
      <c r="A15" s="485" t="s">
        <v>138</v>
      </c>
      <c r="B15" s="485"/>
      <c r="C15" s="485"/>
      <c r="D15" s="485"/>
      <c r="E15" s="485"/>
      <c r="F15" s="485"/>
      <c r="G15" s="485"/>
      <c r="H15" s="485"/>
    </row>
    <row r="16" spans="1:8" ht="11.25" customHeight="1">
      <c r="A16" s="12"/>
      <c r="B16" s="12"/>
      <c r="C16" s="12"/>
      <c r="D16" s="12"/>
      <c r="E16" s="12"/>
      <c r="F16" s="12"/>
      <c r="G16" s="12"/>
      <c r="H16" s="12"/>
    </row>
    <row r="17" spans="1:8" ht="20.25" customHeight="1">
      <c r="A17" s="472" t="e">
        <f>#REF!</f>
        <v>#REF!</v>
      </c>
      <c r="B17" s="472"/>
      <c r="C17" s="472"/>
      <c r="D17" s="472"/>
      <c r="E17" s="472"/>
      <c r="F17" s="472"/>
      <c r="G17" s="472"/>
      <c r="H17" s="472"/>
    </row>
    <row r="18" spans="1:8" ht="13.5">
      <c r="A18" s="471" t="s">
        <v>94</v>
      </c>
      <c r="B18" s="471"/>
      <c r="C18" s="471"/>
      <c r="D18" s="471"/>
      <c r="E18" s="471"/>
      <c r="F18" s="471"/>
      <c r="G18" s="471"/>
      <c r="H18" s="471"/>
    </row>
    <row r="20" spans="1:8" ht="13.5">
      <c r="A20" s="472" t="s">
        <v>461</v>
      </c>
      <c r="B20" s="472"/>
      <c r="C20" s="472"/>
      <c r="D20" s="472"/>
      <c r="E20" s="472"/>
      <c r="F20" s="472"/>
      <c r="G20" s="472"/>
      <c r="H20" s="472"/>
    </row>
    <row r="21" ht="9.75" customHeight="1"/>
    <row r="22" spans="1:8" ht="22.5" customHeight="1">
      <c r="A22" s="483" t="s">
        <v>4</v>
      </c>
      <c r="B22" s="476" t="s">
        <v>48</v>
      </c>
      <c r="C22" s="481" t="s">
        <v>49</v>
      </c>
      <c r="D22" s="478" t="s">
        <v>50</v>
      </c>
      <c r="E22" s="479"/>
      <c r="F22" s="479"/>
      <c r="G22" s="479"/>
      <c r="H22" s="480"/>
    </row>
    <row r="23" spans="1:8" ht="60" customHeight="1">
      <c r="A23" s="484"/>
      <c r="B23" s="477"/>
      <c r="C23" s="482"/>
      <c r="D23" s="4" t="s">
        <v>51</v>
      </c>
      <c r="E23" s="4" t="s">
        <v>44</v>
      </c>
      <c r="F23" s="4" t="s">
        <v>52</v>
      </c>
      <c r="G23" s="4" t="s">
        <v>53</v>
      </c>
      <c r="H23" s="4" t="s">
        <v>54</v>
      </c>
    </row>
    <row r="24" spans="1:8" ht="18" customHeight="1">
      <c r="A24" s="22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</row>
    <row r="25" spans="1:8" ht="18" customHeight="1">
      <c r="A25" s="23">
        <v>1</v>
      </c>
      <c r="B25" s="4"/>
      <c r="C25" s="7" t="s">
        <v>55</v>
      </c>
      <c r="D25" s="24"/>
      <c r="E25" s="24"/>
      <c r="F25" s="24"/>
      <c r="G25" s="24"/>
      <c r="H25" s="24"/>
    </row>
    <row r="26" spans="1:8" ht="18" customHeight="1">
      <c r="A26" s="25"/>
      <c r="B26" s="4"/>
      <c r="C26" s="7" t="s">
        <v>56</v>
      </c>
      <c r="D26" s="24"/>
      <c r="E26" s="24"/>
      <c r="F26" s="24"/>
      <c r="G26" s="24"/>
      <c r="H26" s="24"/>
    </row>
    <row r="27" spans="1:11" ht="13.5">
      <c r="A27" s="25" t="s">
        <v>184</v>
      </c>
      <c r="B27" s="4"/>
      <c r="C27" s="5" t="s">
        <v>81</v>
      </c>
      <c r="D27" s="13"/>
      <c r="E27" s="24"/>
      <c r="F27" s="24"/>
      <c r="G27" s="24"/>
      <c r="H27" s="13"/>
      <c r="K27" s="26"/>
    </row>
    <row r="28" spans="1:11" s="12" customFormat="1" ht="18" customHeight="1">
      <c r="A28" s="23"/>
      <c r="B28" s="6"/>
      <c r="C28" s="7" t="s">
        <v>185</v>
      </c>
      <c r="D28" s="27"/>
      <c r="E28" s="28"/>
      <c r="F28" s="28"/>
      <c r="G28" s="28"/>
      <c r="H28" s="27"/>
      <c r="K28" s="26"/>
    </row>
    <row r="29" spans="1:11" ht="18" customHeight="1">
      <c r="A29" s="25"/>
      <c r="B29" s="4"/>
      <c r="C29" s="7" t="s">
        <v>57</v>
      </c>
      <c r="D29" s="24"/>
      <c r="E29" s="24"/>
      <c r="F29" s="24"/>
      <c r="G29" s="24"/>
      <c r="H29" s="24"/>
      <c r="K29" s="26"/>
    </row>
    <row r="30" spans="1:11" ht="18" customHeight="1">
      <c r="A30" s="23">
        <v>2</v>
      </c>
      <c r="B30" s="4"/>
      <c r="C30" s="7" t="s">
        <v>58</v>
      </c>
      <c r="D30" s="24"/>
      <c r="E30" s="24"/>
      <c r="F30" s="24"/>
      <c r="G30" s="24"/>
      <c r="H30" s="24"/>
      <c r="K30" s="26"/>
    </row>
    <row r="31" spans="1:11" ht="32.25" customHeight="1">
      <c r="A31" s="25" t="s">
        <v>59</v>
      </c>
      <c r="B31" s="4" t="s">
        <v>296</v>
      </c>
      <c r="C31" s="5" t="s">
        <v>330</v>
      </c>
      <c r="D31" s="403">
        <f>'OBIEKTURI #1'!D15</f>
        <v>0</v>
      </c>
      <c r="E31" s="13"/>
      <c r="F31" s="13"/>
      <c r="G31" s="24"/>
      <c r="H31" s="403">
        <f>SUM(D31:G31)</f>
        <v>0</v>
      </c>
      <c r="K31" s="26"/>
    </row>
    <row r="32" spans="1:11" ht="21.75" customHeight="1">
      <c r="A32" s="25"/>
      <c r="B32" s="4"/>
      <c r="C32" s="7" t="s">
        <v>60</v>
      </c>
      <c r="D32" s="406">
        <f>SUM(D31:D31)</f>
        <v>0</v>
      </c>
      <c r="E32" s="27"/>
      <c r="F32" s="27"/>
      <c r="G32" s="28"/>
      <c r="H32" s="406">
        <f>SUM(H31:H31)</f>
        <v>0</v>
      </c>
      <c r="K32" s="26"/>
    </row>
    <row r="33" spans="1:11" ht="18" customHeight="1">
      <c r="A33" s="25"/>
      <c r="B33" s="4"/>
      <c r="C33" s="7" t="s">
        <v>61</v>
      </c>
      <c r="D33" s="24"/>
      <c r="E33" s="24"/>
      <c r="F33" s="24"/>
      <c r="G33" s="24"/>
      <c r="H33" s="24"/>
      <c r="K33" s="26"/>
    </row>
    <row r="34" spans="1:11" ht="22.5" customHeight="1">
      <c r="A34" s="23" t="s">
        <v>13</v>
      </c>
      <c r="B34" s="4"/>
      <c r="C34" s="7" t="s">
        <v>62</v>
      </c>
      <c r="D34" s="24"/>
      <c r="E34" s="24"/>
      <c r="F34" s="24"/>
      <c r="G34" s="24"/>
      <c r="H34" s="24"/>
      <c r="K34" s="26"/>
    </row>
    <row r="35" spans="1:11" ht="26.25" customHeight="1">
      <c r="A35" s="25" t="s">
        <v>63</v>
      </c>
      <c r="B35" s="4"/>
      <c r="C35" s="5" t="s">
        <v>81</v>
      </c>
      <c r="D35" s="13"/>
      <c r="E35" s="13"/>
      <c r="F35" s="13"/>
      <c r="G35" s="24"/>
      <c r="H35" s="13"/>
      <c r="K35" s="26"/>
    </row>
    <row r="36" spans="1:11" s="12" customFormat="1" ht="27" customHeight="1">
      <c r="A36" s="23"/>
      <c r="B36" s="6"/>
      <c r="C36" s="7" t="s">
        <v>64</v>
      </c>
      <c r="D36" s="27"/>
      <c r="E36" s="27"/>
      <c r="F36" s="27"/>
      <c r="G36" s="28"/>
      <c r="H36" s="27"/>
      <c r="K36" s="26"/>
    </row>
    <row r="37" spans="1:11" s="12" customFormat="1" ht="18" customHeight="1">
      <c r="A37" s="23"/>
      <c r="B37" s="6"/>
      <c r="C37" s="7" t="s">
        <v>65</v>
      </c>
      <c r="D37" s="27"/>
      <c r="E37" s="28"/>
      <c r="F37" s="28"/>
      <c r="G37" s="28"/>
      <c r="H37" s="27"/>
      <c r="K37" s="26"/>
    </row>
    <row r="38" spans="1:11" ht="21.75" customHeight="1">
      <c r="A38" s="23" t="s">
        <v>15</v>
      </c>
      <c r="B38" s="4"/>
      <c r="C38" s="7" t="s">
        <v>66</v>
      </c>
      <c r="D38" s="24"/>
      <c r="E38" s="24"/>
      <c r="F38" s="24"/>
      <c r="G38" s="24"/>
      <c r="H38" s="24"/>
      <c r="K38" s="26"/>
    </row>
    <row r="39" spans="1:11" ht="19.5" customHeight="1">
      <c r="A39" s="25" t="s">
        <v>67</v>
      </c>
      <c r="B39" s="4"/>
      <c r="C39" s="5" t="s">
        <v>81</v>
      </c>
      <c r="D39" s="24"/>
      <c r="E39" s="24"/>
      <c r="F39" s="24"/>
      <c r="G39" s="24"/>
      <c r="H39" s="24"/>
      <c r="K39" s="26"/>
    </row>
    <row r="40" spans="1:11" ht="18" customHeight="1">
      <c r="A40" s="25"/>
      <c r="B40" s="4"/>
      <c r="C40" s="7" t="s">
        <v>68</v>
      </c>
      <c r="D40" s="24"/>
      <c r="E40" s="24"/>
      <c r="F40" s="24"/>
      <c r="G40" s="24"/>
      <c r="H40" s="24"/>
      <c r="K40" s="26"/>
    </row>
    <row r="41" spans="1:11" ht="34.5" customHeight="1">
      <c r="A41" s="23" t="s">
        <v>16</v>
      </c>
      <c r="B41" s="4"/>
      <c r="C41" s="7" t="s">
        <v>69</v>
      </c>
      <c r="D41" s="24"/>
      <c r="E41" s="24"/>
      <c r="F41" s="24"/>
      <c r="G41" s="24"/>
      <c r="H41" s="24"/>
      <c r="K41" s="26"/>
    </row>
    <row r="42" spans="1:11" ht="21.75" customHeight="1">
      <c r="A42" s="25" t="s">
        <v>70</v>
      </c>
      <c r="B42" s="4"/>
      <c r="C42" s="5" t="s">
        <v>81</v>
      </c>
      <c r="D42" s="24"/>
      <c r="E42" s="24"/>
      <c r="F42" s="24"/>
      <c r="G42" s="24"/>
      <c r="H42" s="24"/>
      <c r="K42" s="26"/>
    </row>
    <row r="43" spans="1:11" ht="18" customHeight="1">
      <c r="A43" s="25"/>
      <c r="B43" s="4"/>
      <c r="C43" s="7" t="s">
        <v>71</v>
      </c>
      <c r="D43" s="24"/>
      <c r="E43" s="24"/>
      <c r="F43" s="24"/>
      <c r="G43" s="24"/>
      <c r="H43" s="24"/>
      <c r="K43" s="26"/>
    </row>
    <row r="44" spans="1:11" ht="26.25" customHeight="1">
      <c r="A44" s="23" t="s">
        <v>17</v>
      </c>
      <c r="B44" s="4"/>
      <c r="C44" s="7" t="s">
        <v>72</v>
      </c>
      <c r="D44" s="24"/>
      <c r="E44" s="24"/>
      <c r="F44" s="24"/>
      <c r="G44" s="24"/>
      <c r="H44" s="24"/>
      <c r="K44" s="26"/>
    </row>
    <row r="45" spans="1:11" ht="33" customHeight="1">
      <c r="A45" s="25" t="s">
        <v>73</v>
      </c>
      <c r="B45" s="4" t="s">
        <v>333</v>
      </c>
      <c r="C45" s="5" t="s">
        <v>387</v>
      </c>
      <c r="D45" s="403">
        <f>2!F5</f>
        <v>0</v>
      </c>
      <c r="E45" s="24"/>
      <c r="F45" s="24"/>
      <c r="G45" s="24"/>
      <c r="H45" s="403">
        <f>D45</f>
        <v>0</v>
      </c>
      <c r="K45" s="26"/>
    </row>
    <row r="46" spans="1:11" ht="23.25" customHeight="1">
      <c r="A46" s="25" t="s">
        <v>331</v>
      </c>
      <c r="B46" s="4" t="s">
        <v>334</v>
      </c>
      <c r="C46" s="5" t="s">
        <v>328</v>
      </c>
      <c r="D46" s="403">
        <f>3!F5</f>
        <v>0</v>
      </c>
      <c r="E46" s="24"/>
      <c r="F46" s="24"/>
      <c r="G46" s="24"/>
      <c r="H46" s="403">
        <f>D46</f>
        <v>0</v>
      </c>
      <c r="K46" s="26"/>
    </row>
    <row r="47" spans="1:11" s="12" customFormat="1" ht="32.25" customHeight="1">
      <c r="A47" s="23"/>
      <c r="B47" s="6"/>
      <c r="C47" s="7" t="s">
        <v>74</v>
      </c>
      <c r="D47" s="406">
        <f>D46+D45</f>
        <v>0</v>
      </c>
      <c r="E47" s="27"/>
      <c r="F47" s="27"/>
      <c r="G47" s="28"/>
      <c r="H47" s="406">
        <f>SUM(H45:H46)</f>
        <v>0</v>
      </c>
      <c r="K47" s="26"/>
    </row>
    <row r="48" spans="1:11" ht="27.75" customHeight="1">
      <c r="A48" s="25"/>
      <c r="B48" s="4"/>
      <c r="C48" s="7" t="s">
        <v>75</v>
      </c>
      <c r="D48" s="13"/>
      <c r="E48" s="24"/>
      <c r="F48" s="24"/>
      <c r="G48" s="24"/>
      <c r="H48" s="24"/>
      <c r="K48" s="26"/>
    </row>
    <row r="49" spans="1:11" ht="33" customHeight="1">
      <c r="A49" s="23" t="s">
        <v>18</v>
      </c>
      <c r="B49" s="4"/>
      <c r="C49" s="7" t="s">
        <v>76</v>
      </c>
      <c r="D49" s="24"/>
      <c r="E49" s="24"/>
      <c r="F49" s="24"/>
      <c r="G49" s="24"/>
      <c r="H49" s="24"/>
      <c r="K49" s="26"/>
    </row>
    <row r="50" spans="1:11" ht="30" customHeight="1">
      <c r="A50" s="25" t="s">
        <v>332</v>
      </c>
      <c r="B50" s="4" t="s">
        <v>335</v>
      </c>
      <c r="C50" s="5" t="s">
        <v>329</v>
      </c>
      <c r="D50" s="403">
        <f>4!F4</f>
        <v>0</v>
      </c>
      <c r="E50" s="24"/>
      <c r="F50" s="24"/>
      <c r="G50" s="24"/>
      <c r="H50" s="403">
        <f>D50</f>
        <v>0</v>
      </c>
      <c r="K50" s="26"/>
    </row>
    <row r="51" spans="1:11" s="12" customFormat="1" ht="21.75" customHeight="1">
      <c r="A51" s="23"/>
      <c r="B51" s="6"/>
      <c r="C51" s="7" t="s">
        <v>183</v>
      </c>
      <c r="D51" s="406">
        <f>D50</f>
        <v>0</v>
      </c>
      <c r="E51" s="28"/>
      <c r="F51" s="28"/>
      <c r="G51" s="28"/>
      <c r="H51" s="406">
        <f>H50</f>
        <v>0</v>
      </c>
      <c r="K51" s="26"/>
    </row>
    <row r="52" spans="1:11" ht="24.75" customHeight="1">
      <c r="A52" s="25"/>
      <c r="B52" s="4"/>
      <c r="C52" s="7" t="s">
        <v>77</v>
      </c>
      <c r="D52" s="406">
        <f>D32+D51+D47</f>
        <v>0</v>
      </c>
      <c r="E52" s="27"/>
      <c r="F52" s="27"/>
      <c r="G52" s="28"/>
      <c r="H52" s="406">
        <f>D52</f>
        <v>0</v>
      </c>
      <c r="K52" s="26"/>
    </row>
    <row r="53" spans="1:11" ht="21.75" customHeight="1">
      <c r="A53" s="25"/>
      <c r="B53" s="4"/>
      <c r="C53" s="7" t="s">
        <v>78</v>
      </c>
      <c r="D53" s="13"/>
      <c r="E53" s="13"/>
      <c r="F53" s="13"/>
      <c r="G53" s="13"/>
      <c r="H53" s="13"/>
      <c r="K53" s="26"/>
    </row>
    <row r="54" spans="1:11" ht="22.5" customHeight="1">
      <c r="A54" s="23" t="s">
        <v>20</v>
      </c>
      <c r="B54" s="4"/>
      <c r="C54" s="7" t="s">
        <v>79</v>
      </c>
      <c r="D54" s="13"/>
      <c r="E54" s="13"/>
      <c r="F54" s="13"/>
      <c r="G54" s="13"/>
      <c r="H54" s="13"/>
      <c r="K54" s="26"/>
    </row>
    <row r="55" spans="1:11" ht="22.5" customHeight="1">
      <c r="A55" s="25" t="s">
        <v>80</v>
      </c>
      <c r="B55" s="4"/>
      <c r="C55" s="5" t="s">
        <v>81</v>
      </c>
      <c r="D55" s="13"/>
      <c r="E55" s="13"/>
      <c r="F55" s="13"/>
      <c r="G55" s="13"/>
      <c r="H55" s="13"/>
      <c r="K55" s="26"/>
    </row>
    <row r="56" spans="1:11" ht="20.25" customHeight="1">
      <c r="A56" s="25"/>
      <c r="B56" s="4"/>
      <c r="C56" s="7" t="s">
        <v>82</v>
      </c>
      <c r="D56" s="403">
        <v>0</v>
      </c>
      <c r="E56" s="13"/>
      <c r="F56" s="13"/>
      <c r="G56" s="13"/>
      <c r="H56" s="403">
        <v>0</v>
      </c>
      <c r="K56" s="26"/>
    </row>
    <row r="57" spans="1:11" ht="25.5" customHeight="1">
      <c r="A57" s="23" t="s">
        <v>21</v>
      </c>
      <c r="B57" s="4"/>
      <c r="C57" s="7" t="s">
        <v>53</v>
      </c>
      <c r="D57" s="13"/>
      <c r="E57" s="13"/>
      <c r="F57" s="13"/>
      <c r="G57" s="13"/>
      <c r="H57" s="13"/>
      <c r="K57" s="26"/>
    </row>
    <row r="58" spans="1:11" ht="33.75" customHeight="1">
      <c r="A58" s="25" t="s">
        <v>83</v>
      </c>
      <c r="B58" s="5"/>
      <c r="C58" s="5" t="s">
        <v>81</v>
      </c>
      <c r="D58" s="13"/>
      <c r="E58" s="13"/>
      <c r="F58" s="13"/>
      <c r="G58" s="13"/>
      <c r="H58" s="13"/>
      <c r="K58" s="26"/>
    </row>
    <row r="59" spans="1:11" ht="25.5" customHeight="1">
      <c r="A59" s="25"/>
      <c r="B59" s="5"/>
      <c r="C59" s="7" t="s">
        <v>84</v>
      </c>
      <c r="D59" s="406">
        <v>0</v>
      </c>
      <c r="E59" s="27"/>
      <c r="F59" s="27"/>
      <c r="G59" s="27"/>
      <c r="H59" s="406">
        <v>0</v>
      </c>
      <c r="K59" s="26"/>
    </row>
    <row r="60" spans="1:11" ht="31.5" customHeight="1">
      <c r="A60" s="25"/>
      <c r="B60" s="5"/>
      <c r="C60" s="7" t="s">
        <v>85</v>
      </c>
      <c r="D60" s="406">
        <f>D52</f>
        <v>0</v>
      </c>
      <c r="E60" s="406">
        <f>E52</f>
        <v>0</v>
      </c>
      <c r="F60" s="406">
        <f>F52</f>
        <v>0</v>
      </c>
      <c r="G60" s="406">
        <f>G49+G59</f>
        <v>0</v>
      </c>
      <c r="H60" s="406">
        <f>H59+H52</f>
        <v>0</v>
      </c>
      <c r="K60" s="26"/>
    </row>
    <row r="61" spans="1:11" ht="36.75" customHeight="1">
      <c r="A61" s="28">
        <v>10</v>
      </c>
      <c r="B61" s="5"/>
      <c r="C61" s="7" t="s">
        <v>229</v>
      </c>
      <c r="D61" s="406">
        <f>D60*0.03</f>
        <v>0</v>
      </c>
      <c r="E61" s="406">
        <f>E60*0.03</f>
        <v>0</v>
      </c>
      <c r="F61" s="406">
        <f>F60*0.03</f>
        <v>0</v>
      </c>
      <c r="G61" s="406">
        <f>G60*0.03</f>
        <v>0</v>
      </c>
      <c r="H61" s="406">
        <f>H60*0.03</f>
        <v>0</v>
      </c>
      <c r="K61" s="26"/>
    </row>
    <row r="62" spans="1:11" ht="25.5" customHeight="1">
      <c r="A62" s="25"/>
      <c r="B62" s="5"/>
      <c r="C62" s="7" t="s">
        <v>86</v>
      </c>
      <c r="D62" s="406">
        <f>SUM(D60:D61)</f>
        <v>0</v>
      </c>
      <c r="E62" s="406">
        <f>SUM(E60:E61)</f>
        <v>0</v>
      </c>
      <c r="F62" s="406">
        <f>SUM(F60:F61)</f>
        <v>0</v>
      </c>
      <c r="G62" s="406">
        <f>SUM(G60:G61)</f>
        <v>0</v>
      </c>
      <c r="H62" s="406">
        <f>SUM(H60:H61)</f>
        <v>0</v>
      </c>
      <c r="K62" s="26"/>
    </row>
    <row r="63" spans="1:11" ht="33.75" customHeight="1">
      <c r="A63" s="25"/>
      <c r="B63" s="5"/>
      <c r="C63" s="5" t="s">
        <v>87</v>
      </c>
      <c r="D63" s="406">
        <f>D62*0.18</f>
        <v>0</v>
      </c>
      <c r="E63" s="406">
        <f>E62*0.18</f>
        <v>0</v>
      </c>
      <c r="F63" s="406">
        <f>F62*0.18</f>
        <v>0</v>
      </c>
      <c r="G63" s="406">
        <f>G62*0.18</f>
        <v>0</v>
      </c>
      <c r="H63" s="406">
        <f>H62*0.18</f>
        <v>0</v>
      </c>
      <c r="K63" s="26"/>
    </row>
    <row r="64" spans="1:11" ht="27">
      <c r="A64" s="23" t="s">
        <v>136</v>
      </c>
      <c r="B64" s="5"/>
      <c r="C64" s="7" t="s">
        <v>88</v>
      </c>
      <c r="D64" s="406">
        <f>SUM(D62:D63)</f>
        <v>0</v>
      </c>
      <c r="E64" s="406">
        <f>SUM(E62:E63)</f>
        <v>0</v>
      </c>
      <c r="F64" s="406">
        <f>SUM(F62:F63)</f>
        <v>0</v>
      </c>
      <c r="G64" s="406">
        <f>SUM(G62:G63)</f>
        <v>0</v>
      </c>
      <c r="H64" s="406">
        <f>SUM(H62:H63)</f>
        <v>0</v>
      </c>
      <c r="I64" s="26"/>
      <c r="K64" s="26"/>
    </row>
    <row r="65" spans="1:8" ht="54.75" customHeight="1">
      <c r="A65" s="29"/>
      <c r="B65" s="30"/>
      <c r="C65" s="14"/>
      <c r="D65" s="31"/>
      <c r="E65" s="31"/>
      <c r="F65" s="31"/>
      <c r="G65" s="31"/>
      <c r="H65" s="31"/>
    </row>
    <row r="67" ht="18" customHeight="1"/>
  </sheetData>
  <sheetProtection/>
  <mergeCells count="19">
    <mergeCell ref="A12:H12"/>
    <mergeCell ref="A18:H18"/>
    <mergeCell ref="A6:C6"/>
    <mergeCell ref="B22:B23"/>
    <mergeCell ref="D22:H22"/>
    <mergeCell ref="C22:C23"/>
    <mergeCell ref="A22:A23"/>
    <mergeCell ref="A20:H20"/>
    <mergeCell ref="A17:H17"/>
    <mergeCell ref="A15:H15"/>
    <mergeCell ref="A11:H11"/>
    <mergeCell ref="C2:H2"/>
    <mergeCell ref="A2:B2"/>
    <mergeCell ref="A3:H3"/>
    <mergeCell ref="A4:H4"/>
    <mergeCell ref="A9:C9"/>
    <mergeCell ref="A10:H10"/>
    <mergeCell ref="A7:C7"/>
    <mergeCell ref="A5:B5"/>
  </mergeCells>
  <printOptions horizontalCentered="1"/>
  <pageMargins left="0.7480314960629921" right="0.7480314960629921" top="0.37" bottom="0.25" header="0.32" footer="0"/>
  <pageSetup horizontalDpi="600" verticalDpi="600" orientation="landscape" paperSize="9" scale="96" r:id="rId1"/>
  <headerFooter scaleWithDoc="0"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17"/>
  <sheetViews>
    <sheetView view="pageBreakPreview" zoomScaleSheetLayoutView="100" workbookViewId="0" topLeftCell="A8">
      <selection activeCell="H6" sqref="H6"/>
    </sheetView>
  </sheetViews>
  <sheetFormatPr defaultColWidth="9.140625" defaultRowHeight="12.75"/>
  <cols>
    <col min="1" max="1" width="3.8515625" style="32" customWidth="1"/>
    <col min="2" max="2" width="23.00390625" style="32" customWidth="1"/>
    <col min="3" max="3" width="32.57421875" style="32" customWidth="1"/>
    <col min="4" max="4" width="11.8515625" style="32" customWidth="1"/>
    <col min="5" max="5" width="11.421875" style="32" customWidth="1"/>
    <col min="6" max="6" width="14.140625" style="32" customWidth="1"/>
    <col min="7" max="7" width="11.28125" style="32" customWidth="1"/>
    <col min="8" max="8" width="9.140625" style="32" customWidth="1"/>
    <col min="9" max="9" width="11.00390625" style="32" customWidth="1"/>
    <col min="10" max="10" width="9.00390625" style="32" customWidth="1"/>
    <col min="11" max="16384" width="9.140625" style="32" customWidth="1"/>
  </cols>
  <sheetData>
    <row r="1" spans="1:10" ht="21.75" customHeight="1">
      <c r="A1" s="491" t="s">
        <v>297</v>
      </c>
      <c r="B1" s="491"/>
      <c r="C1" s="491"/>
      <c r="D1" s="491"/>
      <c r="E1" s="491"/>
      <c r="F1" s="491"/>
      <c r="G1" s="491"/>
      <c r="H1" s="491"/>
      <c r="I1" s="491"/>
      <c r="J1" s="491"/>
    </row>
    <row r="2" spans="1:10" ht="16.5">
      <c r="A2" s="491"/>
      <c r="B2" s="491"/>
      <c r="C2" s="491"/>
      <c r="D2" s="491"/>
      <c r="E2" s="491"/>
      <c r="F2" s="491"/>
      <c r="G2" s="491"/>
      <c r="H2" s="491"/>
      <c r="I2" s="491"/>
      <c r="J2" s="491"/>
    </row>
    <row r="3" spans="1:10" ht="22.5" customHeight="1">
      <c r="A3" s="496" t="s">
        <v>498</v>
      </c>
      <c r="B3" s="496"/>
      <c r="C3" s="496"/>
      <c r="D3" s="496"/>
      <c r="E3" s="496"/>
      <c r="F3" s="496"/>
      <c r="G3" s="496"/>
      <c r="H3" s="496"/>
      <c r="I3" s="496"/>
      <c r="J3" s="496"/>
    </row>
    <row r="4" spans="1:10" ht="21.75" customHeight="1">
      <c r="A4" s="491" t="str">
        <f>NAKREBI!C31</f>
        <v>ZiriTadi Senoba (vet. klinika)</v>
      </c>
      <c r="B4" s="491"/>
      <c r="C4" s="491"/>
      <c r="D4" s="491"/>
      <c r="E4" s="491"/>
      <c r="F4" s="491"/>
      <c r="G4" s="491"/>
      <c r="H4" s="491"/>
      <c r="I4" s="491"/>
      <c r="J4" s="491"/>
    </row>
    <row r="5" spans="4:10" ht="16.5">
      <c r="D5" s="486" t="s">
        <v>38</v>
      </c>
      <c r="E5" s="486"/>
      <c r="F5" s="486"/>
      <c r="G5" s="486"/>
      <c r="H5" s="463">
        <f>H15</f>
        <v>0</v>
      </c>
      <c r="I5" s="490" t="s">
        <v>104</v>
      </c>
      <c r="J5" s="490"/>
    </row>
    <row r="6" spans="4:10" ht="16.5">
      <c r="D6" s="486" t="s">
        <v>39</v>
      </c>
      <c r="E6" s="486"/>
      <c r="F6" s="486"/>
      <c r="G6" s="486"/>
      <c r="H6" s="463">
        <f>I15</f>
        <v>0</v>
      </c>
      <c r="I6" s="490" t="s">
        <v>104</v>
      </c>
      <c r="J6" s="490"/>
    </row>
    <row r="7" spans="4:7" ht="11.25" customHeight="1">
      <c r="D7" s="491"/>
      <c r="E7" s="491"/>
      <c r="F7" s="491"/>
      <c r="G7" s="491"/>
    </row>
    <row r="8" spans="1:8" ht="16.5">
      <c r="A8" s="488"/>
      <c r="B8" s="488"/>
      <c r="C8" s="488"/>
      <c r="D8" s="1"/>
      <c r="E8" s="1"/>
      <c r="F8" s="1"/>
      <c r="G8" s="1"/>
      <c r="H8" s="1"/>
    </row>
    <row r="9" spans="9:10" ht="16.5">
      <c r="I9" s="33"/>
      <c r="J9" s="33"/>
    </row>
    <row r="10" spans="1:10" ht="24" customHeight="1">
      <c r="A10" s="489" t="s">
        <v>4</v>
      </c>
      <c r="B10" s="489" t="s">
        <v>41</v>
      </c>
      <c r="C10" s="489" t="s">
        <v>42</v>
      </c>
      <c r="D10" s="487" t="s">
        <v>99</v>
      </c>
      <c r="E10" s="487"/>
      <c r="F10" s="487"/>
      <c r="G10" s="487"/>
      <c r="H10" s="487"/>
      <c r="I10" s="493" t="s">
        <v>103</v>
      </c>
      <c r="J10" s="493" t="s">
        <v>43</v>
      </c>
    </row>
    <row r="11" spans="1:10" ht="59.25" customHeight="1">
      <c r="A11" s="489"/>
      <c r="B11" s="489"/>
      <c r="C11" s="489"/>
      <c r="D11" s="5" t="s">
        <v>0</v>
      </c>
      <c r="E11" s="5" t="s">
        <v>44</v>
      </c>
      <c r="F11" s="5" t="s">
        <v>45</v>
      </c>
      <c r="G11" s="5" t="s">
        <v>46</v>
      </c>
      <c r="H11" s="5" t="s">
        <v>47</v>
      </c>
      <c r="I11" s="494"/>
      <c r="J11" s="495"/>
    </row>
    <row r="12" spans="1:10" ht="33.75" customHeight="1">
      <c r="A12" s="34"/>
      <c r="B12" s="5" t="s">
        <v>300</v>
      </c>
      <c r="C12" s="34" t="s">
        <v>0</v>
      </c>
      <c r="D12" s="460">
        <f>'1-1'!F5</f>
        <v>0</v>
      </c>
      <c r="E12" s="35"/>
      <c r="F12" s="35"/>
      <c r="G12" s="35"/>
      <c r="H12" s="460">
        <f>SUM(D12:G12)</f>
        <v>0</v>
      </c>
      <c r="I12" s="460">
        <f>'1-1'!F6</f>
        <v>0</v>
      </c>
      <c r="J12" s="35"/>
    </row>
    <row r="13" spans="1:10" s="38" customFormat="1" ht="48" customHeight="1">
      <c r="A13" s="36"/>
      <c r="B13" s="5" t="s">
        <v>301</v>
      </c>
      <c r="C13" s="36" t="s">
        <v>192</v>
      </c>
      <c r="D13" s="460">
        <f>'1-2'!F6</f>
        <v>0</v>
      </c>
      <c r="E13" s="37"/>
      <c r="F13" s="37"/>
      <c r="G13" s="37"/>
      <c r="H13" s="460">
        <f>SUM(D13:G13)</f>
        <v>0</v>
      </c>
      <c r="I13" s="460">
        <f>'1-2'!F7</f>
        <v>0</v>
      </c>
      <c r="J13" s="37"/>
    </row>
    <row r="14" spans="1:10" ht="32.25" customHeight="1">
      <c r="A14" s="34"/>
      <c r="B14" s="5" t="s">
        <v>302</v>
      </c>
      <c r="C14" s="34" t="s">
        <v>135</v>
      </c>
      <c r="D14" s="35"/>
      <c r="E14" s="460">
        <f>'1-3'!F6</f>
        <v>0</v>
      </c>
      <c r="F14" s="35"/>
      <c r="G14" s="35"/>
      <c r="H14" s="460">
        <f>SUM(D14:G14)</f>
        <v>0</v>
      </c>
      <c r="I14" s="460">
        <f>'1-3'!F7</f>
        <v>0</v>
      </c>
      <c r="J14" s="35"/>
    </row>
    <row r="15" spans="1:10" ht="23.25" customHeight="1">
      <c r="A15" s="34"/>
      <c r="B15" s="34"/>
      <c r="C15" s="34" t="s">
        <v>36</v>
      </c>
      <c r="D15" s="460">
        <f>SUM(D12:D14)</f>
        <v>0</v>
      </c>
      <c r="E15" s="460">
        <f>SUM(E12:E14)</f>
        <v>0</v>
      </c>
      <c r="F15" s="35"/>
      <c r="G15" s="34"/>
      <c r="H15" s="460">
        <f>SUM(D15:G15)</f>
        <v>0</v>
      </c>
      <c r="I15" s="460">
        <f>SUM(I12:I14)</f>
        <v>0</v>
      </c>
      <c r="J15" s="34"/>
    </row>
    <row r="16" spans="1:10" ht="17.25" customHeight="1">
      <c r="A16" s="39"/>
      <c r="B16" s="39"/>
      <c r="C16" s="39"/>
      <c r="D16" s="40"/>
      <c r="E16" s="40"/>
      <c r="F16" s="39"/>
      <c r="G16" s="39"/>
      <c r="H16" s="40"/>
      <c r="I16" s="40"/>
      <c r="J16" s="39"/>
    </row>
    <row r="17" spans="3:8" ht="25.5" customHeight="1">
      <c r="C17" s="486"/>
      <c r="D17" s="486"/>
      <c r="E17" s="486"/>
      <c r="G17" s="492"/>
      <c r="H17" s="492"/>
    </row>
    <row r="18" ht="27" customHeight="1"/>
  </sheetData>
  <sheetProtection/>
  <mergeCells count="18">
    <mergeCell ref="I10:I11"/>
    <mergeCell ref="J10:J11"/>
    <mergeCell ref="A1:J1"/>
    <mergeCell ref="A2:J2"/>
    <mergeCell ref="A3:J3"/>
    <mergeCell ref="D5:G5"/>
    <mergeCell ref="I5:J5"/>
    <mergeCell ref="A4:J4"/>
    <mergeCell ref="C17:E17"/>
    <mergeCell ref="D10:H10"/>
    <mergeCell ref="A8:C8"/>
    <mergeCell ref="A10:A11"/>
    <mergeCell ref="B10:B11"/>
    <mergeCell ref="I6:J6"/>
    <mergeCell ref="D6:G6"/>
    <mergeCell ref="D7:G7"/>
    <mergeCell ref="G17:H17"/>
    <mergeCell ref="C10:C11"/>
  </mergeCells>
  <printOptions horizontalCentered="1"/>
  <pageMargins left="0.7480314960629921" right="0.3937007874015748" top="0.73" bottom="0.44" header="0.5118110236220472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U227"/>
  <sheetViews>
    <sheetView view="pageBreakPreview" zoomScaleSheetLayoutView="100" workbookViewId="0" topLeftCell="A207">
      <selection activeCell="O45" sqref="O45"/>
    </sheetView>
  </sheetViews>
  <sheetFormatPr defaultColWidth="9.140625" defaultRowHeight="12.75"/>
  <cols>
    <col min="1" max="1" width="5.28125" style="106" customWidth="1"/>
    <col min="2" max="2" width="16.00390625" style="47" customWidth="1"/>
    <col min="3" max="3" width="44.00390625" style="252" customWidth="1"/>
    <col min="4" max="4" width="9.8515625" style="252" customWidth="1"/>
    <col min="5" max="5" width="10.57421875" style="252" customWidth="1"/>
    <col min="6" max="6" width="10.57421875" style="376" customWidth="1"/>
    <col min="7" max="7" width="8.57421875" style="252" customWidth="1"/>
    <col min="8" max="8" width="11.7109375" style="253" customWidth="1"/>
    <col min="9" max="9" width="9.140625" style="252" customWidth="1"/>
    <col min="10" max="10" width="9.8515625" style="252" bestFit="1" customWidth="1"/>
    <col min="11" max="12" width="9.140625" style="11" customWidth="1"/>
    <col min="13" max="13" width="10.7109375" style="11" customWidth="1"/>
    <col min="14" max="14" width="5.57421875" style="11" customWidth="1"/>
    <col min="15" max="15" width="10.421875" style="11" customWidth="1"/>
    <col min="16" max="16" width="9.140625" style="11" customWidth="1"/>
    <col min="17" max="17" width="12.140625" style="11" customWidth="1"/>
    <col min="18" max="16384" width="9.140625" style="11" customWidth="1"/>
  </cols>
  <sheetData>
    <row r="1" spans="1:8" ht="13.5">
      <c r="A1" s="497" t="s">
        <v>252</v>
      </c>
      <c r="B1" s="497"/>
      <c r="C1" s="497"/>
      <c r="D1" s="497"/>
      <c r="E1" s="497"/>
      <c r="F1" s="497"/>
      <c r="G1" s="497"/>
      <c r="H1" s="497"/>
    </row>
    <row r="2" spans="1:8" ht="13.5">
      <c r="A2" s="498" t="s">
        <v>498</v>
      </c>
      <c r="B2" s="498"/>
      <c r="C2" s="498"/>
      <c r="D2" s="498"/>
      <c r="E2" s="498"/>
      <c r="F2" s="498"/>
      <c r="G2" s="498"/>
      <c r="H2" s="498"/>
    </row>
    <row r="3" spans="1:8" ht="13.5">
      <c r="A3" s="497" t="str">
        <f>'OBIEKTURI #1'!A4:J4</f>
        <v>ZiriTadi Senoba (vet. klinika)</v>
      </c>
      <c r="B3" s="497"/>
      <c r="C3" s="497"/>
      <c r="D3" s="497"/>
      <c r="E3" s="497"/>
      <c r="F3" s="497"/>
      <c r="G3" s="497"/>
      <c r="H3" s="497"/>
    </row>
    <row r="4" spans="1:8" ht="15.75" customHeight="1">
      <c r="A4" s="497" t="str">
        <f>'OBIEKTURI #1'!C12</f>
        <v>samSeneblo samuSaoebi</v>
      </c>
      <c r="B4" s="497"/>
      <c r="C4" s="497"/>
      <c r="D4" s="497"/>
      <c r="E4" s="497"/>
      <c r="F4" s="497"/>
      <c r="G4" s="497"/>
      <c r="H4" s="497"/>
    </row>
    <row r="5" spans="1:8" ht="17.25" customHeight="1">
      <c r="A5" s="508" t="s">
        <v>165</v>
      </c>
      <c r="B5" s="508"/>
      <c r="C5" s="508"/>
      <c r="D5" s="508"/>
      <c r="E5" s="508"/>
      <c r="F5" s="461">
        <f>M225/1000</f>
        <v>0</v>
      </c>
      <c r="G5" s="503" t="s">
        <v>101</v>
      </c>
      <c r="H5" s="503"/>
    </row>
    <row r="6" spans="1:8" ht="18.75" customHeight="1">
      <c r="A6" s="497" t="s">
        <v>2</v>
      </c>
      <c r="B6" s="497"/>
      <c r="C6" s="497"/>
      <c r="D6" s="497"/>
      <c r="E6" s="497"/>
      <c r="F6" s="461">
        <f>M218/1000</f>
        <v>0</v>
      </c>
      <c r="G6" s="503" t="s">
        <v>101</v>
      </c>
      <c r="H6" s="503"/>
    </row>
    <row r="7" spans="1:8" ht="13.5">
      <c r="A7" s="497" t="s">
        <v>3</v>
      </c>
      <c r="B7" s="497"/>
      <c r="C7" s="497"/>
      <c r="D7" s="497"/>
      <c r="E7" s="497"/>
      <c r="F7" s="462">
        <f>F6*1000/2.5</f>
        <v>0</v>
      </c>
      <c r="G7" s="503" t="s">
        <v>105</v>
      </c>
      <c r="H7" s="503"/>
    </row>
    <row r="8" spans="1:8" ht="13.5">
      <c r="A8" s="94"/>
      <c r="B8" s="112"/>
      <c r="H8" s="252"/>
    </row>
    <row r="9" spans="1:8" ht="13.5">
      <c r="A9" s="497"/>
      <c r="B9" s="497"/>
      <c r="C9" s="497"/>
      <c r="D9" s="497"/>
      <c r="E9" s="497"/>
      <c r="F9" s="497"/>
      <c r="G9" s="497"/>
      <c r="H9" s="497"/>
    </row>
    <row r="10" spans="1:13" s="132" customFormat="1" ht="26.25" customHeight="1">
      <c r="A10" s="509" t="s">
        <v>4</v>
      </c>
      <c r="B10" s="505" t="s">
        <v>5</v>
      </c>
      <c r="C10" s="499" t="s">
        <v>236</v>
      </c>
      <c r="D10" s="499" t="s">
        <v>237</v>
      </c>
      <c r="E10" s="501" t="s">
        <v>6</v>
      </c>
      <c r="F10" s="502"/>
      <c r="G10" s="499" t="s">
        <v>238</v>
      </c>
      <c r="H10" s="499"/>
      <c r="I10" s="499" t="s">
        <v>239</v>
      </c>
      <c r="J10" s="499"/>
      <c r="K10" s="504" t="s">
        <v>240</v>
      </c>
      <c r="L10" s="504"/>
      <c r="M10" s="504" t="s">
        <v>241</v>
      </c>
    </row>
    <row r="11" spans="1:13" s="132" customFormat="1" ht="25.5">
      <c r="A11" s="509" t="s">
        <v>4</v>
      </c>
      <c r="B11" s="506"/>
      <c r="C11" s="499" t="s">
        <v>242</v>
      </c>
      <c r="D11" s="500" t="s">
        <v>243</v>
      </c>
      <c r="E11" s="219" t="s">
        <v>7</v>
      </c>
      <c r="F11" s="267" t="s">
        <v>8</v>
      </c>
      <c r="G11" s="256" t="s">
        <v>244</v>
      </c>
      <c r="H11" s="254" t="s">
        <v>245</v>
      </c>
      <c r="I11" s="254" t="s">
        <v>244</v>
      </c>
      <c r="J11" s="254" t="s">
        <v>245</v>
      </c>
      <c r="K11" s="135" t="s">
        <v>244</v>
      </c>
      <c r="L11" s="135" t="s">
        <v>245</v>
      </c>
      <c r="M11" s="504" t="s">
        <v>245</v>
      </c>
    </row>
    <row r="12" spans="1:13" s="132" customFormat="1" ht="12.75">
      <c r="A12" s="302">
        <v>1</v>
      </c>
      <c r="B12" s="135">
        <v>2</v>
      </c>
      <c r="C12" s="254">
        <v>3</v>
      </c>
      <c r="D12" s="254">
        <v>4</v>
      </c>
      <c r="E12" s="234">
        <v>5</v>
      </c>
      <c r="F12" s="217">
        <v>6</v>
      </c>
      <c r="G12" s="220">
        <v>7</v>
      </c>
      <c r="H12" s="220">
        <v>8</v>
      </c>
      <c r="I12" s="220">
        <v>9</v>
      </c>
      <c r="J12" s="220">
        <v>10</v>
      </c>
      <c r="K12" s="138">
        <v>11</v>
      </c>
      <c r="L12" s="138">
        <v>12</v>
      </c>
      <c r="M12" s="138">
        <v>13</v>
      </c>
    </row>
    <row r="13" spans="1:21" s="12" customFormat="1" ht="14.25" customHeight="1">
      <c r="A13" s="97"/>
      <c r="B13" s="117"/>
      <c r="C13" s="198" t="s">
        <v>206</v>
      </c>
      <c r="D13" s="198"/>
      <c r="E13" s="198"/>
      <c r="F13" s="198"/>
      <c r="G13" s="198"/>
      <c r="H13" s="228"/>
      <c r="I13" s="236"/>
      <c r="J13" s="236"/>
      <c r="K13" s="235"/>
      <c r="L13" s="235"/>
      <c r="M13" s="235"/>
      <c r="N13" s="237"/>
      <c r="O13" s="237"/>
      <c r="P13" s="237"/>
      <c r="Q13" s="237"/>
      <c r="R13" s="241"/>
      <c r="S13" s="237"/>
      <c r="T13" s="237"/>
      <c r="U13" s="237"/>
    </row>
    <row r="14" spans="1:21" s="54" customFormat="1" ht="43.5" customHeight="1">
      <c r="A14" s="97" t="s">
        <v>9</v>
      </c>
      <c r="B14" s="113" t="s">
        <v>155</v>
      </c>
      <c r="C14" s="198" t="s">
        <v>228</v>
      </c>
      <c r="D14" s="198" t="s">
        <v>156</v>
      </c>
      <c r="E14" s="200"/>
      <c r="F14" s="200">
        <f>32*1.2*0.9/1000*1.3</f>
        <v>0.044928</v>
      </c>
      <c r="G14" s="200"/>
      <c r="H14" s="211"/>
      <c r="I14" s="211"/>
      <c r="J14" s="211"/>
      <c r="K14" s="201"/>
      <c r="L14" s="201"/>
      <c r="M14" s="411"/>
      <c r="N14" s="213"/>
      <c r="O14" s="213"/>
      <c r="P14" s="213"/>
      <c r="Q14" s="213"/>
      <c r="R14" s="240"/>
      <c r="S14" s="213"/>
      <c r="T14" s="213"/>
      <c r="U14" s="213"/>
    </row>
    <row r="15" spans="1:21" ht="13.5">
      <c r="A15" s="203">
        <f>A14+0.1</f>
        <v>1.1</v>
      </c>
      <c r="B15" s="125"/>
      <c r="C15" s="204" t="s">
        <v>140</v>
      </c>
      <c r="D15" s="204" t="s">
        <v>11</v>
      </c>
      <c r="E15" s="204">
        <v>16.5</v>
      </c>
      <c r="F15" s="204">
        <f>E15*F14</f>
        <v>0.7413120000000001</v>
      </c>
      <c r="G15" s="206"/>
      <c r="H15" s="206"/>
      <c r="I15" s="404"/>
      <c r="J15" s="404"/>
      <c r="K15" s="205"/>
      <c r="L15" s="205"/>
      <c r="M15" s="404"/>
      <c r="N15" s="238"/>
      <c r="O15" s="238"/>
      <c r="P15" s="238"/>
      <c r="Q15" s="238"/>
      <c r="R15" s="242"/>
      <c r="S15" s="238"/>
      <c r="T15" s="238"/>
      <c r="U15" s="238"/>
    </row>
    <row r="16" spans="1:21" s="54" customFormat="1" ht="13.5">
      <c r="A16" s="203">
        <f>A15+0.1</f>
        <v>1.2000000000000002</v>
      </c>
      <c r="B16" s="189"/>
      <c r="C16" s="225" t="s">
        <v>189</v>
      </c>
      <c r="D16" s="225" t="s">
        <v>33</v>
      </c>
      <c r="E16" s="225">
        <v>37</v>
      </c>
      <c r="F16" s="207">
        <f>E16*F14</f>
        <v>1.662336</v>
      </c>
      <c r="G16" s="209"/>
      <c r="H16" s="209"/>
      <c r="I16" s="209"/>
      <c r="J16" s="209"/>
      <c r="K16" s="441"/>
      <c r="L16" s="428"/>
      <c r="M16" s="435"/>
      <c r="N16" s="239"/>
      <c r="O16" s="239"/>
      <c r="P16" s="239"/>
      <c r="Q16" s="239"/>
      <c r="R16" s="243"/>
      <c r="S16" s="239"/>
      <c r="T16" s="239"/>
      <c r="U16" s="239"/>
    </row>
    <row r="17" spans="1:21" ht="51">
      <c r="A17" s="97" t="s">
        <v>112</v>
      </c>
      <c r="B17" s="113" t="s">
        <v>186</v>
      </c>
      <c r="C17" s="198" t="s">
        <v>262</v>
      </c>
      <c r="D17" s="198" t="s">
        <v>156</v>
      </c>
      <c r="E17" s="200"/>
      <c r="F17" s="200">
        <f>32*1*0.3/1000</f>
        <v>0.0096</v>
      </c>
      <c r="G17" s="200"/>
      <c r="H17" s="211"/>
      <c r="I17" s="211"/>
      <c r="J17" s="211"/>
      <c r="K17" s="201"/>
      <c r="L17" s="201"/>
      <c r="M17" s="411"/>
      <c r="N17" s="213"/>
      <c r="O17" s="213"/>
      <c r="P17" s="213"/>
      <c r="Q17" s="213"/>
      <c r="R17" s="240"/>
      <c r="S17" s="213"/>
      <c r="T17" s="213"/>
      <c r="U17" s="213"/>
    </row>
    <row r="18" spans="1:21" s="54" customFormat="1" ht="13.5">
      <c r="A18" s="203">
        <f>A17+0.1</f>
        <v>2.1</v>
      </c>
      <c r="B18" s="126"/>
      <c r="C18" s="204" t="s">
        <v>170</v>
      </c>
      <c r="D18" s="204" t="s">
        <v>11</v>
      </c>
      <c r="E18" s="204">
        <v>190</v>
      </c>
      <c r="F18" s="204">
        <f>E18*F17</f>
        <v>1.8239999999999998</v>
      </c>
      <c r="G18" s="206"/>
      <c r="H18" s="206"/>
      <c r="I18" s="404"/>
      <c r="J18" s="404"/>
      <c r="K18" s="205"/>
      <c r="L18" s="205"/>
      <c r="M18" s="404"/>
      <c r="N18" s="238"/>
      <c r="O18" s="238"/>
      <c r="P18" s="238"/>
      <c r="Q18" s="238"/>
      <c r="R18" s="242"/>
      <c r="S18" s="238"/>
      <c r="T18" s="238"/>
      <c r="U18" s="238"/>
    </row>
    <row r="19" spans="1:21" s="73" customFormat="1" ht="13.5">
      <c r="A19" s="203">
        <f>A18+0.1</f>
        <v>2.2</v>
      </c>
      <c r="B19" s="187"/>
      <c r="C19" s="225" t="s">
        <v>190</v>
      </c>
      <c r="D19" s="225" t="s">
        <v>33</v>
      </c>
      <c r="E19" s="207">
        <v>112</v>
      </c>
      <c r="F19" s="207">
        <f>F17*E19</f>
        <v>1.0752</v>
      </c>
      <c r="G19" s="209"/>
      <c r="H19" s="209"/>
      <c r="I19" s="209"/>
      <c r="J19" s="209"/>
      <c r="K19" s="428"/>
      <c r="L19" s="428"/>
      <c r="M19" s="435"/>
      <c r="N19" s="239"/>
      <c r="O19" s="239"/>
      <c r="P19" s="239"/>
      <c r="Q19" s="239"/>
      <c r="R19" s="243"/>
      <c r="S19" s="239"/>
      <c r="T19" s="239"/>
      <c r="U19" s="239"/>
    </row>
    <row r="20" spans="1:21" s="55" customFormat="1" ht="13.5">
      <c r="A20" s="203">
        <f>A19+0.1</f>
        <v>2.3000000000000003</v>
      </c>
      <c r="B20" s="187"/>
      <c r="C20" s="225" t="s">
        <v>187</v>
      </c>
      <c r="D20" s="225" t="s">
        <v>32</v>
      </c>
      <c r="E20" s="207">
        <v>20</v>
      </c>
      <c r="F20" s="207">
        <f>F17*E20</f>
        <v>0.19199999999999998</v>
      </c>
      <c r="G20" s="209"/>
      <c r="H20" s="209"/>
      <c r="I20" s="209"/>
      <c r="J20" s="209"/>
      <c r="K20" s="428"/>
      <c r="L20" s="428"/>
      <c r="M20" s="435"/>
      <c r="N20" s="239"/>
      <c r="O20" s="239"/>
      <c r="P20" s="239"/>
      <c r="Q20" s="239"/>
      <c r="R20" s="243"/>
      <c r="S20" s="239"/>
      <c r="T20" s="239"/>
      <c r="U20" s="239"/>
    </row>
    <row r="21" spans="1:21" ht="13.5">
      <c r="A21" s="203">
        <f>A20+0.1</f>
        <v>2.4000000000000004</v>
      </c>
      <c r="B21" s="113"/>
      <c r="C21" s="203" t="s">
        <v>119</v>
      </c>
      <c r="D21" s="203" t="s">
        <v>14</v>
      </c>
      <c r="E21" s="210">
        <v>40</v>
      </c>
      <c r="F21" s="210">
        <f>F17*E21</f>
        <v>0.38399999999999995</v>
      </c>
      <c r="G21" s="414"/>
      <c r="H21" s="414"/>
      <c r="I21" s="211"/>
      <c r="J21" s="211"/>
      <c r="K21" s="201"/>
      <c r="L21" s="201"/>
      <c r="M21" s="416"/>
      <c r="N21" s="213"/>
      <c r="O21" s="213"/>
      <c r="P21" s="213"/>
      <c r="Q21" s="213"/>
      <c r="R21" s="240"/>
      <c r="S21" s="213"/>
      <c r="T21" s="213"/>
      <c r="U21" s="213"/>
    </row>
    <row r="22" spans="1:21" s="10" customFormat="1" ht="13.5">
      <c r="A22" s="203">
        <f>A21+0.1</f>
        <v>2.5000000000000004</v>
      </c>
      <c r="B22" s="114"/>
      <c r="C22" s="203" t="s">
        <v>188</v>
      </c>
      <c r="D22" s="203" t="s">
        <v>14</v>
      </c>
      <c r="E22" s="210">
        <v>1220</v>
      </c>
      <c r="F22" s="210">
        <f>E22*F17</f>
        <v>11.712</v>
      </c>
      <c r="G22" s="414"/>
      <c r="H22" s="414"/>
      <c r="I22" s="211"/>
      <c r="J22" s="211"/>
      <c r="K22" s="201"/>
      <c r="L22" s="201"/>
      <c r="M22" s="416"/>
      <c r="N22" s="213"/>
      <c r="O22" s="213"/>
      <c r="P22" s="213"/>
      <c r="Q22" s="213"/>
      <c r="R22" s="240"/>
      <c r="S22" s="213"/>
      <c r="T22" s="213"/>
      <c r="U22" s="213"/>
    </row>
    <row r="23" spans="1:21" s="10" customFormat="1" ht="28.5" customHeight="1">
      <c r="A23" s="97" t="s">
        <v>13</v>
      </c>
      <c r="B23" s="113" t="s">
        <v>162</v>
      </c>
      <c r="C23" s="198" t="s">
        <v>447</v>
      </c>
      <c r="D23" s="198" t="s">
        <v>137</v>
      </c>
      <c r="E23" s="200"/>
      <c r="F23" s="200">
        <f>32*0.6*0.6/100</f>
        <v>0.1152</v>
      </c>
      <c r="G23" s="200"/>
      <c r="H23" s="211"/>
      <c r="I23" s="211"/>
      <c r="J23" s="211"/>
      <c r="K23" s="201"/>
      <c r="L23" s="201"/>
      <c r="M23" s="411"/>
      <c r="N23" s="213"/>
      <c r="O23" s="213"/>
      <c r="P23" s="213"/>
      <c r="Q23" s="213"/>
      <c r="R23" s="240"/>
      <c r="S23" s="213"/>
      <c r="T23" s="213"/>
      <c r="U23" s="213"/>
    </row>
    <row r="24" spans="1:21" s="54" customFormat="1" ht="13.5">
      <c r="A24" s="203">
        <f>A23+0.1</f>
        <v>3.1</v>
      </c>
      <c r="B24" s="126"/>
      <c r="C24" s="204" t="s">
        <v>166</v>
      </c>
      <c r="D24" s="204" t="s">
        <v>11</v>
      </c>
      <c r="E24" s="204">
        <v>286</v>
      </c>
      <c r="F24" s="204">
        <f>E24*F23</f>
        <v>32.9472</v>
      </c>
      <c r="G24" s="206"/>
      <c r="H24" s="206"/>
      <c r="I24" s="404"/>
      <c r="J24" s="404"/>
      <c r="K24" s="205"/>
      <c r="L24" s="205"/>
      <c r="M24" s="404"/>
      <c r="N24" s="238"/>
      <c r="O24" s="238"/>
      <c r="P24" s="238"/>
      <c r="Q24" s="238"/>
      <c r="R24" s="242"/>
      <c r="S24" s="238"/>
      <c r="T24" s="238"/>
      <c r="U24" s="238"/>
    </row>
    <row r="25" spans="1:21" s="55" customFormat="1" ht="13.5">
      <c r="A25" s="203">
        <f>A24+0.1</f>
        <v>3.2</v>
      </c>
      <c r="B25" s="187"/>
      <c r="C25" s="225" t="s">
        <v>168</v>
      </c>
      <c r="D25" s="225" t="s">
        <v>32</v>
      </c>
      <c r="E25" s="207">
        <v>76</v>
      </c>
      <c r="F25" s="207">
        <f>F23*E25</f>
        <v>8.7552</v>
      </c>
      <c r="G25" s="209"/>
      <c r="H25" s="209"/>
      <c r="I25" s="209"/>
      <c r="J25" s="209"/>
      <c r="K25" s="428"/>
      <c r="L25" s="428"/>
      <c r="M25" s="435"/>
      <c r="N25" s="239"/>
      <c r="O25" s="239"/>
      <c r="P25" s="239"/>
      <c r="Q25" s="239"/>
      <c r="R25" s="243"/>
      <c r="S25" s="239"/>
      <c r="T25" s="239"/>
      <c r="U25" s="239"/>
    </row>
    <row r="26" spans="1:21" ht="13.5">
      <c r="A26" s="203">
        <f>A25+0.1</f>
        <v>3.3000000000000003</v>
      </c>
      <c r="B26" s="114" t="s">
        <v>37</v>
      </c>
      <c r="C26" s="203" t="s">
        <v>254</v>
      </c>
      <c r="D26" s="203" t="s">
        <v>14</v>
      </c>
      <c r="E26" s="210">
        <v>102</v>
      </c>
      <c r="F26" s="210">
        <f>E26*F23</f>
        <v>11.750399999999999</v>
      </c>
      <c r="G26" s="414"/>
      <c r="H26" s="414"/>
      <c r="I26" s="211"/>
      <c r="J26" s="211"/>
      <c r="K26" s="201"/>
      <c r="L26" s="201"/>
      <c r="M26" s="416"/>
      <c r="N26" s="213"/>
      <c r="O26" s="213"/>
      <c r="P26" s="213"/>
      <c r="Q26" s="213"/>
      <c r="R26" s="240"/>
      <c r="S26" s="213"/>
      <c r="T26" s="213"/>
      <c r="U26" s="213"/>
    </row>
    <row r="27" spans="1:21" ht="13.5">
      <c r="A27" s="203">
        <f>A26+0.1</f>
        <v>3.4000000000000004</v>
      </c>
      <c r="B27" s="114"/>
      <c r="C27" s="203" t="s">
        <v>141</v>
      </c>
      <c r="D27" s="203" t="s">
        <v>14</v>
      </c>
      <c r="E27" s="210">
        <v>0.39</v>
      </c>
      <c r="F27" s="210">
        <f>F23*E27</f>
        <v>0.044928</v>
      </c>
      <c r="G27" s="414"/>
      <c r="H27" s="414"/>
      <c r="I27" s="211"/>
      <c r="J27" s="211"/>
      <c r="K27" s="201"/>
      <c r="L27" s="201"/>
      <c r="M27" s="416"/>
      <c r="N27" s="213"/>
      <c r="O27" s="213"/>
      <c r="P27" s="213"/>
      <c r="Q27" s="213"/>
      <c r="R27" s="240"/>
      <c r="S27" s="213"/>
      <c r="T27" s="213"/>
      <c r="U27" s="213"/>
    </row>
    <row r="28" spans="1:21" ht="13.5">
      <c r="A28" s="203">
        <f>A27+0.1</f>
        <v>3.5000000000000004</v>
      </c>
      <c r="B28" s="114"/>
      <c r="C28" s="203" t="s">
        <v>24</v>
      </c>
      <c r="D28" s="203" t="s">
        <v>261</v>
      </c>
      <c r="E28" s="210">
        <v>13</v>
      </c>
      <c r="F28" s="210">
        <f>E28*F23</f>
        <v>1.4976</v>
      </c>
      <c r="G28" s="414"/>
      <c r="H28" s="414"/>
      <c r="I28" s="211"/>
      <c r="J28" s="211"/>
      <c r="K28" s="201"/>
      <c r="L28" s="201"/>
      <c r="M28" s="416"/>
      <c r="N28" s="213"/>
      <c r="O28" s="213"/>
      <c r="P28" s="213"/>
      <c r="Q28" s="213"/>
      <c r="R28" s="240"/>
      <c r="S28" s="213"/>
      <c r="T28" s="213"/>
      <c r="U28" s="213"/>
    </row>
    <row r="29" spans="1:21" s="10" customFormat="1" ht="30.75" customHeight="1">
      <c r="A29" s="97" t="s">
        <v>15</v>
      </c>
      <c r="B29" s="113" t="s">
        <v>176</v>
      </c>
      <c r="C29" s="198" t="s">
        <v>448</v>
      </c>
      <c r="D29" s="198" t="s">
        <v>137</v>
      </c>
      <c r="E29" s="200"/>
      <c r="F29" s="200">
        <f>32*0.4*0.3/100</f>
        <v>0.0384</v>
      </c>
      <c r="G29" s="200"/>
      <c r="H29" s="211"/>
      <c r="I29" s="211"/>
      <c r="J29" s="211"/>
      <c r="K29" s="201"/>
      <c r="L29" s="201"/>
      <c r="M29" s="411"/>
      <c r="N29" s="213"/>
      <c r="O29" s="213"/>
      <c r="P29" s="213"/>
      <c r="Q29" s="213"/>
      <c r="R29" s="240"/>
      <c r="S29" s="213"/>
      <c r="T29" s="213"/>
      <c r="U29" s="213"/>
    </row>
    <row r="30" spans="1:21" s="10" customFormat="1" ht="13.5">
      <c r="A30" s="203">
        <f>A29+0.1</f>
        <v>4.1</v>
      </c>
      <c r="B30" s="126"/>
      <c r="C30" s="204" t="s">
        <v>140</v>
      </c>
      <c r="D30" s="204" t="s">
        <v>11</v>
      </c>
      <c r="E30" s="204">
        <v>854</v>
      </c>
      <c r="F30" s="204">
        <f>E30*F29</f>
        <v>32.7936</v>
      </c>
      <c r="G30" s="206"/>
      <c r="H30" s="206"/>
      <c r="I30" s="404"/>
      <c r="J30" s="404"/>
      <c r="K30" s="205"/>
      <c r="L30" s="205"/>
      <c r="M30" s="404"/>
      <c r="N30" s="238"/>
      <c r="O30" s="238"/>
      <c r="P30" s="238"/>
      <c r="Q30" s="238"/>
      <c r="R30" s="242"/>
      <c r="S30" s="238"/>
      <c r="T30" s="238"/>
      <c r="U30" s="238"/>
    </row>
    <row r="31" spans="1:21" s="54" customFormat="1" ht="13.5">
      <c r="A31" s="203">
        <f>A30+0.1</f>
        <v>4.199999999999999</v>
      </c>
      <c r="B31" s="187"/>
      <c r="C31" s="225" t="s">
        <v>168</v>
      </c>
      <c r="D31" s="225" t="s">
        <v>32</v>
      </c>
      <c r="E31" s="207">
        <v>105</v>
      </c>
      <c r="F31" s="207">
        <f>E31*F29</f>
        <v>4.032</v>
      </c>
      <c r="G31" s="209"/>
      <c r="H31" s="209"/>
      <c r="I31" s="209"/>
      <c r="J31" s="209"/>
      <c r="K31" s="428"/>
      <c r="L31" s="428"/>
      <c r="M31" s="435"/>
      <c r="N31" s="239"/>
      <c r="O31" s="239"/>
      <c r="P31" s="239"/>
      <c r="Q31" s="239"/>
      <c r="R31" s="243"/>
      <c r="S31" s="239"/>
      <c r="T31" s="239"/>
      <c r="U31" s="239"/>
    </row>
    <row r="32" spans="1:21" s="55" customFormat="1" ht="13.5">
      <c r="A32" s="203">
        <f aca="true" t="shared" si="0" ref="A32:A38">A31+0.1</f>
        <v>4.299999999999999</v>
      </c>
      <c r="B32" s="114"/>
      <c r="C32" s="203" t="s">
        <v>224</v>
      </c>
      <c r="D32" s="203" t="s">
        <v>14</v>
      </c>
      <c r="E32" s="210">
        <v>101.5</v>
      </c>
      <c r="F32" s="210">
        <f>F29*E32</f>
        <v>3.8975999999999997</v>
      </c>
      <c r="G32" s="414"/>
      <c r="H32" s="414"/>
      <c r="I32" s="211"/>
      <c r="J32" s="211"/>
      <c r="K32" s="201"/>
      <c r="L32" s="201"/>
      <c r="M32" s="416"/>
      <c r="N32" s="213"/>
      <c r="O32" s="213"/>
      <c r="P32" s="213"/>
      <c r="Q32" s="213"/>
      <c r="R32" s="240"/>
      <c r="S32" s="213"/>
      <c r="T32" s="213"/>
      <c r="U32" s="213"/>
    </row>
    <row r="33" spans="1:21" s="10" customFormat="1" ht="13.5">
      <c r="A33" s="203">
        <f t="shared" si="0"/>
        <v>4.399999999999999</v>
      </c>
      <c r="B33" s="114"/>
      <c r="C33" s="203" t="s">
        <v>167</v>
      </c>
      <c r="D33" s="203" t="s">
        <v>23</v>
      </c>
      <c r="E33" s="210">
        <v>140</v>
      </c>
      <c r="F33" s="210">
        <f>E33*F29</f>
        <v>5.3759999999999994</v>
      </c>
      <c r="G33" s="414"/>
      <c r="H33" s="414"/>
      <c r="I33" s="211"/>
      <c r="J33" s="211"/>
      <c r="K33" s="201"/>
      <c r="L33" s="201"/>
      <c r="M33" s="416"/>
      <c r="N33" s="213"/>
      <c r="O33" s="213"/>
      <c r="P33" s="213"/>
      <c r="Q33" s="213"/>
      <c r="R33" s="240"/>
      <c r="S33" s="213"/>
      <c r="T33" s="213"/>
      <c r="U33" s="213"/>
    </row>
    <row r="34" spans="1:21" s="10" customFormat="1" ht="13.5">
      <c r="A34" s="203">
        <f t="shared" si="0"/>
        <v>4.499999999999998</v>
      </c>
      <c r="B34" s="114"/>
      <c r="C34" s="203" t="s">
        <v>160</v>
      </c>
      <c r="D34" s="203" t="s">
        <v>14</v>
      </c>
      <c r="E34" s="210">
        <v>1.45</v>
      </c>
      <c r="F34" s="210">
        <f>E34*F29</f>
        <v>0.05567999999999999</v>
      </c>
      <c r="G34" s="414"/>
      <c r="H34" s="414"/>
      <c r="I34" s="211"/>
      <c r="J34" s="211"/>
      <c r="K34" s="201"/>
      <c r="L34" s="201"/>
      <c r="M34" s="416"/>
      <c r="N34" s="213"/>
      <c r="O34" s="213"/>
      <c r="P34" s="213"/>
      <c r="Q34" s="213"/>
      <c r="R34" s="240"/>
      <c r="S34" s="213"/>
      <c r="T34" s="213"/>
      <c r="U34" s="213"/>
    </row>
    <row r="35" spans="1:21" ht="13.5">
      <c r="A35" s="203">
        <f t="shared" si="0"/>
        <v>4.599999999999998</v>
      </c>
      <c r="B35" s="114"/>
      <c r="C35" s="203" t="s">
        <v>108</v>
      </c>
      <c r="D35" s="203" t="s">
        <v>22</v>
      </c>
      <c r="E35" s="210">
        <v>2.5</v>
      </c>
      <c r="F35" s="210">
        <f>E35*F29</f>
        <v>0.09599999999999999</v>
      </c>
      <c r="G35" s="414"/>
      <c r="H35" s="414"/>
      <c r="I35" s="211"/>
      <c r="J35" s="211"/>
      <c r="K35" s="201"/>
      <c r="L35" s="201"/>
      <c r="M35" s="416"/>
      <c r="N35" s="213"/>
      <c r="O35" s="213"/>
      <c r="P35" s="213"/>
      <c r="Q35" s="213"/>
      <c r="R35" s="240"/>
      <c r="S35" s="213"/>
      <c r="T35" s="213"/>
      <c r="U35" s="213"/>
    </row>
    <row r="36" spans="1:21" ht="13.5">
      <c r="A36" s="203">
        <f t="shared" si="0"/>
        <v>4.6999999999999975</v>
      </c>
      <c r="B36" s="114"/>
      <c r="C36" s="203" t="s">
        <v>259</v>
      </c>
      <c r="D36" s="203" t="s">
        <v>19</v>
      </c>
      <c r="E36" s="210"/>
      <c r="F36" s="210">
        <f>32*6*1.65*0.395/1000</f>
        <v>0.12513599999999997</v>
      </c>
      <c r="G36" s="414"/>
      <c r="H36" s="414"/>
      <c r="I36" s="211"/>
      <c r="J36" s="211"/>
      <c r="K36" s="201"/>
      <c r="L36" s="201"/>
      <c r="M36" s="416"/>
      <c r="N36" s="213"/>
      <c r="O36" s="213"/>
      <c r="P36" s="213"/>
      <c r="Q36" s="213"/>
      <c r="R36" s="240"/>
      <c r="S36" s="213"/>
      <c r="T36" s="213"/>
      <c r="U36" s="213"/>
    </row>
    <row r="37" spans="1:21" ht="13.5">
      <c r="A37" s="203">
        <f t="shared" si="0"/>
        <v>4.799999999999997</v>
      </c>
      <c r="B37" s="114"/>
      <c r="C37" s="203" t="s">
        <v>260</v>
      </c>
      <c r="D37" s="203" t="s">
        <v>19</v>
      </c>
      <c r="E37" s="210"/>
      <c r="F37" s="210">
        <f>32*4*1.21/1000</f>
        <v>0.15488</v>
      </c>
      <c r="G37" s="414"/>
      <c r="H37" s="414"/>
      <c r="I37" s="211"/>
      <c r="J37" s="211"/>
      <c r="K37" s="201"/>
      <c r="L37" s="201"/>
      <c r="M37" s="416"/>
      <c r="N37" s="213"/>
      <c r="O37" s="213"/>
      <c r="P37" s="213"/>
      <c r="Q37" s="213"/>
      <c r="R37" s="240"/>
      <c r="S37" s="213"/>
      <c r="T37" s="213"/>
      <c r="U37" s="213"/>
    </row>
    <row r="38" spans="1:21" s="44" customFormat="1" ht="14.25" customHeight="1">
      <c r="A38" s="203">
        <f t="shared" si="0"/>
        <v>4.899999999999997</v>
      </c>
      <c r="B38" s="114"/>
      <c r="C38" s="203" t="s">
        <v>177</v>
      </c>
      <c r="D38" s="203" t="s">
        <v>261</v>
      </c>
      <c r="E38" s="210">
        <v>74</v>
      </c>
      <c r="F38" s="210">
        <f>E38*F29</f>
        <v>2.8415999999999997</v>
      </c>
      <c r="G38" s="414"/>
      <c r="H38" s="414"/>
      <c r="I38" s="211"/>
      <c r="J38" s="211"/>
      <c r="K38" s="201"/>
      <c r="L38" s="201"/>
      <c r="M38" s="416"/>
      <c r="N38" s="213"/>
      <c r="O38" s="213"/>
      <c r="P38" s="213"/>
      <c r="Q38" s="213"/>
      <c r="R38" s="240"/>
      <c r="S38" s="213"/>
      <c r="T38" s="213"/>
      <c r="U38" s="213"/>
    </row>
    <row r="39" spans="1:21" s="61" customFormat="1" ht="25.5">
      <c r="A39" s="198">
        <v>5</v>
      </c>
      <c r="B39" s="6" t="s">
        <v>467</v>
      </c>
      <c r="C39" s="198" t="s">
        <v>276</v>
      </c>
      <c r="D39" s="257" t="s">
        <v>327</v>
      </c>
      <c r="E39" s="198"/>
      <c r="F39" s="200">
        <f>32*1.5/100</f>
        <v>0.48</v>
      </c>
      <c r="G39" s="200"/>
      <c r="H39" s="211"/>
      <c r="I39" s="211"/>
      <c r="J39" s="211"/>
      <c r="K39" s="201"/>
      <c r="L39" s="201"/>
      <c r="M39" s="411"/>
      <c r="N39" s="238"/>
      <c r="O39" s="238"/>
      <c r="P39" s="238"/>
      <c r="Q39" s="238"/>
      <c r="R39" s="242"/>
      <c r="S39" s="238"/>
      <c r="T39" s="238"/>
      <c r="U39" s="238"/>
    </row>
    <row r="40" spans="1:21" s="74" customFormat="1" ht="13.5">
      <c r="A40" s="203">
        <f>A39+0.1</f>
        <v>5.1</v>
      </c>
      <c r="B40" s="226"/>
      <c r="C40" s="222" t="s">
        <v>194</v>
      </c>
      <c r="D40" s="222" t="s">
        <v>11</v>
      </c>
      <c r="E40" s="222">
        <f>31.2/2</f>
        <v>15.6</v>
      </c>
      <c r="F40" s="204">
        <f>F39*E40</f>
        <v>7.4879999999999995</v>
      </c>
      <c r="G40" s="206"/>
      <c r="H40" s="206"/>
      <c r="I40" s="404"/>
      <c r="J40" s="404"/>
      <c r="K40" s="205"/>
      <c r="L40" s="205"/>
      <c r="M40" s="404"/>
      <c r="N40" s="239"/>
      <c r="O40" s="239"/>
      <c r="P40" s="239"/>
      <c r="Q40" s="239"/>
      <c r="R40" s="243"/>
      <c r="S40" s="239"/>
      <c r="T40" s="239"/>
      <c r="U40" s="239"/>
    </row>
    <row r="41" spans="1:21" s="74" customFormat="1" ht="13.5">
      <c r="A41" s="203">
        <f>A40+0.1</f>
        <v>5.199999999999999</v>
      </c>
      <c r="B41" s="190"/>
      <c r="C41" s="225" t="s">
        <v>172</v>
      </c>
      <c r="D41" s="225" t="s">
        <v>32</v>
      </c>
      <c r="E41" s="225">
        <v>1.38</v>
      </c>
      <c r="F41" s="207">
        <f>F39*E41</f>
        <v>0.6623999999999999</v>
      </c>
      <c r="G41" s="209"/>
      <c r="H41" s="209"/>
      <c r="I41" s="209"/>
      <c r="J41" s="209"/>
      <c r="K41" s="428"/>
      <c r="L41" s="428"/>
      <c r="M41" s="435"/>
      <c r="N41" s="213"/>
      <c r="O41" s="213"/>
      <c r="P41" s="213"/>
      <c r="Q41" s="213"/>
      <c r="R41" s="240"/>
      <c r="S41" s="213"/>
      <c r="T41" s="213"/>
      <c r="U41" s="213"/>
    </row>
    <row r="42" spans="1:21" s="44" customFormat="1" ht="13.5">
      <c r="A42" s="203">
        <f>A41+0.1</f>
        <v>5.299999999999999</v>
      </c>
      <c r="B42" s="4"/>
      <c r="C42" s="203" t="s">
        <v>258</v>
      </c>
      <c r="D42" s="258" t="s">
        <v>22</v>
      </c>
      <c r="E42" s="203">
        <f>100*0.018</f>
        <v>1.7999999999999998</v>
      </c>
      <c r="F42" s="210">
        <f>F39*E42</f>
        <v>0.8639999999999999</v>
      </c>
      <c r="G42" s="414"/>
      <c r="H42" s="414"/>
      <c r="I42" s="211"/>
      <c r="J42" s="211"/>
      <c r="K42" s="201"/>
      <c r="L42" s="201"/>
      <c r="M42" s="416"/>
      <c r="N42" s="213"/>
      <c r="O42" s="213"/>
      <c r="P42" s="213"/>
      <c r="Q42" s="213"/>
      <c r="R42" s="240"/>
      <c r="S42" s="213"/>
      <c r="T42" s="213"/>
      <c r="U42" s="213"/>
    </row>
    <row r="43" spans="1:21" s="44" customFormat="1" ht="13.5">
      <c r="A43" s="203">
        <f>A42+0.1</f>
        <v>5.399999999999999</v>
      </c>
      <c r="B43" s="4"/>
      <c r="C43" s="203" t="s">
        <v>277</v>
      </c>
      <c r="D43" s="258" t="s">
        <v>22</v>
      </c>
      <c r="E43" s="203">
        <f>100*0.005</f>
        <v>0.5</v>
      </c>
      <c r="F43" s="210">
        <f>E43*F39</f>
        <v>0.24</v>
      </c>
      <c r="G43" s="414"/>
      <c r="H43" s="414"/>
      <c r="I43" s="211"/>
      <c r="J43" s="211"/>
      <c r="K43" s="201"/>
      <c r="L43" s="201"/>
      <c r="M43" s="416"/>
      <c r="N43" s="213"/>
      <c r="O43" s="213"/>
      <c r="P43" s="213"/>
      <c r="Q43" s="213"/>
      <c r="R43" s="240"/>
      <c r="S43" s="213"/>
      <c r="T43" s="213"/>
      <c r="U43" s="213"/>
    </row>
    <row r="44" spans="1:21" ht="13.5">
      <c r="A44" s="203">
        <f>A43+0.1</f>
        <v>5.499999999999998</v>
      </c>
      <c r="B44" s="4"/>
      <c r="C44" s="203" t="s">
        <v>197</v>
      </c>
      <c r="D44" s="203" t="s">
        <v>261</v>
      </c>
      <c r="E44" s="203">
        <v>0.19</v>
      </c>
      <c r="F44" s="210">
        <f>F39*E44</f>
        <v>0.0912</v>
      </c>
      <c r="G44" s="414"/>
      <c r="H44" s="414"/>
      <c r="I44" s="211"/>
      <c r="J44" s="211"/>
      <c r="K44" s="201"/>
      <c r="L44" s="201"/>
      <c r="M44" s="416"/>
      <c r="N44" s="213"/>
      <c r="O44" s="213"/>
      <c r="P44" s="213"/>
      <c r="Q44" s="213"/>
      <c r="R44" s="240"/>
      <c r="S44" s="213"/>
      <c r="T44" s="213"/>
      <c r="U44" s="213"/>
    </row>
    <row r="45" spans="1:21" s="54" customFormat="1" ht="75.75" customHeight="1">
      <c r="A45" s="103">
        <v>6</v>
      </c>
      <c r="B45" s="120" t="s">
        <v>216</v>
      </c>
      <c r="C45" s="103" t="s">
        <v>462</v>
      </c>
      <c r="D45" s="103" t="s">
        <v>198</v>
      </c>
      <c r="E45" s="104"/>
      <c r="F45" s="104">
        <v>3.53</v>
      </c>
      <c r="G45" s="104"/>
      <c r="H45" s="211"/>
      <c r="I45" s="211"/>
      <c r="J45" s="211"/>
      <c r="K45" s="201"/>
      <c r="L45" s="201"/>
      <c r="M45" s="436"/>
      <c r="N45" s="213"/>
      <c r="O45" s="213"/>
      <c r="P45" s="213"/>
      <c r="Q45" s="213"/>
      <c r="R45" s="240"/>
      <c r="S45" s="213"/>
      <c r="T45" s="213"/>
      <c r="U45" s="213"/>
    </row>
    <row r="46" spans="1:21" ht="21" customHeight="1">
      <c r="A46" s="216">
        <f aca="true" t="shared" si="1" ref="A46:A53">A45+0.1</f>
        <v>6.1</v>
      </c>
      <c r="B46" s="195" t="s">
        <v>200</v>
      </c>
      <c r="C46" s="259" t="s">
        <v>194</v>
      </c>
      <c r="D46" s="259" t="s">
        <v>11</v>
      </c>
      <c r="E46" s="244">
        <f>55.5*1.15</f>
        <v>63.824999999999996</v>
      </c>
      <c r="F46" s="244">
        <f>E46*F45</f>
        <v>225.30225</v>
      </c>
      <c r="G46" s="206"/>
      <c r="H46" s="206"/>
      <c r="I46" s="404"/>
      <c r="J46" s="408"/>
      <c r="K46" s="205"/>
      <c r="L46" s="205"/>
      <c r="M46" s="404"/>
      <c r="N46" s="213"/>
      <c r="O46" s="213"/>
      <c r="P46" s="213"/>
      <c r="Q46" s="213"/>
      <c r="R46" s="240"/>
      <c r="S46" s="213"/>
      <c r="T46" s="213"/>
      <c r="U46" s="213"/>
    </row>
    <row r="47" spans="1:21" s="12" customFormat="1" ht="27">
      <c r="A47" s="216">
        <f t="shared" si="1"/>
        <v>6.199999999999999</v>
      </c>
      <c r="B47" s="196" t="s">
        <v>200</v>
      </c>
      <c r="C47" s="260" t="s">
        <v>278</v>
      </c>
      <c r="D47" s="260" t="s">
        <v>279</v>
      </c>
      <c r="E47" s="245">
        <f>2.55*1.15</f>
        <v>2.9324999999999997</v>
      </c>
      <c r="F47" s="245">
        <f>E47*F45</f>
        <v>10.351724999999998</v>
      </c>
      <c r="G47" s="209"/>
      <c r="H47" s="209"/>
      <c r="I47" s="209"/>
      <c r="J47" s="209"/>
      <c r="K47" s="426"/>
      <c r="L47" s="429"/>
      <c r="M47" s="435"/>
      <c r="N47" s="213"/>
      <c r="O47" s="213"/>
      <c r="P47" s="213"/>
      <c r="Q47" s="213"/>
      <c r="R47" s="240"/>
      <c r="S47" s="213"/>
      <c r="T47" s="213"/>
      <c r="U47" s="213"/>
    </row>
    <row r="48" spans="1:21" ht="19.5" customHeight="1">
      <c r="A48" s="216">
        <f t="shared" si="1"/>
        <v>6.299999999999999</v>
      </c>
      <c r="B48" s="197"/>
      <c r="C48" s="260" t="s">
        <v>173</v>
      </c>
      <c r="D48" s="225" t="s">
        <v>32</v>
      </c>
      <c r="E48" s="245">
        <v>0.516</v>
      </c>
      <c r="F48" s="245">
        <f>E48*F45</f>
        <v>1.82148</v>
      </c>
      <c r="G48" s="209"/>
      <c r="H48" s="209"/>
      <c r="I48" s="209"/>
      <c r="J48" s="209"/>
      <c r="K48" s="429"/>
      <c r="L48" s="429"/>
      <c r="M48" s="435"/>
      <c r="N48" s="213"/>
      <c r="O48" s="246"/>
      <c r="P48" s="246"/>
      <c r="Q48" s="246"/>
      <c r="R48" s="246"/>
      <c r="S48" s="213"/>
      <c r="T48" s="213"/>
      <c r="U48" s="213"/>
    </row>
    <row r="49" spans="1:21" s="54" customFormat="1" ht="30" customHeight="1">
      <c r="A49" s="216">
        <f t="shared" si="1"/>
        <v>6.399999999999999</v>
      </c>
      <c r="B49" s="121"/>
      <c r="C49" s="105" t="s">
        <v>463</v>
      </c>
      <c r="D49" s="105" t="s">
        <v>205</v>
      </c>
      <c r="E49" s="107"/>
      <c r="F49" s="107">
        <v>120</v>
      </c>
      <c r="G49" s="430"/>
      <c r="H49" s="430"/>
      <c r="I49" s="211"/>
      <c r="J49" s="211"/>
      <c r="K49" s="201"/>
      <c r="L49" s="201"/>
      <c r="M49" s="416"/>
      <c r="N49" s="43"/>
      <c r="O49" s="246"/>
      <c r="P49" s="246"/>
      <c r="Q49" s="246"/>
      <c r="R49" s="246"/>
      <c r="S49" s="213"/>
      <c r="T49" s="213"/>
      <c r="U49" s="213"/>
    </row>
    <row r="50" spans="1:21" s="55" customFormat="1" ht="22.5" customHeight="1">
      <c r="A50" s="216">
        <f t="shared" si="1"/>
        <v>6.499999999999998</v>
      </c>
      <c r="B50" s="121"/>
      <c r="C50" s="105" t="s">
        <v>310</v>
      </c>
      <c r="D50" s="105" t="s">
        <v>205</v>
      </c>
      <c r="E50" s="107"/>
      <c r="F50" s="107">
        <v>16</v>
      </c>
      <c r="G50" s="430"/>
      <c r="H50" s="430"/>
      <c r="I50" s="211"/>
      <c r="J50" s="211"/>
      <c r="K50" s="201"/>
      <c r="L50" s="201"/>
      <c r="M50" s="416"/>
      <c r="N50" s="43"/>
      <c r="O50" s="246"/>
      <c r="P50" s="246"/>
      <c r="Q50" s="246"/>
      <c r="R50" s="246"/>
      <c r="S50" s="213"/>
      <c r="T50" s="213"/>
      <c r="U50" s="213"/>
    </row>
    <row r="51" spans="1:21" ht="17.25" customHeight="1">
      <c r="A51" s="216">
        <f t="shared" si="1"/>
        <v>6.599999999999998</v>
      </c>
      <c r="B51" s="121"/>
      <c r="C51" s="105" t="s">
        <v>464</v>
      </c>
      <c r="D51" s="105" t="s">
        <v>205</v>
      </c>
      <c r="E51" s="107"/>
      <c r="F51" s="107">
        <v>24</v>
      </c>
      <c r="G51" s="430"/>
      <c r="H51" s="430"/>
      <c r="I51" s="211"/>
      <c r="J51" s="211"/>
      <c r="K51" s="201"/>
      <c r="L51" s="201"/>
      <c r="M51" s="416"/>
      <c r="N51" s="43"/>
      <c r="O51" s="246"/>
      <c r="P51" s="246"/>
      <c r="Q51" s="246"/>
      <c r="R51" s="246"/>
      <c r="S51" s="213"/>
      <c r="T51" s="213"/>
      <c r="U51" s="213"/>
    </row>
    <row r="52" spans="1:21" ht="17.25" customHeight="1">
      <c r="A52" s="216">
        <f t="shared" si="1"/>
        <v>6.6999999999999975</v>
      </c>
      <c r="B52" s="121"/>
      <c r="C52" s="105" t="s">
        <v>468</v>
      </c>
      <c r="D52" s="105" t="s">
        <v>205</v>
      </c>
      <c r="E52" s="107"/>
      <c r="F52" s="107">
        <v>17.4</v>
      </c>
      <c r="G52" s="430"/>
      <c r="H52" s="430"/>
      <c r="I52" s="211"/>
      <c r="J52" s="211"/>
      <c r="K52" s="201"/>
      <c r="L52" s="201"/>
      <c r="M52" s="416"/>
      <c r="N52" s="43"/>
      <c r="O52" s="246"/>
      <c r="P52" s="246"/>
      <c r="Q52" s="246"/>
      <c r="R52" s="246"/>
      <c r="S52" s="213"/>
      <c r="T52" s="213"/>
      <c r="U52" s="213"/>
    </row>
    <row r="53" spans="1:21" ht="31.5">
      <c r="A53" s="216">
        <f t="shared" si="1"/>
        <v>6.799999999999997</v>
      </c>
      <c r="B53" s="121"/>
      <c r="C53" s="105" t="s">
        <v>470</v>
      </c>
      <c r="D53" s="105" t="s">
        <v>205</v>
      </c>
      <c r="E53" s="107"/>
      <c r="F53" s="107">
        <v>47.6</v>
      </c>
      <c r="G53" s="430"/>
      <c r="H53" s="430"/>
      <c r="I53" s="211"/>
      <c r="J53" s="211"/>
      <c r="K53" s="201"/>
      <c r="L53" s="201"/>
      <c r="M53" s="416"/>
      <c r="N53" s="43"/>
      <c r="O53" s="246"/>
      <c r="P53" s="246"/>
      <c r="Q53" s="246"/>
      <c r="R53" s="246"/>
      <c r="S53" s="213"/>
      <c r="T53" s="213"/>
      <c r="U53" s="213"/>
    </row>
    <row r="54" spans="1:21" ht="21.75" customHeight="1">
      <c r="A54" s="398">
        <v>6.9</v>
      </c>
      <c r="B54" s="121"/>
      <c r="C54" s="105" t="s">
        <v>469</v>
      </c>
      <c r="D54" s="105" t="s">
        <v>205</v>
      </c>
      <c r="E54" s="107"/>
      <c r="F54" s="107">
        <v>68.85</v>
      </c>
      <c r="G54" s="430"/>
      <c r="H54" s="430"/>
      <c r="I54" s="211"/>
      <c r="J54" s="211"/>
      <c r="K54" s="201"/>
      <c r="L54" s="201"/>
      <c r="M54" s="416"/>
      <c r="N54" s="43"/>
      <c r="O54" s="246"/>
      <c r="P54" s="246"/>
      <c r="Q54" s="246"/>
      <c r="R54" s="246"/>
      <c r="S54" s="213"/>
      <c r="T54" s="213"/>
      <c r="U54" s="213"/>
    </row>
    <row r="55" spans="1:21" s="12" customFormat="1" ht="18.75" customHeight="1">
      <c r="A55" s="78">
        <v>6.1</v>
      </c>
      <c r="B55" s="121"/>
      <c r="C55" s="105" t="s">
        <v>466</v>
      </c>
      <c r="D55" s="105" t="s">
        <v>205</v>
      </c>
      <c r="E55" s="107"/>
      <c r="F55" s="107">
        <v>19.3</v>
      </c>
      <c r="G55" s="430"/>
      <c r="H55" s="430"/>
      <c r="I55" s="211"/>
      <c r="J55" s="211"/>
      <c r="K55" s="201"/>
      <c r="L55" s="201"/>
      <c r="M55" s="416"/>
      <c r="N55" s="43"/>
      <c r="O55" s="246"/>
      <c r="P55" s="246"/>
      <c r="Q55" s="246"/>
      <c r="R55" s="246"/>
      <c r="S55" s="213"/>
      <c r="T55" s="213"/>
      <c r="U55" s="213"/>
    </row>
    <row r="56" spans="1:21" s="54" customFormat="1" ht="19.5" customHeight="1">
      <c r="A56" s="78">
        <v>6.11</v>
      </c>
      <c r="B56" s="122"/>
      <c r="C56" s="105" t="s">
        <v>465</v>
      </c>
      <c r="D56" s="105" t="s">
        <v>29</v>
      </c>
      <c r="E56" s="107"/>
      <c r="F56" s="107">
        <f>1.55+0.5+1.66</f>
        <v>3.71</v>
      </c>
      <c r="G56" s="430"/>
      <c r="H56" s="430"/>
      <c r="I56" s="211"/>
      <c r="J56" s="211"/>
      <c r="K56" s="201"/>
      <c r="L56" s="201"/>
      <c r="M56" s="416"/>
      <c r="N56" s="43"/>
      <c r="O56" s="246"/>
      <c r="P56" s="246"/>
      <c r="Q56" s="246"/>
      <c r="R56" s="246"/>
      <c r="S56" s="213"/>
      <c r="T56" s="213"/>
      <c r="U56" s="213"/>
    </row>
    <row r="57" spans="1:21" ht="30.75" customHeight="1">
      <c r="A57" s="78">
        <v>6.12</v>
      </c>
      <c r="B57" s="122"/>
      <c r="C57" s="105" t="s">
        <v>280</v>
      </c>
      <c r="D57" s="105" t="s">
        <v>22</v>
      </c>
      <c r="E57" s="107">
        <v>23.2</v>
      </c>
      <c r="F57" s="107">
        <f>E57*F45</f>
        <v>81.89599999999999</v>
      </c>
      <c r="G57" s="430"/>
      <c r="H57" s="430"/>
      <c r="I57" s="211"/>
      <c r="J57" s="211"/>
      <c r="K57" s="201"/>
      <c r="L57" s="201"/>
      <c r="M57" s="416"/>
      <c r="N57" s="43"/>
      <c r="O57" s="246"/>
      <c r="P57" s="246"/>
      <c r="Q57" s="246"/>
      <c r="R57" s="246"/>
      <c r="S57" s="213"/>
      <c r="T57" s="213"/>
      <c r="U57" s="213"/>
    </row>
    <row r="58" spans="1:21" ht="15" customHeight="1">
      <c r="A58" s="78">
        <v>6.13</v>
      </c>
      <c r="B58" s="122"/>
      <c r="C58" s="105" t="s">
        <v>281</v>
      </c>
      <c r="D58" s="105" t="s">
        <v>22</v>
      </c>
      <c r="E58" s="107">
        <v>0.4</v>
      </c>
      <c r="F58" s="107">
        <f>E58*F45</f>
        <v>1.412</v>
      </c>
      <c r="G58" s="430"/>
      <c r="H58" s="430"/>
      <c r="I58" s="211"/>
      <c r="J58" s="211"/>
      <c r="K58" s="201"/>
      <c r="L58" s="201"/>
      <c r="M58" s="416"/>
      <c r="N58" s="43"/>
      <c r="O58" s="43"/>
      <c r="P58" s="43"/>
      <c r="Q58" s="43"/>
      <c r="R58" s="246"/>
      <c r="S58" s="213"/>
      <c r="T58" s="213"/>
      <c r="U58" s="213"/>
    </row>
    <row r="59" spans="1:21" s="12" customFormat="1" ht="17.25" customHeight="1">
      <c r="A59" s="78">
        <v>6.14</v>
      </c>
      <c r="C59" s="105" t="s">
        <v>108</v>
      </c>
      <c r="D59" s="105" t="s">
        <v>22</v>
      </c>
      <c r="E59" s="107">
        <v>4.8</v>
      </c>
      <c r="F59" s="107">
        <f>E59*F45</f>
        <v>16.944</v>
      </c>
      <c r="G59" s="430"/>
      <c r="H59" s="430"/>
      <c r="I59" s="211"/>
      <c r="J59" s="211"/>
      <c r="K59" s="201"/>
      <c r="L59" s="201"/>
      <c r="M59" s="416"/>
      <c r="N59" s="43"/>
      <c r="O59" s="43"/>
      <c r="P59" s="43"/>
      <c r="Q59" s="43"/>
      <c r="R59" s="246"/>
      <c r="S59" s="213"/>
      <c r="T59" s="213"/>
      <c r="U59" s="213"/>
    </row>
    <row r="60" spans="1:21" ht="15.75" customHeight="1">
      <c r="A60" s="78">
        <v>6.15</v>
      </c>
      <c r="B60" s="121"/>
      <c r="C60" s="105" t="s">
        <v>197</v>
      </c>
      <c r="D60" s="203" t="s">
        <v>261</v>
      </c>
      <c r="E60" s="107">
        <v>5.4</v>
      </c>
      <c r="F60" s="107">
        <f>E60*F45</f>
        <v>19.062</v>
      </c>
      <c r="G60" s="430"/>
      <c r="H60" s="430"/>
      <c r="I60" s="211"/>
      <c r="J60" s="211"/>
      <c r="K60" s="201"/>
      <c r="L60" s="201"/>
      <c r="M60" s="416"/>
      <c r="N60" s="43"/>
      <c r="O60" s="57"/>
      <c r="P60" s="57"/>
      <c r="Q60" s="57"/>
      <c r="R60" s="247"/>
      <c r="S60" s="213"/>
      <c r="T60" s="213"/>
      <c r="U60" s="213"/>
    </row>
    <row r="61" spans="1:21" ht="54">
      <c r="A61" s="103">
        <v>7</v>
      </c>
      <c r="B61" s="120" t="s">
        <v>217</v>
      </c>
      <c r="C61" s="103" t="s">
        <v>282</v>
      </c>
      <c r="D61" s="103" t="s">
        <v>218</v>
      </c>
      <c r="E61" s="104"/>
      <c r="F61" s="104">
        <v>0.8</v>
      </c>
      <c r="G61" s="104"/>
      <c r="H61" s="211"/>
      <c r="I61" s="388"/>
      <c r="J61" s="211"/>
      <c r="K61" s="201"/>
      <c r="L61" s="201"/>
      <c r="M61" s="436"/>
      <c r="N61" s="43"/>
      <c r="O61" s="59"/>
      <c r="P61" s="59"/>
      <c r="Q61" s="59"/>
      <c r="R61" s="248"/>
      <c r="S61" s="213"/>
      <c r="T61" s="213"/>
      <c r="U61" s="213"/>
    </row>
    <row r="62" spans="1:21" s="54" customFormat="1" ht="13.5">
      <c r="A62" s="216">
        <f aca="true" t="shared" si="2" ref="A62:A67">A61+0.1</f>
        <v>7.1</v>
      </c>
      <c r="B62" s="195" t="s">
        <v>200</v>
      </c>
      <c r="C62" s="259" t="s">
        <v>194</v>
      </c>
      <c r="D62" s="259" t="s">
        <v>11</v>
      </c>
      <c r="E62" s="244">
        <v>78.2</v>
      </c>
      <c r="F62" s="244">
        <f>E62*F61</f>
        <v>62.56</v>
      </c>
      <c r="G62" s="206"/>
      <c r="H62" s="206"/>
      <c r="I62" s="408"/>
      <c r="J62" s="408"/>
      <c r="K62" s="205"/>
      <c r="L62" s="205"/>
      <c r="M62" s="404"/>
      <c r="N62" s="43"/>
      <c r="O62" s="43"/>
      <c r="P62" s="43"/>
      <c r="Q62" s="43"/>
      <c r="R62" s="246"/>
      <c r="S62" s="213"/>
      <c r="T62" s="213"/>
      <c r="U62" s="213"/>
    </row>
    <row r="63" spans="1:21" s="55" customFormat="1" ht="13.5">
      <c r="A63" s="216">
        <f t="shared" si="2"/>
        <v>7.199999999999999</v>
      </c>
      <c r="B63" s="196" t="s">
        <v>200</v>
      </c>
      <c r="C63" s="260" t="s">
        <v>172</v>
      </c>
      <c r="D63" s="225" t="s">
        <v>32</v>
      </c>
      <c r="E63" s="245">
        <v>0.034499999999999996</v>
      </c>
      <c r="F63" s="245">
        <f>E63*F61</f>
        <v>0.0276</v>
      </c>
      <c r="G63" s="209"/>
      <c r="H63" s="209"/>
      <c r="I63" s="209"/>
      <c r="J63" s="209"/>
      <c r="K63" s="426"/>
      <c r="L63" s="429"/>
      <c r="M63" s="435"/>
      <c r="N63" s="43"/>
      <c r="O63" s="43"/>
      <c r="P63" s="43"/>
      <c r="Q63" s="43"/>
      <c r="R63" s="246"/>
      <c r="S63" s="213"/>
      <c r="T63" s="213"/>
      <c r="U63" s="213"/>
    </row>
    <row r="64" spans="1:21" ht="13.5">
      <c r="A64" s="216">
        <f t="shared" si="2"/>
        <v>7.299999999999999</v>
      </c>
      <c r="B64" s="121"/>
      <c r="C64" s="105" t="s">
        <v>219</v>
      </c>
      <c r="D64" s="105" t="s">
        <v>22</v>
      </c>
      <c r="E64" s="107">
        <v>25.3</v>
      </c>
      <c r="F64" s="107">
        <f>E64*F61</f>
        <v>20.240000000000002</v>
      </c>
      <c r="G64" s="430"/>
      <c r="H64" s="430"/>
      <c r="I64" s="211"/>
      <c r="J64" s="211"/>
      <c r="K64" s="201"/>
      <c r="L64" s="201"/>
      <c r="M64" s="416"/>
      <c r="N64" s="43"/>
      <c r="O64" s="213"/>
      <c r="P64" s="213"/>
      <c r="Q64" s="213"/>
      <c r="R64" s="240"/>
      <c r="S64" s="213"/>
      <c r="T64" s="213"/>
      <c r="U64" s="213"/>
    </row>
    <row r="65" spans="1:21" ht="13.5">
      <c r="A65" s="216">
        <f t="shared" si="2"/>
        <v>7.399999999999999</v>
      </c>
      <c r="B65" s="121"/>
      <c r="C65" s="105" t="s">
        <v>220</v>
      </c>
      <c r="D65" s="105" t="s">
        <v>22</v>
      </c>
      <c r="E65" s="107">
        <v>25.3</v>
      </c>
      <c r="F65" s="107">
        <f>E65*F61</f>
        <v>20.240000000000002</v>
      </c>
      <c r="G65" s="430"/>
      <c r="H65" s="430"/>
      <c r="I65" s="211"/>
      <c r="J65" s="211"/>
      <c r="K65" s="201"/>
      <c r="L65" s="201"/>
      <c r="M65" s="416"/>
      <c r="N65" s="43"/>
      <c r="O65" s="213"/>
      <c r="P65" s="213"/>
      <c r="Q65" s="213"/>
      <c r="R65" s="240"/>
      <c r="S65" s="213"/>
      <c r="T65" s="213"/>
      <c r="U65" s="213"/>
    </row>
    <row r="66" spans="1:21" s="54" customFormat="1" ht="13.5">
      <c r="A66" s="216">
        <f t="shared" si="2"/>
        <v>7.499999999999998</v>
      </c>
      <c r="B66" s="121"/>
      <c r="C66" s="105" t="s">
        <v>221</v>
      </c>
      <c r="D66" s="105" t="s">
        <v>22</v>
      </c>
      <c r="E66" s="107">
        <f>2.7*2</f>
        <v>5.4</v>
      </c>
      <c r="F66" s="107">
        <f>E66*F61</f>
        <v>4.32</v>
      </c>
      <c r="G66" s="430"/>
      <c r="H66" s="430"/>
      <c r="I66" s="211"/>
      <c r="J66" s="211"/>
      <c r="K66" s="201"/>
      <c r="L66" s="201"/>
      <c r="M66" s="416"/>
      <c r="N66" s="57"/>
      <c r="O66" s="238"/>
      <c r="P66" s="238"/>
      <c r="Q66" s="238"/>
      <c r="R66" s="242"/>
      <c r="S66" s="238"/>
      <c r="T66" s="213"/>
      <c r="U66" s="213"/>
    </row>
    <row r="67" spans="1:21" s="62" customFormat="1" ht="13.5">
      <c r="A67" s="216">
        <f t="shared" si="2"/>
        <v>7.599999999999998</v>
      </c>
      <c r="B67" s="121"/>
      <c r="C67" s="105" t="s">
        <v>197</v>
      </c>
      <c r="D67" s="203" t="s">
        <v>261</v>
      </c>
      <c r="E67" s="107">
        <v>0.19</v>
      </c>
      <c r="F67" s="107">
        <f>E67*F61</f>
        <v>0.15200000000000002</v>
      </c>
      <c r="G67" s="430"/>
      <c r="H67" s="430"/>
      <c r="I67" s="211"/>
      <c r="J67" s="211"/>
      <c r="K67" s="201"/>
      <c r="L67" s="201"/>
      <c r="M67" s="416"/>
      <c r="N67" s="59"/>
      <c r="O67" s="239"/>
      <c r="P67" s="239"/>
      <c r="Q67" s="239"/>
      <c r="R67" s="243"/>
      <c r="S67" s="239"/>
      <c r="T67" s="213"/>
      <c r="U67" s="213"/>
    </row>
    <row r="68" spans="1:21" ht="40.5">
      <c r="A68" s="119">
        <v>8</v>
      </c>
      <c r="B68" s="97" t="s">
        <v>288</v>
      </c>
      <c r="C68" s="76" t="s">
        <v>479</v>
      </c>
      <c r="D68" s="76" t="s">
        <v>10</v>
      </c>
      <c r="E68" s="79"/>
      <c r="F68" s="79">
        <v>0.56</v>
      </c>
      <c r="G68" s="79"/>
      <c r="H68" s="181"/>
      <c r="I68" s="181"/>
      <c r="J68" s="181"/>
      <c r="K68" s="181"/>
      <c r="L68" s="181"/>
      <c r="M68" s="406"/>
      <c r="N68" s="43"/>
      <c r="O68" s="213"/>
      <c r="P68" s="213"/>
      <c r="Q68" s="213"/>
      <c r="R68" s="240"/>
      <c r="S68" s="213"/>
      <c r="T68" s="213"/>
      <c r="U68" s="213"/>
    </row>
    <row r="69" spans="1:21" ht="15.75">
      <c r="A69" s="218">
        <f aca="true" t="shared" si="3" ref="A69:A77">A68+0.1</f>
        <v>8.1</v>
      </c>
      <c r="B69" s="101"/>
      <c r="C69" s="392" t="s">
        <v>166</v>
      </c>
      <c r="D69" s="393" t="s">
        <v>11</v>
      </c>
      <c r="E69" s="396">
        <f>50.49*1.15*1.5</f>
        <v>87.09525</v>
      </c>
      <c r="F69" s="396">
        <f>E69*F68</f>
        <v>48.77334</v>
      </c>
      <c r="G69" s="397"/>
      <c r="H69" s="397"/>
      <c r="I69" s="404"/>
      <c r="J69" s="408"/>
      <c r="K69" s="397"/>
      <c r="L69" s="397"/>
      <c r="M69" s="408"/>
      <c r="N69" s="43"/>
      <c r="O69" s="213"/>
      <c r="P69" s="213"/>
      <c r="Q69" s="213"/>
      <c r="R69" s="240"/>
      <c r="S69" s="213"/>
      <c r="T69" s="239"/>
      <c r="U69" s="239"/>
    </row>
    <row r="70" spans="1:21" ht="15.75">
      <c r="A70" s="218">
        <f t="shared" si="3"/>
        <v>8.2</v>
      </c>
      <c r="B70" s="101"/>
      <c r="C70" s="394" t="s">
        <v>169</v>
      </c>
      <c r="D70" s="141" t="s">
        <v>32</v>
      </c>
      <c r="E70" s="250">
        <v>4.07</v>
      </c>
      <c r="F70" s="250">
        <f>E70*F68</f>
        <v>2.2792000000000003</v>
      </c>
      <c r="G70" s="188"/>
      <c r="H70" s="188"/>
      <c r="I70" s="188"/>
      <c r="J70" s="188"/>
      <c r="K70" s="426"/>
      <c r="L70" s="426"/>
      <c r="M70" s="437"/>
      <c r="N70" s="43"/>
      <c r="O70" s="43"/>
      <c r="P70" s="43"/>
      <c r="Q70" s="43"/>
      <c r="R70" s="246"/>
      <c r="S70" s="213"/>
      <c r="T70" s="239"/>
      <c r="U70" s="239"/>
    </row>
    <row r="71" spans="1:21" ht="24" customHeight="1">
      <c r="A71" s="218">
        <f t="shared" si="3"/>
        <v>8.299999999999999</v>
      </c>
      <c r="B71" s="395"/>
      <c r="C71" s="88" t="s">
        <v>483</v>
      </c>
      <c r="D71" s="216" t="s">
        <v>23</v>
      </c>
      <c r="E71" s="78">
        <v>118</v>
      </c>
      <c r="F71" s="78">
        <f>E71*F68</f>
        <v>66.08000000000001</v>
      </c>
      <c r="G71" s="403"/>
      <c r="H71" s="403"/>
      <c r="I71" s="182"/>
      <c r="J71" s="182"/>
      <c r="K71" s="182"/>
      <c r="L71" s="182"/>
      <c r="M71" s="438"/>
      <c r="N71" s="43"/>
      <c r="O71" s="43"/>
      <c r="P71" s="43"/>
      <c r="Q71" s="43"/>
      <c r="R71" s="246"/>
      <c r="S71" s="213"/>
      <c r="T71" s="239"/>
      <c r="U71" s="239"/>
    </row>
    <row r="72" spans="1:21" ht="28.5" customHeight="1">
      <c r="A72" s="218">
        <f t="shared" si="3"/>
        <v>8.399999999999999</v>
      </c>
      <c r="B72" s="101"/>
      <c r="C72" s="88" t="s">
        <v>480</v>
      </c>
      <c r="D72" s="216" t="s">
        <v>19</v>
      </c>
      <c r="E72" s="78">
        <v>0.03</v>
      </c>
      <c r="F72" s="78">
        <f>E72*F68</f>
        <v>0.016800000000000002</v>
      </c>
      <c r="G72" s="403"/>
      <c r="H72" s="403"/>
      <c r="I72" s="182"/>
      <c r="J72" s="182"/>
      <c r="K72" s="182"/>
      <c r="L72" s="182"/>
      <c r="M72" s="438"/>
      <c r="N72" s="43"/>
      <c r="O72" s="43"/>
      <c r="P72" s="43"/>
      <c r="Q72" s="43"/>
      <c r="R72" s="246"/>
      <c r="S72" s="213"/>
      <c r="T72" s="239"/>
      <c r="U72" s="239"/>
    </row>
    <row r="73" spans="1:21" s="60" customFormat="1" ht="15.75">
      <c r="A73" s="218">
        <f t="shared" si="3"/>
        <v>8.499999999999998</v>
      </c>
      <c r="B73" s="101"/>
      <c r="C73" s="88" t="s">
        <v>481</v>
      </c>
      <c r="D73" s="216" t="s">
        <v>22</v>
      </c>
      <c r="E73" s="78">
        <v>15</v>
      </c>
      <c r="F73" s="78">
        <f>E73*F68</f>
        <v>8.4</v>
      </c>
      <c r="G73" s="403"/>
      <c r="H73" s="403"/>
      <c r="I73" s="182"/>
      <c r="J73" s="182"/>
      <c r="K73" s="182"/>
      <c r="L73" s="182"/>
      <c r="M73" s="438"/>
      <c r="N73" s="43"/>
      <c r="O73" s="43"/>
      <c r="P73" s="43"/>
      <c r="Q73" s="43"/>
      <c r="R73" s="246"/>
      <c r="S73" s="213"/>
      <c r="T73" s="213"/>
      <c r="U73" s="213"/>
    </row>
    <row r="74" spans="1:21" s="55" customFormat="1" ht="15.75">
      <c r="A74" s="218">
        <f t="shared" si="3"/>
        <v>8.599999999999998</v>
      </c>
      <c r="B74" s="101"/>
      <c r="C74" s="88" t="s">
        <v>482</v>
      </c>
      <c r="D74" s="216" t="s">
        <v>14</v>
      </c>
      <c r="E74" s="78"/>
      <c r="F74" s="78">
        <f>56*0.03</f>
        <v>1.68</v>
      </c>
      <c r="G74" s="403"/>
      <c r="H74" s="403"/>
      <c r="I74" s="182"/>
      <c r="J74" s="182"/>
      <c r="K74" s="182"/>
      <c r="L74" s="182"/>
      <c r="M74" s="438"/>
      <c r="N74" s="57"/>
      <c r="O74" s="57"/>
      <c r="P74" s="57"/>
      <c r="Q74" s="57"/>
      <c r="R74" s="247"/>
      <c r="S74" s="238"/>
      <c r="T74" s="238"/>
      <c r="U74" s="238"/>
    </row>
    <row r="75" spans="1:21" ht="15.75">
      <c r="A75" s="218">
        <f t="shared" si="3"/>
        <v>8.699999999999998</v>
      </c>
      <c r="B75" s="101"/>
      <c r="C75" s="88" t="s">
        <v>484</v>
      </c>
      <c r="D75" s="216" t="s">
        <v>485</v>
      </c>
      <c r="E75" s="78"/>
      <c r="F75" s="78">
        <v>56</v>
      </c>
      <c r="G75" s="403"/>
      <c r="H75" s="403"/>
      <c r="I75" s="182"/>
      <c r="J75" s="182"/>
      <c r="K75" s="182"/>
      <c r="L75" s="182"/>
      <c r="M75" s="438"/>
      <c r="N75" s="239"/>
      <c r="O75" s="239"/>
      <c r="P75" s="239"/>
      <c r="Q75" s="239"/>
      <c r="R75" s="243"/>
      <c r="S75" s="239"/>
      <c r="T75" s="239"/>
      <c r="U75" s="239"/>
    </row>
    <row r="76" spans="1:21" s="54" customFormat="1" ht="15.75">
      <c r="A76" s="218">
        <f t="shared" si="3"/>
        <v>8.799999999999997</v>
      </c>
      <c r="B76" s="101"/>
      <c r="C76" s="88" t="s">
        <v>289</v>
      </c>
      <c r="D76" s="216" t="s">
        <v>22</v>
      </c>
      <c r="E76" s="78">
        <v>10.6</v>
      </c>
      <c r="F76" s="78">
        <f>E76*F68</f>
        <v>5.936</v>
      </c>
      <c r="G76" s="403"/>
      <c r="H76" s="403"/>
      <c r="I76" s="182"/>
      <c r="J76" s="182"/>
      <c r="K76" s="182"/>
      <c r="L76" s="182"/>
      <c r="M76" s="438"/>
      <c r="N76" s="213"/>
      <c r="O76" s="213"/>
      <c r="P76" s="213"/>
      <c r="Q76" s="213"/>
      <c r="R76" s="240"/>
      <c r="S76" s="213"/>
      <c r="T76" s="213"/>
      <c r="U76" s="213"/>
    </row>
    <row r="77" spans="1:21" s="63" customFormat="1" ht="15.75">
      <c r="A77" s="218">
        <f t="shared" si="3"/>
        <v>8.899999999999997</v>
      </c>
      <c r="B77" s="101"/>
      <c r="C77" s="88" t="s">
        <v>24</v>
      </c>
      <c r="D77" s="109" t="s">
        <v>32</v>
      </c>
      <c r="E77" s="78">
        <v>8.16</v>
      </c>
      <c r="F77" s="78">
        <f>E77*F68</f>
        <v>4.5696</v>
      </c>
      <c r="G77" s="403"/>
      <c r="H77" s="403"/>
      <c r="I77" s="182"/>
      <c r="J77" s="182"/>
      <c r="K77" s="182"/>
      <c r="L77" s="182"/>
      <c r="M77" s="438"/>
      <c r="N77" s="213"/>
      <c r="O77" s="213"/>
      <c r="P77" s="213"/>
      <c r="Q77" s="213"/>
      <c r="R77" s="240"/>
      <c r="S77" s="213"/>
      <c r="T77" s="213"/>
      <c r="U77" s="213"/>
    </row>
    <row r="78" spans="1:21" ht="40.5">
      <c r="A78" s="119">
        <v>9</v>
      </c>
      <c r="B78" s="97" t="s">
        <v>288</v>
      </c>
      <c r="C78" s="76" t="s">
        <v>471</v>
      </c>
      <c r="D78" s="76" t="s">
        <v>10</v>
      </c>
      <c r="E78" s="79"/>
      <c r="F78" s="79">
        <v>0.9</v>
      </c>
      <c r="G78" s="79"/>
      <c r="H78" s="232"/>
      <c r="I78" s="232"/>
      <c r="J78" s="232"/>
      <c r="K78" s="131"/>
      <c r="L78" s="131"/>
      <c r="M78" s="406"/>
      <c r="N78" s="213"/>
      <c r="O78" s="213"/>
      <c r="P78" s="213"/>
      <c r="Q78" s="213"/>
      <c r="R78" s="240"/>
      <c r="S78" s="213"/>
      <c r="T78" s="239"/>
      <c r="U78" s="239"/>
    </row>
    <row r="79" spans="1:21" s="54" customFormat="1" ht="15.75">
      <c r="A79" s="218">
        <f>A78+0.1</f>
        <v>9.1</v>
      </c>
      <c r="B79" s="101"/>
      <c r="C79" s="166" t="s">
        <v>166</v>
      </c>
      <c r="D79" s="139" t="s">
        <v>11</v>
      </c>
      <c r="E79" s="129">
        <f>50.49*1.15*1.5</f>
        <v>87.09525</v>
      </c>
      <c r="F79" s="129">
        <f>E79*F78</f>
        <v>78.385725</v>
      </c>
      <c r="G79" s="261"/>
      <c r="H79" s="261"/>
      <c r="I79" s="404"/>
      <c r="J79" s="408"/>
      <c r="K79" s="184"/>
      <c r="L79" s="184"/>
      <c r="M79" s="408"/>
      <c r="N79" s="213"/>
      <c r="O79" s="213"/>
      <c r="P79" s="213"/>
      <c r="Q79" s="213"/>
      <c r="R79" s="240"/>
      <c r="S79" s="213"/>
      <c r="T79" s="213"/>
      <c r="U79" s="213"/>
    </row>
    <row r="80" spans="1:21" s="55" customFormat="1" ht="15.75">
      <c r="A80" s="218">
        <f>A79+0.1</f>
        <v>9.2</v>
      </c>
      <c r="B80" s="101"/>
      <c r="C80" s="178" t="s">
        <v>169</v>
      </c>
      <c r="D80" s="145" t="s">
        <v>32</v>
      </c>
      <c r="E80" s="146">
        <v>4.07</v>
      </c>
      <c r="F80" s="146">
        <f>E80*F78</f>
        <v>3.6630000000000003</v>
      </c>
      <c r="G80" s="262"/>
      <c r="H80" s="262"/>
      <c r="I80" s="262"/>
      <c r="J80" s="262"/>
      <c r="K80" s="426"/>
      <c r="L80" s="426"/>
      <c r="M80" s="437"/>
      <c r="N80" s="213"/>
      <c r="O80" s="213"/>
      <c r="P80" s="213"/>
      <c r="Q80" s="213"/>
      <c r="R80" s="240"/>
      <c r="S80" s="213"/>
      <c r="T80" s="213"/>
      <c r="U80" s="213"/>
    </row>
    <row r="81" spans="1:21" ht="27">
      <c r="A81" s="218">
        <f>A80+0.1</f>
        <v>9.299999999999999</v>
      </c>
      <c r="B81" s="101"/>
      <c r="C81" s="88" t="s">
        <v>472</v>
      </c>
      <c r="D81" s="216" t="s">
        <v>253</v>
      </c>
      <c r="E81" s="78">
        <v>103</v>
      </c>
      <c r="F81" s="78">
        <f>E81*F78</f>
        <v>92.7</v>
      </c>
      <c r="G81" s="403"/>
      <c r="H81" s="403"/>
      <c r="I81" s="232"/>
      <c r="J81" s="232"/>
      <c r="K81" s="180"/>
      <c r="L81" s="180"/>
      <c r="M81" s="438"/>
      <c r="N81" s="213"/>
      <c r="O81" s="213"/>
      <c r="P81" s="213"/>
      <c r="Q81" s="213"/>
      <c r="R81" s="240"/>
      <c r="S81" s="213"/>
      <c r="T81" s="213"/>
      <c r="U81" s="213"/>
    </row>
    <row r="82" spans="1:21" s="54" customFormat="1" ht="15.75">
      <c r="A82" s="218">
        <f>A81+0.1</f>
        <v>9.399999999999999</v>
      </c>
      <c r="B82" s="101"/>
      <c r="C82" s="88" t="s">
        <v>289</v>
      </c>
      <c r="D82" s="216" t="s">
        <v>22</v>
      </c>
      <c r="E82" s="78">
        <v>3.4</v>
      </c>
      <c r="F82" s="78">
        <f>E82*F78</f>
        <v>3.06</v>
      </c>
      <c r="G82" s="403"/>
      <c r="H82" s="403"/>
      <c r="I82" s="232"/>
      <c r="J82" s="232"/>
      <c r="K82" s="180"/>
      <c r="L82" s="180"/>
      <c r="M82" s="438"/>
      <c r="N82" s="238"/>
      <c r="O82" s="238"/>
      <c r="P82" s="238"/>
      <c r="Q82" s="238"/>
      <c r="R82" s="242"/>
      <c r="S82" s="238"/>
      <c r="T82" s="213"/>
      <c r="U82" s="213"/>
    </row>
    <row r="83" spans="1:21" s="54" customFormat="1" ht="15.75">
      <c r="A83" s="218">
        <f>A82+0.1</f>
        <v>9.499999999999998</v>
      </c>
      <c r="B83" s="101"/>
      <c r="C83" s="88" t="s">
        <v>24</v>
      </c>
      <c r="D83" s="216" t="s">
        <v>32</v>
      </c>
      <c r="E83" s="78">
        <v>8.16</v>
      </c>
      <c r="F83" s="78">
        <f>E83*F78</f>
        <v>7.344</v>
      </c>
      <c r="G83" s="403"/>
      <c r="H83" s="403"/>
      <c r="I83" s="232"/>
      <c r="J83" s="232"/>
      <c r="K83" s="180"/>
      <c r="L83" s="180"/>
      <c r="M83" s="438"/>
      <c r="N83" s="213"/>
      <c r="O83" s="213"/>
      <c r="P83" s="213"/>
      <c r="Q83" s="213"/>
      <c r="R83" s="240"/>
      <c r="S83" s="213"/>
      <c r="T83" s="213"/>
      <c r="U83" s="213"/>
    </row>
    <row r="84" spans="1:21" ht="31.5" customHeight="1">
      <c r="A84" s="228">
        <v>10</v>
      </c>
      <c r="B84" s="117" t="s">
        <v>429</v>
      </c>
      <c r="C84" s="113" t="s">
        <v>430</v>
      </c>
      <c r="D84" s="113" t="s">
        <v>25</v>
      </c>
      <c r="E84" s="280"/>
      <c r="F84" s="200">
        <v>0.1</v>
      </c>
      <c r="G84" s="280"/>
      <c r="H84" s="201"/>
      <c r="I84" s="201"/>
      <c r="J84" s="211"/>
      <c r="K84" s="201"/>
      <c r="L84" s="201"/>
      <c r="M84" s="411"/>
      <c r="N84" s="213"/>
      <c r="O84" s="213"/>
      <c r="P84" s="213"/>
      <c r="Q84" s="213"/>
      <c r="R84" s="240"/>
      <c r="S84" s="213"/>
      <c r="T84" s="238"/>
      <c r="U84" s="238"/>
    </row>
    <row r="85" spans="1:21" ht="13.5">
      <c r="A85" s="203">
        <f aca="true" t="shared" si="4" ref="A85:A90">A84+0.1</f>
        <v>10.1</v>
      </c>
      <c r="B85" s="127"/>
      <c r="C85" s="126" t="s">
        <v>431</v>
      </c>
      <c r="D85" s="126" t="s">
        <v>11</v>
      </c>
      <c r="E85" s="185">
        <v>32.89</v>
      </c>
      <c r="F85" s="204">
        <f>E85*F84</f>
        <v>3.289</v>
      </c>
      <c r="G85" s="205"/>
      <c r="H85" s="205"/>
      <c r="I85" s="404"/>
      <c r="J85" s="404"/>
      <c r="K85" s="205"/>
      <c r="L85" s="205"/>
      <c r="M85" s="404"/>
      <c r="N85" s="213"/>
      <c r="O85" s="213"/>
      <c r="P85" s="213"/>
      <c r="Q85" s="213"/>
      <c r="R85" s="240"/>
      <c r="S85" s="213"/>
      <c r="T85" s="239"/>
      <c r="U85" s="239"/>
    </row>
    <row r="86" spans="1:21" ht="13.5">
      <c r="A86" s="203">
        <f t="shared" si="4"/>
        <v>10.2</v>
      </c>
      <c r="B86" s="192"/>
      <c r="C86" s="187" t="s">
        <v>264</v>
      </c>
      <c r="D86" s="190" t="s">
        <v>32</v>
      </c>
      <c r="E86" s="221">
        <v>0.47</v>
      </c>
      <c r="F86" s="207">
        <f>E86*F84</f>
        <v>0.047</v>
      </c>
      <c r="G86" s="208"/>
      <c r="H86" s="208"/>
      <c r="I86" s="208"/>
      <c r="J86" s="209"/>
      <c r="K86" s="428"/>
      <c r="L86" s="428"/>
      <c r="M86" s="435"/>
      <c r="N86" s="213"/>
      <c r="O86" s="213"/>
      <c r="P86" s="213"/>
      <c r="Q86" s="213"/>
      <c r="R86" s="240"/>
      <c r="S86" s="213"/>
      <c r="T86" s="213"/>
      <c r="U86" s="213"/>
    </row>
    <row r="87" spans="1:21" ht="13.5">
      <c r="A87" s="203">
        <f t="shared" si="4"/>
        <v>10.299999999999999</v>
      </c>
      <c r="B87" s="118"/>
      <c r="C87" s="114" t="s">
        <v>432</v>
      </c>
      <c r="D87" s="114" t="s">
        <v>373</v>
      </c>
      <c r="E87" s="327">
        <v>103</v>
      </c>
      <c r="F87" s="210">
        <f>E87*F84</f>
        <v>10.3</v>
      </c>
      <c r="G87" s="414"/>
      <c r="H87" s="414"/>
      <c r="I87" s="201"/>
      <c r="J87" s="211"/>
      <c r="K87" s="201"/>
      <c r="L87" s="201"/>
      <c r="M87" s="416"/>
      <c r="N87" s="213"/>
      <c r="O87" s="213"/>
      <c r="P87" s="213"/>
      <c r="Q87" s="213"/>
      <c r="R87" s="240"/>
      <c r="S87" s="213"/>
      <c r="T87" s="213"/>
      <c r="U87" s="213"/>
    </row>
    <row r="88" spans="1:21" s="54" customFormat="1" ht="13.5">
      <c r="A88" s="203">
        <f t="shared" si="4"/>
        <v>10.399999999999999</v>
      </c>
      <c r="B88" s="118"/>
      <c r="C88" s="114" t="s">
        <v>433</v>
      </c>
      <c r="D88" s="114" t="s">
        <v>22</v>
      </c>
      <c r="E88" s="327">
        <v>3.8</v>
      </c>
      <c r="F88" s="210">
        <f>E88*F84</f>
        <v>0.38</v>
      </c>
      <c r="G88" s="414"/>
      <c r="H88" s="414"/>
      <c r="I88" s="201"/>
      <c r="J88" s="211"/>
      <c r="K88" s="201"/>
      <c r="L88" s="201"/>
      <c r="M88" s="416"/>
      <c r="N88" s="213"/>
      <c r="O88" s="213"/>
      <c r="P88" s="213"/>
      <c r="Q88" s="213"/>
      <c r="R88" s="240"/>
      <c r="S88" s="213"/>
      <c r="T88" s="213"/>
      <c r="U88" s="213"/>
    </row>
    <row r="89" spans="1:21" s="55" customFormat="1" ht="13.5">
      <c r="A89" s="203">
        <f t="shared" si="4"/>
        <v>10.499999999999998</v>
      </c>
      <c r="B89" s="118"/>
      <c r="C89" s="114" t="s">
        <v>434</v>
      </c>
      <c r="D89" s="114" t="s">
        <v>22</v>
      </c>
      <c r="E89" s="327">
        <v>3.8</v>
      </c>
      <c r="F89" s="210">
        <f>E89*F84</f>
        <v>0.38</v>
      </c>
      <c r="G89" s="414"/>
      <c r="H89" s="414"/>
      <c r="I89" s="201"/>
      <c r="J89" s="211"/>
      <c r="K89" s="201"/>
      <c r="L89" s="201"/>
      <c r="M89" s="416"/>
      <c r="N89" s="213"/>
      <c r="O89" s="213"/>
      <c r="P89" s="213"/>
      <c r="Q89" s="213"/>
      <c r="R89" s="240"/>
      <c r="S89" s="213"/>
      <c r="T89" s="213"/>
      <c r="U89" s="213"/>
    </row>
    <row r="90" spans="1:21" ht="13.5">
      <c r="A90" s="203">
        <f t="shared" si="4"/>
        <v>10.599999999999998</v>
      </c>
      <c r="B90" s="118"/>
      <c r="C90" s="114" t="s">
        <v>435</v>
      </c>
      <c r="D90" s="114" t="s">
        <v>22</v>
      </c>
      <c r="E90" s="327">
        <v>16.9</v>
      </c>
      <c r="F90" s="210">
        <f>E90*F84</f>
        <v>1.69</v>
      </c>
      <c r="G90" s="414"/>
      <c r="H90" s="414"/>
      <c r="I90" s="201"/>
      <c r="J90" s="211"/>
      <c r="K90" s="201"/>
      <c r="L90" s="201"/>
      <c r="M90" s="416"/>
      <c r="N90" s="213"/>
      <c r="O90" s="213"/>
      <c r="P90" s="213"/>
      <c r="Q90" s="213"/>
      <c r="R90" s="240"/>
      <c r="S90" s="213"/>
      <c r="T90" s="213"/>
      <c r="U90" s="213"/>
    </row>
    <row r="91" spans="1:21" s="54" customFormat="1" ht="40.5">
      <c r="A91" s="87">
        <v>11</v>
      </c>
      <c r="B91" s="215" t="s">
        <v>436</v>
      </c>
      <c r="C91" s="76" t="s">
        <v>437</v>
      </c>
      <c r="D91" s="76" t="s">
        <v>26</v>
      </c>
      <c r="E91" s="79"/>
      <c r="F91" s="79">
        <v>2</v>
      </c>
      <c r="G91" s="79"/>
      <c r="H91" s="5"/>
      <c r="I91" s="5"/>
      <c r="J91" s="216"/>
      <c r="K91" s="5"/>
      <c r="L91" s="5"/>
      <c r="M91" s="406"/>
      <c r="N91" s="238"/>
      <c r="O91" s="238"/>
      <c r="P91" s="238"/>
      <c r="Q91" s="238"/>
      <c r="R91" s="242"/>
      <c r="S91" s="238"/>
      <c r="T91" s="213"/>
      <c r="U91" s="213"/>
    </row>
    <row r="92" spans="1:21" s="55" customFormat="1" ht="13.5">
      <c r="A92" s="216">
        <f>A91+0.1</f>
        <v>11.1</v>
      </c>
      <c r="B92" s="84"/>
      <c r="C92" s="124" t="s">
        <v>140</v>
      </c>
      <c r="D92" s="124" t="s">
        <v>11</v>
      </c>
      <c r="E92" s="124">
        <v>2.7</v>
      </c>
      <c r="F92" s="129">
        <f>E92*F91</f>
        <v>5.4</v>
      </c>
      <c r="G92" s="124"/>
      <c r="H92" s="124"/>
      <c r="I92" s="404"/>
      <c r="J92" s="408"/>
      <c r="K92" s="124"/>
      <c r="L92" s="124"/>
      <c r="M92" s="408"/>
      <c r="N92" s="239"/>
      <c r="O92" s="239"/>
      <c r="P92" s="239"/>
      <c r="Q92" s="239"/>
      <c r="R92" s="243"/>
      <c r="S92" s="239"/>
      <c r="T92" s="213"/>
      <c r="U92" s="213"/>
    </row>
    <row r="93" spans="1:21" s="54" customFormat="1" ht="13.5">
      <c r="A93" s="216">
        <f>A92+0.1</f>
        <v>11.2</v>
      </c>
      <c r="B93" s="84"/>
      <c r="C93" s="144" t="s">
        <v>168</v>
      </c>
      <c r="D93" s="144" t="s">
        <v>32</v>
      </c>
      <c r="E93" s="144">
        <v>0.45</v>
      </c>
      <c r="F93" s="146">
        <f>E93*F91</f>
        <v>0.9</v>
      </c>
      <c r="G93" s="144"/>
      <c r="H93" s="144"/>
      <c r="I93" s="144"/>
      <c r="J93" s="144"/>
      <c r="K93" s="426"/>
      <c r="L93" s="426"/>
      <c r="M93" s="426"/>
      <c r="N93" s="238"/>
      <c r="O93" s="238"/>
      <c r="P93" s="238"/>
      <c r="Q93" s="238"/>
      <c r="R93" s="242"/>
      <c r="S93" s="238"/>
      <c r="T93" s="213"/>
      <c r="U93" s="213"/>
    </row>
    <row r="94" spans="1:21" s="55" customFormat="1" ht="13.5">
      <c r="A94" s="216">
        <f>A93+0.1</f>
        <v>11.299999999999999</v>
      </c>
      <c r="B94" s="84"/>
      <c r="C94" s="216" t="s">
        <v>438</v>
      </c>
      <c r="D94" s="216" t="s">
        <v>26</v>
      </c>
      <c r="E94" s="78">
        <v>1</v>
      </c>
      <c r="F94" s="78">
        <f>E94*F91</f>
        <v>2</v>
      </c>
      <c r="G94" s="403"/>
      <c r="H94" s="403"/>
      <c r="I94" s="142"/>
      <c r="J94" s="145"/>
      <c r="K94" s="142"/>
      <c r="L94" s="142"/>
      <c r="M94" s="403"/>
      <c r="N94" s="239"/>
      <c r="O94" s="239"/>
      <c r="P94" s="239"/>
      <c r="Q94" s="239"/>
      <c r="R94" s="243"/>
      <c r="S94" s="239"/>
      <c r="T94" s="213"/>
      <c r="U94" s="213"/>
    </row>
    <row r="95" spans="1:21" s="55" customFormat="1" ht="13.5">
      <c r="A95" s="216">
        <f>A94+0.1</f>
        <v>11.399999999999999</v>
      </c>
      <c r="B95" s="84"/>
      <c r="C95" s="216" t="s">
        <v>24</v>
      </c>
      <c r="D95" s="216" t="s">
        <v>32</v>
      </c>
      <c r="E95" s="78">
        <v>0.14</v>
      </c>
      <c r="F95" s="78">
        <f>E95*F91</f>
        <v>0.28</v>
      </c>
      <c r="G95" s="403"/>
      <c r="H95" s="403"/>
      <c r="I95" s="5"/>
      <c r="J95" s="216"/>
      <c r="K95" s="5"/>
      <c r="L95" s="5"/>
      <c r="M95" s="403"/>
      <c r="N95" s="239"/>
      <c r="O95" s="239"/>
      <c r="P95" s="239"/>
      <c r="Q95" s="239"/>
      <c r="R95" s="243"/>
      <c r="S95" s="239"/>
      <c r="T95" s="213"/>
      <c r="U95" s="213"/>
    </row>
    <row r="96" spans="1:21" s="54" customFormat="1" ht="54">
      <c r="A96" s="87">
        <v>12</v>
      </c>
      <c r="B96" s="215" t="s">
        <v>439</v>
      </c>
      <c r="C96" s="76" t="s">
        <v>440</v>
      </c>
      <c r="D96" s="76" t="s">
        <v>25</v>
      </c>
      <c r="E96" s="79"/>
      <c r="F96" s="79">
        <v>0.06</v>
      </c>
      <c r="G96" s="79"/>
      <c r="H96" s="296"/>
      <c r="I96" s="5"/>
      <c r="J96" s="216"/>
      <c r="K96" s="5"/>
      <c r="L96" s="5"/>
      <c r="M96" s="406"/>
      <c r="N96" s="213"/>
      <c r="O96" s="213"/>
      <c r="P96" s="213"/>
      <c r="Q96" s="213"/>
      <c r="R96" s="240"/>
      <c r="S96" s="213"/>
      <c r="T96" s="213"/>
      <c r="U96" s="213"/>
    </row>
    <row r="97" spans="1:21" s="55" customFormat="1" ht="18.75" customHeight="1">
      <c r="A97" s="216">
        <f aca="true" t="shared" si="5" ref="A97:A103">A96+0.1</f>
        <v>12.1</v>
      </c>
      <c r="B97" s="84"/>
      <c r="C97" s="124" t="s">
        <v>441</v>
      </c>
      <c r="D97" s="124" t="s">
        <v>11</v>
      </c>
      <c r="E97" s="124">
        <v>58.3</v>
      </c>
      <c r="F97" s="129">
        <f>E97*F96</f>
        <v>3.4979999999999998</v>
      </c>
      <c r="G97" s="124"/>
      <c r="H97" s="124"/>
      <c r="I97" s="404"/>
      <c r="J97" s="408"/>
      <c r="K97" s="124"/>
      <c r="L97" s="124"/>
      <c r="M97" s="408"/>
      <c r="N97" s="213"/>
      <c r="O97" s="213"/>
      <c r="P97" s="213"/>
      <c r="Q97" s="213"/>
      <c r="R97" s="240"/>
      <c r="S97" s="213"/>
      <c r="T97" s="238"/>
      <c r="U97" s="238"/>
    </row>
    <row r="98" spans="1:21" ht="18" customHeight="1">
      <c r="A98" s="216">
        <f t="shared" si="5"/>
        <v>12.2</v>
      </c>
      <c r="B98" s="144"/>
      <c r="C98" s="144" t="s">
        <v>442</v>
      </c>
      <c r="D98" s="144" t="s">
        <v>32</v>
      </c>
      <c r="E98" s="144">
        <v>0.46</v>
      </c>
      <c r="F98" s="146">
        <f>E98*F96</f>
        <v>0.0276</v>
      </c>
      <c r="G98" s="144"/>
      <c r="H98" s="144"/>
      <c r="I98" s="144"/>
      <c r="J98" s="144"/>
      <c r="K98" s="426"/>
      <c r="L98" s="426"/>
      <c r="M98" s="426"/>
      <c r="N98" s="213"/>
      <c r="O98" s="213"/>
      <c r="P98" s="213"/>
      <c r="Q98" s="213"/>
      <c r="R98" s="240"/>
      <c r="S98" s="213"/>
      <c r="T98" s="239"/>
      <c r="U98" s="239"/>
    </row>
    <row r="99" spans="1:21" ht="13.5">
      <c r="A99" s="216">
        <f t="shared" si="5"/>
        <v>12.299999999999999</v>
      </c>
      <c r="B99" s="84"/>
      <c r="C99" s="216" t="s">
        <v>443</v>
      </c>
      <c r="D99" s="216" t="s">
        <v>27</v>
      </c>
      <c r="E99" s="78">
        <v>103</v>
      </c>
      <c r="F99" s="78">
        <f>E99*F96</f>
        <v>6.18</v>
      </c>
      <c r="G99" s="403"/>
      <c r="H99" s="403"/>
      <c r="I99" s="123"/>
      <c r="J99" s="139"/>
      <c r="K99" s="123"/>
      <c r="L99" s="123"/>
      <c r="M99" s="403"/>
      <c r="N99" s="213"/>
      <c r="O99" s="213"/>
      <c r="P99" s="213"/>
      <c r="Q99" s="213"/>
      <c r="R99" s="240"/>
      <c r="S99" s="213"/>
      <c r="T99" s="213"/>
      <c r="U99" s="213"/>
    </row>
    <row r="100" spans="1:21" s="54" customFormat="1" ht="13.5">
      <c r="A100" s="216">
        <f t="shared" si="5"/>
        <v>12.399999999999999</v>
      </c>
      <c r="B100" s="84"/>
      <c r="C100" s="216" t="s">
        <v>444</v>
      </c>
      <c r="D100" s="216" t="s">
        <v>26</v>
      </c>
      <c r="E100" s="78"/>
      <c r="F100" s="78">
        <f>F91</f>
        <v>2</v>
      </c>
      <c r="G100" s="403"/>
      <c r="H100" s="403"/>
      <c r="I100" s="142"/>
      <c r="J100" s="145"/>
      <c r="K100" s="142"/>
      <c r="L100" s="142"/>
      <c r="M100" s="403"/>
      <c r="N100" s="238"/>
      <c r="O100" s="238"/>
      <c r="P100" s="238"/>
      <c r="Q100" s="238"/>
      <c r="R100" s="242"/>
      <c r="S100" s="238"/>
      <c r="T100" s="213"/>
      <c r="U100" s="213"/>
    </row>
    <row r="101" spans="1:21" s="55" customFormat="1" ht="13.5">
      <c r="A101" s="216">
        <f t="shared" si="5"/>
        <v>12.499999999999998</v>
      </c>
      <c r="B101" s="84"/>
      <c r="C101" s="216" t="s">
        <v>445</v>
      </c>
      <c r="D101" s="216" t="s">
        <v>26</v>
      </c>
      <c r="E101" s="78"/>
      <c r="F101" s="78">
        <v>2</v>
      </c>
      <c r="G101" s="403"/>
      <c r="H101" s="403"/>
      <c r="I101" s="142"/>
      <c r="J101" s="145"/>
      <c r="K101" s="142"/>
      <c r="L101" s="142"/>
      <c r="M101" s="403"/>
      <c r="N101" s="239"/>
      <c r="O101" s="239"/>
      <c r="P101" s="239"/>
      <c r="Q101" s="239"/>
      <c r="R101" s="243"/>
      <c r="S101" s="239"/>
      <c r="T101" s="213"/>
      <c r="U101" s="213"/>
    </row>
    <row r="102" spans="1:21" ht="13.5">
      <c r="A102" s="216">
        <f t="shared" si="5"/>
        <v>12.599999999999998</v>
      </c>
      <c r="B102" s="84"/>
      <c r="C102" s="216" t="s">
        <v>446</v>
      </c>
      <c r="D102" s="216" t="s">
        <v>22</v>
      </c>
      <c r="E102" s="78">
        <v>23.5</v>
      </c>
      <c r="F102" s="78">
        <f>F96*E102</f>
        <v>1.41</v>
      </c>
      <c r="G102" s="403"/>
      <c r="H102" s="403"/>
      <c r="I102" s="5"/>
      <c r="J102" s="5"/>
      <c r="K102" s="5"/>
      <c r="L102" s="5"/>
      <c r="M102" s="403"/>
      <c r="N102" s="213"/>
      <c r="O102" s="213"/>
      <c r="P102" s="213"/>
      <c r="Q102" s="213"/>
      <c r="R102" s="240"/>
      <c r="S102" s="213"/>
      <c r="T102" s="213"/>
      <c r="U102" s="213"/>
    </row>
    <row r="103" spans="1:21" ht="13.5">
      <c r="A103" s="216">
        <f t="shared" si="5"/>
        <v>12.699999999999998</v>
      </c>
      <c r="B103" s="84"/>
      <c r="C103" s="216" t="s">
        <v>24</v>
      </c>
      <c r="D103" s="216" t="s">
        <v>32</v>
      </c>
      <c r="E103" s="78">
        <v>20.8</v>
      </c>
      <c r="F103" s="78">
        <f>F96*E103</f>
        <v>1.248</v>
      </c>
      <c r="G103" s="403"/>
      <c r="H103" s="403"/>
      <c r="I103" s="5"/>
      <c r="J103" s="5"/>
      <c r="K103" s="5"/>
      <c r="L103" s="5"/>
      <c r="M103" s="403"/>
      <c r="N103" s="213"/>
      <c r="O103" s="213"/>
      <c r="P103" s="213"/>
      <c r="Q103" s="213"/>
      <c r="R103" s="240"/>
      <c r="S103" s="213"/>
      <c r="T103" s="238"/>
      <c r="U103" s="238"/>
    </row>
    <row r="104" spans="1:21" ht="63.75">
      <c r="A104" s="97" t="s">
        <v>154</v>
      </c>
      <c r="B104" s="113" t="s">
        <v>283</v>
      </c>
      <c r="C104" s="198" t="s">
        <v>284</v>
      </c>
      <c r="D104" s="198" t="s">
        <v>156</v>
      </c>
      <c r="E104" s="200"/>
      <c r="F104" s="200">
        <f>F14</f>
        <v>0.044928</v>
      </c>
      <c r="G104" s="200"/>
      <c r="H104" s="211"/>
      <c r="I104" s="211"/>
      <c r="J104" s="211"/>
      <c r="K104" s="201"/>
      <c r="L104" s="201"/>
      <c r="M104" s="411"/>
      <c r="N104" s="213"/>
      <c r="O104" s="213"/>
      <c r="P104" s="213"/>
      <c r="Q104" s="213"/>
      <c r="R104" s="240"/>
      <c r="S104" s="213"/>
      <c r="T104" s="239"/>
      <c r="U104" s="239"/>
    </row>
    <row r="105" spans="1:21" ht="13.5">
      <c r="A105" s="203">
        <f>A104+0.1</f>
        <v>13.1</v>
      </c>
      <c r="B105" s="113"/>
      <c r="C105" s="204" t="s">
        <v>285</v>
      </c>
      <c r="D105" s="204" t="s">
        <v>11</v>
      </c>
      <c r="E105" s="204">
        <v>21.34</v>
      </c>
      <c r="F105" s="204">
        <f>E105*F104</f>
        <v>0.9587635200000001</v>
      </c>
      <c r="G105" s="204"/>
      <c r="H105" s="204"/>
      <c r="I105" s="404"/>
      <c r="J105" s="404"/>
      <c r="K105" s="202"/>
      <c r="L105" s="202"/>
      <c r="M105" s="404"/>
      <c r="N105" s="213"/>
      <c r="O105" s="213"/>
      <c r="P105" s="213"/>
      <c r="Q105" s="213"/>
      <c r="R105" s="240"/>
      <c r="S105" s="213"/>
      <c r="T105" s="213"/>
      <c r="U105" s="213"/>
    </row>
    <row r="106" spans="1:21" ht="15.75" customHeight="1">
      <c r="A106" s="203">
        <f>A105+0.1</f>
        <v>13.2</v>
      </c>
      <c r="B106" s="189"/>
      <c r="C106" s="225" t="s">
        <v>286</v>
      </c>
      <c r="D106" s="225" t="s">
        <v>33</v>
      </c>
      <c r="E106" s="207">
        <v>44.8</v>
      </c>
      <c r="F106" s="207">
        <f>E106*F104</f>
        <v>2.0127744</v>
      </c>
      <c r="G106" s="209"/>
      <c r="H106" s="209"/>
      <c r="I106" s="209"/>
      <c r="J106" s="209"/>
      <c r="K106" s="428"/>
      <c r="L106" s="428"/>
      <c r="M106" s="435"/>
      <c r="N106" s="213"/>
      <c r="O106" s="213"/>
      <c r="P106" s="213"/>
      <c r="Q106" s="213"/>
      <c r="R106" s="240"/>
      <c r="S106" s="213"/>
      <c r="T106" s="213"/>
      <c r="U106" s="213"/>
    </row>
    <row r="107" spans="1:21" ht="13.5">
      <c r="A107" s="203">
        <f>A106+0.1</f>
        <v>13.299999999999999</v>
      </c>
      <c r="B107" s="189"/>
      <c r="C107" s="225" t="s">
        <v>287</v>
      </c>
      <c r="D107" s="225" t="s">
        <v>33</v>
      </c>
      <c r="E107" s="207">
        <v>1.3</v>
      </c>
      <c r="F107" s="207">
        <f>F104*E107</f>
        <v>0.058406400000000004</v>
      </c>
      <c r="G107" s="209"/>
      <c r="H107" s="209"/>
      <c r="I107" s="209"/>
      <c r="J107" s="209"/>
      <c r="K107" s="428"/>
      <c r="L107" s="428"/>
      <c r="M107" s="435"/>
      <c r="N107" s="213"/>
      <c r="O107" s="213"/>
      <c r="P107" s="213"/>
      <c r="Q107" s="213"/>
      <c r="R107" s="240"/>
      <c r="S107" s="213"/>
      <c r="T107" s="213"/>
      <c r="U107" s="213"/>
    </row>
    <row r="108" spans="1:21" ht="13.5">
      <c r="A108" s="203">
        <f>A107+0.1</f>
        <v>13.399999999999999</v>
      </c>
      <c r="B108" s="189"/>
      <c r="C108" s="225" t="s">
        <v>173</v>
      </c>
      <c r="D108" s="225" t="s">
        <v>32</v>
      </c>
      <c r="E108" s="207">
        <v>2.1</v>
      </c>
      <c r="F108" s="207">
        <f>F104*E108</f>
        <v>0.09434880000000001</v>
      </c>
      <c r="G108" s="249"/>
      <c r="H108" s="249"/>
      <c r="I108" s="209"/>
      <c r="J108" s="249"/>
      <c r="K108" s="428"/>
      <c r="L108" s="428"/>
      <c r="M108" s="435"/>
      <c r="N108" s="213"/>
      <c r="O108" s="213"/>
      <c r="P108" s="213"/>
      <c r="Q108" s="213"/>
      <c r="R108" s="240"/>
      <c r="S108" s="213"/>
      <c r="T108" s="213"/>
      <c r="U108" s="213"/>
    </row>
    <row r="109" spans="1:21" ht="63.75">
      <c r="A109" s="97" t="s">
        <v>208</v>
      </c>
      <c r="B109" s="113" t="s">
        <v>186</v>
      </c>
      <c r="C109" s="198" t="s">
        <v>497</v>
      </c>
      <c r="D109" s="198" t="s">
        <v>156</v>
      </c>
      <c r="E109" s="200"/>
      <c r="F109" s="200">
        <f>60*0.3/1000</f>
        <v>0.018</v>
      </c>
      <c r="G109" s="200"/>
      <c r="H109" s="211"/>
      <c r="I109" s="211"/>
      <c r="J109" s="211"/>
      <c r="K109" s="201"/>
      <c r="L109" s="201"/>
      <c r="M109" s="411"/>
      <c r="N109" s="213"/>
      <c r="O109" s="213"/>
      <c r="P109" s="213"/>
      <c r="Q109" s="213"/>
      <c r="R109" s="240"/>
      <c r="S109" s="213"/>
      <c r="T109" s="12"/>
      <c r="U109" s="12"/>
    </row>
    <row r="110" spans="1:21" ht="13.5">
      <c r="A110" s="203">
        <f>A109+0.1</f>
        <v>14.1</v>
      </c>
      <c r="B110" s="126"/>
      <c r="C110" s="204" t="s">
        <v>170</v>
      </c>
      <c r="D110" s="204" t="s">
        <v>11</v>
      </c>
      <c r="E110" s="204">
        <v>190</v>
      </c>
      <c r="F110" s="204">
        <f>E110*F109</f>
        <v>3.42</v>
      </c>
      <c r="G110" s="206"/>
      <c r="H110" s="206"/>
      <c r="I110" s="404"/>
      <c r="J110" s="404"/>
      <c r="K110" s="205"/>
      <c r="L110" s="205"/>
      <c r="M110" s="404"/>
      <c r="N110" s="213"/>
      <c r="O110" s="213"/>
      <c r="P110" s="213"/>
      <c r="Q110" s="213"/>
      <c r="R110" s="240"/>
      <c r="S110" s="213"/>
      <c r="T110" s="73"/>
      <c r="U110" s="73"/>
    </row>
    <row r="111" spans="1:21" ht="13.5">
      <c r="A111" s="203">
        <f>A110+0.1</f>
        <v>14.2</v>
      </c>
      <c r="B111" s="187"/>
      <c r="C111" s="225" t="s">
        <v>190</v>
      </c>
      <c r="D111" s="225" t="s">
        <v>33</v>
      </c>
      <c r="E111" s="207">
        <v>112</v>
      </c>
      <c r="F111" s="207">
        <f>F109*E111</f>
        <v>2.016</v>
      </c>
      <c r="G111" s="209"/>
      <c r="H111" s="209"/>
      <c r="I111" s="209"/>
      <c r="J111" s="209"/>
      <c r="K111" s="428"/>
      <c r="L111" s="428"/>
      <c r="M111" s="435"/>
      <c r="N111" s="213"/>
      <c r="O111" s="213"/>
      <c r="P111" s="213"/>
      <c r="Q111" s="213"/>
      <c r="R111" s="240"/>
      <c r="S111" s="213"/>
      <c r="T111" s="55"/>
      <c r="U111" s="55"/>
    </row>
    <row r="112" spans="1:19" ht="13.5">
      <c r="A112" s="203">
        <f>A111+0.1</f>
        <v>14.299999999999999</v>
      </c>
      <c r="B112" s="187"/>
      <c r="C112" s="225" t="s">
        <v>187</v>
      </c>
      <c r="D112" s="225" t="s">
        <v>32</v>
      </c>
      <c r="E112" s="207">
        <v>20</v>
      </c>
      <c r="F112" s="207">
        <f>F109*E112</f>
        <v>0.36</v>
      </c>
      <c r="G112" s="209"/>
      <c r="H112" s="209"/>
      <c r="I112" s="209"/>
      <c r="J112" s="209"/>
      <c r="K112" s="428"/>
      <c r="L112" s="428"/>
      <c r="M112" s="435"/>
      <c r="N112" s="213"/>
      <c r="O112" s="213"/>
      <c r="P112" s="213"/>
      <c r="Q112" s="213"/>
      <c r="R112" s="240"/>
      <c r="S112" s="213"/>
    </row>
    <row r="113" spans="1:21" ht="19.5" customHeight="1">
      <c r="A113" s="203">
        <f>A112+0.1</f>
        <v>14.399999999999999</v>
      </c>
      <c r="B113" s="113"/>
      <c r="C113" s="203" t="s">
        <v>119</v>
      </c>
      <c r="D113" s="203" t="s">
        <v>14</v>
      </c>
      <c r="E113" s="210">
        <v>40</v>
      </c>
      <c r="F113" s="210">
        <f>F109*E113</f>
        <v>0.72</v>
      </c>
      <c r="G113" s="414"/>
      <c r="H113" s="414"/>
      <c r="I113" s="211"/>
      <c r="J113" s="211"/>
      <c r="K113" s="201"/>
      <c r="L113" s="201"/>
      <c r="M113" s="416"/>
      <c r="N113" s="213"/>
      <c r="O113" s="213"/>
      <c r="P113" s="213"/>
      <c r="Q113" s="213"/>
      <c r="R113" s="240"/>
      <c r="S113" s="213"/>
      <c r="T113" s="10"/>
      <c r="U113" s="10"/>
    </row>
    <row r="114" spans="1:13" ht="18" customHeight="1">
      <c r="A114" s="203">
        <f>A113+0.1</f>
        <v>14.499999999999998</v>
      </c>
      <c r="B114" s="114"/>
      <c r="C114" s="203" t="s">
        <v>188</v>
      </c>
      <c r="D114" s="203" t="s">
        <v>14</v>
      </c>
      <c r="E114" s="210">
        <v>1220</v>
      </c>
      <c r="F114" s="210">
        <f>E114*F109</f>
        <v>21.959999999999997</v>
      </c>
      <c r="G114" s="414"/>
      <c r="H114" s="414"/>
      <c r="I114" s="211"/>
      <c r="J114" s="211"/>
      <c r="K114" s="201"/>
      <c r="L114" s="201"/>
      <c r="M114" s="416"/>
    </row>
    <row r="115" spans="1:21" ht="38.25">
      <c r="A115" s="227" t="s">
        <v>208</v>
      </c>
      <c r="B115" s="113" t="s">
        <v>161</v>
      </c>
      <c r="C115" s="198" t="s">
        <v>449</v>
      </c>
      <c r="D115" s="198" t="s">
        <v>137</v>
      </c>
      <c r="E115" s="200"/>
      <c r="F115" s="200">
        <f>60*0.12/100</f>
        <v>0.072</v>
      </c>
      <c r="G115" s="200"/>
      <c r="H115" s="211"/>
      <c r="I115" s="211"/>
      <c r="J115" s="211"/>
      <c r="K115" s="201"/>
      <c r="L115" s="201"/>
      <c r="M115" s="411"/>
      <c r="N115" s="10"/>
      <c r="O115" s="10"/>
      <c r="P115" s="10"/>
      <c r="Q115" s="10"/>
      <c r="R115" s="10"/>
      <c r="S115" s="10"/>
      <c r="T115" s="12"/>
      <c r="U115" s="12"/>
    </row>
    <row r="116" spans="1:21" ht="13.5">
      <c r="A116" s="203">
        <f aca="true" t="shared" si="6" ref="A116:A121">A115+0.1</f>
        <v>14.1</v>
      </c>
      <c r="B116" s="126"/>
      <c r="C116" s="222" t="s">
        <v>140</v>
      </c>
      <c r="D116" s="222" t="s">
        <v>11</v>
      </c>
      <c r="E116" s="204">
        <v>840</v>
      </c>
      <c r="F116" s="204">
        <f>E116*F115</f>
        <v>60.48</v>
      </c>
      <c r="G116" s="206"/>
      <c r="H116" s="206"/>
      <c r="I116" s="404"/>
      <c r="J116" s="404"/>
      <c r="K116" s="205"/>
      <c r="L116" s="205"/>
      <c r="M116" s="404"/>
      <c r="N116" s="12"/>
      <c r="O116" s="12"/>
      <c r="P116" s="12"/>
      <c r="Q116" s="12"/>
      <c r="R116" s="12"/>
      <c r="S116" s="12"/>
      <c r="T116" s="54"/>
      <c r="U116" s="54"/>
    </row>
    <row r="117" spans="1:21" ht="13.5">
      <c r="A117" s="203">
        <f t="shared" si="6"/>
        <v>14.2</v>
      </c>
      <c r="B117" s="187"/>
      <c r="C117" s="225" t="s">
        <v>171</v>
      </c>
      <c r="D117" s="225" t="s">
        <v>32</v>
      </c>
      <c r="E117" s="207">
        <v>81</v>
      </c>
      <c r="F117" s="207">
        <f>E117*F115</f>
        <v>5.832</v>
      </c>
      <c r="G117" s="209"/>
      <c r="H117" s="209"/>
      <c r="I117" s="209"/>
      <c r="J117" s="209"/>
      <c r="K117" s="428"/>
      <c r="L117" s="428"/>
      <c r="M117" s="435"/>
      <c r="T117" s="55"/>
      <c r="U117" s="55"/>
    </row>
    <row r="118" spans="1:13" ht="13.5">
      <c r="A118" s="203">
        <f t="shared" si="6"/>
        <v>14.299999999999999</v>
      </c>
      <c r="B118" s="114"/>
      <c r="C118" s="203" t="s">
        <v>224</v>
      </c>
      <c r="D118" s="203" t="s">
        <v>14</v>
      </c>
      <c r="E118" s="210">
        <v>101.5</v>
      </c>
      <c r="F118" s="210">
        <f>E118*F115</f>
        <v>7.308</v>
      </c>
      <c r="G118" s="414"/>
      <c r="H118" s="414"/>
      <c r="I118" s="211"/>
      <c r="J118" s="211"/>
      <c r="K118" s="201"/>
      <c r="L118" s="201"/>
      <c r="M118" s="416"/>
    </row>
    <row r="119" spans="1:21" ht="13.5">
      <c r="A119" s="203">
        <f t="shared" si="6"/>
        <v>14.399999999999999</v>
      </c>
      <c r="B119" s="114"/>
      <c r="C119" s="203" t="s">
        <v>486</v>
      </c>
      <c r="D119" s="203" t="s">
        <v>19</v>
      </c>
      <c r="E119" s="210"/>
      <c r="F119" s="210">
        <f>60*20*0.395/1000</f>
        <v>0.474</v>
      </c>
      <c r="G119" s="414"/>
      <c r="H119" s="414"/>
      <c r="I119" s="211"/>
      <c r="J119" s="211"/>
      <c r="K119" s="211"/>
      <c r="L119" s="211"/>
      <c r="M119" s="416"/>
      <c r="N119" s="44"/>
      <c r="O119" s="44"/>
      <c r="P119" s="44"/>
      <c r="Q119" s="44"/>
      <c r="R119" s="44"/>
      <c r="S119" s="44"/>
      <c r="T119" s="12"/>
      <c r="U119" s="12"/>
    </row>
    <row r="120" spans="1:21" ht="13.5">
      <c r="A120" s="203">
        <f t="shared" si="6"/>
        <v>14.499999999999998</v>
      </c>
      <c r="B120" s="114"/>
      <c r="C120" s="203" t="s">
        <v>141</v>
      </c>
      <c r="D120" s="203" t="s">
        <v>14</v>
      </c>
      <c r="E120" s="210">
        <v>3.66</v>
      </c>
      <c r="F120" s="210">
        <f>E120*F115</f>
        <v>0.26352</v>
      </c>
      <c r="G120" s="414"/>
      <c r="H120" s="414"/>
      <c r="I120" s="211"/>
      <c r="J120" s="211"/>
      <c r="K120" s="201"/>
      <c r="L120" s="201"/>
      <c r="M120" s="416"/>
      <c r="N120" s="74"/>
      <c r="O120" s="74"/>
      <c r="P120" s="74"/>
      <c r="Q120" s="74"/>
      <c r="R120" s="74"/>
      <c r="S120" s="74"/>
      <c r="T120" s="55"/>
      <c r="U120" s="55"/>
    </row>
    <row r="121" spans="1:19" ht="13.5">
      <c r="A121" s="203">
        <f t="shared" si="6"/>
        <v>14.599999999999998</v>
      </c>
      <c r="B121" s="114"/>
      <c r="C121" s="203" t="s">
        <v>157</v>
      </c>
      <c r="D121" s="203" t="s">
        <v>261</v>
      </c>
      <c r="E121" s="210">
        <v>39</v>
      </c>
      <c r="F121" s="210">
        <f>E121*F115</f>
        <v>2.808</v>
      </c>
      <c r="G121" s="414"/>
      <c r="H121" s="414"/>
      <c r="I121" s="211"/>
      <c r="J121" s="211"/>
      <c r="K121" s="201"/>
      <c r="L121" s="201"/>
      <c r="M121" s="416"/>
      <c r="N121" s="74"/>
      <c r="O121" s="74"/>
      <c r="P121" s="74"/>
      <c r="Q121" s="74"/>
      <c r="R121" s="74"/>
      <c r="S121" s="74"/>
    </row>
    <row r="122" spans="1:19" ht="38.25">
      <c r="A122" s="228">
        <v>15</v>
      </c>
      <c r="B122" s="117" t="s">
        <v>30</v>
      </c>
      <c r="C122" s="198" t="s">
        <v>31</v>
      </c>
      <c r="D122" s="198" t="s">
        <v>10</v>
      </c>
      <c r="E122" s="200"/>
      <c r="F122" s="200">
        <v>0.6</v>
      </c>
      <c r="G122" s="200"/>
      <c r="H122" s="211"/>
      <c r="I122" s="211"/>
      <c r="J122" s="211"/>
      <c r="K122" s="201"/>
      <c r="L122" s="201"/>
      <c r="M122" s="411"/>
      <c r="N122" s="44"/>
      <c r="O122" s="44"/>
      <c r="P122" s="44"/>
      <c r="Q122" s="44"/>
      <c r="R122" s="44"/>
      <c r="S122" s="44"/>
    </row>
    <row r="123" spans="1:21" ht="13.5">
      <c r="A123" s="203">
        <f>A122+0.1</f>
        <v>15.1</v>
      </c>
      <c r="B123" s="127"/>
      <c r="C123" s="222" t="s">
        <v>170</v>
      </c>
      <c r="D123" s="222" t="s">
        <v>11</v>
      </c>
      <c r="E123" s="204">
        <v>198.2</v>
      </c>
      <c r="F123" s="204">
        <f>E123*F122</f>
        <v>118.91999999999999</v>
      </c>
      <c r="G123" s="206"/>
      <c r="H123" s="206"/>
      <c r="I123" s="404"/>
      <c r="J123" s="404"/>
      <c r="K123" s="205"/>
      <c r="L123" s="205"/>
      <c r="M123" s="404"/>
      <c r="T123" s="54"/>
      <c r="U123" s="54"/>
    </row>
    <row r="124" spans="1:21" ht="23.25" customHeight="1">
      <c r="A124" s="203">
        <f>A123+0.1</f>
        <v>15.2</v>
      </c>
      <c r="B124" s="192"/>
      <c r="C124" s="225" t="s">
        <v>169</v>
      </c>
      <c r="D124" s="225" t="s">
        <v>32</v>
      </c>
      <c r="E124" s="207">
        <v>1.64</v>
      </c>
      <c r="F124" s="207">
        <f>E124*F122</f>
        <v>0.9839999999999999</v>
      </c>
      <c r="G124" s="209"/>
      <c r="H124" s="209"/>
      <c r="I124" s="209"/>
      <c r="J124" s="209"/>
      <c r="K124" s="428"/>
      <c r="L124" s="428"/>
      <c r="M124" s="435"/>
      <c r="T124" s="55"/>
      <c r="U124" s="55"/>
    </row>
    <row r="125" spans="1:21" ht="13.5">
      <c r="A125" s="203">
        <f>A124+0.1</f>
        <v>15.299999999999999</v>
      </c>
      <c r="B125" s="118"/>
      <c r="C125" s="203" t="s">
        <v>263</v>
      </c>
      <c r="D125" s="203" t="s">
        <v>14</v>
      </c>
      <c r="E125" s="210">
        <v>3.57</v>
      </c>
      <c r="F125" s="210">
        <f>E125*F122</f>
        <v>2.142</v>
      </c>
      <c r="G125" s="414"/>
      <c r="H125" s="414"/>
      <c r="I125" s="211"/>
      <c r="J125" s="211"/>
      <c r="K125" s="213"/>
      <c r="L125" s="201"/>
      <c r="M125" s="416"/>
      <c r="N125" s="54"/>
      <c r="O125" s="54"/>
      <c r="P125" s="54"/>
      <c r="Q125" s="54"/>
      <c r="R125" s="54"/>
      <c r="S125" s="54"/>
      <c r="T125" s="55"/>
      <c r="U125" s="55"/>
    </row>
    <row r="126" spans="1:19" ht="13.5">
      <c r="A126" s="203">
        <f>A125+0.1</f>
        <v>15.399999999999999</v>
      </c>
      <c r="B126" s="118"/>
      <c r="C126" s="203" t="s">
        <v>24</v>
      </c>
      <c r="D126" s="203" t="s">
        <v>32</v>
      </c>
      <c r="E126" s="210">
        <v>6.36</v>
      </c>
      <c r="F126" s="210">
        <f>E126*F122</f>
        <v>3.816</v>
      </c>
      <c r="G126" s="414"/>
      <c r="H126" s="414"/>
      <c r="I126" s="211"/>
      <c r="J126" s="211"/>
      <c r="K126" s="201"/>
      <c r="L126" s="201"/>
      <c r="M126" s="416"/>
      <c r="N126" s="55"/>
      <c r="O126" s="55"/>
      <c r="P126" s="55"/>
      <c r="Q126" s="55"/>
      <c r="R126" s="55"/>
      <c r="S126" s="55"/>
    </row>
    <row r="127" spans="1:13" ht="38.25">
      <c r="A127" s="228">
        <v>16</v>
      </c>
      <c r="B127" s="117" t="s">
        <v>28</v>
      </c>
      <c r="C127" s="198" t="s">
        <v>181</v>
      </c>
      <c r="D127" s="198" t="s">
        <v>23</v>
      </c>
      <c r="E127" s="200"/>
      <c r="F127" s="200">
        <v>12.75</v>
      </c>
      <c r="G127" s="200"/>
      <c r="H127" s="211"/>
      <c r="I127" s="211"/>
      <c r="J127" s="211"/>
      <c r="K127" s="201"/>
      <c r="L127" s="201"/>
      <c r="M127" s="411"/>
    </row>
    <row r="128" spans="1:19" ht="25.5">
      <c r="A128" s="203">
        <f>A127+0.1</f>
        <v>16.1</v>
      </c>
      <c r="B128" s="118"/>
      <c r="C128" s="203" t="s">
        <v>265</v>
      </c>
      <c r="D128" s="203" t="s">
        <v>29</v>
      </c>
      <c r="E128" s="210">
        <v>1</v>
      </c>
      <c r="F128" s="210">
        <f>E128*F127</f>
        <v>12.75</v>
      </c>
      <c r="G128" s="414"/>
      <c r="H128" s="414"/>
      <c r="I128" s="211"/>
      <c r="J128" s="211"/>
      <c r="K128" s="201"/>
      <c r="L128" s="201"/>
      <c r="M128" s="416"/>
      <c r="N128" s="55"/>
      <c r="O128" s="55"/>
      <c r="P128" s="55"/>
      <c r="Q128" s="55"/>
      <c r="R128" s="55"/>
      <c r="S128" s="55"/>
    </row>
    <row r="129" spans="1:13" ht="38.25">
      <c r="A129" s="87">
        <v>17</v>
      </c>
      <c r="B129" s="117" t="s">
        <v>28</v>
      </c>
      <c r="C129" s="76" t="s">
        <v>413</v>
      </c>
      <c r="D129" s="76" t="s">
        <v>257</v>
      </c>
      <c r="E129" s="79"/>
      <c r="F129" s="79">
        <f>7.48+5.7</f>
        <v>13.18</v>
      </c>
      <c r="G129" s="79"/>
      <c r="H129" s="76"/>
      <c r="I129" s="76"/>
      <c r="J129" s="76"/>
      <c r="K129" s="7"/>
      <c r="L129" s="7"/>
      <c r="M129" s="406"/>
    </row>
    <row r="130" spans="1:13" ht="27">
      <c r="A130" s="251">
        <f>A129+0.1</f>
        <v>17.1</v>
      </c>
      <c r="B130" s="118"/>
      <c r="C130" s="88" t="s">
        <v>414</v>
      </c>
      <c r="D130" s="216" t="s">
        <v>29</v>
      </c>
      <c r="E130" s="78">
        <v>1</v>
      </c>
      <c r="F130" s="78">
        <f>E130*F129</f>
        <v>13.18</v>
      </c>
      <c r="G130" s="403"/>
      <c r="H130" s="403"/>
      <c r="I130" s="216"/>
      <c r="J130" s="216"/>
      <c r="K130" s="5"/>
      <c r="L130" s="5"/>
      <c r="M130" s="403"/>
    </row>
    <row r="131" spans="1:13" ht="38.25">
      <c r="A131" s="87">
        <v>18</v>
      </c>
      <c r="B131" s="117" t="s">
        <v>28</v>
      </c>
      <c r="C131" s="76" t="s">
        <v>415</v>
      </c>
      <c r="D131" s="76" t="s">
        <v>257</v>
      </c>
      <c r="E131" s="79"/>
      <c r="F131" s="79">
        <v>5.94</v>
      </c>
      <c r="G131" s="79"/>
      <c r="H131" s="76"/>
      <c r="I131" s="76"/>
      <c r="J131" s="76"/>
      <c r="K131" s="7"/>
      <c r="L131" s="7"/>
      <c r="M131" s="406"/>
    </row>
    <row r="132" spans="1:13" ht="28.5" customHeight="1">
      <c r="A132" s="251">
        <f>A131+0.1</f>
        <v>18.1</v>
      </c>
      <c r="B132" s="118"/>
      <c r="C132" s="88" t="s">
        <v>416</v>
      </c>
      <c r="D132" s="216" t="s">
        <v>29</v>
      </c>
      <c r="E132" s="78">
        <v>1</v>
      </c>
      <c r="F132" s="78">
        <f>E132*F131</f>
        <v>5.94</v>
      </c>
      <c r="G132" s="403"/>
      <c r="H132" s="403"/>
      <c r="I132" s="216"/>
      <c r="J132" s="216"/>
      <c r="K132" s="5"/>
      <c r="L132" s="5"/>
      <c r="M132" s="403"/>
    </row>
    <row r="133" spans="1:13" ht="38.25">
      <c r="A133" s="87">
        <v>19</v>
      </c>
      <c r="B133" s="117" t="s">
        <v>28</v>
      </c>
      <c r="C133" s="76" t="s">
        <v>303</v>
      </c>
      <c r="D133" s="76" t="s">
        <v>257</v>
      </c>
      <c r="E133" s="79"/>
      <c r="F133" s="79">
        <v>4</v>
      </c>
      <c r="G133" s="79"/>
      <c r="H133" s="76"/>
      <c r="I133" s="76"/>
      <c r="J133" s="76"/>
      <c r="K133" s="7"/>
      <c r="L133" s="7"/>
      <c r="M133" s="406"/>
    </row>
    <row r="134" spans="1:13" ht="19.5" customHeight="1">
      <c r="A134" s="251">
        <f>A133+0.1</f>
        <v>19.1</v>
      </c>
      <c r="B134" s="118"/>
      <c r="C134" s="88" t="s">
        <v>304</v>
      </c>
      <c r="D134" s="216" t="s">
        <v>29</v>
      </c>
      <c r="E134" s="78">
        <v>1</v>
      </c>
      <c r="F134" s="78">
        <f>E134*F133</f>
        <v>4</v>
      </c>
      <c r="G134" s="403"/>
      <c r="H134" s="403"/>
      <c r="I134" s="216"/>
      <c r="J134" s="216"/>
      <c r="K134" s="5"/>
      <c r="L134" s="5"/>
      <c r="M134" s="403"/>
    </row>
    <row r="135" spans="1:13" ht="38.25">
      <c r="A135" s="87">
        <v>20</v>
      </c>
      <c r="B135" s="117" t="s">
        <v>226</v>
      </c>
      <c r="C135" s="76" t="s">
        <v>417</v>
      </c>
      <c r="D135" s="76" t="s">
        <v>10</v>
      </c>
      <c r="E135" s="79"/>
      <c r="F135" s="79">
        <f>8.5*0.55/100</f>
        <v>0.04675000000000001</v>
      </c>
      <c r="G135" s="79"/>
      <c r="H135" s="216"/>
      <c r="I135" s="216"/>
      <c r="J135" s="216"/>
      <c r="K135" s="5"/>
      <c r="L135" s="5"/>
      <c r="M135" s="406"/>
    </row>
    <row r="136" spans="1:13" ht="13.5">
      <c r="A136" s="251">
        <f>A135+0.1</f>
        <v>20.1</v>
      </c>
      <c r="B136" s="118"/>
      <c r="C136" s="166" t="s">
        <v>266</v>
      </c>
      <c r="D136" s="139" t="s">
        <v>11</v>
      </c>
      <c r="E136" s="129">
        <v>95.45</v>
      </c>
      <c r="F136" s="129">
        <f>E136*F135</f>
        <v>4.4622875</v>
      </c>
      <c r="G136" s="140"/>
      <c r="H136" s="140"/>
      <c r="I136" s="408"/>
      <c r="J136" s="408"/>
      <c r="K136" s="143"/>
      <c r="L136" s="143"/>
      <c r="M136" s="408"/>
    </row>
    <row r="137" spans="1:13" ht="15.75" customHeight="1">
      <c r="A137" s="251">
        <f>A136+0.1</f>
        <v>20.200000000000003</v>
      </c>
      <c r="B137" s="118"/>
      <c r="C137" s="178" t="s">
        <v>264</v>
      </c>
      <c r="D137" s="145" t="s">
        <v>32</v>
      </c>
      <c r="E137" s="146">
        <v>0.47</v>
      </c>
      <c r="F137" s="146">
        <f>E137*F135</f>
        <v>0.021972500000000002</v>
      </c>
      <c r="G137" s="145"/>
      <c r="H137" s="145"/>
      <c r="I137" s="145"/>
      <c r="J137" s="145"/>
      <c r="K137" s="426"/>
      <c r="L137" s="426"/>
      <c r="M137" s="439"/>
    </row>
    <row r="138" spans="1:18" ht="13.5">
      <c r="A138" s="251">
        <f>A137+0.1</f>
        <v>20.300000000000004</v>
      </c>
      <c r="B138" s="118"/>
      <c r="C138" s="88" t="s">
        <v>227</v>
      </c>
      <c r="D138" s="216" t="s">
        <v>19</v>
      </c>
      <c r="E138" s="78">
        <v>0.41</v>
      </c>
      <c r="F138" s="78">
        <f>E138*F135</f>
        <v>0.0191675</v>
      </c>
      <c r="G138" s="403"/>
      <c r="H138" s="403"/>
      <c r="I138" s="216"/>
      <c r="J138" s="216"/>
      <c r="K138" s="5"/>
      <c r="L138" s="5"/>
      <c r="M138" s="406"/>
      <c r="N138" s="213"/>
      <c r="O138" s="246"/>
      <c r="P138" s="246"/>
      <c r="Q138" s="246"/>
      <c r="R138" s="246"/>
    </row>
    <row r="139" spans="1:18" ht="13.5">
      <c r="A139" s="251">
        <f>A138+0.1</f>
        <v>20.400000000000006</v>
      </c>
      <c r="B139" s="118"/>
      <c r="C139" s="88" t="s">
        <v>24</v>
      </c>
      <c r="D139" s="216" t="s">
        <v>32</v>
      </c>
      <c r="E139" s="78">
        <v>7.8</v>
      </c>
      <c r="F139" s="78">
        <f>E139*F135</f>
        <v>0.36465000000000003</v>
      </c>
      <c r="G139" s="403"/>
      <c r="H139" s="403"/>
      <c r="I139" s="216"/>
      <c r="J139" s="216"/>
      <c r="K139" s="5"/>
      <c r="L139" s="5"/>
      <c r="M139" s="406"/>
      <c r="N139" s="213"/>
      <c r="O139" s="246"/>
      <c r="P139" s="246"/>
      <c r="Q139" s="246"/>
      <c r="R139" s="246"/>
    </row>
    <row r="140" spans="1:18" ht="38.25">
      <c r="A140" s="87">
        <v>21</v>
      </c>
      <c r="B140" s="117" t="s">
        <v>28</v>
      </c>
      <c r="C140" s="76" t="s">
        <v>267</v>
      </c>
      <c r="D140" s="76" t="s">
        <v>205</v>
      </c>
      <c r="E140" s="79"/>
      <c r="F140" s="79">
        <v>9</v>
      </c>
      <c r="G140" s="79"/>
      <c r="H140" s="216"/>
      <c r="I140" s="216"/>
      <c r="J140" s="216"/>
      <c r="K140" s="5"/>
      <c r="L140" s="5"/>
      <c r="M140" s="406"/>
      <c r="N140" s="213"/>
      <c r="O140" s="246"/>
      <c r="P140" s="246"/>
      <c r="Q140" s="246"/>
      <c r="R140" s="246"/>
    </row>
    <row r="141" spans="1:18" ht="15.75">
      <c r="A141" s="251">
        <f>A140+0.1</f>
        <v>21.1</v>
      </c>
      <c r="B141" s="118"/>
      <c r="C141" s="88" t="s">
        <v>268</v>
      </c>
      <c r="D141" s="216" t="s">
        <v>178</v>
      </c>
      <c r="E141" s="78">
        <v>1</v>
      </c>
      <c r="F141" s="78">
        <f>E141*F140</f>
        <v>9</v>
      </c>
      <c r="G141" s="403"/>
      <c r="H141" s="403"/>
      <c r="I141" s="229"/>
      <c r="J141" s="229"/>
      <c r="K141" s="128"/>
      <c r="L141" s="128"/>
      <c r="M141" s="440"/>
      <c r="N141" s="213"/>
      <c r="O141" s="213"/>
      <c r="P141" s="213"/>
      <c r="Q141" s="213"/>
      <c r="R141" s="246"/>
    </row>
    <row r="142" spans="1:18" ht="51">
      <c r="A142" s="97" t="s">
        <v>494</v>
      </c>
      <c r="B142" s="113" t="s">
        <v>179</v>
      </c>
      <c r="C142" s="198" t="s">
        <v>421</v>
      </c>
      <c r="D142" s="198" t="s">
        <v>25</v>
      </c>
      <c r="E142" s="200"/>
      <c r="F142" s="200">
        <v>0.063</v>
      </c>
      <c r="G142" s="200"/>
      <c r="H142" s="211"/>
      <c r="I142" s="211"/>
      <c r="J142" s="211"/>
      <c r="K142" s="201"/>
      <c r="L142" s="201"/>
      <c r="M142" s="411"/>
      <c r="N142" s="213"/>
      <c r="O142" s="213"/>
      <c r="P142" s="213"/>
      <c r="Q142" s="213"/>
      <c r="R142" s="246"/>
    </row>
    <row r="143" spans="1:18" ht="13.5">
      <c r="A143" s="203">
        <f>A142+0.1</f>
        <v>22.1</v>
      </c>
      <c r="B143" s="126"/>
      <c r="C143" s="222" t="s">
        <v>170</v>
      </c>
      <c r="D143" s="222" t="s">
        <v>11</v>
      </c>
      <c r="E143" s="204">
        <v>183</v>
      </c>
      <c r="F143" s="204">
        <f>E143*F142</f>
        <v>11.529</v>
      </c>
      <c r="G143" s="206"/>
      <c r="H143" s="206"/>
      <c r="I143" s="404"/>
      <c r="J143" s="404"/>
      <c r="K143" s="205"/>
      <c r="L143" s="205"/>
      <c r="M143" s="404"/>
      <c r="N143" s="213"/>
      <c r="O143" s="213"/>
      <c r="P143" s="213"/>
      <c r="Q143" s="213"/>
      <c r="R143" s="240"/>
    </row>
    <row r="144" spans="1:13" ht="13.5">
      <c r="A144" s="203">
        <f>A143+0.1</f>
        <v>22.200000000000003</v>
      </c>
      <c r="B144" s="187"/>
      <c r="C144" s="225" t="s">
        <v>169</v>
      </c>
      <c r="D144" s="225" t="s">
        <v>32</v>
      </c>
      <c r="E144" s="207">
        <v>3.6</v>
      </c>
      <c r="F144" s="207">
        <f>E144*F142</f>
        <v>0.2268</v>
      </c>
      <c r="G144" s="209"/>
      <c r="H144" s="209"/>
      <c r="I144" s="209"/>
      <c r="J144" s="209"/>
      <c r="K144" s="428"/>
      <c r="L144" s="428"/>
      <c r="M144" s="435"/>
    </row>
    <row r="145" spans="1:13" ht="13.5">
      <c r="A145" s="203">
        <f>A144+0.1</f>
        <v>22.300000000000004</v>
      </c>
      <c r="B145" s="114"/>
      <c r="C145" s="203" t="s">
        <v>422</v>
      </c>
      <c r="D145" s="203" t="s">
        <v>27</v>
      </c>
      <c r="E145" s="210">
        <v>100</v>
      </c>
      <c r="F145" s="210">
        <f>F142*E145</f>
        <v>6.3</v>
      </c>
      <c r="G145" s="414"/>
      <c r="H145" s="414"/>
      <c r="I145" s="211"/>
      <c r="J145" s="211"/>
      <c r="K145" s="201"/>
      <c r="L145" s="201"/>
      <c r="M145" s="416"/>
    </row>
    <row r="146" spans="1:13" ht="13.5">
      <c r="A146" s="203">
        <f>A145+0.1</f>
        <v>22.400000000000006</v>
      </c>
      <c r="B146" s="114"/>
      <c r="C146" s="203" t="s">
        <v>24</v>
      </c>
      <c r="D146" s="203" t="s">
        <v>261</v>
      </c>
      <c r="E146" s="210">
        <v>50</v>
      </c>
      <c r="F146" s="210">
        <f>E146*F142</f>
        <v>3.15</v>
      </c>
      <c r="G146" s="414"/>
      <c r="H146" s="414"/>
      <c r="I146" s="211"/>
      <c r="J146" s="211"/>
      <c r="K146" s="201"/>
      <c r="L146" s="201"/>
      <c r="M146" s="416"/>
    </row>
    <row r="147" spans="1:13" ht="38.25">
      <c r="A147" s="228">
        <v>23</v>
      </c>
      <c r="B147" s="117" t="s">
        <v>34</v>
      </c>
      <c r="C147" s="198" t="s">
        <v>290</v>
      </c>
      <c r="D147" s="198" t="s">
        <v>10</v>
      </c>
      <c r="E147" s="200"/>
      <c r="F147" s="200">
        <v>0.54</v>
      </c>
      <c r="G147" s="200"/>
      <c r="H147" s="211"/>
      <c r="I147" s="211"/>
      <c r="J147" s="211"/>
      <c r="K147" s="201"/>
      <c r="L147" s="201"/>
      <c r="M147" s="411"/>
    </row>
    <row r="148" spans="1:13" ht="13.5">
      <c r="A148" s="203">
        <f>A147+0.1</f>
        <v>23.1</v>
      </c>
      <c r="B148" s="127"/>
      <c r="C148" s="222" t="s">
        <v>170</v>
      </c>
      <c r="D148" s="222" t="s">
        <v>11</v>
      </c>
      <c r="E148" s="204">
        <v>219</v>
      </c>
      <c r="F148" s="204">
        <f>E148*F147</f>
        <v>118.26</v>
      </c>
      <c r="G148" s="206"/>
      <c r="H148" s="206"/>
      <c r="I148" s="404"/>
      <c r="J148" s="404"/>
      <c r="K148" s="205"/>
      <c r="L148" s="205"/>
      <c r="M148" s="404"/>
    </row>
    <row r="149" spans="1:13" ht="13.5">
      <c r="A149" s="203">
        <f>A148+0.1</f>
        <v>23.200000000000003</v>
      </c>
      <c r="B149" s="192"/>
      <c r="C149" s="225" t="s">
        <v>168</v>
      </c>
      <c r="D149" s="225" t="s">
        <v>32</v>
      </c>
      <c r="E149" s="207">
        <v>2</v>
      </c>
      <c r="F149" s="207">
        <f>E149*F147</f>
        <v>1.08</v>
      </c>
      <c r="G149" s="209"/>
      <c r="H149" s="209"/>
      <c r="I149" s="209"/>
      <c r="J149" s="209"/>
      <c r="K149" s="428"/>
      <c r="L149" s="428"/>
      <c r="M149" s="435"/>
    </row>
    <row r="150" spans="1:13" ht="13.5">
      <c r="A150" s="203">
        <f>A149+0.1</f>
        <v>23.300000000000004</v>
      </c>
      <c r="B150" s="118"/>
      <c r="C150" s="203" t="s">
        <v>106</v>
      </c>
      <c r="D150" s="203" t="s">
        <v>14</v>
      </c>
      <c r="E150" s="210">
        <v>1.5</v>
      </c>
      <c r="F150" s="210">
        <f>E150*F147</f>
        <v>0.81</v>
      </c>
      <c r="G150" s="414"/>
      <c r="H150" s="414"/>
      <c r="I150" s="211"/>
      <c r="J150" s="211"/>
      <c r="K150" s="201"/>
      <c r="L150" s="201"/>
      <c r="M150" s="416"/>
    </row>
    <row r="151" spans="1:13" ht="13.5">
      <c r="A151" s="203">
        <f>A150+0.1</f>
        <v>23.400000000000006</v>
      </c>
      <c r="B151" s="118"/>
      <c r="C151" s="203" t="s">
        <v>35</v>
      </c>
      <c r="D151" s="203" t="s">
        <v>23</v>
      </c>
      <c r="E151" s="210">
        <v>103</v>
      </c>
      <c r="F151" s="210">
        <f>E151*F147</f>
        <v>55.620000000000005</v>
      </c>
      <c r="G151" s="414"/>
      <c r="H151" s="414"/>
      <c r="I151" s="211"/>
      <c r="J151" s="211"/>
      <c r="K151" s="201"/>
      <c r="L151" s="201"/>
      <c r="M151" s="416"/>
    </row>
    <row r="152" spans="1:13" ht="13.5">
      <c r="A152" s="203">
        <f>A151+0.1</f>
        <v>23.500000000000007</v>
      </c>
      <c r="B152" s="118"/>
      <c r="C152" s="203" t="s">
        <v>24</v>
      </c>
      <c r="D152" s="203" t="s">
        <v>261</v>
      </c>
      <c r="E152" s="210">
        <v>0.7</v>
      </c>
      <c r="F152" s="210">
        <f>E152*F147</f>
        <v>0.378</v>
      </c>
      <c r="G152" s="414"/>
      <c r="H152" s="414"/>
      <c r="I152" s="211"/>
      <c r="J152" s="211"/>
      <c r="K152" s="201"/>
      <c r="L152" s="201"/>
      <c r="M152" s="416"/>
    </row>
    <row r="153" spans="1:13" ht="38.25">
      <c r="A153" s="228">
        <v>24</v>
      </c>
      <c r="B153" s="117" t="s">
        <v>34</v>
      </c>
      <c r="C153" s="198" t="s">
        <v>418</v>
      </c>
      <c r="D153" s="198" t="s">
        <v>10</v>
      </c>
      <c r="E153" s="200"/>
      <c r="F153" s="200">
        <v>0.64</v>
      </c>
      <c r="G153" s="200"/>
      <c r="H153" s="211"/>
      <c r="I153" s="211"/>
      <c r="J153" s="211"/>
      <c r="K153" s="201"/>
      <c r="L153" s="201"/>
      <c r="M153" s="411"/>
    </row>
    <row r="154" spans="1:13" ht="13.5">
      <c r="A154" s="203">
        <f>A153+0.1</f>
        <v>24.1</v>
      </c>
      <c r="B154" s="127"/>
      <c r="C154" s="222" t="s">
        <v>170</v>
      </c>
      <c r="D154" s="222" t="s">
        <v>11</v>
      </c>
      <c r="E154" s="204">
        <v>219</v>
      </c>
      <c r="F154" s="204">
        <f>E154*F153</f>
        <v>140.16</v>
      </c>
      <c r="G154" s="206"/>
      <c r="H154" s="206"/>
      <c r="I154" s="404"/>
      <c r="J154" s="404"/>
      <c r="K154" s="205"/>
      <c r="L154" s="205"/>
      <c r="M154" s="404"/>
    </row>
    <row r="155" spans="1:13" ht="13.5">
      <c r="A155" s="203">
        <f>A154+0.1</f>
        <v>24.200000000000003</v>
      </c>
      <c r="B155" s="192"/>
      <c r="C155" s="225" t="s">
        <v>168</v>
      </c>
      <c r="D155" s="225" t="s">
        <v>32</v>
      </c>
      <c r="E155" s="207">
        <v>2</v>
      </c>
      <c r="F155" s="207">
        <f>E155*F153</f>
        <v>1.28</v>
      </c>
      <c r="G155" s="209"/>
      <c r="H155" s="209"/>
      <c r="I155" s="209"/>
      <c r="J155" s="209"/>
      <c r="K155" s="428"/>
      <c r="L155" s="428"/>
      <c r="M155" s="435"/>
    </row>
    <row r="156" spans="1:14" ht="13.5">
      <c r="A156" s="203">
        <f>A155+0.1</f>
        <v>24.300000000000004</v>
      </c>
      <c r="B156" s="118"/>
      <c r="C156" s="203" t="s">
        <v>106</v>
      </c>
      <c r="D156" s="203" t="s">
        <v>14</v>
      </c>
      <c r="E156" s="210">
        <v>1.5</v>
      </c>
      <c r="F156" s="210">
        <f>E156*F153</f>
        <v>0.96</v>
      </c>
      <c r="G156" s="414"/>
      <c r="H156" s="414"/>
      <c r="I156" s="211"/>
      <c r="J156" s="211"/>
      <c r="K156" s="201"/>
      <c r="L156" s="201"/>
      <c r="M156" s="416"/>
      <c r="N156" s="43"/>
    </row>
    <row r="157" spans="1:14" ht="25.5">
      <c r="A157" s="203">
        <f>A156+0.1</f>
        <v>24.400000000000006</v>
      </c>
      <c r="B157" s="118"/>
      <c r="C157" s="203" t="s">
        <v>419</v>
      </c>
      <c r="D157" s="203" t="s">
        <v>23</v>
      </c>
      <c r="E157" s="210">
        <v>103</v>
      </c>
      <c r="F157" s="210">
        <f>E157*F153</f>
        <v>65.92</v>
      </c>
      <c r="G157" s="414"/>
      <c r="H157" s="414"/>
      <c r="I157" s="211"/>
      <c r="J157" s="211"/>
      <c r="K157" s="201"/>
      <c r="L157" s="201"/>
      <c r="M157" s="416"/>
      <c r="N157" s="43"/>
    </row>
    <row r="158" spans="1:14" ht="13.5">
      <c r="A158" s="203">
        <f>A157+0.1</f>
        <v>24.500000000000007</v>
      </c>
      <c r="B158" s="118"/>
      <c r="C158" s="203" t="s">
        <v>420</v>
      </c>
      <c r="D158" s="203" t="s">
        <v>291</v>
      </c>
      <c r="E158" s="210"/>
      <c r="F158" s="210">
        <v>50</v>
      </c>
      <c r="G158" s="414"/>
      <c r="H158" s="414"/>
      <c r="I158" s="211"/>
      <c r="J158" s="211"/>
      <c r="K158" s="201"/>
      <c r="L158" s="201"/>
      <c r="M158" s="416"/>
      <c r="N158" s="43"/>
    </row>
    <row r="159" spans="1:18" ht="13.5">
      <c r="A159" s="203">
        <f>A157+0.1</f>
        <v>24.500000000000007</v>
      </c>
      <c r="B159" s="118"/>
      <c r="C159" s="203" t="s">
        <v>24</v>
      </c>
      <c r="D159" s="203" t="s">
        <v>261</v>
      </c>
      <c r="E159" s="210">
        <v>0.7</v>
      </c>
      <c r="F159" s="210">
        <f>E159*F153</f>
        <v>0.44799999999999995</v>
      </c>
      <c r="G159" s="414"/>
      <c r="H159" s="414"/>
      <c r="I159" s="211"/>
      <c r="J159" s="211"/>
      <c r="K159" s="201"/>
      <c r="L159" s="201"/>
      <c r="M159" s="416"/>
      <c r="N159" s="43"/>
      <c r="O159" s="43"/>
      <c r="P159" s="43"/>
      <c r="Q159" s="43"/>
      <c r="R159" s="246"/>
    </row>
    <row r="160" spans="1:18" ht="40.5">
      <c r="A160" s="76">
        <v>25</v>
      </c>
      <c r="B160" s="117" t="s">
        <v>270</v>
      </c>
      <c r="C160" s="76" t="s">
        <v>487</v>
      </c>
      <c r="D160" s="76" t="s">
        <v>10</v>
      </c>
      <c r="E160" s="78"/>
      <c r="F160" s="79">
        <v>0.65</v>
      </c>
      <c r="G160" s="78"/>
      <c r="H160" s="263"/>
      <c r="I160" s="232"/>
      <c r="J160" s="232"/>
      <c r="K160" s="180"/>
      <c r="L160" s="180"/>
      <c r="M160" s="406"/>
      <c r="N160" s="43"/>
      <c r="O160" s="43"/>
      <c r="P160" s="43"/>
      <c r="Q160" s="43"/>
      <c r="R160" s="246"/>
    </row>
    <row r="161" spans="1:18" ht="15.75">
      <c r="A161" s="251">
        <f>A160+0.1</f>
        <v>25.1</v>
      </c>
      <c r="B161" s="118"/>
      <c r="C161" s="139" t="s">
        <v>271</v>
      </c>
      <c r="D161" s="139" t="s">
        <v>212</v>
      </c>
      <c r="E161" s="139">
        <v>102</v>
      </c>
      <c r="F161" s="129">
        <f>E161*F160</f>
        <v>66.3</v>
      </c>
      <c r="G161" s="261"/>
      <c r="H161" s="264"/>
      <c r="I161" s="404"/>
      <c r="J161" s="408"/>
      <c r="K161" s="186"/>
      <c r="L161" s="186"/>
      <c r="M161" s="408"/>
      <c r="N161" s="43"/>
      <c r="O161" s="43"/>
      <c r="P161" s="43"/>
      <c r="Q161" s="43"/>
      <c r="R161" s="246"/>
    </row>
    <row r="162" spans="1:18" ht="15.75">
      <c r="A162" s="251">
        <f>A161+0.1</f>
        <v>25.200000000000003</v>
      </c>
      <c r="B162" s="118"/>
      <c r="C162" s="145" t="s">
        <v>274</v>
      </c>
      <c r="D162" s="145" t="s">
        <v>32</v>
      </c>
      <c r="E162" s="145">
        <v>5.14</v>
      </c>
      <c r="F162" s="146">
        <f>E162*F160</f>
        <v>3.3409999999999997</v>
      </c>
      <c r="G162" s="262"/>
      <c r="H162" s="265"/>
      <c r="I162" s="262"/>
      <c r="J162" s="262"/>
      <c r="K162" s="432"/>
      <c r="L162" s="426"/>
      <c r="M162" s="437"/>
      <c r="N162" s="43"/>
      <c r="O162" s="246"/>
      <c r="P162" s="246"/>
      <c r="Q162" s="246"/>
      <c r="R162" s="246"/>
    </row>
    <row r="163" spans="1:18" ht="25.5" customHeight="1">
      <c r="A163" s="251">
        <f>A162+0.1</f>
        <v>25.300000000000004</v>
      </c>
      <c r="B163" s="118"/>
      <c r="C163" s="230" t="s">
        <v>272</v>
      </c>
      <c r="D163" s="230" t="s">
        <v>273</v>
      </c>
      <c r="E163" s="216">
        <v>203</v>
      </c>
      <c r="F163" s="231">
        <f>E163*F160</f>
        <v>131.95000000000002</v>
      </c>
      <c r="G163" s="403"/>
      <c r="H163" s="403"/>
      <c r="I163" s="232"/>
      <c r="J163" s="232"/>
      <c r="K163" s="180"/>
      <c r="L163" s="180"/>
      <c r="M163" s="438"/>
      <c r="N163" s="43"/>
      <c r="O163" s="246"/>
      <c r="P163" s="246"/>
      <c r="Q163" s="246"/>
      <c r="R163" s="246"/>
    </row>
    <row r="164" spans="1:18" ht="15.75">
      <c r="A164" s="251">
        <f>A163+0.1</f>
        <v>25.400000000000006</v>
      </c>
      <c r="B164" s="118"/>
      <c r="C164" s="230" t="s">
        <v>312</v>
      </c>
      <c r="D164" s="230" t="s">
        <v>273</v>
      </c>
      <c r="E164" s="216">
        <v>101.5</v>
      </c>
      <c r="F164" s="231">
        <f>E164*F160</f>
        <v>65.97500000000001</v>
      </c>
      <c r="G164" s="403"/>
      <c r="H164" s="403"/>
      <c r="I164" s="232"/>
      <c r="J164" s="232"/>
      <c r="K164" s="180"/>
      <c r="L164" s="180"/>
      <c r="M164" s="438"/>
      <c r="O164" s="246"/>
      <c r="P164" s="246"/>
      <c r="Q164" s="246"/>
      <c r="R164" s="246"/>
    </row>
    <row r="165" spans="1:18" ht="15.75">
      <c r="A165" s="251">
        <f>A164+0.1</f>
        <v>25.500000000000007</v>
      </c>
      <c r="B165" s="118"/>
      <c r="C165" s="230" t="s">
        <v>275</v>
      </c>
      <c r="D165" s="230" t="s">
        <v>32</v>
      </c>
      <c r="E165" s="216">
        <v>6</v>
      </c>
      <c r="F165" s="231">
        <f>E165*F160</f>
        <v>3.9000000000000004</v>
      </c>
      <c r="G165" s="431"/>
      <c r="H165" s="403"/>
      <c r="I165" s="232"/>
      <c r="J165" s="232"/>
      <c r="K165" s="180"/>
      <c r="L165" s="180"/>
      <c r="M165" s="438"/>
      <c r="O165" s="246"/>
      <c r="P165" s="246"/>
      <c r="Q165" s="246"/>
      <c r="R165" s="246"/>
    </row>
    <row r="166" spans="1:18" ht="39.75" customHeight="1">
      <c r="A166" s="76">
        <v>26</v>
      </c>
      <c r="B166" s="117" t="s">
        <v>270</v>
      </c>
      <c r="C166" s="76" t="s">
        <v>488</v>
      </c>
      <c r="D166" s="76" t="s">
        <v>10</v>
      </c>
      <c r="E166" s="78"/>
      <c r="F166" s="79">
        <v>0.63</v>
      </c>
      <c r="G166" s="78"/>
      <c r="H166" s="263"/>
      <c r="I166" s="232"/>
      <c r="J166" s="232"/>
      <c r="K166" s="180"/>
      <c r="L166" s="180"/>
      <c r="M166" s="406"/>
      <c r="O166" s="246"/>
      <c r="P166" s="246"/>
      <c r="Q166" s="246"/>
      <c r="R166" s="246"/>
    </row>
    <row r="167" spans="1:18" ht="15.75">
      <c r="A167" s="251">
        <f>A166+0.1</f>
        <v>26.1</v>
      </c>
      <c r="B167" s="118"/>
      <c r="C167" s="139" t="s">
        <v>271</v>
      </c>
      <c r="D167" s="139" t="s">
        <v>212</v>
      </c>
      <c r="E167" s="139">
        <v>102</v>
      </c>
      <c r="F167" s="129">
        <f>E167*F166</f>
        <v>64.26</v>
      </c>
      <c r="G167" s="261"/>
      <c r="H167" s="264"/>
      <c r="I167" s="404"/>
      <c r="J167" s="408"/>
      <c r="K167" s="186"/>
      <c r="L167" s="186"/>
      <c r="M167" s="408"/>
      <c r="O167" s="246"/>
      <c r="P167" s="246"/>
      <c r="Q167" s="246"/>
      <c r="R167" s="246"/>
    </row>
    <row r="168" spans="1:18" ht="21.75" customHeight="1">
      <c r="A168" s="251">
        <f>A167+0.1</f>
        <v>26.200000000000003</v>
      </c>
      <c r="B168" s="118"/>
      <c r="C168" s="230" t="s">
        <v>272</v>
      </c>
      <c r="D168" s="230" t="s">
        <v>273</v>
      </c>
      <c r="E168" s="216">
        <v>103</v>
      </c>
      <c r="F168" s="231">
        <f>E168*F166</f>
        <v>64.89</v>
      </c>
      <c r="G168" s="403"/>
      <c r="H168" s="403"/>
      <c r="I168" s="232"/>
      <c r="J168" s="232"/>
      <c r="K168" s="180"/>
      <c r="L168" s="180"/>
      <c r="M168" s="438"/>
      <c r="O168" s="246"/>
      <c r="P168" s="246"/>
      <c r="Q168" s="246"/>
      <c r="R168" s="246"/>
    </row>
    <row r="169" spans="1:18" ht="15.75">
      <c r="A169" s="251">
        <f>A168+0.1</f>
        <v>26.300000000000004</v>
      </c>
      <c r="B169" s="118"/>
      <c r="C169" s="145" t="s">
        <v>274</v>
      </c>
      <c r="D169" s="145" t="s">
        <v>32</v>
      </c>
      <c r="E169" s="145">
        <v>5.14</v>
      </c>
      <c r="F169" s="146">
        <f>E169*F166</f>
        <v>3.2382</v>
      </c>
      <c r="G169" s="262"/>
      <c r="H169" s="265"/>
      <c r="I169" s="262"/>
      <c r="J169" s="262"/>
      <c r="K169" s="432"/>
      <c r="L169" s="426"/>
      <c r="M169" s="437"/>
      <c r="O169" s="246"/>
      <c r="P169" s="246"/>
      <c r="Q169" s="246"/>
      <c r="R169" s="246"/>
    </row>
    <row r="170" spans="1:13" ht="15.75">
      <c r="A170" s="251">
        <f>A169+0.1</f>
        <v>26.400000000000006</v>
      </c>
      <c r="B170" s="118"/>
      <c r="C170" s="230" t="s">
        <v>275</v>
      </c>
      <c r="D170" s="230" t="s">
        <v>32</v>
      </c>
      <c r="E170" s="216">
        <v>6</v>
      </c>
      <c r="F170" s="231">
        <f>E170*F166</f>
        <v>3.7800000000000002</v>
      </c>
      <c r="G170" s="431"/>
      <c r="H170" s="403"/>
      <c r="I170" s="232"/>
      <c r="J170" s="232"/>
      <c r="K170" s="180"/>
      <c r="L170" s="180"/>
      <c r="M170" s="438"/>
    </row>
    <row r="171" spans="1:13" ht="35.25" customHeight="1">
      <c r="A171" s="76">
        <v>27</v>
      </c>
      <c r="B171" s="117" t="s">
        <v>270</v>
      </c>
      <c r="C171" s="76" t="s">
        <v>489</v>
      </c>
      <c r="D171" s="76" t="s">
        <v>10</v>
      </c>
      <c r="E171" s="78"/>
      <c r="F171" s="79">
        <v>0.38</v>
      </c>
      <c r="G171" s="78"/>
      <c r="H171" s="263"/>
      <c r="I171" s="232"/>
      <c r="J171" s="232"/>
      <c r="K171" s="180"/>
      <c r="L171" s="180"/>
      <c r="M171" s="406"/>
    </row>
    <row r="172" spans="1:13" ht="15.75">
      <c r="A172" s="251">
        <f>A171+0.1</f>
        <v>27.1</v>
      </c>
      <c r="B172" s="118"/>
      <c r="C172" s="139" t="s">
        <v>271</v>
      </c>
      <c r="D172" s="139" t="s">
        <v>212</v>
      </c>
      <c r="E172" s="139">
        <v>102</v>
      </c>
      <c r="F172" s="129">
        <f>E172*F171</f>
        <v>38.76</v>
      </c>
      <c r="G172" s="261"/>
      <c r="H172" s="264"/>
      <c r="I172" s="404"/>
      <c r="J172" s="408"/>
      <c r="K172" s="186"/>
      <c r="L172" s="186"/>
      <c r="M172" s="408"/>
    </row>
    <row r="173" spans="1:13" ht="19.5" customHeight="1">
      <c r="A173" s="251">
        <f>A172+0.1</f>
        <v>27.200000000000003</v>
      </c>
      <c r="B173" s="118"/>
      <c r="C173" s="230" t="s">
        <v>272</v>
      </c>
      <c r="D173" s="230" t="s">
        <v>273</v>
      </c>
      <c r="E173" s="216">
        <v>103</v>
      </c>
      <c r="F173" s="231">
        <f>E173*F171</f>
        <v>39.14</v>
      </c>
      <c r="G173" s="403"/>
      <c r="H173" s="403"/>
      <c r="I173" s="232"/>
      <c r="J173" s="232"/>
      <c r="K173" s="180"/>
      <c r="L173" s="180"/>
      <c r="M173" s="438"/>
    </row>
    <row r="174" spans="1:13" ht="15.75">
      <c r="A174" s="251">
        <f>A173+0.1</f>
        <v>27.300000000000004</v>
      </c>
      <c r="B174" s="118"/>
      <c r="C174" s="145" t="s">
        <v>274</v>
      </c>
      <c r="D174" s="145" t="s">
        <v>32</v>
      </c>
      <c r="E174" s="145">
        <v>5.14</v>
      </c>
      <c r="F174" s="146">
        <f>E174*F171</f>
        <v>1.9531999999999998</v>
      </c>
      <c r="G174" s="262"/>
      <c r="H174" s="265"/>
      <c r="I174" s="262"/>
      <c r="J174" s="262"/>
      <c r="K174" s="432"/>
      <c r="L174" s="426"/>
      <c r="M174" s="437"/>
    </row>
    <row r="175" spans="1:13" ht="15.75">
      <c r="A175" s="251">
        <f>A174+0.1</f>
        <v>27.400000000000006</v>
      </c>
      <c r="B175" s="118"/>
      <c r="C175" s="230" t="s">
        <v>275</v>
      </c>
      <c r="D175" s="230" t="s">
        <v>32</v>
      </c>
      <c r="E175" s="216">
        <v>6</v>
      </c>
      <c r="F175" s="231">
        <f>E175*F171</f>
        <v>2.2800000000000002</v>
      </c>
      <c r="G175" s="431"/>
      <c r="H175" s="403"/>
      <c r="I175" s="232"/>
      <c r="J175" s="232"/>
      <c r="K175" s="180"/>
      <c r="L175" s="180"/>
      <c r="M175" s="438"/>
    </row>
    <row r="176" spans="1:13" ht="51">
      <c r="A176" s="119">
        <v>28</v>
      </c>
      <c r="B176" s="117" t="s">
        <v>323</v>
      </c>
      <c r="C176" s="108" t="s">
        <v>326</v>
      </c>
      <c r="D176" s="108" t="s">
        <v>10</v>
      </c>
      <c r="E176" s="8"/>
      <c r="F176" s="79">
        <v>0.18</v>
      </c>
      <c r="G176" s="8"/>
      <c r="H176" s="296"/>
      <c r="I176" s="180"/>
      <c r="J176" s="180"/>
      <c r="K176" s="180"/>
      <c r="L176" s="180"/>
      <c r="M176" s="406"/>
    </row>
    <row r="177" spans="1:13" ht="15.75">
      <c r="A177" s="218">
        <f>A176+0.1</f>
        <v>28.1</v>
      </c>
      <c r="B177" s="118"/>
      <c r="C177" s="297" t="s">
        <v>166</v>
      </c>
      <c r="D177" s="297" t="s">
        <v>11</v>
      </c>
      <c r="E177" s="124">
        <v>102.75</v>
      </c>
      <c r="F177" s="129">
        <f>E177*F176</f>
        <v>18.495</v>
      </c>
      <c r="G177" s="186"/>
      <c r="H177" s="298"/>
      <c r="I177" s="404"/>
      <c r="J177" s="408"/>
      <c r="K177" s="186"/>
      <c r="L177" s="186"/>
      <c r="M177" s="408"/>
    </row>
    <row r="178" spans="1:13" ht="15.75">
      <c r="A178" s="218">
        <f>A177+0.1</f>
        <v>28.200000000000003</v>
      </c>
      <c r="B178" s="118"/>
      <c r="C178" s="141" t="s">
        <v>168</v>
      </c>
      <c r="D178" s="141" t="s">
        <v>32</v>
      </c>
      <c r="E178" s="144">
        <v>1.29</v>
      </c>
      <c r="F178" s="146">
        <f>E178*F176</f>
        <v>0.2322</v>
      </c>
      <c r="G178" s="299"/>
      <c r="H178" s="300"/>
      <c r="I178" s="262"/>
      <c r="J178" s="299"/>
      <c r="K178" s="426"/>
      <c r="L178" s="426"/>
      <c r="M178" s="437"/>
    </row>
    <row r="179" spans="1:13" ht="15.75">
      <c r="A179" s="218">
        <f>A178+0.1</f>
        <v>28.300000000000004</v>
      </c>
      <c r="B179" s="118"/>
      <c r="C179" s="109" t="s">
        <v>324</v>
      </c>
      <c r="D179" s="109" t="s">
        <v>22</v>
      </c>
      <c r="E179" s="9">
        <v>63</v>
      </c>
      <c r="F179" s="78">
        <f>E179*F176</f>
        <v>11.34</v>
      </c>
      <c r="G179" s="403"/>
      <c r="H179" s="403"/>
      <c r="I179" s="7"/>
      <c r="J179" s="7"/>
      <c r="K179" s="7"/>
      <c r="L179" s="7"/>
      <c r="M179" s="438"/>
    </row>
    <row r="180" spans="1:13" ht="15.75">
      <c r="A180" s="218">
        <f>A179+0.1</f>
        <v>28.400000000000006</v>
      </c>
      <c r="B180" s="118"/>
      <c r="C180" s="109" t="s">
        <v>325</v>
      </c>
      <c r="D180" s="109" t="s">
        <v>22</v>
      </c>
      <c r="E180" s="9">
        <v>116</v>
      </c>
      <c r="F180" s="78">
        <f>E180*F176</f>
        <v>20.88</v>
      </c>
      <c r="G180" s="403"/>
      <c r="H180" s="403"/>
      <c r="I180" s="5"/>
      <c r="J180" s="5"/>
      <c r="K180" s="5"/>
      <c r="L180" s="5"/>
      <c r="M180" s="438"/>
    </row>
    <row r="181" spans="1:13" ht="15.75">
      <c r="A181" s="218">
        <f>A180+0.1</f>
        <v>28.500000000000007</v>
      </c>
      <c r="B181" s="118"/>
      <c r="C181" s="109" t="s">
        <v>182</v>
      </c>
      <c r="D181" s="109" t="s">
        <v>32</v>
      </c>
      <c r="E181" s="9">
        <v>2.12</v>
      </c>
      <c r="F181" s="78">
        <f>E181*F176</f>
        <v>0.3816</v>
      </c>
      <c r="G181" s="403"/>
      <c r="H181" s="403"/>
      <c r="I181" s="5"/>
      <c r="J181" s="5"/>
      <c r="K181" s="5"/>
      <c r="L181" s="5"/>
      <c r="M181" s="438"/>
    </row>
    <row r="182" spans="1:13" ht="54">
      <c r="A182" s="87">
        <v>29</v>
      </c>
      <c r="B182" s="110" t="s">
        <v>107</v>
      </c>
      <c r="C182" s="76" t="s">
        <v>232</v>
      </c>
      <c r="D182" s="76" t="s">
        <v>10</v>
      </c>
      <c r="E182" s="79"/>
      <c r="F182" s="79">
        <v>0.125</v>
      </c>
      <c r="G182" s="79"/>
      <c r="H182" s="85"/>
      <c r="I182" s="216"/>
      <c r="J182" s="216"/>
      <c r="K182" s="5"/>
      <c r="L182" s="5"/>
      <c r="M182" s="406"/>
    </row>
    <row r="183" spans="1:13" ht="13.5">
      <c r="A183" s="216">
        <f aca="true" t="shared" si="7" ref="A183:A190">A182+0.1</f>
        <v>29.1</v>
      </c>
      <c r="B183" s="147" t="s">
        <v>139</v>
      </c>
      <c r="C183" s="139" t="s">
        <v>158</v>
      </c>
      <c r="D183" s="139" t="s">
        <v>11</v>
      </c>
      <c r="E183" s="129">
        <v>85</v>
      </c>
      <c r="F183" s="129">
        <f>E183*F182</f>
        <v>10.625</v>
      </c>
      <c r="G183" s="139"/>
      <c r="H183" s="139"/>
      <c r="I183" s="404"/>
      <c r="J183" s="408"/>
      <c r="K183" s="123"/>
      <c r="L183" s="123"/>
      <c r="M183" s="408"/>
    </row>
    <row r="184" spans="1:13" ht="13.5">
      <c r="A184" s="216">
        <f t="shared" si="7"/>
        <v>29.200000000000003</v>
      </c>
      <c r="B184" s="148"/>
      <c r="C184" s="145" t="s">
        <v>180</v>
      </c>
      <c r="D184" s="145" t="s">
        <v>32</v>
      </c>
      <c r="E184" s="146">
        <v>1.74</v>
      </c>
      <c r="F184" s="146">
        <f>E184*F182</f>
        <v>0.2175</v>
      </c>
      <c r="G184" s="145"/>
      <c r="H184" s="145"/>
      <c r="I184" s="145"/>
      <c r="J184" s="145"/>
      <c r="K184" s="426"/>
      <c r="L184" s="426"/>
      <c r="M184" s="426"/>
    </row>
    <row r="185" spans="1:13" ht="13.5">
      <c r="A185" s="216">
        <f t="shared" si="7"/>
        <v>29.300000000000004</v>
      </c>
      <c r="B185" s="84"/>
      <c r="C185" s="216" t="s">
        <v>234</v>
      </c>
      <c r="D185" s="216" t="s">
        <v>233</v>
      </c>
      <c r="E185" s="78">
        <v>38</v>
      </c>
      <c r="F185" s="78">
        <f>E185*F182</f>
        <v>4.75</v>
      </c>
      <c r="G185" s="403"/>
      <c r="H185" s="403"/>
      <c r="I185" s="216"/>
      <c r="J185" s="216"/>
      <c r="K185" s="5"/>
      <c r="L185" s="5"/>
      <c r="M185" s="403"/>
    </row>
    <row r="186" spans="1:13" ht="13.5">
      <c r="A186" s="216">
        <f t="shared" si="7"/>
        <v>29.400000000000006</v>
      </c>
      <c r="B186" s="84"/>
      <c r="C186" s="216" t="s">
        <v>95</v>
      </c>
      <c r="D186" s="216" t="s">
        <v>22</v>
      </c>
      <c r="E186" s="78">
        <v>52.1</v>
      </c>
      <c r="F186" s="78">
        <f>E186*F182</f>
        <v>6.5125</v>
      </c>
      <c r="G186" s="403"/>
      <c r="H186" s="403"/>
      <c r="I186" s="216"/>
      <c r="J186" s="216"/>
      <c r="K186" s="5"/>
      <c r="L186" s="5"/>
      <c r="M186" s="403"/>
    </row>
    <row r="187" spans="1:13" ht="13.5">
      <c r="A187" s="216">
        <f t="shared" si="7"/>
        <v>29.500000000000007</v>
      </c>
      <c r="B187" s="84"/>
      <c r="C187" s="216" t="s">
        <v>96</v>
      </c>
      <c r="D187" s="216" t="s">
        <v>22</v>
      </c>
      <c r="E187" s="78">
        <v>52</v>
      </c>
      <c r="F187" s="78">
        <f>E187*F182</f>
        <v>6.5</v>
      </c>
      <c r="G187" s="403"/>
      <c r="H187" s="403"/>
      <c r="I187" s="216"/>
      <c r="J187" s="216"/>
      <c r="K187" s="5"/>
      <c r="L187" s="5"/>
      <c r="M187" s="403"/>
    </row>
    <row r="188" spans="1:13" ht="13.5">
      <c r="A188" s="216">
        <f t="shared" si="7"/>
        <v>29.60000000000001</v>
      </c>
      <c r="B188" s="84"/>
      <c r="C188" s="216" t="s">
        <v>100</v>
      </c>
      <c r="D188" s="216" t="s">
        <v>23</v>
      </c>
      <c r="E188" s="78">
        <v>103</v>
      </c>
      <c r="F188" s="78">
        <f>E188*F182</f>
        <v>12.875</v>
      </c>
      <c r="G188" s="403"/>
      <c r="H188" s="403"/>
      <c r="I188" s="216"/>
      <c r="J188" s="216"/>
      <c r="K188" s="5"/>
      <c r="L188" s="5"/>
      <c r="M188" s="403"/>
    </row>
    <row r="189" spans="1:13" ht="13.5">
      <c r="A189" s="216">
        <f t="shared" si="7"/>
        <v>29.70000000000001</v>
      </c>
      <c r="B189" s="84"/>
      <c r="C189" s="216" t="s">
        <v>97</v>
      </c>
      <c r="D189" s="216" t="s">
        <v>27</v>
      </c>
      <c r="E189" s="78">
        <v>107</v>
      </c>
      <c r="F189" s="78">
        <f>E189*F182</f>
        <v>13.375</v>
      </c>
      <c r="G189" s="403"/>
      <c r="H189" s="403"/>
      <c r="I189" s="139"/>
      <c r="J189" s="139"/>
      <c r="K189" s="123"/>
      <c r="L189" s="123"/>
      <c r="M189" s="403"/>
    </row>
    <row r="190" spans="1:13" ht="13.5">
      <c r="A190" s="216">
        <f t="shared" si="7"/>
        <v>29.80000000000001</v>
      </c>
      <c r="B190" s="84"/>
      <c r="C190" s="216" t="s">
        <v>98</v>
      </c>
      <c r="D190" s="216" t="s">
        <v>32</v>
      </c>
      <c r="E190" s="78">
        <v>2.43</v>
      </c>
      <c r="F190" s="78">
        <f>E190*F182</f>
        <v>0.30375</v>
      </c>
      <c r="G190" s="403"/>
      <c r="H190" s="403"/>
      <c r="I190" s="145"/>
      <c r="J190" s="145"/>
      <c r="K190" s="142"/>
      <c r="L190" s="142"/>
      <c r="M190" s="403"/>
    </row>
    <row r="191" spans="1:13" ht="27">
      <c r="A191" s="76">
        <v>30</v>
      </c>
      <c r="B191" s="76" t="s">
        <v>231</v>
      </c>
      <c r="C191" s="76" t="s">
        <v>293</v>
      </c>
      <c r="D191" s="76" t="s">
        <v>193</v>
      </c>
      <c r="E191" s="76"/>
      <c r="F191" s="76">
        <v>0.055</v>
      </c>
      <c r="G191" s="79"/>
      <c r="H191" s="85"/>
      <c r="I191" s="216"/>
      <c r="J191" s="216"/>
      <c r="K191" s="5"/>
      <c r="L191" s="5"/>
      <c r="M191" s="406"/>
    </row>
    <row r="192" spans="1:13" ht="13.5">
      <c r="A192" s="216">
        <f aca="true" t="shared" si="8" ref="A192:A198">A191+0.1</f>
        <v>30.1</v>
      </c>
      <c r="B192" s="139"/>
      <c r="C192" s="139" t="s">
        <v>194</v>
      </c>
      <c r="D192" s="139" t="s">
        <v>11</v>
      </c>
      <c r="E192" s="139">
        <v>281</v>
      </c>
      <c r="F192" s="129">
        <f>F191*E192</f>
        <v>15.455</v>
      </c>
      <c r="G192" s="139"/>
      <c r="H192" s="165"/>
      <c r="I192" s="404"/>
      <c r="J192" s="408"/>
      <c r="K192" s="123"/>
      <c r="L192" s="123"/>
      <c r="M192" s="408"/>
    </row>
    <row r="193" spans="1:13" ht="13.5">
      <c r="A193" s="216">
        <f t="shared" si="8"/>
        <v>30.200000000000003</v>
      </c>
      <c r="B193" s="145"/>
      <c r="C193" s="145" t="s">
        <v>172</v>
      </c>
      <c r="D193" s="145" t="s">
        <v>195</v>
      </c>
      <c r="E193" s="145">
        <v>33</v>
      </c>
      <c r="F193" s="146">
        <f>F191*E193</f>
        <v>1.815</v>
      </c>
      <c r="G193" s="145"/>
      <c r="H193" s="149"/>
      <c r="I193" s="145"/>
      <c r="J193" s="145"/>
      <c r="K193" s="426"/>
      <c r="L193" s="434"/>
      <c r="M193" s="426"/>
    </row>
    <row r="194" spans="1:13" ht="13.5">
      <c r="A194" s="216">
        <f t="shared" si="8"/>
        <v>30.300000000000004</v>
      </c>
      <c r="B194" s="111"/>
      <c r="C194" s="216" t="s">
        <v>255</v>
      </c>
      <c r="D194" s="216" t="s">
        <v>196</v>
      </c>
      <c r="E194" s="216">
        <v>102</v>
      </c>
      <c r="F194" s="78">
        <f>E194*F191</f>
        <v>5.61</v>
      </c>
      <c r="G194" s="403"/>
      <c r="H194" s="433"/>
      <c r="I194" s="216"/>
      <c r="J194" s="216"/>
      <c r="K194" s="5"/>
      <c r="L194" s="5"/>
      <c r="M194" s="403"/>
    </row>
    <row r="195" spans="1:13" ht="13.5">
      <c r="A195" s="216">
        <f t="shared" si="8"/>
        <v>30.400000000000006</v>
      </c>
      <c r="B195" s="92"/>
      <c r="C195" s="216" t="s">
        <v>199</v>
      </c>
      <c r="D195" s="216" t="s">
        <v>29</v>
      </c>
      <c r="E195" s="216">
        <v>71.7</v>
      </c>
      <c r="F195" s="78">
        <f>E195*F191</f>
        <v>3.9435000000000002</v>
      </c>
      <c r="G195" s="403"/>
      <c r="H195" s="433"/>
      <c r="I195" s="216"/>
      <c r="J195" s="216"/>
      <c r="K195" s="5"/>
      <c r="L195" s="5"/>
      <c r="M195" s="403"/>
    </row>
    <row r="196" spans="1:13" ht="13.5">
      <c r="A196" s="216">
        <f t="shared" si="8"/>
        <v>30.500000000000007</v>
      </c>
      <c r="B196" s="92"/>
      <c r="C196" s="216" t="s">
        <v>201</v>
      </c>
      <c r="D196" s="216" t="s">
        <v>196</v>
      </c>
      <c r="E196" s="216">
        <v>0.13</v>
      </c>
      <c r="F196" s="78">
        <f>E196*F191</f>
        <v>0.00715</v>
      </c>
      <c r="G196" s="403"/>
      <c r="H196" s="433"/>
      <c r="I196" s="139"/>
      <c r="J196" s="139"/>
      <c r="K196" s="123"/>
      <c r="L196" s="123"/>
      <c r="M196" s="403"/>
    </row>
    <row r="197" spans="1:13" ht="13.5">
      <c r="A197" s="216">
        <f t="shared" si="8"/>
        <v>30.60000000000001</v>
      </c>
      <c r="B197" s="92"/>
      <c r="C197" s="216" t="s">
        <v>202</v>
      </c>
      <c r="D197" s="216" t="s">
        <v>196</v>
      </c>
      <c r="E197" s="216">
        <v>1.52</v>
      </c>
      <c r="F197" s="78">
        <f>E197*F191</f>
        <v>0.08360000000000001</v>
      </c>
      <c r="G197" s="403"/>
      <c r="H197" s="433"/>
      <c r="I197" s="145"/>
      <c r="J197" s="145"/>
      <c r="K197" s="142"/>
      <c r="L197" s="142"/>
      <c r="M197" s="403"/>
    </row>
    <row r="198" spans="1:13" ht="13.5">
      <c r="A198" s="216">
        <f t="shared" si="8"/>
        <v>30.70000000000001</v>
      </c>
      <c r="B198" s="111"/>
      <c r="C198" s="216" t="s">
        <v>203</v>
      </c>
      <c r="D198" s="216" t="s">
        <v>195</v>
      </c>
      <c r="E198" s="216">
        <v>60</v>
      </c>
      <c r="F198" s="78">
        <f>E198*F191</f>
        <v>3.3</v>
      </c>
      <c r="G198" s="403"/>
      <c r="H198" s="433"/>
      <c r="I198" s="216"/>
      <c r="J198" s="216"/>
      <c r="K198" s="5"/>
      <c r="L198" s="5"/>
      <c r="M198" s="403"/>
    </row>
    <row r="199" spans="1:13" ht="40.5">
      <c r="A199" s="119">
        <v>31</v>
      </c>
      <c r="B199" s="117" t="s">
        <v>191</v>
      </c>
      <c r="C199" s="76" t="s">
        <v>321</v>
      </c>
      <c r="D199" s="76" t="s">
        <v>19</v>
      </c>
      <c r="E199" s="79"/>
      <c r="F199" s="79">
        <f>F202</f>
        <v>0.04</v>
      </c>
      <c r="G199" s="79"/>
      <c r="H199" s="263"/>
      <c r="I199" s="232"/>
      <c r="J199" s="232"/>
      <c r="K199" s="180"/>
      <c r="L199" s="180"/>
      <c r="M199" s="406"/>
    </row>
    <row r="200" spans="1:13" ht="15.75">
      <c r="A200" s="218">
        <f>A199+0.1</f>
        <v>31.1</v>
      </c>
      <c r="B200" s="118"/>
      <c r="C200" s="139" t="s">
        <v>166</v>
      </c>
      <c r="D200" s="139" t="s">
        <v>11</v>
      </c>
      <c r="E200" s="129">
        <v>220</v>
      </c>
      <c r="F200" s="129">
        <f>E200*F199</f>
        <v>8.8</v>
      </c>
      <c r="G200" s="261"/>
      <c r="H200" s="264"/>
      <c r="I200" s="404"/>
      <c r="J200" s="408"/>
      <c r="K200" s="186"/>
      <c r="L200" s="186"/>
      <c r="M200" s="408"/>
    </row>
    <row r="201" spans="1:13" ht="15.75">
      <c r="A201" s="218">
        <f>A200+0.1</f>
        <v>31.200000000000003</v>
      </c>
      <c r="B201" s="118"/>
      <c r="C201" s="145" t="s">
        <v>168</v>
      </c>
      <c r="D201" s="145" t="s">
        <v>32</v>
      </c>
      <c r="E201" s="146">
        <v>0.26</v>
      </c>
      <c r="F201" s="146">
        <f>E201*F199</f>
        <v>0.010400000000000001</v>
      </c>
      <c r="G201" s="262"/>
      <c r="H201" s="265"/>
      <c r="I201" s="262"/>
      <c r="J201" s="262"/>
      <c r="K201" s="426"/>
      <c r="L201" s="426"/>
      <c r="M201" s="437"/>
    </row>
    <row r="202" spans="1:13" ht="27">
      <c r="A202" s="218">
        <f>A201+0.1</f>
        <v>31.300000000000004</v>
      </c>
      <c r="B202" s="118"/>
      <c r="C202" s="216" t="s">
        <v>322</v>
      </c>
      <c r="D202" s="216" t="s">
        <v>19</v>
      </c>
      <c r="E202" s="78"/>
      <c r="F202" s="78">
        <f>20*2/1000</f>
        <v>0.04</v>
      </c>
      <c r="G202" s="403"/>
      <c r="H202" s="403"/>
      <c r="I202" s="232"/>
      <c r="J202" s="232"/>
      <c r="K202" s="180"/>
      <c r="L202" s="180"/>
      <c r="M202" s="438"/>
    </row>
    <row r="203" spans="1:13" ht="15.75">
      <c r="A203" s="218">
        <f>A202+0.1</f>
        <v>31.400000000000006</v>
      </c>
      <c r="B203" s="118"/>
      <c r="C203" s="216" t="s">
        <v>122</v>
      </c>
      <c r="D203" s="216" t="s">
        <v>233</v>
      </c>
      <c r="E203" s="78"/>
      <c r="F203" s="78">
        <v>12</v>
      </c>
      <c r="G203" s="403"/>
      <c r="H203" s="403"/>
      <c r="I203" s="232"/>
      <c r="J203" s="232"/>
      <c r="K203" s="180"/>
      <c r="L203" s="180"/>
      <c r="M203" s="438"/>
    </row>
    <row r="204" spans="1:13" ht="15.75">
      <c r="A204" s="218">
        <f>A203+0.1</f>
        <v>31.500000000000007</v>
      </c>
      <c r="B204" s="118"/>
      <c r="C204" s="216" t="s">
        <v>24</v>
      </c>
      <c r="D204" s="216" t="s">
        <v>32</v>
      </c>
      <c r="E204" s="78">
        <v>0.2</v>
      </c>
      <c r="F204" s="78">
        <f>E204*F200</f>
        <v>1.7600000000000002</v>
      </c>
      <c r="G204" s="403"/>
      <c r="H204" s="403"/>
      <c r="I204" s="232"/>
      <c r="J204" s="232"/>
      <c r="K204" s="180"/>
      <c r="L204" s="180"/>
      <c r="M204" s="438"/>
    </row>
    <row r="205" spans="1:13" ht="27">
      <c r="A205" s="119">
        <v>32</v>
      </c>
      <c r="B205" s="117" t="s">
        <v>191</v>
      </c>
      <c r="C205" s="76" t="s">
        <v>426</v>
      </c>
      <c r="D205" s="108" t="s">
        <v>29</v>
      </c>
      <c r="E205" s="8"/>
      <c r="F205" s="79">
        <v>10</v>
      </c>
      <c r="G205" s="8"/>
      <c r="H205" s="296"/>
      <c r="I205" s="180"/>
      <c r="J205" s="180"/>
      <c r="K205" s="180"/>
      <c r="L205" s="180"/>
      <c r="M205" s="406"/>
    </row>
    <row r="206" spans="1:13" ht="15.75">
      <c r="A206" s="377">
        <f aca="true" t="shared" si="9" ref="A206:A211">A205+0.1</f>
        <v>32.1</v>
      </c>
      <c r="B206" s="118"/>
      <c r="C206" s="139" t="s">
        <v>166</v>
      </c>
      <c r="D206" s="297" t="s">
        <v>11</v>
      </c>
      <c r="E206" s="124">
        <v>4</v>
      </c>
      <c r="F206" s="129">
        <f>E206*F205</f>
        <v>40</v>
      </c>
      <c r="G206" s="186"/>
      <c r="H206" s="298"/>
      <c r="I206" s="404"/>
      <c r="J206" s="408"/>
      <c r="K206" s="186"/>
      <c r="L206" s="186"/>
      <c r="M206" s="408"/>
    </row>
    <row r="207" spans="1:13" ht="15.75">
      <c r="A207" s="377">
        <f t="shared" si="9"/>
        <v>32.2</v>
      </c>
      <c r="B207" s="118"/>
      <c r="C207" s="145" t="s">
        <v>168</v>
      </c>
      <c r="D207" s="141" t="s">
        <v>32</v>
      </c>
      <c r="E207" s="144">
        <v>0.26</v>
      </c>
      <c r="F207" s="146">
        <f>E207*F205</f>
        <v>2.6</v>
      </c>
      <c r="G207" s="299"/>
      <c r="H207" s="300"/>
      <c r="I207" s="299"/>
      <c r="J207" s="299"/>
      <c r="K207" s="426"/>
      <c r="L207" s="426"/>
      <c r="M207" s="437"/>
    </row>
    <row r="208" spans="1:13" ht="15.75">
      <c r="A208" s="377">
        <f t="shared" si="9"/>
        <v>32.300000000000004</v>
      </c>
      <c r="B208" s="118"/>
      <c r="C208" s="216" t="s">
        <v>427</v>
      </c>
      <c r="D208" s="109" t="s">
        <v>23</v>
      </c>
      <c r="E208" s="9">
        <v>1</v>
      </c>
      <c r="F208" s="78">
        <f>E208*F205</f>
        <v>10</v>
      </c>
      <c r="G208" s="403"/>
      <c r="H208" s="403"/>
      <c r="I208" s="180"/>
      <c r="J208" s="180"/>
      <c r="K208" s="180"/>
      <c r="L208" s="180"/>
      <c r="M208" s="438"/>
    </row>
    <row r="209" spans="1:13" ht="15.75">
      <c r="A209" s="377">
        <f t="shared" si="9"/>
        <v>32.400000000000006</v>
      </c>
      <c r="B209" s="118"/>
      <c r="C209" s="216" t="s">
        <v>428</v>
      </c>
      <c r="D209" s="109" t="s">
        <v>205</v>
      </c>
      <c r="E209" s="9"/>
      <c r="F209" s="78">
        <v>23.5</v>
      </c>
      <c r="G209" s="403"/>
      <c r="H209" s="403"/>
      <c r="I209" s="180"/>
      <c r="J209" s="180"/>
      <c r="K209" s="180"/>
      <c r="L209" s="180"/>
      <c r="M209" s="438"/>
    </row>
    <row r="210" spans="1:13" ht="15.75">
      <c r="A210" s="377">
        <f t="shared" si="9"/>
        <v>32.50000000000001</v>
      </c>
      <c r="B210" s="118"/>
      <c r="C210" s="216" t="s">
        <v>294</v>
      </c>
      <c r="D210" s="109" t="s">
        <v>233</v>
      </c>
      <c r="E210" s="9"/>
      <c r="F210" s="78">
        <v>5</v>
      </c>
      <c r="G210" s="403"/>
      <c r="H210" s="403"/>
      <c r="I210" s="180"/>
      <c r="J210" s="180"/>
      <c r="K210" s="180"/>
      <c r="L210" s="180"/>
      <c r="M210" s="438"/>
    </row>
    <row r="211" spans="1:13" ht="15.75">
      <c r="A211" s="377">
        <f t="shared" si="9"/>
        <v>32.60000000000001</v>
      </c>
      <c r="B211" s="118"/>
      <c r="C211" s="216" t="s">
        <v>24</v>
      </c>
      <c r="D211" s="109" t="s">
        <v>32</v>
      </c>
      <c r="E211" s="9">
        <v>0.2</v>
      </c>
      <c r="F211" s="78">
        <f>E211*F206</f>
        <v>8</v>
      </c>
      <c r="G211" s="403"/>
      <c r="H211" s="403"/>
      <c r="I211" s="180"/>
      <c r="J211" s="180"/>
      <c r="K211" s="180"/>
      <c r="L211" s="180"/>
      <c r="M211" s="438"/>
    </row>
    <row r="212" spans="1:13" s="12" customFormat="1" ht="25.5">
      <c r="A212" s="467">
        <v>33</v>
      </c>
      <c r="B212" s="117" t="s">
        <v>502</v>
      </c>
      <c r="C212" s="198" t="s">
        <v>507</v>
      </c>
      <c r="D212" s="108" t="s">
        <v>503</v>
      </c>
      <c r="E212" s="8"/>
      <c r="F212" s="79">
        <v>1</v>
      </c>
      <c r="G212" s="406"/>
      <c r="H212" s="406"/>
      <c r="I212" s="128"/>
      <c r="J212" s="128"/>
      <c r="K212" s="128"/>
      <c r="L212" s="128"/>
      <c r="M212" s="440"/>
    </row>
    <row r="213" spans="1:13" ht="15.75">
      <c r="A213" s="377">
        <v>33.1</v>
      </c>
      <c r="B213" s="118"/>
      <c r="C213" s="216" t="s">
        <v>504</v>
      </c>
      <c r="D213" s="109" t="s">
        <v>509</v>
      </c>
      <c r="E213" s="9">
        <v>16</v>
      </c>
      <c r="F213" s="78">
        <v>16</v>
      </c>
      <c r="G213" s="403"/>
      <c r="H213" s="403"/>
      <c r="I213" s="180"/>
      <c r="J213" s="180"/>
      <c r="K213" s="180"/>
      <c r="L213" s="180"/>
      <c r="M213" s="438"/>
    </row>
    <row r="214" spans="1:13" ht="15.75">
      <c r="A214" s="377">
        <v>33.2</v>
      </c>
      <c r="B214" s="118"/>
      <c r="C214" s="216" t="s">
        <v>505</v>
      </c>
      <c r="D214" s="109" t="s">
        <v>261</v>
      </c>
      <c r="E214" s="9">
        <v>0.18</v>
      </c>
      <c r="F214" s="78">
        <v>0.18</v>
      </c>
      <c r="G214" s="403"/>
      <c r="H214" s="403"/>
      <c r="I214" s="180"/>
      <c r="J214" s="180"/>
      <c r="K214" s="180"/>
      <c r="L214" s="180"/>
      <c r="M214" s="438"/>
    </row>
    <row r="215" spans="1:13" ht="15.75">
      <c r="A215" s="377">
        <v>33.3</v>
      </c>
      <c r="B215" s="118"/>
      <c r="C215" s="216" t="s">
        <v>506</v>
      </c>
      <c r="D215" s="109" t="s">
        <v>503</v>
      </c>
      <c r="E215" s="9"/>
      <c r="F215" s="78">
        <v>1</v>
      </c>
      <c r="G215" s="403"/>
      <c r="H215" s="403"/>
      <c r="I215" s="180"/>
      <c r="J215" s="180"/>
      <c r="K215" s="180"/>
      <c r="L215" s="180"/>
      <c r="M215" s="438"/>
    </row>
    <row r="216" spans="1:13" ht="15.75">
      <c r="A216" s="377">
        <v>33.4</v>
      </c>
      <c r="B216" s="118"/>
      <c r="C216" s="216" t="s">
        <v>508</v>
      </c>
      <c r="D216" s="109" t="s">
        <v>261</v>
      </c>
      <c r="E216" s="9">
        <v>2.2</v>
      </c>
      <c r="F216" s="78">
        <v>2.2</v>
      </c>
      <c r="G216" s="403"/>
      <c r="H216" s="403"/>
      <c r="I216" s="180"/>
      <c r="J216" s="180"/>
      <c r="K216" s="180"/>
      <c r="L216" s="180"/>
      <c r="M216" s="438"/>
    </row>
    <row r="217" spans="1:13" ht="13.5">
      <c r="A217" s="198"/>
      <c r="B217" s="199"/>
      <c r="C217" s="198" t="s">
        <v>247</v>
      </c>
      <c r="D217" s="198" t="s">
        <v>32</v>
      </c>
      <c r="E217" s="200"/>
      <c r="F217" s="200"/>
      <c r="G217" s="200"/>
      <c r="H217" s="416"/>
      <c r="I217" s="211"/>
      <c r="J217" s="404"/>
      <c r="K217" s="201"/>
      <c r="L217" s="419"/>
      <c r="M217" s="411"/>
    </row>
    <row r="218" spans="1:13" ht="13.5">
      <c r="A218" s="203"/>
      <c r="B218" s="183"/>
      <c r="C218" s="222" t="s">
        <v>248</v>
      </c>
      <c r="D218" s="222" t="s">
        <v>32</v>
      </c>
      <c r="E218" s="204"/>
      <c r="F218" s="204"/>
      <c r="G218" s="204"/>
      <c r="H218" s="206"/>
      <c r="I218" s="206"/>
      <c r="J218" s="206"/>
      <c r="K218" s="205"/>
      <c r="L218" s="205"/>
      <c r="M218" s="408"/>
    </row>
    <row r="219" spans="1:13" ht="13.5">
      <c r="A219" s="203"/>
      <c r="B219" s="190"/>
      <c r="C219" s="225" t="s">
        <v>249</v>
      </c>
      <c r="D219" s="225" t="s">
        <v>32</v>
      </c>
      <c r="E219" s="207"/>
      <c r="F219" s="207"/>
      <c r="G219" s="207"/>
      <c r="H219" s="209"/>
      <c r="I219" s="209"/>
      <c r="J219" s="209"/>
      <c r="K219" s="208"/>
      <c r="L219" s="208"/>
      <c r="M219" s="426"/>
    </row>
    <row r="220" spans="1:13" ht="13.5">
      <c r="A220" s="203"/>
      <c r="B220" s="4"/>
      <c r="C220" s="203" t="s">
        <v>250</v>
      </c>
      <c r="D220" s="203" t="s">
        <v>32</v>
      </c>
      <c r="E220" s="210"/>
      <c r="F220" s="210"/>
      <c r="G220" s="210"/>
      <c r="H220" s="211"/>
      <c r="I220" s="211"/>
      <c r="J220" s="211"/>
      <c r="K220" s="201"/>
      <c r="L220" s="201"/>
      <c r="M220" s="414"/>
    </row>
    <row r="221" spans="1:13" ht="25.5">
      <c r="A221" s="203"/>
      <c r="B221" s="4"/>
      <c r="C221" s="203" t="s">
        <v>251</v>
      </c>
      <c r="D221" s="203" t="s">
        <v>32</v>
      </c>
      <c r="E221" s="210"/>
      <c r="F221" s="210"/>
      <c r="G221" s="210"/>
      <c r="H221" s="211"/>
      <c r="I221" s="211"/>
      <c r="J221" s="211"/>
      <c r="K221" s="201"/>
      <c r="L221" s="201"/>
      <c r="M221" s="411"/>
    </row>
    <row r="222" spans="1:13" ht="13.5">
      <c r="A222" s="203"/>
      <c r="B222" s="4"/>
      <c r="C222" s="466" t="s">
        <v>499</v>
      </c>
      <c r="D222" s="203" t="s">
        <v>32</v>
      </c>
      <c r="E222" s="210"/>
      <c r="F222" s="210"/>
      <c r="G222" s="210"/>
      <c r="H222" s="211"/>
      <c r="I222" s="211"/>
      <c r="J222" s="211"/>
      <c r="K222" s="201"/>
      <c r="L222" s="201"/>
      <c r="M222" s="414"/>
    </row>
    <row r="223" spans="1:13" ht="20.25" customHeight="1">
      <c r="A223" s="203"/>
      <c r="B223" s="4"/>
      <c r="C223" s="203" t="s">
        <v>86</v>
      </c>
      <c r="D223" s="203" t="s">
        <v>32</v>
      </c>
      <c r="E223" s="210"/>
      <c r="F223" s="210"/>
      <c r="G223" s="210"/>
      <c r="H223" s="211"/>
      <c r="I223" s="211"/>
      <c r="J223" s="211"/>
      <c r="K223" s="201"/>
      <c r="L223" s="201"/>
      <c r="M223" s="414"/>
    </row>
    <row r="224" spans="1:13" ht="13.5">
      <c r="A224" s="203"/>
      <c r="B224" s="4"/>
      <c r="C224" s="466" t="s">
        <v>500</v>
      </c>
      <c r="D224" s="203" t="s">
        <v>32</v>
      </c>
      <c r="E224" s="210"/>
      <c r="F224" s="210"/>
      <c r="G224" s="210"/>
      <c r="H224" s="211"/>
      <c r="I224" s="211"/>
      <c r="J224" s="211"/>
      <c r="K224" s="201"/>
      <c r="L224" s="201"/>
      <c r="M224" s="414"/>
    </row>
    <row r="225" spans="1:13" ht="13.5">
      <c r="A225" s="203"/>
      <c r="B225" s="4"/>
      <c r="C225" s="203" t="s">
        <v>47</v>
      </c>
      <c r="D225" s="203" t="s">
        <v>32</v>
      </c>
      <c r="E225" s="210"/>
      <c r="F225" s="210"/>
      <c r="G225" s="210"/>
      <c r="H225" s="211"/>
      <c r="I225" s="211"/>
      <c r="J225" s="211"/>
      <c r="K225" s="201"/>
      <c r="L225" s="201"/>
      <c r="M225" s="411"/>
    </row>
    <row r="226" spans="1:13" ht="13.5">
      <c r="A226" s="212"/>
      <c r="B226" s="213"/>
      <c r="C226" s="212"/>
      <c r="D226" s="212"/>
      <c r="E226" s="212"/>
      <c r="F226" s="212"/>
      <c r="G226" s="212"/>
      <c r="H226" s="212"/>
      <c r="I226" s="212"/>
      <c r="J226" s="212"/>
      <c r="K226" s="213"/>
      <c r="L226" s="213"/>
      <c r="M226" s="213"/>
    </row>
    <row r="227" spans="1:13" ht="13.5">
      <c r="A227" s="214"/>
      <c r="B227" s="3"/>
      <c r="C227" s="507"/>
      <c r="D227" s="507"/>
      <c r="E227" s="266"/>
      <c r="F227" s="507"/>
      <c r="G227" s="507"/>
      <c r="H227" s="507"/>
      <c r="I227" s="212"/>
      <c r="J227" s="212"/>
      <c r="K227" s="213"/>
      <c r="L227" s="213"/>
      <c r="M227" s="213"/>
    </row>
  </sheetData>
  <sheetProtection/>
  <mergeCells count="22">
    <mergeCell ref="A5:E5"/>
    <mergeCell ref="G5:H5"/>
    <mergeCell ref="A10:A11"/>
    <mergeCell ref="A6:E6"/>
    <mergeCell ref="A7:E7"/>
    <mergeCell ref="I10:J10"/>
    <mergeCell ref="K10:L10"/>
    <mergeCell ref="M10:M11"/>
    <mergeCell ref="B10:B11"/>
    <mergeCell ref="C227:D227"/>
    <mergeCell ref="F227:H227"/>
    <mergeCell ref="G10:H10"/>
    <mergeCell ref="A1:H1"/>
    <mergeCell ref="A2:H2"/>
    <mergeCell ref="A4:H4"/>
    <mergeCell ref="A9:H9"/>
    <mergeCell ref="A3:H3"/>
    <mergeCell ref="D10:D11"/>
    <mergeCell ref="E10:F10"/>
    <mergeCell ref="C10:C11"/>
    <mergeCell ref="G7:H7"/>
    <mergeCell ref="G6:H6"/>
  </mergeCells>
  <printOptions horizontalCentered="1"/>
  <pageMargins left="0.7086614173228347" right="0.1968503937007874" top="0.31496062992125984" bottom="0.3937007874015748" header="0.31496062992125984" footer="0"/>
  <pageSetup horizontalDpi="600" verticalDpi="600" orientation="landscape" paperSize="9" scale="83" r:id="rId1"/>
  <headerFooter scaleWithDoc="0" alignWithMargins="0">
    <oddFooter>&amp;R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U85"/>
  <sheetViews>
    <sheetView tabSelected="1" view="pageBreakPreview" zoomScaleSheetLayoutView="100" workbookViewId="0" topLeftCell="C64">
      <selection activeCell="C82" sqref="C82"/>
    </sheetView>
  </sheetViews>
  <sheetFormatPr defaultColWidth="9.140625" defaultRowHeight="12.75"/>
  <cols>
    <col min="1" max="1" width="4.28125" style="18" customWidth="1"/>
    <col min="2" max="2" width="12.00390625" style="15" customWidth="1"/>
    <col min="3" max="3" width="41.28125" style="16" customWidth="1"/>
    <col min="4" max="4" width="7.140625" style="17" customWidth="1"/>
    <col min="5" max="5" width="7.8515625" style="43" customWidth="1"/>
    <col min="6" max="6" width="8.28125" style="255" customWidth="1"/>
    <col min="7" max="7" width="8.140625" style="50" customWidth="1"/>
    <col min="8" max="8" width="9.28125" style="49" customWidth="1"/>
    <col min="9" max="9" width="9.140625" style="51" customWidth="1"/>
    <col min="10" max="11" width="9.140625" style="43" customWidth="1"/>
    <col min="12" max="16384" width="9.140625" style="51" customWidth="1"/>
  </cols>
  <sheetData>
    <row r="1" spans="1:8" s="11" customFormat="1" ht="16.5" customHeight="1">
      <c r="A1" s="497" t="s">
        <v>298</v>
      </c>
      <c r="B1" s="497"/>
      <c r="C1" s="497"/>
      <c r="D1" s="497"/>
      <c r="E1" s="497"/>
      <c r="F1" s="497"/>
      <c r="G1" s="497"/>
      <c r="H1" s="497"/>
    </row>
    <row r="2" spans="1:8" s="11" customFormat="1" ht="19.5" customHeight="1">
      <c r="A2" s="498" t="s">
        <v>498</v>
      </c>
      <c r="B2" s="498"/>
      <c r="C2" s="498"/>
      <c r="D2" s="498"/>
      <c r="E2" s="498"/>
      <c r="F2" s="498"/>
      <c r="G2" s="498"/>
      <c r="H2" s="498"/>
    </row>
    <row r="3" spans="1:8" s="11" customFormat="1" ht="13.5">
      <c r="A3" s="497" t="str">
        <f>'OBIEKTURI #1'!A4:J4</f>
        <v>ZiriTadi Senoba (vet. klinika)</v>
      </c>
      <c r="B3" s="497"/>
      <c r="C3" s="497"/>
      <c r="D3" s="497"/>
      <c r="E3" s="497"/>
      <c r="F3" s="497"/>
      <c r="G3" s="497"/>
      <c r="H3" s="497"/>
    </row>
    <row r="4" spans="1:8" s="11" customFormat="1" ht="13.5">
      <c r="A4" s="497" t="str">
        <f>'OBIEKTURI #1'!C13</f>
        <v>Siga wyalmomarageba da sakanalizacio qseli</v>
      </c>
      <c r="B4" s="497"/>
      <c r="C4" s="497"/>
      <c r="D4" s="497"/>
      <c r="E4" s="497"/>
      <c r="F4" s="497"/>
      <c r="G4" s="497"/>
      <c r="H4" s="497"/>
    </row>
    <row r="5" spans="1:8" s="11" customFormat="1" ht="13.5">
      <c r="A5" s="82"/>
      <c r="B5" s="83"/>
      <c r="C5" s="82"/>
      <c r="D5" s="82"/>
      <c r="E5" s="82"/>
      <c r="F5" s="375"/>
      <c r="G5" s="82"/>
      <c r="H5" s="82"/>
    </row>
    <row r="6" spans="1:8" s="11" customFormat="1" ht="13.5">
      <c r="A6" s="513" t="s">
        <v>1</v>
      </c>
      <c r="B6" s="513"/>
      <c r="C6" s="513"/>
      <c r="D6" s="513"/>
      <c r="E6" s="513"/>
      <c r="F6" s="461">
        <f>M82/1000</f>
        <v>0</v>
      </c>
      <c r="G6" s="503" t="s">
        <v>101</v>
      </c>
      <c r="H6" s="503"/>
    </row>
    <row r="7" spans="1:8" s="11" customFormat="1" ht="13.5">
      <c r="A7" s="513" t="s">
        <v>2</v>
      </c>
      <c r="B7" s="513"/>
      <c r="C7" s="513"/>
      <c r="D7" s="513"/>
      <c r="E7" s="513"/>
      <c r="F7" s="461">
        <f>M76/1000</f>
        <v>0</v>
      </c>
      <c r="G7" s="503" t="s">
        <v>101</v>
      </c>
      <c r="H7" s="503"/>
    </row>
    <row r="8" spans="1:8" s="11" customFormat="1" ht="13.5">
      <c r="A8" s="513" t="s">
        <v>3</v>
      </c>
      <c r="B8" s="513"/>
      <c r="C8" s="513"/>
      <c r="D8" s="513"/>
      <c r="E8" s="513"/>
      <c r="F8" s="462">
        <f>F7*1000/2.5</f>
        <v>0</v>
      </c>
      <c r="G8" s="503" t="s">
        <v>105</v>
      </c>
      <c r="H8" s="503"/>
    </row>
    <row r="9" spans="1:8" s="11" customFormat="1" ht="13.5">
      <c r="A9" s="90"/>
      <c r="B9" s="91"/>
      <c r="C9" s="90"/>
      <c r="D9" s="90"/>
      <c r="E9" s="90"/>
      <c r="F9" s="90"/>
      <c r="G9" s="90"/>
      <c r="H9" s="90"/>
    </row>
    <row r="10" spans="1:8" s="11" customFormat="1" ht="13.5">
      <c r="A10" s="510"/>
      <c r="B10" s="510"/>
      <c r="C10" s="510"/>
      <c r="D10" s="510"/>
      <c r="E10" s="510"/>
      <c r="F10" s="510"/>
      <c r="G10" s="510"/>
      <c r="H10" s="510"/>
    </row>
    <row r="11" spans="1:13" s="132" customFormat="1" ht="26.25" customHeight="1">
      <c r="A11" s="504" t="s">
        <v>235</v>
      </c>
      <c r="B11" s="505" t="s">
        <v>5</v>
      </c>
      <c r="C11" s="504" t="s">
        <v>236</v>
      </c>
      <c r="D11" s="504" t="s">
        <v>237</v>
      </c>
      <c r="E11" s="511" t="s">
        <v>6</v>
      </c>
      <c r="F11" s="512"/>
      <c r="G11" s="504" t="s">
        <v>238</v>
      </c>
      <c r="H11" s="504"/>
      <c r="I11" s="504" t="s">
        <v>239</v>
      </c>
      <c r="J11" s="504"/>
      <c r="K11" s="504" t="s">
        <v>240</v>
      </c>
      <c r="L11" s="504"/>
      <c r="M11" s="504" t="s">
        <v>241</v>
      </c>
    </row>
    <row r="12" spans="1:13" s="132" customFormat="1" ht="51">
      <c r="A12" s="504" t="s">
        <v>235</v>
      </c>
      <c r="B12" s="506"/>
      <c r="C12" s="504" t="s">
        <v>242</v>
      </c>
      <c r="D12" s="515" t="s">
        <v>243</v>
      </c>
      <c r="E12" s="133" t="s">
        <v>7</v>
      </c>
      <c r="F12" s="267" t="s">
        <v>8</v>
      </c>
      <c r="G12" s="134" t="s">
        <v>244</v>
      </c>
      <c r="H12" s="135" t="s">
        <v>245</v>
      </c>
      <c r="I12" s="135" t="s">
        <v>244</v>
      </c>
      <c r="J12" s="135" t="s">
        <v>245</v>
      </c>
      <c r="K12" s="135" t="s">
        <v>244</v>
      </c>
      <c r="L12" s="135" t="s">
        <v>245</v>
      </c>
      <c r="M12" s="504" t="s">
        <v>245</v>
      </c>
    </row>
    <row r="13" spans="1:13" s="132" customFormat="1" ht="12.75">
      <c r="A13" s="135">
        <v>1</v>
      </c>
      <c r="B13" s="135">
        <v>2</v>
      </c>
      <c r="C13" s="135">
        <v>3</v>
      </c>
      <c r="D13" s="135">
        <v>4</v>
      </c>
      <c r="E13" s="136">
        <v>5</v>
      </c>
      <c r="F13" s="217">
        <v>6</v>
      </c>
      <c r="G13" s="138">
        <v>7</v>
      </c>
      <c r="H13" s="138">
        <v>8</v>
      </c>
      <c r="I13" s="138">
        <v>9</v>
      </c>
      <c r="J13" s="138">
        <v>10</v>
      </c>
      <c r="K13" s="138">
        <v>11</v>
      </c>
      <c r="L13" s="138">
        <v>12</v>
      </c>
      <c r="M13" s="138">
        <v>13</v>
      </c>
    </row>
    <row r="14" spans="1:21" s="45" customFormat="1" ht="40.5">
      <c r="A14" s="215" t="s">
        <v>9</v>
      </c>
      <c r="B14" s="86" t="s">
        <v>120</v>
      </c>
      <c r="C14" s="76" t="s">
        <v>125</v>
      </c>
      <c r="D14" s="76" t="s">
        <v>110</v>
      </c>
      <c r="E14" s="79"/>
      <c r="F14" s="79">
        <v>8</v>
      </c>
      <c r="G14" s="79"/>
      <c r="H14" s="152"/>
      <c r="I14" s="152"/>
      <c r="J14" s="152"/>
      <c r="K14" s="152"/>
      <c r="L14" s="152"/>
      <c r="M14" s="406">
        <f>SUM(M15:M20)</f>
        <v>0</v>
      </c>
      <c r="R14" s="48"/>
      <c r="S14" s="49"/>
      <c r="T14" s="50"/>
      <c r="U14" s="48"/>
    </row>
    <row r="15" spans="1:21" s="66" customFormat="1" ht="13.5">
      <c r="A15" s="139">
        <f aca="true" t="shared" si="0" ref="A15:A20">A14+0.1</f>
        <v>1.1</v>
      </c>
      <c r="B15" s="147"/>
      <c r="C15" s="139" t="s">
        <v>170</v>
      </c>
      <c r="D15" s="139" t="s">
        <v>11</v>
      </c>
      <c r="E15" s="129">
        <v>0.609</v>
      </c>
      <c r="F15" s="168">
        <f>F14*E15</f>
        <v>4.872</v>
      </c>
      <c r="G15" s="153"/>
      <c r="H15" s="153"/>
      <c r="I15" s="404"/>
      <c r="J15" s="408"/>
      <c r="K15" s="153"/>
      <c r="L15" s="153"/>
      <c r="M15" s="408">
        <f aca="true" t="shared" si="1" ref="M15:M20">L15+J15+H15</f>
        <v>0</v>
      </c>
      <c r="R15" s="64"/>
      <c r="S15" s="65"/>
      <c r="T15" s="65"/>
      <c r="U15" s="64"/>
    </row>
    <row r="16" spans="1:20" s="70" customFormat="1" ht="13.5">
      <c r="A16" s="145">
        <f t="shared" si="0"/>
        <v>1.2000000000000002</v>
      </c>
      <c r="B16" s="148"/>
      <c r="C16" s="145" t="s">
        <v>169</v>
      </c>
      <c r="D16" s="145" t="s">
        <v>32</v>
      </c>
      <c r="E16" s="146">
        <v>0.0021</v>
      </c>
      <c r="F16" s="170">
        <f>F14*E16</f>
        <v>0.0168</v>
      </c>
      <c r="G16" s="151"/>
      <c r="H16" s="151"/>
      <c r="I16" s="151"/>
      <c r="J16" s="151"/>
      <c r="K16" s="409"/>
      <c r="L16" s="409"/>
      <c r="M16" s="422">
        <f t="shared" si="1"/>
        <v>0</v>
      </c>
      <c r="S16" s="71"/>
      <c r="T16" s="72"/>
    </row>
    <row r="17" spans="1:20" s="45" customFormat="1" ht="13.5">
      <c r="A17" s="77">
        <f t="shared" si="0"/>
        <v>1.3000000000000003</v>
      </c>
      <c r="B17" s="95"/>
      <c r="C17" s="77" t="s">
        <v>123</v>
      </c>
      <c r="D17" s="77" t="s">
        <v>110</v>
      </c>
      <c r="E17" s="80">
        <v>0.998</v>
      </c>
      <c r="F17" s="80">
        <f>F14*E17</f>
        <v>7.984</v>
      </c>
      <c r="G17" s="407"/>
      <c r="H17" s="410"/>
      <c r="I17" s="152"/>
      <c r="J17" s="152"/>
      <c r="K17" s="152"/>
      <c r="L17" s="152"/>
      <c r="M17" s="423">
        <f t="shared" si="1"/>
        <v>0</v>
      </c>
      <c r="S17" s="49"/>
      <c r="T17" s="46"/>
    </row>
    <row r="18" spans="1:21" s="41" customFormat="1" ht="13.5">
      <c r="A18" s="77">
        <f t="shared" si="0"/>
        <v>1.4000000000000004</v>
      </c>
      <c r="B18" s="95"/>
      <c r="C18" s="77" t="s">
        <v>121</v>
      </c>
      <c r="D18" s="93" t="s">
        <v>26</v>
      </c>
      <c r="E18" s="80"/>
      <c r="F18" s="80">
        <v>6</v>
      </c>
      <c r="G18" s="407"/>
      <c r="H18" s="410"/>
      <c r="I18" s="154"/>
      <c r="J18" s="152"/>
      <c r="K18" s="154"/>
      <c r="L18" s="154"/>
      <c r="M18" s="423">
        <f t="shared" si="1"/>
        <v>0</v>
      </c>
      <c r="R18" s="66"/>
      <c r="S18" s="65"/>
      <c r="T18" s="67"/>
      <c r="U18" s="66"/>
    </row>
    <row r="19" spans="1:21" s="41" customFormat="1" ht="13.5">
      <c r="A19" s="77">
        <f t="shared" si="0"/>
        <v>1.5000000000000004</v>
      </c>
      <c r="B19" s="95"/>
      <c r="C19" s="77" t="s">
        <v>122</v>
      </c>
      <c r="D19" s="77" t="s">
        <v>22</v>
      </c>
      <c r="E19" s="80">
        <v>0.14</v>
      </c>
      <c r="F19" s="80">
        <f>F14*E19</f>
        <v>1.12</v>
      </c>
      <c r="G19" s="407"/>
      <c r="H19" s="410"/>
      <c r="I19" s="154"/>
      <c r="J19" s="152"/>
      <c r="K19" s="154"/>
      <c r="L19" s="154"/>
      <c r="M19" s="423">
        <f t="shared" si="1"/>
        <v>0</v>
      </c>
      <c r="R19" s="70"/>
      <c r="S19" s="71"/>
      <c r="T19" s="72"/>
      <c r="U19" s="70"/>
    </row>
    <row r="20" spans="1:21" ht="13.5">
      <c r="A20" s="77">
        <f t="shared" si="0"/>
        <v>1.6000000000000005</v>
      </c>
      <c r="B20" s="95"/>
      <c r="C20" s="77" t="s">
        <v>111</v>
      </c>
      <c r="D20" s="77" t="s">
        <v>32</v>
      </c>
      <c r="E20" s="80">
        <v>0.156</v>
      </c>
      <c r="F20" s="80">
        <f>F14*E20</f>
        <v>1.248</v>
      </c>
      <c r="G20" s="407"/>
      <c r="H20" s="410"/>
      <c r="I20" s="155"/>
      <c r="J20" s="162"/>
      <c r="K20" s="156"/>
      <c r="L20" s="155"/>
      <c r="M20" s="423">
        <f t="shared" si="1"/>
        <v>0</v>
      </c>
      <c r="R20" s="45"/>
      <c r="S20" s="49"/>
      <c r="T20" s="46"/>
      <c r="U20" s="45"/>
    </row>
    <row r="21" spans="1:21" s="48" customFormat="1" ht="40.5">
      <c r="A21" s="215" t="s">
        <v>112</v>
      </c>
      <c r="B21" s="86" t="s">
        <v>124</v>
      </c>
      <c r="C21" s="76" t="s">
        <v>126</v>
      </c>
      <c r="D21" s="76" t="s">
        <v>110</v>
      </c>
      <c r="E21" s="79"/>
      <c r="F21" s="79">
        <v>12</v>
      </c>
      <c r="G21" s="79"/>
      <c r="H21" s="150"/>
      <c r="I21" s="150"/>
      <c r="J21" s="150"/>
      <c r="K21" s="150"/>
      <c r="L21" s="150"/>
      <c r="M21" s="406">
        <f>SUM(M22:M27)</f>
        <v>0</v>
      </c>
      <c r="R21" s="41"/>
      <c r="S21" s="49"/>
      <c r="T21" s="42"/>
      <c r="U21" s="41"/>
    </row>
    <row r="22" spans="1:21" s="56" customFormat="1" ht="13.5">
      <c r="A22" s="139">
        <f aca="true" t="shared" si="2" ref="A22:A27">A21+0.1</f>
        <v>2.1</v>
      </c>
      <c r="B22" s="147"/>
      <c r="C22" s="139" t="s">
        <v>170</v>
      </c>
      <c r="D22" s="139" t="s">
        <v>11</v>
      </c>
      <c r="E22" s="129">
        <v>0.0583</v>
      </c>
      <c r="F22" s="168">
        <f>F21*E22</f>
        <v>0.6996</v>
      </c>
      <c r="G22" s="157"/>
      <c r="H22" s="157"/>
      <c r="I22" s="404"/>
      <c r="J22" s="408"/>
      <c r="K22" s="157"/>
      <c r="L22" s="157"/>
      <c r="M22" s="408">
        <f aca="true" t="shared" si="3" ref="M22:M27">L22+J22+H22</f>
        <v>0</v>
      </c>
      <c r="R22" s="68"/>
      <c r="S22" s="65"/>
      <c r="T22" s="69"/>
      <c r="U22" s="68"/>
    </row>
    <row r="23" spans="1:20" s="58" customFormat="1" ht="13.5">
      <c r="A23" s="145">
        <f t="shared" si="2"/>
        <v>2.2</v>
      </c>
      <c r="B23" s="148"/>
      <c r="C23" s="145" t="s">
        <v>169</v>
      </c>
      <c r="D23" s="145" t="s">
        <v>32</v>
      </c>
      <c r="E23" s="146">
        <v>0.0046</v>
      </c>
      <c r="F23" s="170">
        <f>F21*E23</f>
        <v>0.0552</v>
      </c>
      <c r="G23" s="158"/>
      <c r="H23" s="158"/>
      <c r="I23" s="158"/>
      <c r="J23" s="163"/>
      <c r="K23" s="409"/>
      <c r="L23" s="409"/>
      <c r="M23" s="424">
        <f t="shared" si="3"/>
        <v>0</v>
      </c>
      <c r="S23" s="71"/>
      <c r="T23" s="71"/>
    </row>
    <row r="24" spans="1:21" ht="13.5">
      <c r="A24" s="77">
        <f t="shared" si="2"/>
        <v>2.3000000000000003</v>
      </c>
      <c r="B24" s="95"/>
      <c r="C24" s="77" t="s">
        <v>127</v>
      </c>
      <c r="D24" s="77" t="s">
        <v>110</v>
      </c>
      <c r="E24" s="80">
        <v>0.998</v>
      </c>
      <c r="F24" s="80">
        <v>62</v>
      </c>
      <c r="G24" s="407"/>
      <c r="H24" s="410"/>
      <c r="I24" s="155"/>
      <c r="J24" s="162"/>
      <c r="K24" s="156"/>
      <c r="L24" s="155"/>
      <c r="M24" s="425">
        <f t="shared" si="3"/>
        <v>0</v>
      </c>
      <c r="R24" s="48"/>
      <c r="S24" s="49"/>
      <c r="T24" s="50"/>
      <c r="U24" s="48"/>
    </row>
    <row r="25" spans="1:21" ht="13.5">
      <c r="A25" s="77">
        <f t="shared" si="2"/>
        <v>2.4000000000000004</v>
      </c>
      <c r="B25" s="95"/>
      <c r="C25" s="77" t="s">
        <v>121</v>
      </c>
      <c r="D25" s="93" t="s">
        <v>26</v>
      </c>
      <c r="E25" s="80"/>
      <c r="F25" s="80">
        <v>6</v>
      </c>
      <c r="G25" s="407"/>
      <c r="H25" s="410"/>
      <c r="I25" s="155"/>
      <c r="J25" s="162"/>
      <c r="K25" s="156"/>
      <c r="L25" s="155"/>
      <c r="M25" s="425">
        <f t="shared" si="3"/>
        <v>0</v>
      </c>
      <c r="R25" s="56"/>
      <c r="S25" s="65"/>
      <c r="T25" s="57"/>
      <c r="U25" s="56"/>
    </row>
    <row r="26" spans="1:21" s="41" customFormat="1" ht="13.5">
      <c r="A26" s="77">
        <f t="shared" si="2"/>
        <v>2.5000000000000004</v>
      </c>
      <c r="B26" s="95"/>
      <c r="C26" s="77" t="s">
        <v>122</v>
      </c>
      <c r="D26" s="77" t="s">
        <v>22</v>
      </c>
      <c r="E26" s="80">
        <v>0.0235</v>
      </c>
      <c r="F26" s="80">
        <f>F21*E26</f>
        <v>0.28200000000000003</v>
      </c>
      <c r="G26" s="407"/>
      <c r="H26" s="410"/>
      <c r="I26" s="154"/>
      <c r="J26" s="152"/>
      <c r="K26" s="154"/>
      <c r="L26" s="154"/>
      <c r="M26" s="425">
        <f t="shared" si="3"/>
        <v>0</v>
      </c>
      <c r="R26" s="58"/>
      <c r="S26" s="71"/>
      <c r="T26" s="59"/>
      <c r="U26" s="58"/>
    </row>
    <row r="27" spans="1:21" s="41" customFormat="1" ht="13.5">
      <c r="A27" s="77">
        <f t="shared" si="2"/>
        <v>2.6000000000000005</v>
      </c>
      <c r="B27" s="95"/>
      <c r="C27" s="77" t="s">
        <v>111</v>
      </c>
      <c r="D27" s="77" t="s">
        <v>32</v>
      </c>
      <c r="E27" s="80">
        <v>0.0208</v>
      </c>
      <c r="F27" s="80">
        <f>F21*E27</f>
        <v>0.2496</v>
      </c>
      <c r="G27" s="407"/>
      <c r="H27" s="410"/>
      <c r="I27" s="154"/>
      <c r="J27" s="152"/>
      <c r="K27" s="154"/>
      <c r="L27" s="154"/>
      <c r="M27" s="425">
        <f t="shared" si="3"/>
        <v>0</v>
      </c>
      <c r="R27" s="51"/>
      <c r="S27" s="49"/>
      <c r="T27" s="43"/>
      <c r="U27" s="51"/>
    </row>
    <row r="28" spans="1:20" ht="40.5">
      <c r="A28" s="215" t="s">
        <v>13</v>
      </c>
      <c r="B28" s="86" t="s">
        <v>128</v>
      </c>
      <c r="C28" s="76" t="s">
        <v>292</v>
      </c>
      <c r="D28" s="96" t="s">
        <v>129</v>
      </c>
      <c r="E28" s="79"/>
      <c r="F28" s="79">
        <v>2</v>
      </c>
      <c r="G28" s="79"/>
      <c r="H28" s="159"/>
      <c r="I28" s="155"/>
      <c r="J28" s="162"/>
      <c r="K28" s="156"/>
      <c r="L28" s="155"/>
      <c r="M28" s="406">
        <f>SUM(M29:M32)</f>
        <v>0</v>
      </c>
      <c r="S28" s="49"/>
      <c r="T28" s="43"/>
    </row>
    <row r="29" spans="1:21" s="56" customFormat="1" ht="21" customHeight="1">
      <c r="A29" s="139">
        <f>A28+0.1</f>
        <v>3.1</v>
      </c>
      <c r="B29" s="147"/>
      <c r="C29" s="139" t="s">
        <v>166</v>
      </c>
      <c r="D29" s="139" t="s">
        <v>11</v>
      </c>
      <c r="E29" s="129">
        <v>1.56</v>
      </c>
      <c r="F29" s="168">
        <f>F28*E29</f>
        <v>3.12</v>
      </c>
      <c r="G29" s="157"/>
      <c r="H29" s="157"/>
      <c r="I29" s="404"/>
      <c r="J29" s="408"/>
      <c r="K29" s="157"/>
      <c r="L29" s="157"/>
      <c r="M29" s="408">
        <f>L29+J29+H29</f>
        <v>0</v>
      </c>
      <c r="R29" s="68"/>
      <c r="S29" s="65"/>
      <c r="T29" s="69"/>
      <c r="U29" s="68"/>
    </row>
    <row r="30" spans="1:21" s="58" customFormat="1" ht="13.5">
      <c r="A30" s="145">
        <f>A29+0.1</f>
        <v>3.2</v>
      </c>
      <c r="B30" s="148"/>
      <c r="C30" s="145" t="s">
        <v>169</v>
      </c>
      <c r="D30" s="145" t="s">
        <v>32</v>
      </c>
      <c r="E30" s="146">
        <v>0.06</v>
      </c>
      <c r="F30" s="170">
        <f>F28*E30</f>
        <v>0.12</v>
      </c>
      <c r="G30" s="158"/>
      <c r="H30" s="158"/>
      <c r="I30" s="158"/>
      <c r="J30" s="163"/>
      <c r="K30" s="409"/>
      <c r="L30" s="409"/>
      <c r="M30" s="424">
        <f>L30+J30+H30</f>
        <v>0</v>
      </c>
      <c r="R30" s="171"/>
      <c r="S30" s="71"/>
      <c r="T30" s="172"/>
      <c r="U30" s="171"/>
    </row>
    <row r="31" spans="1:21" ht="13.5">
      <c r="A31" s="77">
        <f>A30+0.1</f>
        <v>3.3000000000000003</v>
      </c>
      <c r="B31" s="95"/>
      <c r="C31" s="77" t="s">
        <v>130</v>
      </c>
      <c r="D31" s="93" t="s">
        <v>129</v>
      </c>
      <c r="E31" s="80"/>
      <c r="F31" s="80">
        <v>1</v>
      </c>
      <c r="G31" s="407"/>
      <c r="H31" s="410"/>
      <c r="I31" s="155"/>
      <c r="J31" s="162"/>
      <c r="K31" s="156"/>
      <c r="L31" s="155"/>
      <c r="M31" s="425">
        <f>L31+J31+H31</f>
        <v>0</v>
      </c>
      <c r="R31" s="56"/>
      <c r="S31" s="65"/>
      <c r="T31" s="57"/>
      <c r="U31" s="56"/>
    </row>
    <row r="32" spans="1:21" ht="13.5">
      <c r="A32" s="77">
        <f>A31+0.1</f>
        <v>3.4000000000000004</v>
      </c>
      <c r="B32" s="95"/>
      <c r="C32" s="77" t="s">
        <v>111</v>
      </c>
      <c r="D32" s="77" t="s">
        <v>32</v>
      </c>
      <c r="E32" s="80">
        <v>0.29</v>
      </c>
      <c r="F32" s="80">
        <f>F28*E32</f>
        <v>0.58</v>
      </c>
      <c r="G32" s="407"/>
      <c r="H32" s="410"/>
      <c r="I32" s="155"/>
      <c r="J32" s="162"/>
      <c r="K32" s="156"/>
      <c r="L32" s="155"/>
      <c r="M32" s="425">
        <f>L32+J32+H32</f>
        <v>0</v>
      </c>
      <c r="R32" s="58"/>
      <c r="S32" s="71"/>
      <c r="T32" s="59"/>
      <c r="U32" s="58"/>
    </row>
    <row r="33" spans="1:21" s="41" customFormat="1" ht="40.5">
      <c r="A33" s="215" t="s">
        <v>15</v>
      </c>
      <c r="B33" s="215" t="s">
        <v>128</v>
      </c>
      <c r="C33" s="76" t="s">
        <v>423</v>
      </c>
      <c r="D33" s="96" t="s">
        <v>129</v>
      </c>
      <c r="E33" s="79"/>
      <c r="F33" s="79">
        <v>1</v>
      </c>
      <c r="G33" s="79"/>
      <c r="H33" s="159"/>
      <c r="I33" s="155"/>
      <c r="J33" s="162"/>
      <c r="K33" s="156"/>
      <c r="L33" s="155"/>
      <c r="M33" s="406">
        <f>SUM(M34:M37)</f>
        <v>0</v>
      </c>
      <c r="R33" s="51"/>
      <c r="S33" s="49"/>
      <c r="T33" s="43"/>
      <c r="U33" s="51"/>
    </row>
    <row r="34" spans="1:21" s="68" customFormat="1" ht="21" customHeight="1">
      <c r="A34" s="139">
        <f>A33+0.1</f>
        <v>4.1</v>
      </c>
      <c r="B34" s="147"/>
      <c r="C34" s="139" t="s">
        <v>166</v>
      </c>
      <c r="D34" s="139" t="s">
        <v>11</v>
      </c>
      <c r="E34" s="129">
        <v>1.56</v>
      </c>
      <c r="F34" s="168">
        <f>F33*E34</f>
        <v>1.56</v>
      </c>
      <c r="G34" s="157"/>
      <c r="H34" s="157"/>
      <c r="I34" s="404"/>
      <c r="J34" s="408"/>
      <c r="K34" s="157"/>
      <c r="L34" s="157"/>
      <c r="M34" s="408">
        <f>L34+J34+H34</f>
        <v>0</v>
      </c>
      <c r="R34" s="56"/>
      <c r="S34" s="65"/>
      <c r="T34" s="57"/>
      <c r="U34" s="56"/>
    </row>
    <row r="35" spans="1:20" s="58" customFormat="1" ht="13.5">
      <c r="A35" s="145">
        <f>A34+0.1</f>
        <v>4.199999999999999</v>
      </c>
      <c r="B35" s="148"/>
      <c r="C35" s="145" t="s">
        <v>169</v>
      </c>
      <c r="D35" s="145" t="s">
        <v>32</v>
      </c>
      <c r="E35" s="146">
        <v>0.06</v>
      </c>
      <c r="F35" s="170">
        <f>F33*E35</f>
        <v>0.06</v>
      </c>
      <c r="G35" s="158"/>
      <c r="H35" s="158"/>
      <c r="I35" s="158"/>
      <c r="J35" s="163"/>
      <c r="K35" s="409"/>
      <c r="L35" s="409"/>
      <c r="M35" s="424">
        <f>L35+J35+H35</f>
        <v>0</v>
      </c>
      <c r="S35" s="71"/>
      <c r="T35" s="59"/>
    </row>
    <row r="36" spans="1:21" ht="27">
      <c r="A36" s="216">
        <f>A35+0.1</f>
        <v>4.299999999999999</v>
      </c>
      <c r="B36" s="95"/>
      <c r="C36" s="216" t="s">
        <v>424</v>
      </c>
      <c r="D36" s="93" t="s">
        <v>129</v>
      </c>
      <c r="E36" s="80"/>
      <c r="F36" s="80">
        <v>1</v>
      </c>
      <c r="G36" s="407"/>
      <c r="H36" s="410"/>
      <c r="I36" s="155"/>
      <c r="J36" s="162"/>
      <c r="K36" s="156"/>
      <c r="L36" s="155"/>
      <c r="M36" s="425">
        <f>L36+J36+H36</f>
        <v>0</v>
      </c>
      <c r="R36" s="41"/>
      <c r="S36" s="49"/>
      <c r="T36" s="42"/>
      <c r="U36" s="41"/>
    </row>
    <row r="37" spans="1:21" s="11" customFormat="1" ht="13.5">
      <c r="A37" s="216">
        <f>A36+0.1</f>
        <v>4.399999999999999</v>
      </c>
      <c r="B37" s="95"/>
      <c r="C37" s="216" t="s">
        <v>111</v>
      </c>
      <c r="D37" s="216" t="s">
        <v>32</v>
      </c>
      <c r="E37" s="80">
        <v>0.29</v>
      </c>
      <c r="F37" s="80">
        <f>F33*E37</f>
        <v>0.29</v>
      </c>
      <c r="G37" s="407"/>
      <c r="H37" s="410"/>
      <c r="I37" s="155"/>
      <c r="J37" s="162"/>
      <c r="K37" s="156"/>
      <c r="L37" s="155"/>
      <c r="M37" s="425">
        <f>L37+J37+H37</f>
        <v>0</v>
      </c>
      <c r="R37" s="68"/>
      <c r="S37" s="65"/>
      <c r="T37" s="69"/>
      <c r="U37" s="68"/>
    </row>
    <row r="38" spans="1:21" s="11" customFormat="1" ht="40.5">
      <c r="A38" s="86" t="s">
        <v>16</v>
      </c>
      <c r="B38" s="86" t="s">
        <v>131</v>
      </c>
      <c r="C38" s="76" t="s">
        <v>207</v>
      </c>
      <c r="D38" s="96" t="s">
        <v>129</v>
      </c>
      <c r="E38" s="79"/>
      <c r="F38" s="79">
        <v>1</v>
      </c>
      <c r="G38" s="79"/>
      <c r="H38" s="154"/>
      <c r="I38" s="154"/>
      <c r="J38" s="152"/>
      <c r="K38" s="154"/>
      <c r="L38" s="154"/>
      <c r="M38" s="406">
        <f>SUM(M39:M42)</f>
        <v>0</v>
      </c>
      <c r="R38" s="58"/>
      <c r="S38" s="71"/>
      <c r="T38" s="71"/>
      <c r="U38" s="58"/>
    </row>
    <row r="39" spans="1:21" s="54" customFormat="1" ht="17.25" customHeight="1">
      <c r="A39" s="139">
        <f>A38+0.1</f>
        <v>5.1</v>
      </c>
      <c r="B39" s="147"/>
      <c r="C39" s="139" t="s">
        <v>170</v>
      </c>
      <c r="D39" s="139" t="s">
        <v>11</v>
      </c>
      <c r="E39" s="129">
        <v>3.66</v>
      </c>
      <c r="F39" s="168">
        <f>F38*E39</f>
        <v>3.66</v>
      </c>
      <c r="G39" s="160"/>
      <c r="H39" s="160"/>
      <c r="I39" s="404"/>
      <c r="J39" s="408"/>
      <c r="K39" s="160"/>
      <c r="L39" s="160"/>
      <c r="M39" s="408">
        <f>L39+J39+H39</f>
        <v>0</v>
      </c>
      <c r="R39" s="56"/>
      <c r="S39" s="65"/>
      <c r="T39" s="57"/>
      <c r="U39" s="56"/>
    </row>
    <row r="40" spans="1:19" s="55" customFormat="1" ht="16.5" customHeight="1">
      <c r="A40" s="145">
        <f>A39+0.1</f>
        <v>5.199999999999999</v>
      </c>
      <c r="B40" s="148"/>
      <c r="C40" s="145" t="s">
        <v>169</v>
      </c>
      <c r="D40" s="145" t="s">
        <v>12</v>
      </c>
      <c r="E40" s="146">
        <v>0.28</v>
      </c>
      <c r="F40" s="170">
        <f>F38*E40</f>
        <v>0.28</v>
      </c>
      <c r="G40" s="158"/>
      <c r="H40" s="158"/>
      <c r="I40" s="158"/>
      <c r="J40" s="163"/>
      <c r="K40" s="409"/>
      <c r="L40" s="409"/>
      <c r="M40" s="422">
        <f>L40+J40+H40</f>
        <v>0</v>
      </c>
      <c r="S40" s="71"/>
    </row>
    <row r="41" spans="1:21" s="55" customFormat="1" ht="16.5" customHeight="1">
      <c r="A41" s="77">
        <f>A40+0.1</f>
        <v>5.299999999999999</v>
      </c>
      <c r="B41" s="95"/>
      <c r="C41" s="77" t="s">
        <v>213</v>
      </c>
      <c r="D41" s="93" t="s">
        <v>129</v>
      </c>
      <c r="E41" s="80"/>
      <c r="F41" s="80">
        <v>1</v>
      </c>
      <c r="G41" s="407"/>
      <c r="H41" s="410"/>
      <c r="I41" s="155"/>
      <c r="J41" s="162"/>
      <c r="K41" s="156"/>
      <c r="L41" s="155"/>
      <c r="M41" s="423">
        <f>L41+J41+H41</f>
        <v>0</v>
      </c>
      <c r="R41" s="11"/>
      <c r="S41" s="2"/>
      <c r="T41" s="11"/>
      <c r="U41" s="11"/>
    </row>
    <row r="42" spans="1:20" s="11" customFormat="1" ht="17.25" customHeight="1">
      <c r="A42" s="77">
        <f>A41+0.1</f>
        <v>5.399999999999999</v>
      </c>
      <c r="B42" s="95"/>
      <c r="C42" s="77" t="s">
        <v>111</v>
      </c>
      <c r="D42" s="77" t="s">
        <v>209</v>
      </c>
      <c r="E42" s="80">
        <v>1.24</v>
      </c>
      <c r="F42" s="80">
        <f>F38*E42</f>
        <v>1.24</v>
      </c>
      <c r="G42" s="407"/>
      <c r="H42" s="410"/>
      <c r="I42" s="5"/>
      <c r="J42" s="109"/>
      <c r="K42" s="5"/>
      <c r="L42" s="5"/>
      <c r="M42" s="423">
        <f>L42+J42+H42</f>
        <v>0</v>
      </c>
      <c r="S42" s="52"/>
      <c r="T42" s="53"/>
    </row>
    <row r="43" spans="1:13" s="11" customFormat="1" ht="40.5">
      <c r="A43" s="215" t="s">
        <v>17</v>
      </c>
      <c r="B43" s="86" t="s">
        <v>132</v>
      </c>
      <c r="C43" s="76" t="s">
        <v>223</v>
      </c>
      <c r="D43" s="96" t="s">
        <v>26</v>
      </c>
      <c r="E43" s="79"/>
      <c r="F43" s="79">
        <v>3</v>
      </c>
      <c r="G43" s="79"/>
      <c r="H43" s="5"/>
      <c r="I43" s="5"/>
      <c r="J43" s="109"/>
      <c r="K43" s="5"/>
      <c r="L43" s="5"/>
      <c r="M43" s="406">
        <f>SUM(M44:M47)</f>
        <v>0</v>
      </c>
    </row>
    <row r="44" spans="1:13" ht="18.75" customHeight="1">
      <c r="A44" s="139">
        <f>A43+0.1</f>
        <v>6.1</v>
      </c>
      <c r="B44" s="147"/>
      <c r="C44" s="139" t="s">
        <v>170</v>
      </c>
      <c r="D44" s="139" t="s">
        <v>11</v>
      </c>
      <c r="E44" s="129">
        <v>0.46</v>
      </c>
      <c r="F44" s="168">
        <f>F43*E44</f>
        <v>1.3800000000000001</v>
      </c>
      <c r="G44" s="123"/>
      <c r="H44" s="123"/>
      <c r="I44" s="404"/>
      <c r="J44" s="408"/>
      <c r="K44" s="123"/>
      <c r="L44" s="123"/>
      <c r="M44" s="408">
        <f>L44+J44+H44</f>
        <v>0</v>
      </c>
    </row>
    <row r="45" spans="1:13" ht="24" customHeight="1">
      <c r="A45" s="145">
        <f>A44+0.1</f>
        <v>6.199999999999999</v>
      </c>
      <c r="B45" s="148"/>
      <c r="C45" s="145" t="s">
        <v>169</v>
      </c>
      <c r="D45" s="145" t="s">
        <v>32</v>
      </c>
      <c r="E45" s="146">
        <v>0.02</v>
      </c>
      <c r="F45" s="170">
        <f>F43*E45</f>
        <v>0.06</v>
      </c>
      <c r="G45" s="142"/>
      <c r="H45" s="142"/>
      <c r="I45" s="142"/>
      <c r="J45" s="141"/>
      <c r="K45" s="409"/>
      <c r="L45" s="409"/>
      <c r="M45" s="426">
        <f>L45+J45+H45</f>
        <v>0</v>
      </c>
    </row>
    <row r="46" spans="1:13" ht="13.5">
      <c r="A46" s="77">
        <f>A45+0.1</f>
        <v>6.299999999999999</v>
      </c>
      <c r="B46" s="84"/>
      <c r="C46" s="77" t="s">
        <v>133</v>
      </c>
      <c r="D46" s="93" t="s">
        <v>26</v>
      </c>
      <c r="E46" s="80"/>
      <c r="F46" s="80">
        <v>3</v>
      </c>
      <c r="G46" s="407"/>
      <c r="H46" s="410"/>
      <c r="I46" s="142"/>
      <c r="J46" s="141"/>
      <c r="K46" s="142"/>
      <c r="L46" s="142"/>
      <c r="M46" s="403">
        <f>L46+J46+H46</f>
        <v>0</v>
      </c>
    </row>
    <row r="47" spans="1:13" ht="13.5">
      <c r="A47" s="216">
        <f>A46+0.1</f>
        <v>6.399999999999999</v>
      </c>
      <c r="B47" s="95"/>
      <c r="C47" s="77" t="s">
        <v>111</v>
      </c>
      <c r="D47" s="77" t="s">
        <v>32</v>
      </c>
      <c r="E47" s="80">
        <v>0.11</v>
      </c>
      <c r="F47" s="80">
        <f>F43*E47</f>
        <v>0.33</v>
      </c>
      <c r="G47" s="407"/>
      <c r="H47" s="410"/>
      <c r="I47" s="5"/>
      <c r="J47" s="109"/>
      <c r="K47" s="5"/>
      <c r="L47" s="5"/>
      <c r="M47" s="403">
        <f>L47+J47+H47</f>
        <v>0</v>
      </c>
    </row>
    <row r="48" spans="1:13" ht="40.5">
      <c r="A48" s="215" t="s">
        <v>18</v>
      </c>
      <c r="B48" s="86" t="s">
        <v>109</v>
      </c>
      <c r="C48" s="76" t="s">
        <v>230</v>
      </c>
      <c r="D48" s="76" t="s">
        <v>110</v>
      </c>
      <c r="E48" s="79"/>
      <c r="F48" s="79">
        <f>F51</f>
        <v>34</v>
      </c>
      <c r="G48" s="79"/>
      <c r="H48" s="5"/>
      <c r="I48" s="5"/>
      <c r="J48" s="109"/>
      <c r="K48" s="5"/>
      <c r="L48" s="5"/>
      <c r="M48" s="406">
        <f>SUM(M49:M53)</f>
        <v>0</v>
      </c>
    </row>
    <row r="49" spans="1:13" ht="13.5">
      <c r="A49" s="139">
        <f>A48+0.1</f>
        <v>7.1</v>
      </c>
      <c r="B49" s="147"/>
      <c r="C49" s="139" t="s">
        <v>166</v>
      </c>
      <c r="D49" s="139" t="s">
        <v>11</v>
      </c>
      <c r="E49" s="129">
        <v>0.08</v>
      </c>
      <c r="F49" s="168">
        <f>F48*E49</f>
        <v>2.72</v>
      </c>
      <c r="G49" s="123"/>
      <c r="H49" s="123"/>
      <c r="I49" s="404"/>
      <c r="J49" s="408"/>
      <c r="K49" s="123"/>
      <c r="L49" s="123"/>
      <c r="M49" s="408">
        <f>L49+J49+H49</f>
        <v>0</v>
      </c>
    </row>
    <row r="50" spans="1:13" ht="13.5">
      <c r="A50" s="145">
        <f>A49+0.1</f>
        <v>7.199999999999999</v>
      </c>
      <c r="B50" s="148"/>
      <c r="C50" s="145" t="s">
        <v>168</v>
      </c>
      <c r="D50" s="145" t="s">
        <v>32</v>
      </c>
      <c r="E50" s="146">
        <v>0.0136</v>
      </c>
      <c r="F50" s="170">
        <f>F48*E50</f>
        <v>0.4624</v>
      </c>
      <c r="G50" s="142"/>
      <c r="H50" s="142"/>
      <c r="I50" s="142"/>
      <c r="J50" s="141"/>
      <c r="K50" s="409"/>
      <c r="L50" s="409"/>
      <c r="M50" s="426">
        <f>L50+J50+H50</f>
        <v>0</v>
      </c>
    </row>
    <row r="51" spans="1:13" ht="27">
      <c r="A51" s="77">
        <f>A50+0.1</f>
        <v>7.299999999999999</v>
      </c>
      <c r="B51" s="95"/>
      <c r="C51" s="216" t="s">
        <v>460</v>
      </c>
      <c r="D51" s="77" t="s">
        <v>110</v>
      </c>
      <c r="E51" s="80"/>
      <c r="F51" s="80">
        <v>34</v>
      </c>
      <c r="G51" s="407"/>
      <c r="H51" s="410"/>
      <c r="I51" s="5"/>
      <c r="J51" s="109"/>
      <c r="K51" s="5"/>
      <c r="L51" s="5"/>
      <c r="M51" s="403">
        <f>L51+J51+H51</f>
        <v>0</v>
      </c>
    </row>
    <row r="52" spans="1:13" ht="13.5">
      <c r="A52" s="216">
        <f>A51+0.1</f>
        <v>7.399999999999999</v>
      </c>
      <c r="B52" s="95"/>
      <c r="C52" s="216" t="s">
        <v>320</v>
      </c>
      <c r="D52" s="93" t="s">
        <v>26</v>
      </c>
      <c r="E52" s="80"/>
      <c r="F52" s="80">
        <v>30</v>
      </c>
      <c r="G52" s="407"/>
      <c r="H52" s="410"/>
      <c r="I52" s="155"/>
      <c r="J52" s="162"/>
      <c r="K52" s="156"/>
      <c r="L52" s="155"/>
      <c r="M52" s="403">
        <f>L52+J52+H52</f>
        <v>0</v>
      </c>
    </row>
    <row r="53" spans="1:13" ht="13.5">
      <c r="A53" s="216">
        <f>A52+0.1</f>
        <v>7.499999999999998</v>
      </c>
      <c r="B53" s="95"/>
      <c r="C53" s="77" t="s">
        <v>111</v>
      </c>
      <c r="D53" s="77" t="s">
        <v>32</v>
      </c>
      <c r="E53" s="80">
        <v>0.0163</v>
      </c>
      <c r="F53" s="80">
        <f>F48*E53</f>
        <v>0.5541999999999999</v>
      </c>
      <c r="G53" s="407"/>
      <c r="H53" s="410"/>
      <c r="I53" s="155"/>
      <c r="J53" s="162"/>
      <c r="K53" s="156"/>
      <c r="L53" s="155"/>
      <c r="M53" s="403">
        <f>L53+J53+H53</f>
        <v>0</v>
      </c>
    </row>
    <row r="54" spans="1:13" ht="40.5">
      <c r="A54" s="215" t="s">
        <v>20</v>
      </c>
      <c r="B54" s="86" t="s">
        <v>114</v>
      </c>
      <c r="C54" s="76" t="s">
        <v>113</v>
      </c>
      <c r="D54" s="96" t="s">
        <v>26</v>
      </c>
      <c r="E54" s="79"/>
      <c r="F54" s="79">
        <v>11</v>
      </c>
      <c r="G54" s="79"/>
      <c r="H54" s="159"/>
      <c r="I54" s="155"/>
      <c r="J54" s="162"/>
      <c r="K54" s="156"/>
      <c r="L54" s="155"/>
      <c r="M54" s="406">
        <f>SUM(M55:M59)</f>
        <v>0</v>
      </c>
    </row>
    <row r="55" spans="1:13" ht="13.5">
      <c r="A55" s="139">
        <f>A54+0.1</f>
        <v>8.1</v>
      </c>
      <c r="B55" s="147"/>
      <c r="C55" s="139" t="s">
        <v>170</v>
      </c>
      <c r="D55" s="139" t="s">
        <v>11</v>
      </c>
      <c r="E55" s="129">
        <v>1.51</v>
      </c>
      <c r="F55" s="168">
        <f>F54*E55</f>
        <v>16.61</v>
      </c>
      <c r="G55" s="157"/>
      <c r="H55" s="157"/>
      <c r="I55" s="404"/>
      <c r="J55" s="408"/>
      <c r="K55" s="161"/>
      <c r="L55" s="157"/>
      <c r="M55" s="408">
        <f>L55+J55+H55</f>
        <v>0</v>
      </c>
    </row>
    <row r="56" spans="1:13" ht="13.5">
      <c r="A56" s="145">
        <f>A55+0.1</f>
        <v>8.2</v>
      </c>
      <c r="B56" s="148"/>
      <c r="C56" s="145" t="s">
        <v>169</v>
      </c>
      <c r="D56" s="145" t="s">
        <v>32</v>
      </c>
      <c r="E56" s="146">
        <v>0.13</v>
      </c>
      <c r="F56" s="170">
        <f>F54*E56</f>
        <v>1.4300000000000002</v>
      </c>
      <c r="G56" s="58"/>
      <c r="H56" s="58"/>
      <c r="I56" s="158"/>
      <c r="J56" s="164"/>
      <c r="K56" s="409"/>
      <c r="L56" s="409"/>
      <c r="M56" s="424">
        <f>L56+J56+H56</f>
        <v>0</v>
      </c>
    </row>
    <row r="57" spans="1:13" s="56" customFormat="1" ht="13.5">
      <c r="A57" s="77">
        <f>A56+0.1</f>
        <v>8.299999999999999</v>
      </c>
      <c r="B57" s="84"/>
      <c r="C57" s="216" t="s">
        <v>319</v>
      </c>
      <c r="D57" s="93" t="s">
        <v>26</v>
      </c>
      <c r="E57" s="78"/>
      <c r="F57" s="75">
        <v>4</v>
      </c>
      <c r="G57" s="410"/>
      <c r="H57" s="410"/>
      <c r="I57" s="155"/>
      <c r="J57" s="162"/>
      <c r="K57" s="156"/>
      <c r="L57" s="155"/>
      <c r="M57" s="425">
        <f>L57+J57+H57</f>
        <v>0</v>
      </c>
    </row>
    <row r="58" spans="1:13" ht="13.5">
      <c r="A58" s="216">
        <f>A57+0.1</f>
        <v>8.399999999999999</v>
      </c>
      <c r="B58" s="95"/>
      <c r="C58" s="77" t="s">
        <v>115</v>
      </c>
      <c r="D58" s="93" t="s">
        <v>26</v>
      </c>
      <c r="E58" s="80"/>
      <c r="F58" s="80">
        <v>7</v>
      </c>
      <c r="G58" s="407"/>
      <c r="H58" s="410"/>
      <c r="I58" s="155"/>
      <c r="J58" s="162"/>
      <c r="K58" s="156"/>
      <c r="L58" s="155"/>
      <c r="M58" s="425">
        <f>L58+J58+H58</f>
        <v>0</v>
      </c>
    </row>
    <row r="59" spans="1:13" ht="13.5">
      <c r="A59" s="216">
        <f>A58+0.1</f>
        <v>8.499999999999998</v>
      </c>
      <c r="B59" s="95"/>
      <c r="C59" s="77" t="s">
        <v>111</v>
      </c>
      <c r="D59" s="77" t="s">
        <v>32</v>
      </c>
      <c r="E59" s="80">
        <v>0.07</v>
      </c>
      <c r="F59" s="80">
        <f>F54*E59</f>
        <v>0.77</v>
      </c>
      <c r="G59" s="407"/>
      <c r="H59" s="410"/>
      <c r="I59" s="155"/>
      <c r="J59" s="162"/>
      <c r="K59" s="156"/>
      <c r="L59" s="155"/>
      <c r="M59" s="425">
        <f>L59+J59+H59</f>
        <v>0</v>
      </c>
    </row>
    <row r="60" spans="1:13" ht="40.5">
      <c r="A60" s="215" t="s">
        <v>21</v>
      </c>
      <c r="B60" s="86" t="s">
        <v>116</v>
      </c>
      <c r="C60" s="76" t="s">
        <v>214</v>
      </c>
      <c r="D60" s="96" t="s">
        <v>26</v>
      </c>
      <c r="E60" s="79"/>
      <c r="F60" s="79">
        <v>3</v>
      </c>
      <c r="G60" s="79"/>
      <c r="H60" s="159"/>
      <c r="I60" s="155"/>
      <c r="J60" s="162"/>
      <c r="K60" s="156"/>
      <c r="L60" s="155"/>
      <c r="M60" s="406">
        <f>SUM(M61:M65)</f>
        <v>0</v>
      </c>
    </row>
    <row r="61" spans="1:13" s="56" customFormat="1" ht="13.5">
      <c r="A61" s="139">
        <f>A60+0.1</f>
        <v>9.1</v>
      </c>
      <c r="B61" s="147"/>
      <c r="C61" s="139" t="s">
        <v>166</v>
      </c>
      <c r="D61" s="139" t="s">
        <v>11</v>
      </c>
      <c r="E61" s="129">
        <v>0.82</v>
      </c>
      <c r="F61" s="168">
        <f>F60*E61</f>
        <v>2.46</v>
      </c>
      <c r="G61" s="157"/>
      <c r="H61" s="157"/>
      <c r="I61" s="404"/>
      <c r="J61" s="408"/>
      <c r="K61" s="161"/>
      <c r="L61" s="157"/>
      <c r="M61" s="408">
        <f>L61+J61+H61</f>
        <v>0</v>
      </c>
    </row>
    <row r="62" spans="1:13" s="58" customFormat="1" ht="13.5">
      <c r="A62" s="145">
        <f>A61+0.1</f>
        <v>9.2</v>
      </c>
      <c r="B62" s="148"/>
      <c r="C62" s="145" t="s">
        <v>169</v>
      </c>
      <c r="D62" s="145" t="s">
        <v>32</v>
      </c>
      <c r="E62" s="146">
        <v>0.01</v>
      </c>
      <c r="F62" s="170">
        <f>F60*E62</f>
        <v>0.03</v>
      </c>
      <c r="G62" s="158"/>
      <c r="H62" s="158"/>
      <c r="I62" s="158"/>
      <c r="J62" s="164"/>
      <c r="K62" s="409"/>
      <c r="L62" s="409"/>
      <c r="M62" s="424">
        <f>L62+J62+H62</f>
        <v>0</v>
      </c>
    </row>
    <row r="63" spans="1:13" ht="13.5">
      <c r="A63" s="77">
        <f>A62+0.1</f>
        <v>9.299999999999999</v>
      </c>
      <c r="B63" s="95"/>
      <c r="C63" s="216" t="s">
        <v>425</v>
      </c>
      <c r="D63" s="93" t="s">
        <v>26</v>
      </c>
      <c r="E63" s="80"/>
      <c r="F63" s="80">
        <v>1</v>
      </c>
      <c r="G63" s="407"/>
      <c r="H63" s="410"/>
      <c r="I63" s="155"/>
      <c r="J63" s="162"/>
      <c r="K63" s="156"/>
      <c r="L63" s="155"/>
      <c r="M63" s="425">
        <f>L63+J63+H63</f>
        <v>0</v>
      </c>
    </row>
    <row r="64" spans="1:13" ht="13.5">
      <c r="A64" s="77">
        <f>A63+0.1</f>
        <v>9.399999999999999</v>
      </c>
      <c r="B64" s="95"/>
      <c r="C64" s="77" t="s">
        <v>159</v>
      </c>
      <c r="D64" s="93" t="s">
        <v>26</v>
      </c>
      <c r="E64" s="80"/>
      <c r="F64" s="80">
        <v>2</v>
      </c>
      <c r="G64" s="407"/>
      <c r="H64" s="410"/>
      <c r="I64" s="155"/>
      <c r="J64" s="162"/>
      <c r="K64" s="156"/>
      <c r="L64" s="155"/>
      <c r="M64" s="425">
        <f>L64+J64+H64</f>
        <v>0</v>
      </c>
    </row>
    <row r="65" spans="1:13" ht="13.5">
      <c r="A65" s="77">
        <f>A64+0.1</f>
        <v>9.499999999999998</v>
      </c>
      <c r="B65" s="95"/>
      <c r="C65" s="77" t="s">
        <v>111</v>
      </c>
      <c r="D65" s="77" t="s">
        <v>32</v>
      </c>
      <c r="E65" s="80">
        <v>0.07</v>
      </c>
      <c r="F65" s="80">
        <f>F60*E65</f>
        <v>0.21000000000000002</v>
      </c>
      <c r="G65" s="407"/>
      <c r="H65" s="410"/>
      <c r="I65" s="155"/>
      <c r="J65" s="162"/>
      <c r="K65" s="156"/>
      <c r="L65" s="155"/>
      <c r="M65" s="425">
        <f>L65+J65+H65</f>
        <v>0</v>
      </c>
    </row>
    <row r="66" spans="1:13" ht="27">
      <c r="A66" s="215" t="s">
        <v>316</v>
      </c>
      <c r="B66" s="215" t="s">
        <v>191</v>
      </c>
      <c r="C66" s="76" t="s">
        <v>317</v>
      </c>
      <c r="D66" s="96" t="s">
        <v>204</v>
      </c>
      <c r="E66" s="79"/>
      <c r="F66" s="79">
        <v>1</v>
      </c>
      <c r="G66" s="79"/>
      <c r="H66" s="159"/>
      <c r="I66" s="155"/>
      <c r="J66" s="162"/>
      <c r="K66" s="156"/>
      <c r="L66" s="155"/>
      <c r="M66" s="406">
        <f>SUM(M67:M70)</f>
        <v>0</v>
      </c>
    </row>
    <row r="67" spans="1:13" ht="13.5">
      <c r="A67" s="139">
        <f>A66+0.1</f>
        <v>10.1</v>
      </c>
      <c r="B67" s="147"/>
      <c r="C67" s="139" t="s">
        <v>166</v>
      </c>
      <c r="D67" s="139" t="s">
        <v>11</v>
      </c>
      <c r="E67" s="129">
        <v>5</v>
      </c>
      <c r="F67" s="168">
        <f>F66*E67</f>
        <v>5</v>
      </c>
      <c r="G67" s="157"/>
      <c r="H67" s="157"/>
      <c r="I67" s="404"/>
      <c r="J67" s="408"/>
      <c r="K67" s="161"/>
      <c r="L67" s="157"/>
      <c r="M67" s="408">
        <f>L67+J67+H67</f>
        <v>0</v>
      </c>
    </row>
    <row r="68" spans="1:13" ht="13.5">
      <c r="A68" s="145">
        <f>A67+0.1</f>
        <v>10.2</v>
      </c>
      <c r="B68" s="148"/>
      <c r="C68" s="145" t="s">
        <v>169</v>
      </c>
      <c r="D68" s="145" t="s">
        <v>32</v>
      </c>
      <c r="E68" s="146">
        <v>0.01</v>
      </c>
      <c r="F68" s="170">
        <f>F66*E68</f>
        <v>0.01</v>
      </c>
      <c r="G68" s="158"/>
      <c r="H68" s="158"/>
      <c r="I68" s="158"/>
      <c r="J68" s="164"/>
      <c r="K68" s="409"/>
      <c r="L68" s="409"/>
      <c r="M68" s="424">
        <f>L68+J68+H68</f>
        <v>0</v>
      </c>
    </row>
    <row r="69" spans="1:13" ht="13.5">
      <c r="A69" s="216">
        <f>A68+0.1</f>
        <v>10.299999999999999</v>
      </c>
      <c r="B69" s="95"/>
      <c r="C69" s="216" t="s">
        <v>318</v>
      </c>
      <c r="D69" s="93" t="s">
        <v>204</v>
      </c>
      <c r="E69" s="80"/>
      <c r="F69" s="80">
        <v>1</v>
      </c>
      <c r="G69" s="407"/>
      <c r="H69" s="410"/>
      <c r="I69" s="155"/>
      <c r="J69" s="162"/>
      <c r="K69" s="156"/>
      <c r="L69" s="155"/>
      <c r="M69" s="425">
        <f>L69+J69+H69</f>
        <v>0</v>
      </c>
    </row>
    <row r="70" spans="1:13" ht="13.5">
      <c r="A70" s="216">
        <f>A69+0.1</f>
        <v>10.399999999999999</v>
      </c>
      <c r="B70" s="95"/>
      <c r="C70" s="216" t="s">
        <v>111</v>
      </c>
      <c r="D70" s="216" t="s">
        <v>32</v>
      </c>
      <c r="E70" s="80">
        <v>0.07</v>
      </c>
      <c r="F70" s="80">
        <f>F66*E70</f>
        <v>0.07</v>
      </c>
      <c r="G70" s="407"/>
      <c r="H70" s="410"/>
      <c r="I70" s="155"/>
      <c r="J70" s="162"/>
      <c r="K70" s="156"/>
      <c r="L70" s="155"/>
      <c r="M70" s="425">
        <f>L70+J70+H70</f>
        <v>0</v>
      </c>
    </row>
    <row r="71" spans="1:13" ht="40.5">
      <c r="A71" s="215" t="s">
        <v>136</v>
      </c>
      <c r="B71" s="86" t="s">
        <v>118</v>
      </c>
      <c r="C71" s="76" t="s">
        <v>117</v>
      </c>
      <c r="D71" s="76" t="s">
        <v>110</v>
      </c>
      <c r="E71" s="79"/>
      <c r="F71" s="79">
        <f>F48</f>
        <v>34</v>
      </c>
      <c r="G71" s="79"/>
      <c r="H71" s="159"/>
      <c r="I71" s="155"/>
      <c r="J71" s="162"/>
      <c r="K71" s="156"/>
      <c r="L71" s="155"/>
      <c r="M71" s="406">
        <f>SUM(M72:M74)</f>
        <v>0</v>
      </c>
    </row>
    <row r="72" spans="1:13" ht="13.5">
      <c r="A72" s="139">
        <f>A71+0.1</f>
        <v>11.1</v>
      </c>
      <c r="B72" s="147"/>
      <c r="C72" s="139" t="s">
        <v>170</v>
      </c>
      <c r="D72" s="139" t="s">
        <v>11</v>
      </c>
      <c r="E72" s="129">
        <v>0.0516</v>
      </c>
      <c r="F72" s="168">
        <f>F71*E72</f>
        <v>1.7544</v>
      </c>
      <c r="G72" s="169"/>
      <c r="H72" s="167"/>
      <c r="I72" s="404"/>
      <c r="J72" s="408"/>
      <c r="K72" s="161"/>
      <c r="L72" s="157"/>
      <c r="M72" s="408">
        <f>L72+J72+H72</f>
        <v>0</v>
      </c>
    </row>
    <row r="73" spans="1:13" ht="13.5">
      <c r="A73" s="77">
        <f>A72+0.1</f>
        <v>11.2</v>
      </c>
      <c r="B73" s="95"/>
      <c r="C73" s="77" t="s">
        <v>119</v>
      </c>
      <c r="D73" s="77" t="s">
        <v>14</v>
      </c>
      <c r="E73" s="80">
        <v>0.01</v>
      </c>
      <c r="F73" s="80">
        <f>F71*E73</f>
        <v>0.34</v>
      </c>
      <c r="G73" s="407"/>
      <c r="H73" s="410"/>
      <c r="I73" s="155"/>
      <c r="J73" s="162"/>
      <c r="K73" s="156"/>
      <c r="L73" s="155"/>
      <c r="M73" s="403">
        <f>L73+J73+H73</f>
        <v>0</v>
      </c>
    </row>
    <row r="74" spans="1:13" ht="13.5">
      <c r="A74" s="102"/>
      <c r="B74" s="95"/>
      <c r="C74" s="77" t="s">
        <v>111</v>
      </c>
      <c r="D74" s="77" t="s">
        <v>32</v>
      </c>
      <c r="E74" s="80">
        <v>0.0011</v>
      </c>
      <c r="F74" s="80">
        <f>F71*E74</f>
        <v>0.0374</v>
      </c>
      <c r="G74" s="407"/>
      <c r="H74" s="410"/>
      <c r="I74" s="155"/>
      <c r="J74" s="162"/>
      <c r="K74" s="156"/>
      <c r="L74" s="155"/>
      <c r="M74" s="427">
        <f>L74+J74+H74</f>
        <v>0</v>
      </c>
    </row>
    <row r="75" spans="1:13" ht="12.75">
      <c r="A75" s="198"/>
      <c r="B75" s="199"/>
      <c r="C75" s="6" t="s">
        <v>247</v>
      </c>
      <c r="D75" s="6" t="s">
        <v>32</v>
      </c>
      <c r="E75" s="115"/>
      <c r="F75" s="200"/>
      <c r="G75" s="115"/>
      <c r="H75" s="421"/>
      <c r="I75" s="201"/>
      <c r="J75" s="404"/>
      <c r="K75" s="201"/>
      <c r="L75" s="419"/>
      <c r="M75" s="411">
        <f>M79</f>
        <v>0</v>
      </c>
    </row>
    <row r="76" spans="1:13" ht="12.75">
      <c r="A76" s="203"/>
      <c r="B76" s="183"/>
      <c r="C76" s="183" t="s">
        <v>248</v>
      </c>
      <c r="D76" s="183" t="s">
        <v>32</v>
      </c>
      <c r="E76" s="185"/>
      <c r="F76" s="204"/>
      <c r="G76" s="185"/>
      <c r="H76" s="205"/>
      <c r="I76" s="205"/>
      <c r="J76" s="206"/>
      <c r="K76" s="205"/>
      <c r="L76" s="205"/>
      <c r="M76" s="412">
        <f>J75</f>
        <v>0</v>
      </c>
    </row>
    <row r="77" spans="1:13" ht="12.75">
      <c r="A77" s="203"/>
      <c r="B77" s="190"/>
      <c r="C77" s="190" t="s">
        <v>249</v>
      </c>
      <c r="D77" s="190" t="s">
        <v>32</v>
      </c>
      <c r="E77" s="191"/>
      <c r="F77" s="207"/>
      <c r="G77" s="191"/>
      <c r="H77" s="208"/>
      <c r="I77" s="208"/>
      <c r="J77" s="209"/>
      <c r="K77" s="208"/>
      <c r="L77" s="208"/>
      <c r="M77" s="413">
        <f>L75</f>
        <v>0</v>
      </c>
    </row>
    <row r="78" spans="1:13" ht="12.75">
      <c r="A78" s="203"/>
      <c r="B78" s="4"/>
      <c r="C78" s="4" t="s">
        <v>250</v>
      </c>
      <c r="D78" s="4" t="s">
        <v>32</v>
      </c>
      <c r="E78" s="116"/>
      <c r="F78" s="210"/>
      <c r="G78" s="116"/>
      <c r="H78" s="201"/>
      <c r="I78" s="201"/>
      <c r="J78" s="211"/>
      <c r="K78" s="201"/>
      <c r="L78" s="201"/>
      <c r="M78" s="414">
        <f>H75</f>
        <v>0</v>
      </c>
    </row>
    <row r="79" spans="1:13" ht="25.5">
      <c r="A79" s="203"/>
      <c r="B79" s="4"/>
      <c r="C79" s="4" t="s">
        <v>251</v>
      </c>
      <c r="D79" s="4" t="s">
        <v>32</v>
      </c>
      <c r="E79" s="116"/>
      <c r="F79" s="210"/>
      <c r="G79" s="116"/>
      <c r="H79" s="201"/>
      <c r="I79" s="201"/>
      <c r="J79" s="211"/>
      <c r="K79" s="201"/>
      <c r="L79" s="201"/>
      <c r="M79" s="411">
        <f>SUM(M76:M78)</f>
        <v>0</v>
      </c>
    </row>
    <row r="80" spans="1:13" ht="12.75">
      <c r="A80" s="203"/>
      <c r="B80" s="4"/>
      <c r="C80" s="466" t="s">
        <v>499</v>
      </c>
      <c r="D80" s="203" t="s">
        <v>32</v>
      </c>
      <c r="E80" s="210"/>
      <c r="F80" s="210"/>
      <c r="G80" s="210"/>
      <c r="H80" s="211"/>
      <c r="I80" s="211"/>
      <c r="J80" s="211"/>
      <c r="K80" s="201"/>
      <c r="L80" s="201"/>
      <c r="M80" s="414">
        <f>M79*0.08%</f>
        <v>0</v>
      </c>
    </row>
    <row r="81" spans="1:13" ht="12.75">
      <c r="A81" s="203"/>
      <c r="B81" s="4"/>
      <c r="C81" s="203" t="s">
        <v>86</v>
      </c>
      <c r="D81" s="203" t="s">
        <v>32</v>
      </c>
      <c r="E81" s="210"/>
      <c r="F81" s="210"/>
      <c r="G81" s="210"/>
      <c r="H81" s="211"/>
      <c r="I81" s="211"/>
      <c r="J81" s="211"/>
      <c r="K81" s="201"/>
      <c r="L81" s="201"/>
      <c r="M81" s="414">
        <f>SUM(M79:M80)</f>
        <v>0</v>
      </c>
    </row>
    <row r="82" spans="1:13" ht="12.75">
      <c r="A82" s="203"/>
      <c r="B82" s="4"/>
      <c r="C82" s="466" t="s">
        <v>500</v>
      </c>
      <c r="D82" s="203" t="s">
        <v>32</v>
      </c>
      <c r="E82" s="210"/>
      <c r="F82" s="210"/>
      <c r="G82" s="210"/>
      <c r="H82" s="211"/>
      <c r="I82" s="211"/>
      <c r="J82" s="211"/>
      <c r="K82" s="201"/>
      <c r="L82" s="201"/>
      <c r="M82" s="414">
        <f>M81*0.06</f>
        <v>0</v>
      </c>
    </row>
    <row r="83" spans="1:13" ht="12.75">
      <c r="A83" s="203"/>
      <c r="B83" s="4"/>
      <c r="C83" s="4" t="s">
        <v>47</v>
      </c>
      <c r="D83" s="4" t="s">
        <v>32</v>
      </c>
      <c r="E83" s="116"/>
      <c r="F83" s="210"/>
      <c r="G83" s="116"/>
      <c r="H83" s="201"/>
      <c r="I83" s="201"/>
      <c r="J83" s="211"/>
      <c r="K83" s="201"/>
      <c r="L83" s="201"/>
      <c r="M83" s="411">
        <f>SUM(M81:M82)</f>
        <v>0</v>
      </c>
    </row>
    <row r="84" spans="1:13" ht="12.75">
      <c r="A84" s="212"/>
      <c r="B84" s="213"/>
      <c r="C84" s="213"/>
      <c r="D84" s="213"/>
      <c r="E84" s="213"/>
      <c r="F84" s="212"/>
      <c r="G84" s="213"/>
      <c r="H84" s="213"/>
      <c r="I84" s="213"/>
      <c r="J84" s="212"/>
      <c r="K84" s="213"/>
      <c r="L84" s="213"/>
      <c r="M84" s="213"/>
    </row>
    <row r="85" spans="1:13" ht="12.75">
      <c r="A85" s="214"/>
      <c r="B85" s="3"/>
      <c r="C85" s="514"/>
      <c r="D85" s="514"/>
      <c r="E85" s="3"/>
      <c r="F85" s="514"/>
      <c r="G85" s="514"/>
      <c r="H85" s="514"/>
      <c r="I85" s="213"/>
      <c r="J85" s="212"/>
      <c r="K85" s="213"/>
      <c r="L85" s="213"/>
      <c r="M85" s="213"/>
    </row>
  </sheetData>
  <sheetProtection/>
  <mergeCells count="22">
    <mergeCell ref="C85:D85"/>
    <mergeCell ref="F85:H85"/>
    <mergeCell ref="D11:D12"/>
    <mergeCell ref="A8:E8"/>
    <mergeCell ref="A1:H1"/>
    <mergeCell ref="A2:H2"/>
    <mergeCell ref="A4:H4"/>
    <mergeCell ref="A6:E6"/>
    <mergeCell ref="G6:H6"/>
    <mergeCell ref="A7:E7"/>
    <mergeCell ref="G7:H7"/>
    <mergeCell ref="A3:H3"/>
    <mergeCell ref="I11:J11"/>
    <mergeCell ref="K11:L11"/>
    <mergeCell ref="M11:M12"/>
    <mergeCell ref="G8:H8"/>
    <mergeCell ref="A10:H10"/>
    <mergeCell ref="A11:A12"/>
    <mergeCell ref="B11:B12"/>
    <mergeCell ref="E11:F11"/>
    <mergeCell ref="C11:C12"/>
    <mergeCell ref="G11:H11"/>
  </mergeCells>
  <printOptions horizontalCentered="1"/>
  <pageMargins left="0.7874015748031497" right="0.03937007874015748" top="0.2755905511811024" bottom="0.3937007874015748" header="0.2755905511811024" footer="0"/>
  <pageSetup horizontalDpi="600" verticalDpi="600" orientation="landscape" paperSize="9" scale="97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N58"/>
  <sheetViews>
    <sheetView view="pageBreakPreview" zoomScaleSheetLayoutView="100" workbookViewId="0" topLeftCell="A43">
      <selection activeCell="C55" sqref="C55"/>
    </sheetView>
  </sheetViews>
  <sheetFormatPr defaultColWidth="9.140625" defaultRowHeight="12.75"/>
  <cols>
    <col min="1" max="1" width="4.28125" style="278" customWidth="1"/>
    <col min="2" max="2" width="12.28125" style="17" customWidth="1"/>
    <col min="3" max="3" width="40.28125" style="16" customWidth="1"/>
    <col min="4" max="4" width="8.00390625" style="17" customWidth="1"/>
    <col min="5" max="5" width="7.8515625" style="43" customWidth="1"/>
    <col min="6" max="6" width="8.00390625" style="255" bestFit="1" customWidth="1"/>
    <col min="7" max="7" width="7.421875" style="50" customWidth="1"/>
    <col min="8" max="8" width="10.28125" style="49" customWidth="1"/>
    <col min="9" max="13" width="9.140625" style="43" customWidth="1"/>
    <col min="14" max="14" width="0.42578125" style="43" customWidth="1"/>
    <col min="15" max="16384" width="9.140625" style="43" customWidth="1"/>
  </cols>
  <sheetData>
    <row r="1" spans="1:8" s="11" customFormat="1" ht="24" customHeight="1">
      <c r="A1" s="497" t="s">
        <v>299</v>
      </c>
      <c r="B1" s="497"/>
      <c r="C1" s="497"/>
      <c r="D1" s="497"/>
      <c r="E1" s="497"/>
      <c r="F1" s="497"/>
      <c r="G1" s="497"/>
      <c r="H1" s="497"/>
    </row>
    <row r="2" spans="1:8" s="11" customFormat="1" ht="21" customHeight="1">
      <c r="A2" s="516" t="s">
        <v>498</v>
      </c>
      <c r="B2" s="516"/>
      <c r="C2" s="516"/>
      <c r="D2" s="516"/>
      <c r="E2" s="516"/>
      <c r="F2" s="516"/>
      <c r="G2" s="516"/>
      <c r="H2" s="516"/>
    </row>
    <row r="3" spans="1:8" s="11" customFormat="1" ht="18.75" customHeight="1">
      <c r="A3" s="497" t="str">
        <f>'OBIEKTURI #1'!A4:J4</f>
        <v>ZiriTadi Senoba (vet. klinika)</v>
      </c>
      <c r="B3" s="497"/>
      <c r="C3" s="497"/>
      <c r="D3" s="497"/>
      <c r="E3" s="497"/>
      <c r="F3" s="497"/>
      <c r="G3" s="497"/>
      <c r="H3" s="497"/>
    </row>
    <row r="4" spans="1:8" s="11" customFormat="1" ht="21" customHeight="1">
      <c r="A4" s="497" t="str">
        <f>'OBIEKTURI #1'!C14</f>
        <v>el.samontaJo samuSaoebi</v>
      </c>
      <c r="B4" s="497"/>
      <c r="C4" s="497"/>
      <c r="D4" s="497"/>
      <c r="E4" s="497"/>
      <c r="F4" s="497"/>
      <c r="G4" s="497"/>
      <c r="H4" s="497"/>
    </row>
    <row r="5" spans="1:8" s="11" customFormat="1" ht="19.5" customHeight="1">
      <c r="A5" s="268"/>
      <c r="B5" s="272"/>
      <c r="C5" s="268"/>
      <c r="D5" s="268"/>
      <c r="E5" s="268"/>
      <c r="F5" s="375"/>
      <c r="G5" s="268"/>
      <c r="H5" s="268"/>
    </row>
    <row r="6" spans="1:8" s="11" customFormat="1" ht="19.5" customHeight="1">
      <c r="A6" s="497" t="s">
        <v>1</v>
      </c>
      <c r="B6" s="497"/>
      <c r="C6" s="497"/>
      <c r="D6" s="497"/>
      <c r="E6" s="497"/>
      <c r="F6" s="461">
        <f>M56/1000</f>
        <v>0</v>
      </c>
      <c r="G6" s="503" t="s">
        <v>101</v>
      </c>
      <c r="H6" s="503"/>
    </row>
    <row r="7" spans="1:8" s="11" customFormat="1" ht="19.5" customHeight="1">
      <c r="A7" s="497" t="s">
        <v>2</v>
      </c>
      <c r="B7" s="497"/>
      <c r="C7" s="497"/>
      <c r="D7" s="497"/>
      <c r="E7" s="497"/>
      <c r="F7" s="461">
        <f>M49/1000</f>
        <v>0</v>
      </c>
      <c r="G7" s="503" t="s">
        <v>101</v>
      </c>
      <c r="H7" s="503"/>
    </row>
    <row r="8" spans="1:8" s="11" customFormat="1" ht="13.5">
      <c r="A8" s="497" t="s">
        <v>3</v>
      </c>
      <c r="B8" s="497"/>
      <c r="C8" s="497"/>
      <c r="D8" s="497"/>
      <c r="E8" s="497"/>
      <c r="F8" s="462">
        <f>F7*1000/2.5</f>
        <v>0</v>
      </c>
      <c r="G8" s="503" t="s">
        <v>105</v>
      </c>
      <c r="H8" s="503"/>
    </row>
    <row r="9" spans="1:8" s="11" customFormat="1" ht="13.5">
      <c r="A9" s="268"/>
      <c r="B9" s="272"/>
      <c r="C9" s="268"/>
      <c r="D9" s="268"/>
      <c r="E9" s="268"/>
      <c r="F9" s="375"/>
      <c r="G9" s="268"/>
      <c r="H9" s="268"/>
    </row>
    <row r="10" spans="1:8" s="11" customFormat="1" ht="30.75" customHeight="1">
      <c r="A10" s="497"/>
      <c r="B10" s="497"/>
      <c r="C10" s="497"/>
      <c r="D10" s="497"/>
      <c r="E10" s="497"/>
      <c r="F10" s="497"/>
      <c r="G10" s="497"/>
      <c r="H10" s="497"/>
    </row>
    <row r="11" spans="1:13" s="132" customFormat="1" ht="26.25" customHeight="1">
      <c r="A11" s="504" t="s">
        <v>235</v>
      </c>
      <c r="B11" s="505" t="s">
        <v>5</v>
      </c>
      <c r="C11" s="504" t="s">
        <v>236</v>
      </c>
      <c r="D11" s="504" t="s">
        <v>237</v>
      </c>
      <c r="E11" s="511" t="s">
        <v>6</v>
      </c>
      <c r="F11" s="512"/>
      <c r="G11" s="504" t="s">
        <v>238</v>
      </c>
      <c r="H11" s="504"/>
      <c r="I11" s="504" t="s">
        <v>239</v>
      </c>
      <c r="J11" s="504"/>
      <c r="K11" s="504" t="s">
        <v>240</v>
      </c>
      <c r="L11" s="504"/>
      <c r="M11" s="504" t="s">
        <v>241</v>
      </c>
    </row>
    <row r="12" spans="1:13" s="132" customFormat="1" ht="51">
      <c r="A12" s="504" t="s">
        <v>235</v>
      </c>
      <c r="B12" s="506"/>
      <c r="C12" s="504" t="s">
        <v>242</v>
      </c>
      <c r="D12" s="515" t="s">
        <v>243</v>
      </c>
      <c r="E12" s="133" t="s">
        <v>7</v>
      </c>
      <c r="F12" s="267" t="s">
        <v>8</v>
      </c>
      <c r="G12" s="134" t="s">
        <v>244</v>
      </c>
      <c r="H12" s="269" t="s">
        <v>245</v>
      </c>
      <c r="I12" s="269" t="s">
        <v>244</v>
      </c>
      <c r="J12" s="269" t="s">
        <v>245</v>
      </c>
      <c r="K12" s="269" t="s">
        <v>244</v>
      </c>
      <c r="L12" s="269" t="s">
        <v>245</v>
      </c>
      <c r="M12" s="504" t="s">
        <v>245</v>
      </c>
    </row>
    <row r="13" spans="1:13" s="132" customFormat="1" ht="12.75">
      <c r="A13" s="269">
        <v>1</v>
      </c>
      <c r="B13" s="269">
        <v>2</v>
      </c>
      <c r="C13" s="269">
        <v>3</v>
      </c>
      <c r="D13" s="269">
        <v>4</v>
      </c>
      <c r="E13" s="271">
        <v>5</v>
      </c>
      <c r="F13" s="217">
        <v>6</v>
      </c>
      <c r="G13" s="270">
        <v>7</v>
      </c>
      <c r="H13" s="270">
        <v>8</v>
      </c>
      <c r="I13" s="270">
        <v>9</v>
      </c>
      <c r="J13" s="270">
        <v>10</v>
      </c>
      <c r="K13" s="270">
        <v>11</v>
      </c>
      <c r="L13" s="270">
        <v>12</v>
      </c>
      <c r="M13" s="270">
        <v>13</v>
      </c>
    </row>
    <row r="14" spans="1:13" s="11" customFormat="1" ht="40.5">
      <c r="A14" s="87">
        <v>1</v>
      </c>
      <c r="B14" s="215" t="s">
        <v>142</v>
      </c>
      <c r="C14" s="76" t="s">
        <v>143</v>
      </c>
      <c r="D14" s="76" t="s">
        <v>129</v>
      </c>
      <c r="E14" s="79"/>
      <c r="F14" s="79">
        <v>1</v>
      </c>
      <c r="G14" s="79"/>
      <c r="H14" s="5"/>
      <c r="I14" s="5"/>
      <c r="J14" s="109"/>
      <c r="K14" s="5"/>
      <c r="L14" s="5"/>
      <c r="M14" s="406">
        <f>SUM(M15:M18)</f>
        <v>0</v>
      </c>
    </row>
    <row r="15" spans="1:13" s="54" customFormat="1" ht="19.5" customHeight="1">
      <c r="A15" s="139">
        <f>A14+0.1</f>
        <v>1.1</v>
      </c>
      <c r="B15" s="147"/>
      <c r="C15" s="139" t="s">
        <v>170</v>
      </c>
      <c r="D15" s="139" t="s">
        <v>11</v>
      </c>
      <c r="E15" s="129">
        <v>3.17</v>
      </c>
      <c r="F15" s="129">
        <f>F14*E15</f>
        <v>3.17</v>
      </c>
      <c r="G15" s="123"/>
      <c r="H15" s="123"/>
      <c r="I15" s="404"/>
      <c r="J15" s="405"/>
      <c r="K15" s="123"/>
      <c r="L15" s="123"/>
      <c r="M15" s="405">
        <f>L15+J15+H15</f>
        <v>0</v>
      </c>
    </row>
    <row r="16" spans="1:13" s="11" customFormat="1" ht="19.5" customHeight="1">
      <c r="A16" s="216">
        <f>A15+0.1</f>
        <v>1.2000000000000002</v>
      </c>
      <c r="B16" s="84"/>
      <c r="C16" s="216" t="s">
        <v>144</v>
      </c>
      <c r="D16" s="216" t="s">
        <v>129</v>
      </c>
      <c r="E16" s="78">
        <v>1</v>
      </c>
      <c r="F16" s="78">
        <f>F14*E16</f>
        <v>1</v>
      </c>
      <c r="G16" s="403"/>
      <c r="H16" s="403"/>
      <c r="I16" s="5"/>
      <c r="J16" s="109"/>
      <c r="K16" s="5"/>
      <c r="L16" s="5"/>
      <c r="M16" s="403">
        <f>L16+J16+H16</f>
        <v>0</v>
      </c>
    </row>
    <row r="17" spans="1:13" s="11" customFormat="1" ht="19.5" customHeight="1">
      <c r="A17" s="216">
        <f>A16+0.1</f>
        <v>1.3000000000000003</v>
      </c>
      <c r="B17" s="84"/>
      <c r="C17" s="216" t="s">
        <v>211</v>
      </c>
      <c r="D17" s="216" t="s">
        <v>26</v>
      </c>
      <c r="E17" s="78"/>
      <c r="F17" s="78">
        <v>4</v>
      </c>
      <c r="G17" s="403"/>
      <c r="H17" s="403"/>
      <c r="I17" s="5"/>
      <c r="J17" s="109"/>
      <c r="K17" s="5"/>
      <c r="L17" s="5"/>
      <c r="M17" s="403">
        <f>L17+J17+H17</f>
        <v>0</v>
      </c>
    </row>
    <row r="18" spans="1:13" s="12" customFormat="1" ht="19.5" customHeight="1">
      <c r="A18" s="216">
        <f>A17+0.1</f>
        <v>1.4000000000000004</v>
      </c>
      <c r="B18" s="84"/>
      <c r="C18" s="216" t="s">
        <v>111</v>
      </c>
      <c r="D18" s="216" t="s">
        <v>32</v>
      </c>
      <c r="E18" s="78">
        <v>0.238</v>
      </c>
      <c r="F18" s="78">
        <f>F14*E18</f>
        <v>0.238</v>
      </c>
      <c r="G18" s="403"/>
      <c r="H18" s="403"/>
      <c r="I18" s="7"/>
      <c r="J18" s="108"/>
      <c r="K18" s="7"/>
      <c r="L18" s="7"/>
      <c r="M18" s="403">
        <f>L18+J18+H18</f>
        <v>0</v>
      </c>
    </row>
    <row r="19" spans="1:13" s="11" customFormat="1" ht="40.5" customHeight="1">
      <c r="A19" s="87">
        <v>2</v>
      </c>
      <c r="B19" s="215" t="s">
        <v>174</v>
      </c>
      <c r="C19" s="76" t="s">
        <v>305</v>
      </c>
      <c r="D19" s="76" t="s">
        <v>110</v>
      </c>
      <c r="E19" s="79"/>
      <c r="F19" s="79">
        <v>60</v>
      </c>
      <c r="G19" s="79"/>
      <c r="H19" s="5"/>
      <c r="I19" s="5"/>
      <c r="J19" s="109"/>
      <c r="K19" s="5"/>
      <c r="L19" s="5"/>
      <c r="M19" s="406">
        <f>SUM(M20:M22)</f>
        <v>0</v>
      </c>
    </row>
    <row r="20" spans="1:13" s="54" customFormat="1" ht="19.5" customHeight="1">
      <c r="A20" s="139">
        <f>A19+0.1</f>
        <v>2.1</v>
      </c>
      <c r="B20" s="147"/>
      <c r="C20" s="139" t="s">
        <v>170</v>
      </c>
      <c r="D20" s="139" t="s">
        <v>11</v>
      </c>
      <c r="E20" s="129">
        <v>0.428</v>
      </c>
      <c r="F20" s="129">
        <f>F19*E20</f>
        <v>25.68</v>
      </c>
      <c r="G20" s="123"/>
      <c r="H20" s="123"/>
      <c r="I20" s="404"/>
      <c r="J20" s="405"/>
      <c r="K20" s="123"/>
      <c r="L20" s="123"/>
      <c r="M20" s="405">
        <f>L20+J20+H20</f>
        <v>0</v>
      </c>
    </row>
    <row r="21" spans="1:13" s="11" customFormat="1" ht="19.5" customHeight="1">
      <c r="A21" s="216">
        <f>A20+0.1</f>
        <v>2.2</v>
      </c>
      <c r="B21" s="84"/>
      <c r="C21" s="216" t="s">
        <v>306</v>
      </c>
      <c r="D21" s="216" t="s">
        <v>110</v>
      </c>
      <c r="E21" s="78">
        <v>1</v>
      </c>
      <c r="F21" s="78">
        <f>F19*E21</f>
        <v>60</v>
      </c>
      <c r="G21" s="403"/>
      <c r="H21" s="403"/>
      <c r="I21" s="5"/>
      <c r="J21" s="109"/>
      <c r="K21" s="5"/>
      <c r="L21" s="5"/>
      <c r="M21" s="403">
        <f>L21+J21+H21</f>
        <v>0</v>
      </c>
    </row>
    <row r="22" spans="1:13" s="12" customFormat="1" ht="19.5" customHeight="1">
      <c r="A22" s="216">
        <f>A21+0.1</f>
        <v>2.3000000000000003</v>
      </c>
      <c r="B22" s="84"/>
      <c r="C22" s="216" t="s">
        <v>111</v>
      </c>
      <c r="D22" s="216" t="s">
        <v>32</v>
      </c>
      <c r="E22" s="78">
        <v>0.0293</v>
      </c>
      <c r="F22" s="78">
        <f>F19*E22</f>
        <v>1.758</v>
      </c>
      <c r="G22" s="403"/>
      <c r="H22" s="403"/>
      <c r="I22" s="7"/>
      <c r="J22" s="108"/>
      <c r="K22" s="7"/>
      <c r="L22" s="7"/>
      <c r="M22" s="403">
        <f>L22+J22+H22</f>
        <v>0</v>
      </c>
    </row>
    <row r="23" spans="1:13" s="11" customFormat="1" ht="40.5">
      <c r="A23" s="87">
        <v>3</v>
      </c>
      <c r="B23" s="215" t="s">
        <v>145</v>
      </c>
      <c r="C23" s="76" t="s">
        <v>146</v>
      </c>
      <c r="D23" s="76" t="s">
        <v>110</v>
      </c>
      <c r="E23" s="79"/>
      <c r="F23" s="79">
        <v>92</v>
      </c>
      <c r="G23" s="79"/>
      <c r="H23" s="5"/>
      <c r="I23" s="5"/>
      <c r="J23" s="109"/>
      <c r="K23" s="5"/>
      <c r="L23" s="5"/>
      <c r="M23" s="406">
        <f>SUM(M24:M27)</f>
        <v>0</v>
      </c>
    </row>
    <row r="24" spans="1:13" s="54" customFormat="1" ht="19.5" customHeight="1">
      <c r="A24" s="139">
        <f>A23+0.1</f>
        <v>3.1</v>
      </c>
      <c r="B24" s="147"/>
      <c r="C24" s="139" t="s">
        <v>170</v>
      </c>
      <c r="D24" s="139" t="s">
        <v>11</v>
      </c>
      <c r="E24" s="129">
        <v>0.139</v>
      </c>
      <c r="F24" s="129">
        <f>F23*E24</f>
        <v>12.788</v>
      </c>
      <c r="G24" s="123"/>
      <c r="H24" s="123"/>
      <c r="I24" s="404"/>
      <c r="J24" s="405"/>
      <c r="K24" s="123"/>
      <c r="L24" s="123"/>
      <c r="M24" s="405">
        <f>L24+J24+H24</f>
        <v>0</v>
      </c>
    </row>
    <row r="25" spans="1:13" s="11" customFormat="1" ht="19.5" customHeight="1">
      <c r="A25" s="216">
        <f>A24+0.1</f>
        <v>3.2</v>
      </c>
      <c r="B25" s="84"/>
      <c r="C25" s="216" t="s">
        <v>175</v>
      </c>
      <c r="D25" s="216" t="s">
        <v>110</v>
      </c>
      <c r="E25" s="78"/>
      <c r="F25" s="78">
        <v>2</v>
      </c>
      <c r="G25" s="403"/>
      <c r="H25" s="403"/>
      <c r="I25" s="5"/>
      <c r="J25" s="109"/>
      <c r="K25" s="5"/>
      <c r="L25" s="5"/>
      <c r="M25" s="403">
        <f>L25+J25+H25</f>
        <v>0</v>
      </c>
    </row>
    <row r="26" spans="1:13" s="11" customFormat="1" ht="19.5" customHeight="1">
      <c r="A26" s="216">
        <f>A25+0.1</f>
        <v>3.3000000000000003</v>
      </c>
      <c r="B26" s="84"/>
      <c r="C26" s="216" t="s">
        <v>147</v>
      </c>
      <c r="D26" s="216" t="s">
        <v>26</v>
      </c>
      <c r="E26" s="78"/>
      <c r="F26" s="78">
        <v>12</v>
      </c>
      <c r="G26" s="403"/>
      <c r="H26" s="403"/>
      <c r="I26" s="5"/>
      <c r="J26" s="109"/>
      <c r="K26" s="5"/>
      <c r="L26" s="5"/>
      <c r="M26" s="403">
        <f>L26+J26+H26</f>
        <v>0</v>
      </c>
    </row>
    <row r="27" spans="1:13" s="12" customFormat="1" ht="19.5" customHeight="1">
      <c r="A27" s="216">
        <f>A26+0.1</f>
        <v>3.4000000000000004</v>
      </c>
      <c r="B27" s="84"/>
      <c r="C27" s="216" t="s">
        <v>111</v>
      </c>
      <c r="D27" s="216" t="s">
        <v>32</v>
      </c>
      <c r="E27" s="78">
        <v>0.0097</v>
      </c>
      <c r="F27" s="78">
        <f>F23*E27</f>
        <v>0.8924000000000001</v>
      </c>
      <c r="G27" s="403"/>
      <c r="H27" s="403"/>
      <c r="I27" s="7"/>
      <c r="J27" s="108"/>
      <c r="K27" s="7"/>
      <c r="L27" s="7"/>
      <c r="M27" s="403">
        <f>L27+J27+H27</f>
        <v>0</v>
      </c>
    </row>
    <row r="28" spans="1:13" s="11" customFormat="1" ht="40.5">
      <c r="A28" s="87">
        <v>4</v>
      </c>
      <c r="B28" s="215" t="s">
        <v>148</v>
      </c>
      <c r="C28" s="76" t="s">
        <v>149</v>
      </c>
      <c r="D28" s="76" t="s">
        <v>26</v>
      </c>
      <c r="E28" s="79"/>
      <c r="F28" s="79">
        <v>8</v>
      </c>
      <c r="G28" s="79"/>
      <c r="H28" s="5"/>
      <c r="I28" s="5"/>
      <c r="J28" s="109"/>
      <c r="K28" s="5"/>
      <c r="L28" s="5"/>
      <c r="M28" s="406">
        <f>SUM(M29:M32)</f>
        <v>0</v>
      </c>
    </row>
    <row r="29" spans="1:13" s="54" customFormat="1" ht="19.5" customHeight="1">
      <c r="A29" s="139">
        <f>A28+0.1</f>
        <v>4.1</v>
      </c>
      <c r="B29" s="147"/>
      <c r="C29" s="139" t="s">
        <v>170</v>
      </c>
      <c r="D29" s="139" t="s">
        <v>11</v>
      </c>
      <c r="E29" s="129">
        <v>0.192</v>
      </c>
      <c r="F29" s="129">
        <f>F28*E29</f>
        <v>1.536</v>
      </c>
      <c r="G29" s="123"/>
      <c r="H29" s="123"/>
      <c r="I29" s="404"/>
      <c r="J29" s="405"/>
      <c r="K29" s="123"/>
      <c r="L29" s="123"/>
      <c r="M29" s="405">
        <f>L29+J29+H29</f>
        <v>0</v>
      </c>
    </row>
    <row r="30" spans="1:13" s="11" customFormat="1" ht="30.75" customHeight="1">
      <c r="A30" s="216">
        <f>A29+0.1</f>
        <v>4.199999999999999</v>
      </c>
      <c r="B30" s="84"/>
      <c r="C30" s="216" t="s">
        <v>225</v>
      </c>
      <c r="D30" s="216" t="s">
        <v>26</v>
      </c>
      <c r="E30" s="78"/>
      <c r="F30" s="78">
        <v>6</v>
      </c>
      <c r="G30" s="403"/>
      <c r="H30" s="403"/>
      <c r="I30" s="5"/>
      <c r="J30" s="109"/>
      <c r="K30" s="5"/>
      <c r="L30" s="5"/>
      <c r="M30" s="403">
        <f>L30+J30+H30</f>
        <v>0</v>
      </c>
    </row>
    <row r="31" spans="1:13" s="11" customFormat="1" ht="30.75" customHeight="1">
      <c r="A31" s="216">
        <f>A30+0.1</f>
        <v>4.299999999999999</v>
      </c>
      <c r="B31" s="84"/>
      <c r="C31" s="216" t="s">
        <v>309</v>
      </c>
      <c r="D31" s="216" t="s">
        <v>26</v>
      </c>
      <c r="E31" s="78"/>
      <c r="F31" s="78">
        <v>2</v>
      </c>
      <c r="G31" s="403"/>
      <c r="H31" s="403"/>
      <c r="I31" s="5"/>
      <c r="J31" s="109"/>
      <c r="K31" s="5"/>
      <c r="L31" s="5"/>
      <c r="M31" s="403">
        <f>L31+J31+H31</f>
        <v>0</v>
      </c>
    </row>
    <row r="32" spans="1:13" s="12" customFormat="1" ht="19.5" customHeight="1">
      <c r="A32" s="216">
        <f>A31+0.1</f>
        <v>4.399999999999999</v>
      </c>
      <c r="B32" s="84"/>
      <c r="C32" s="216" t="s">
        <v>111</v>
      </c>
      <c r="D32" s="216" t="s">
        <v>32</v>
      </c>
      <c r="E32" s="78">
        <v>0.0266</v>
      </c>
      <c r="F32" s="78">
        <f>F28*E32</f>
        <v>0.2128</v>
      </c>
      <c r="G32" s="403"/>
      <c r="H32" s="403"/>
      <c r="I32" s="7"/>
      <c r="J32" s="108"/>
      <c r="K32" s="7"/>
      <c r="L32" s="7"/>
      <c r="M32" s="403">
        <f>L32+J32+H32</f>
        <v>0</v>
      </c>
    </row>
    <row r="33" spans="1:13" s="11" customFormat="1" ht="40.5">
      <c r="A33" s="87">
        <v>5</v>
      </c>
      <c r="B33" s="215" t="s">
        <v>150</v>
      </c>
      <c r="C33" s="76" t="s">
        <v>151</v>
      </c>
      <c r="D33" s="76" t="s">
        <v>26</v>
      </c>
      <c r="E33" s="79"/>
      <c r="F33" s="79">
        <v>12</v>
      </c>
      <c r="G33" s="79"/>
      <c r="H33" s="5"/>
      <c r="I33" s="5"/>
      <c r="J33" s="109"/>
      <c r="K33" s="5"/>
      <c r="L33" s="5"/>
      <c r="M33" s="406">
        <f>SUM(M34:M36)</f>
        <v>0</v>
      </c>
    </row>
    <row r="34" spans="1:13" s="54" customFormat="1" ht="19.5" customHeight="1">
      <c r="A34" s="139">
        <f>A33+0.1</f>
        <v>5.1</v>
      </c>
      <c r="B34" s="147"/>
      <c r="C34" s="139" t="s">
        <v>170</v>
      </c>
      <c r="D34" s="139" t="s">
        <v>11</v>
      </c>
      <c r="E34" s="129">
        <v>0.192</v>
      </c>
      <c r="F34" s="129">
        <f>F33*E34</f>
        <v>2.3040000000000003</v>
      </c>
      <c r="G34" s="123"/>
      <c r="H34" s="123"/>
      <c r="I34" s="404"/>
      <c r="J34" s="405"/>
      <c r="K34" s="123"/>
      <c r="L34" s="123"/>
      <c r="M34" s="405">
        <f>L34+J34+H34</f>
        <v>0</v>
      </c>
    </row>
    <row r="35" spans="1:13" s="11" customFormat="1" ht="27">
      <c r="A35" s="216">
        <f>A34+0.1</f>
        <v>5.199999999999999</v>
      </c>
      <c r="B35" s="84"/>
      <c r="C35" s="216" t="s">
        <v>152</v>
      </c>
      <c r="D35" s="216" t="s">
        <v>26</v>
      </c>
      <c r="E35" s="78">
        <v>1</v>
      </c>
      <c r="F35" s="78">
        <f>E35*F33</f>
        <v>12</v>
      </c>
      <c r="G35" s="403"/>
      <c r="H35" s="403"/>
      <c r="I35" s="5"/>
      <c r="J35" s="109"/>
      <c r="K35" s="5"/>
      <c r="L35" s="5"/>
      <c r="M35" s="403">
        <f>L35+J35+H35</f>
        <v>0</v>
      </c>
    </row>
    <row r="36" spans="1:13" s="12" customFormat="1" ht="19.5" customHeight="1">
      <c r="A36" s="216">
        <f>A35+0.1</f>
        <v>5.299999999999999</v>
      </c>
      <c r="B36" s="84"/>
      <c r="C36" s="216" t="s">
        <v>111</v>
      </c>
      <c r="D36" s="216" t="s">
        <v>32</v>
      </c>
      <c r="E36" s="78">
        <v>0.0234</v>
      </c>
      <c r="F36" s="78">
        <f>F33*E36</f>
        <v>0.2808</v>
      </c>
      <c r="G36" s="403"/>
      <c r="H36" s="403"/>
      <c r="I36" s="7"/>
      <c r="J36" s="108"/>
      <c r="K36" s="7"/>
      <c r="L36" s="7"/>
      <c r="M36" s="403">
        <f>L36+J36+H36</f>
        <v>0</v>
      </c>
    </row>
    <row r="37" spans="1:13" s="42" customFormat="1" ht="40.5">
      <c r="A37" s="215" t="s">
        <v>17</v>
      </c>
      <c r="B37" s="215" t="s">
        <v>153</v>
      </c>
      <c r="C37" s="76" t="s">
        <v>307</v>
      </c>
      <c r="D37" s="76" t="s">
        <v>26</v>
      </c>
      <c r="E37" s="79"/>
      <c r="F37" s="79">
        <v>15</v>
      </c>
      <c r="G37" s="79"/>
      <c r="H37" s="273"/>
      <c r="I37" s="273"/>
      <c r="J37" s="274"/>
      <c r="K37" s="273"/>
      <c r="L37" s="273"/>
      <c r="M37" s="406">
        <f>SUM(M38:M41)</f>
        <v>0</v>
      </c>
    </row>
    <row r="38" spans="1:13" s="69" customFormat="1" ht="19.5" customHeight="1">
      <c r="A38" s="139">
        <f>A37+0.1</f>
        <v>6.1</v>
      </c>
      <c r="B38" s="147"/>
      <c r="C38" s="139" t="s">
        <v>170</v>
      </c>
      <c r="D38" s="139" t="s">
        <v>11</v>
      </c>
      <c r="E38" s="129">
        <v>0.604</v>
      </c>
      <c r="F38" s="179">
        <f>F37*E38</f>
        <v>9.06</v>
      </c>
      <c r="G38" s="275"/>
      <c r="H38" s="275"/>
      <c r="I38" s="404"/>
      <c r="J38" s="405"/>
      <c r="K38" s="275"/>
      <c r="L38" s="275"/>
      <c r="M38" s="405">
        <f>L38+J38+H38</f>
        <v>0</v>
      </c>
    </row>
    <row r="39" spans="1:13" s="42" customFormat="1" ht="19.5" customHeight="1">
      <c r="A39" s="216">
        <f>A38+0.1</f>
        <v>6.199999999999999</v>
      </c>
      <c r="B39" s="93"/>
      <c r="C39" s="216" t="s">
        <v>458</v>
      </c>
      <c r="D39" s="93" t="s">
        <v>26</v>
      </c>
      <c r="E39" s="80"/>
      <c r="F39" s="80">
        <v>13</v>
      </c>
      <c r="G39" s="407"/>
      <c r="H39" s="407"/>
      <c r="I39" s="273"/>
      <c r="J39" s="274"/>
      <c r="K39" s="273"/>
      <c r="L39" s="273"/>
      <c r="M39" s="407">
        <f>L39+J39+H39</f>
        <v>0</v>
      </c>
    </row>
    <row r="40" spans="1:13" s="42" customFormat="1" ht="19.5" customHeight="1">
      <c r="A40" s="216">
        <f>A39+0.1</f>
        <v>6.299999999999999</v>
      </c>
      <c r="B40" s="93"/>
      <c r="C40" s="216" t="s">
        <v>459</v>
      </c>
      <c r="D40" s="93" t="s">
        <v>26</v>
      </c>
      <c r="E40" s="80"/>
      <c r="F40" s="80">
        <v>2</v>
      </c>
      <c r="G40" s="407"/>
      <c r="H40" s="407"/>
      <c r="I40" s="273"/>
      <c r="J40" s="274"/>
      <c r="K40" s="273"/>
      <c r="L40" s="273"/>
      <c r="M40" s="407">
        <f>L40+J40+H40</f>
        <v>0</v>
      </c>
    </row>
    <row r="41" spans="1:13" s="12" customFormat="1" ht="19.5" customHeight="1">
      <c r="A41" s="216">
        <f>A40+0.1</f>
        <v>6.399999999999999</v>
      </c>
      <c r="B41" s="93"/>
      <c r="C41" s="216" t="s">
        <v>111</v>
      </c>
      <c r="D41" s="216" t="s">
        <v>32</v>
      </c>
      <c r="E41" s="80">
        <v>0.114</v>
      </c>
      <c r="F41" s="80">
        <f>F37*E41</f>
        <v>1.71</v>
      </c>
      <c r="G41" s="407"/>
      <c r="H41" s="407"/>
      <c r="I41" s="7"/>
      <c r="J41" s="108"/>
      <c r="K41" s="7"/>
      <c r="L41" s="7"/>
      <c r="M41" s="407">
        <f>L41+J41+H41</f>
        <v>0</v>
      </c>
    </row>
    <row r="42" spans="1:14" s="11" customFormat="1" ht="37.5" customHeight="1">
      <c r="A42" s="215" t="s">
        <v>18</v>
      </c>
      <c r="B42" s="97" t="s">
        <v>134</v>
      </c>
      <c r="C42" s="76" t="s">
        <v>222</v>
      </c>
      <c r="D42" s="76" t="s">
        <v>204</v>
      </c>
      <c r="E42" s="76"/>
      <c r="F42" s="87">
        <v>2</v>
      </c>
      <c r="G42" s="76"/>
      <c r="H42" s="159"/>
      <c r="I42" s="156"/>
      <c r="J42" s="162"/>
      <c r="K42" s="156"/>
      <c r="L42" s="156"/>
      <c r="M42" s="406">
        <f>SUM(M43:M47)</f>
        <v>0</v>
      </c>
      <c r="N42" s="11">
        <f>180/60</f>
        <v>3</v>
      </c>
    </row>
    <row r="43" spans="1:13" s="54" customFormat="1" ht="19.5" customHeight="1">
      <c r="A43" s="173">
        <f>A42+0.1</f>
        <v>7.1</v>
      </c>
      <c r="B43" s="174"/>
      <c r="C43" s="139" t="s">
        <v>170</v>
      </c>
      <c r="D43" s="139" t="s">
        <v>11</v>
      </c>
      <c r="E43" s="139">
        <v>12.2</v>
      </c>
      <c r="F43" s="168">
        <f>F42*E43</f>
        <v>24.4</v>
      </c>
      <c r="G43" s="169"/>
      <c r="H43" s="167"/>
      <c r="I43" s="404"/>
      <c r="J43" s="408"/>
      <c r="K43" s="161"/>
      <c r="L43" s="161"/>
      <c r="M43" s="408">
        <f>L43+J43+H43</f>
        <v>0</v>
      </c>
    </row>
    <row r="44" spans="1:13" s="55" customFormat="1" ht="19.5" customHeight="1">
      <c r="A44" s="175">
        <f>A43+0.1</f>
        <v>7.199999999999999</v>
      </c>
      <c r="B44" s="176"/>
      <c r="C44" s="145" t="s">
        <v>169</v>
      </c>
      <c r="D44" s="145" t="s">
        <v>32</v>
      </c>
      <c r="E44" s="177">
        <v>0.161</v>
      </c>
      <c r="F44" s="170">
        <f>F42*E44</f>
        <v>0.322</v>
      </c>
      <c r="G44" s="276"/>
      <c r="H44" s="276"/>
      <c r="I44" s="276"/>
      <c r="J44" s="164"/>
      <c r="K44" s="417"/>
      <c r="L44" s="418"/>
      <c r="M44" s="409">
        <f>L44+J44+H44</f>
        <v>0</v>
      </c>
    </row>
    <row r="45" spans="1:13" s="11" customFormat="1" ht="31.5" customHeight="1">
      <c r="A45" s="98">
        <f>A44+0.1</f>
        <v>7.299999999999999</v>
      </c>
      <c r="B45" s="93"/>
      <c r="C45" s="216" t="s">
        <v>308</v>
      </c>
      <c r="D45" s="216" t="s">
        <v>204</v>
      </c>
      <c r="E45" s="93"/>
      <c r="F45" s="99">
        <v>2</v>
      </c>
      <c r="G45" s="420"/>
      <c r="H45" s="415"/>
      <c r="I45" s="156"/>
      <c r="J45" s="162"/>
      <c r="K45" s="156"/>
      <c r="L45" s="156"/>
      <c r="M45" s="410">
        <f>L45+J45+H45</f>
        <v>0</v>
      </c>
    </row>
    <row r="46" spans="1:13" s="11" customFormat="1" ht="17.25" customHeight="1">
      <c r="A46" s="98">
        <f>A45+0.1</f>
        <v>7.399999999999999</v>
      </c>
      <c r="B46" s="93"/>
      <c r="C46" s="216" t="s">
        <v>210</v>
      </c>
      <c r="D46" s="93" t="s">
        <v>22</v>
      </c>
      <c r="E46" s="93"/>
      <c r="F46" s="100">
        <v>0.5</v>
      </c>
      <c r="G46" s="420"/>
      <c r="H46" s="415"/>
      <c r="I46" s="156"/>
      <c r="J46" s="162"/>
      <c r="K46" s="156"/>
      <c r="L46" s="156"/>
      <c r="M46" s="410">
        <f>L46+J46+H46</f>
        <v>0</v>
      </c>
    </row>
    <row r="47" spans="1:13" s="11" customFormat="1" ht="19.5" customHeight="1">
      <c r="A47" s="98">
        <f>A46+0.1</f>
        <v>7.499999999999998</v>
      </c>
      <c r="B47" s="93"/>
      <c r="C47" s="216" t="s">
        <v>111</v>
      </c>
      <c r="D47" s="216" t="s">
        <v>32</v>
      </c>
      <c r="E47" s="93">
        <v>0.048</v>
      </c>
      <c r="F47" s="80">
        <f>F42*E47</f>
        <v>0.096</v>
      </c>
      <c r="G47" s="420"/>
      <c r="H47" s="415"/>
      <c r="I47" s="161"/>
      <c r="J47" s="169"/>
      <c r="K47" s="161"/>
      <c r="L47" s="161"/>
      <c r="M47" s="410">
        <f>L47+J47+H47</f>
        <v>0</v>
      </c>
    </row>
    <row r="48" spans="1:13" s="11" customFormat="1" ht="19.5" customHeight="1">
      <c r="A48" s="198"/>
      <c r="B48" s="199"/>
      <c r="C48" s="6" t="s">
        <v>247</v>
      </c>
      <c r="D48" s="6" t="s">
        <v>32</v>
      </c>
      <c r="E48" s="115"/>
      <c r="F48" s="200"/>
      <c r="G48" s="115"/>
      <c r="H48" s="416"/>
      <c r="I48" s="201"/>
      <c r="J48" s="404"/>
      <c r="K48" s="201"/>
      <c r="L48" s="419"/>
      <c r="M48" s="411">
        <f>M52</f>
        <v>0</v>
      </c>
    </row>
    <row r="49" spans="1:13" s="11" customFormat="1" ht="19.5" customHeight="1">
      <c r="A49" s="203"/>
      <c r="B49" s="183"/>
      <c r="C49" s="183" t="s">
        <v>248</v>
      </c>
      <c r="D49" s="183" t="s">
        <v>32</v>
      </c>
      <c r="E49" s="185"/>
      <c r="F49" s="204"/>
      <c r="G49" s="185"/>
      <c r="H49" s="205"/>
      <c r="I49" s="205"/>
      <c r="J49" s="206"/>
      <c r="K49" s="205"/>
      <c r="L49" s="205"/>
      <c r="M49" s="412">
        <f>J48</f>
        <v>0</v>
      </c>
    </row>
    <row r="50" spans="1:13" s="11" customFormat="1" ht="13.5">
      <c r="A50" s="203"/>
      <c r="B50" s="190"/>
      <c r="C50" s="190" t="s">
        <v>249</v>
      </c>
      <c r="D50" s="190" t="s">
        <v>32</v>
      </c>
      <c r="E50" s="191"/>
      <c r="F50" s="207"/>
      <c r="G50" s="191"/>
      <c r="H50" s="208"/>
      <c r="I50" s="208"/>
      <c r="J50" s="209"/>
      <c r="K50" s="208"/>
      <c r="L50" s="208"/>
      <c r="M50" s="413">
        <f>L48</f>
        <v>0</v>
      </c>
    </row>
    <row r="51" spans="1:13" s="11" customFormat="1" ht="13.5">
      <c r="A51" s="203"/>
      <c r="B51" s="4"/>
      <c r="C51" s="4" t="s">
        <v>250</v>
      </c>
      <c r="D51" s="4" t="s">
        <v>32</v>
      </c>
      <c r="E51" s="116"/>
      <c r="F51" s="210"/>
      <c r="G51" s="116"/>
      <c r="H51" s="201"/>
      <c r="I51" s="201"/>
      <c r="J51" s="211"/>
      <c r="K51" s="201"/>
      <c r="L51" s="201"/>
      <c r="M51" s="414">
        <f>H48</f>
        <v>0</v>
      </c>
    </row>
    <row r="52" spans="1:13" s="11" customFormat="1" ht="25.5">
      <c r="A52" s="203"/>
      <c r="B52" s="4"/>
      <c r="C52" s="4" t="s">
        <v>251</v>
      </c>
      <c r="D52" s="4" t="s">
        <v>32</v>
      </c>
      <c r="E52" s="116"/>
      <c r="F52" s="210"/>
      <c r="G52" s="116"/>
      <c r="H52" s="201"/>
      <c r="I52" s="201"/>
      <c r="J52" s="211"/>
      <c r="K52" s="201"/>
      <c r="L52" s="201"/>
      <c r="M52" s="411">
        <f>SUM(M49:M51)</f>
        <v>0</v>
      </c>
    </row>
    <row r="53" spans="1:13" ht="12.75">
      <c r="A53" s="203"/>
      <c r="B53" s="4"/>
      <c r="C53" s="466" t="s">
        <v>499</v>
      </c>
      <c r="D53" s="203" t="s">
        <v>32</v>
      </c>
      <c r="E53" s="210"/>
      <c r="F53" s="210"/>
      <c r="G53" s="210"/>
      <c r="H53" s="211"/>
      <c r="I53" s="211"/>
      <c r="J53" s="211"/>
      <c r="K53" s="201"/>
      <c r="L53" s="201"/>
      <c r="M53" s="414">
        <f>M52*0.08%</f>
        <v>0</v>
      </c>
    </row>
    <row r="54" spans="1:13" ht="12.75">
      <c r="A54" s="203"/>
      <c r="B54" s="4"/>
      <c r="C54" s="203" t="s">
        <v>86</v>
      </c>
      <c r="D54" s="203" t="s">
        <v>32</v>
      </c>
      <c r="E54" s="210"/>
      <c r="F54" s="210"/>
      <c r="G54" s="210"/>
      <c r="H54" s="211"/>
      <c r="I54" s="211"/>
      <c r="J54" s="211"/>
      <c r="K54" s="201"/>
      <c r="L54" s="201"/>
      <c r="M54" s="414">
        <f>SUM(M52:M53)</f>
        <v>0</v>
      </c>
    </row>
    <row r="55" spans="1:13" ht="12.75">
      <c r="A55" s="203"/>
      <c r="B55" s="4"/>
      <c r="C55" s="466" t="s">
        <v>500</v>
      </c>
      <c r="D55" s="203" t="s">
        <v>32</v>
      </c>
      <c r="E55" s="210"/>
      <c r="F55" s="210"/>
      <c r="G55" s="210"/>
      <c r="H55" s="211"/>
      <c r="I55" s="211"/>
      <c r="J55" s="211"/>
      <c r="K55" s="201"/>
      <c r="L55" s="201"/>
      <c r="M55" s="414">
        <f>M54*0.06</f>
        <v>0</v>
      </c>
    </row>
    <row r="56" spans="1:13" ht="12.75">
      <c r="A56" s="203"/>
      <c r="B56" s="4"/>
      <c r="C56" s="4" t="s">
        <v>47</v>
      </c>
      <c r="D56" s="4" t="s">
        <v>32</v>
      </c>
      <c r="E56" s="116"/>
      <c r="F56" s="210"/>
      <c r="G56" s="116"/>
      <c r="H56" s="201"/>
      <c r="I56" s="201"/>
      <c r="J56" s="211"/>
      <c r="K56" s="201"/>
      <c r="L56" s="201"/>
      <c r="M56" s="411">
        <f>SUM(M54:M55)</f>
        <v>0</v>
      </c>
    </row>
    <row r="57" spans="1:13" ht="12.75">
      <c r="A57" s="212"/>
      <c r="B57" s="213"/>
      <c r="C57" s="213"/>
      <c r="D57" s="213"/>
      <c r="E57" s="213"/>
      <c r="F57" s="212"/>
      <c r="G57" s="213"/>
      <c r="H57" s="213"/>
      <c r="I57" s="213"/>
      <c r="J57" s="212"/>
      <c r="K57" s="213"/>
      <c r="L57" s="213"/>
      <c r="M57" s="213"/>
    </row>
    <row r="58" spans="1:13" ht="12.75">
      <c r="A58" s="214"/>
      <c r="B58" s="3"/>
      <c r="C58" s="514"/>
      <c r="D58" s="514"/>
      <c r="E58" s="3"/>
      <c r="F58" s="514"/>
      <c r="G58" s="514"/>
      <c r="H58" s="514"/>
      <c r="I58" s="213"/>
      <c r="J58" s="212"/>
      <c r="K58" s="213"/>
      <c r="L58" s="213"/>
      <c r="M58" s="213"/>
    </row>
  </sheetData>
  <sheetProtection/>
  <autoFilter ref="G1:G58"/>
  <mergeCells count="22">
    <mergeCell ref="I11:J11"/>
    <mergeCell ref="A11:A12"/>
    <mergeCell ref="K11:L11"/>
    <mergeCell ref="A7:E7"/>
    <mergeCell ref="G11:H11"/>
    <mergeCell ref="M11:M12"/>
    <mergeCell ref="G6:H6"/>
    <mergeCell ref="A3:H3"/>
    <mergeCell ref="B11:B12"/>
    <mergeCell ref="C11:C12"/>
    <mergeCell ref="D11:D12"/>
    <mergeCell ref="E11:F11"/>
    <mergeCell ref="A1:H1"/>
    <mergeCell ref="A4:H4"/>
    <mergeCell ref="G8:H8"/>
    <mergeCell ref="A2:H2"/>
    <mergeCell ref="A6:E6"/>
    <mergeCell ref="C58:D58"/>
    <mergeCell ref="F58:H58"/>
    <mergeCell ref="G7:H7"/>
    <mergeCell ref="A8:E8"/>
    <mergeCell ref="A10:H10"/>
  </mergeCells>
  <printOptions horizontalCentered="1"/>
  <pageMargins left="0.7874015748031497" right="0.15748031496062992" top="0.5118110236220472" bottom="0.3937007874015748" header="0.5118110236220472" footer="0"/>
  <pageSetup horizontalDpi="600" verticalDpi="600" orientation="landscape" paperSize="9" scale="96" r:id="rId1"/>
  <headerFooter alignWithMargins="0">
    <oddFooter>&amp;R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SheetLayoutView="100" zoomScalePageLayoutView="0" workbookViewId="0" topLeftCell="A44">
      <selection activeCell="C61" sqref="C61"/>
    </sheetView>
  </sheetViews>
  <sheetFormatPr defaultColWidth="9.140625" defaultRowHeight="12.75"/>
  <cols>
    <col min="1" max="1" width="5.57421875" style="0" customWidth="1"/>
    <col min="2" max="2" width="14.140625" style="0" customWidth="1"/>
    <col min="3" max="3" width="32.7109375" style="0" customWidth="1"/>
    <col min="6" max="6" width="9.140625" style="386" customWidth="1"/>
  </cols>
  <sheetData>
    <row r="1" spans="1:8" s="311" customFormat="1" ht="13.5">
      <c r="A1" s="332"/>
      <c r="B1" s="517" t="s">
        <v>358</v>
      </c>
      <c r="C1" s="517"/>
      <c r="D1" s="517"/>
      <c r="E1" s="517"/>
      <c r="F1" s="390"/>
      <c r="G1" s="390"/>
      <c r="H1" s="390"/>
    </row>
    <row r="2" spans="1:8" s="213" customFormat="1" ht="26.25" customHeight="1">
      <c r="A2" s="518" t="s">
        <v>498</v>
      </c>
      <c r="B2" s="518"/>
      <c r="C2" s="518"/>
      <c r="D2" s="518"/>
      <c r="E2" s="518"/>
      <c r="F2" s="518"/>
      <c r="G2" s="518"/>
      <c r="H2" s="518"/>
    </row>
    <row r="3" spans="1:8" s="213" customFormat="1" ht="21" customHeight="1">
      <c r="A3" s="519" t="str">
        <f>NAKREBI!C45</f>
        <v>saleqari, gare wyalmomaragebis, gare kanalizaciis da saniaRvre qseli </v>
      </c>
      <c r="B3" s="519"/>
      <c r="C3" s="519"/>
      <c r="D3" s="519"/>
      <c r="E3" s="519"/>
      <c r="F3" s="519"/>
      <c r="G3" s="519"/>
      <c r="H3" s="519"/>
    </row>
    <row r="4" spans="1:8" s="213" customFormat="1" ht="12.75">
      <c r="A4" s="507" t="s">
        <v>0</v>
      </c>
      <c r="B4" s="507"/>
      <c r="C4" s="507"/>
      <c r="D4" s="507"/>
      <c r="E4" s="507"/>
      <c r="F4" s="507"/>
      <c r="G4" s="507"/>
      <c r="H4" s="507"/>
    </row>
    <row r="5" spans="1:8" s="213" customFormat="1" ht="12.75">
      <c r="A5" s="507" t="s">
        <v>38</v>
      </c>
      <c r="B5" s="507"/>
      <c r="C5" s="507"/>
      <c r="D5" s="507"/>
      <c r="E5" s="507"/>
      <c r="F5" s="464">
        <f>M62/1000</f>
        <v>0</v>
      </c>
      <c r="G5" s="520" t="s">
        <v>101</v>
      </c>
      <c r="H5" s="520"/>
    </row>
    <row r="6" spans="1:8" s="213" customFormat="1" ht="12.75">
      <c r="A6" s="507" t="s">
        <v>2</v>
      </c>
      <c r="B6" s="507"/>
      <c r="C6" s="507"/>
      <c r="D6" s="507"/>
      <c r="E6" s="507"/>
      <c r="F6" s="464">
        <f>M55/1000</f>
        <v>0</v>
      </c>
      <c r="G6" s="520" t="s">
        <v>101</v>
      </c>
      <c r="H6" s="520"/>
    </row>
    <row r="7" spans="1:8" s="213" customFormat="1" ht="12.75">
      <c r="A7" s="507" t="s">
        <v>3</v>
      </c>
      <c r="B7" s="507"/>
      <c r="C7" s="507"/>
      <c r="D7" s="507"/>
      <c r="E7" s="507"/>
      <c r="F7" s="465">
        <f>F6*1000/6</f>
        <v>0</v>
      </c>
      <c r="G7" s="520" t="s">
        <v>105</v>
      </c>
      <c r="H7" s="520"/>
    </row>
    <row r="8" spans="1:8" s="213" customFormat="1" ht="12.75">
      <c r="A8" s="507"/>
      <c r="B8" s="507"/>
      <c r="C8" s="507"/>
      <c r="D8" s="507"/>
      <c r="E8" s="507"/>
      <c r="F8" s="507"/>
      <c r="G8" s="507"/>
      <c r="H8" s="507"/>
    </row>
    <row r="9" s="213" customFormat="1" ht="12">
      <c r="F9" s="212"/>
    </row>
    <row r="10" spans="1:13" s="132" customFormat="1" ht="12.75">
      <c r="A10" s="521" t="s">
        <v>4</v>
      </c>
      <c r="B10" s="505" t="s">
        <v>5</v>
      </c>
      <c r="C10" s="504" t="s">
        <v>236</v>
      </c>
      <c r="D10" s="504" t="s">
        <v>237</v>
      </c>
      <c r="E10" s="511" t="s">
        <v>6</v>
      </c>
      <c r="F10" s="512"/>
      <c r="G10" s="504" t="s">
        <v>238</v>
      </c>
      <c r="H10" s="504"/>
      <c r="I10" s="504" t="s">
        <v>239</v>
      </c>
      <c r="J10" s="504"/>
      <c r="K10" s="504" t="s">
        <v>240</v>
      </c>
      <c r="L10" s="504"/>
      <c r="M10" s="504" t="s">
        <v>241</v>
      </c>
    </row>
    <row r="11" spans="1:13" s="132" customFormat="1" ht="51">
      <c r="A11" s="521" t="s">
        <v>4</v>
      </c>
      <c r="B11" s="506"/>
      <c r="C11" s="504" t="s">
        <v>242</v>
      </c>
      <c r="D11" s="515" t="s">
        <v>243</v>
      </c>
      <c r="E11" s="133" t="s">
        <v>7</v>
      </c>
      <c r="F11" s="267" t="s">
        <v>8</v>
      </c>
      <c r="G11" s="134" t="s">
        <v>244</v>
      </c>
      <c r="H11" s="307" t="s">
        <v>245</v>
      </c>
      <c r="I11" s="307" t="s">
        <v>244</v>
      </c>
      <c r="J11" s="307" t="s">
        <v>245</v>
      </c>
      <c r="K11" s="307" t="s">
        <v>244</v>
      </c>
      <c r="L11" s="307" t="s">
        <v>245</v>
      </c>
      <c r="M11" s="504" t="s">
        <v>245</v>
      </c>
    </row>
    <row r="12" spans="1:13" s="132" customFormat="1" ht="12.75">
      <c r="A12" s="312">
        <v>1</v>
      </c>
      <c r="B12" s="308">
        <v>2</v>
      </c>
      <c r="C12" s="308">
        <v>3</v>
      </c>
      <c r="D12" s="308">
        <v>4</v>
      </c>
      <c r="E12" s="137">
        <v>5</v>
      </c>
      <c r="F12" s="217">
        <v>6</v>
      </c>
      <c r="G12" s="308">
        <v>7</v>
      </c>
      <c r="H12" s="308">
        <v>8</v>
      </c>
      <c r="I12" s="308">
        <v>9</v>
      </c>
      <c r="J12" s="308">
        <v>10</v>
      </c>
      <c r="K12" s="308">
        <v>11</v>
      </c>
      <c r="L12" s="308">
        <v>12</v>
      </c>
      <c r="M12" s="308">
        <v>13</v>
      </c>
    </row>
    <row r="13" spans="1:13" s="132" customFormat="1" ht="21.75" customHeight="1">
      <c r="A13" s="4"/>
      <c r="B13" s="133"/>
      <c r="C13" s="313" t="s">
        <v>337</v>
      </c>
      <c r="D13" s="133"/>
      <c r="E13" s="133"/>
      <c r="F13" s="267"/>
      <c r="G13" s="133"/>
      <c r="H13" s="133"/>
      <c r="I13" s="133"/>
      <c r="J13" s="133"/>
      <c r="K13" s="133"/>
      <c r="L13" s="133"/>
      <c r="M13" s="133"/>
    </row>
    <row r="14" spans="1:13" s="213" customFormat="1" ht="63.75">
      <c r="A14" s="117" t="s">
        <v>9</v>
      </c>
      <c r="B14" s="113" t="s">
        <v>155</v>
      </c>
      <c r="C14" s="113" t="s">
        <v>228</v>
      </c>
      <c r="D14" s="113" t="s">
        <v>137</v>
      </c>
      <c r="E14" s="280"/>
      <c r="F14" s="320">
        <f>150*0.7*0.4*1.3/100</f>
        <v>0.546</v>
      </c>
      <c r="G14" s="280"/>
      <c r="H14" s="201"/>
      <c r="I14" s="156"/>
      <c r="J14" s="156"/>
      <c r="K14" s="156"/>
      <c r="L14" s="156"/>
      <c r="M14" s="411">
        <f>SUM(M15:M16)</f>
        <v>0</v>
      </c>
    </row>
    <row r="15" spans="1:13" s="213" customFormat="1" ht="13.5">
      <c r="A15" s="321">
        <f>A14+0.1</f>
        <v>1.1</v>
      </c>
      <c r="B15" s="125"/>
      <c r="C15" s="126" t="s">
        <v>140</v>
      </c>
      <c r="D15" s="126" t="s">
        <v>11</v>
      </c>
      <c r="E15" s="202">
        <v>16.5</v>
      </c>
      <c r="F15" s="204">
        <f>E15*F14</f>
        <v>9.009</v>
      </c>
      <c r="G15" s="201"/>
      <c r="H15" s="201"/>
      <c r="I15" s="408"/>
      <c r="J15" s="404"/>
      <c r="K15" s="156"/>
      <c r="L15" s="156"/>
      <c r="M15" s="404">
        <f>J15</f>
        <v>0</v>
      </c>
    </row>
    <row r="16" spans="1:13" s="213" customFormat="1" ht="12.75">
      <c r="A16" s="321">
        <f>A15+0.1</f>
        <v>1.2000000000000002</v>
      </c>
      <c r="B16" s="189"/>
      <c r="C16" s="187" t="s">
        <v>338</v>
      </c>
      <c r="D16" s="187" t="s">
        <v>33</v>
      </c>
      <c r="E16" s="187">
        <v>37</v>
      </c>
      <c r="F16" s="207">
        <f>E16*F14</f>
        <v>20.202</v>
      </c>
      <c r="G16" s="201"/>
      <c r="H16" s="201"/>
      <c r="I16" s="156"/>
      <c r="J16" s="156"/>
      <c r="K16" s="428"/>
      <c r="L16" s="428"/>
      <c r="M16" s="428">
        <f>L16</f>
        <v>0</v>
      </c>
    </row>
    <row r="17" spans="1:13" s="213" customFormat="1" ht="40.5">
      <c r="A17" s="87">
        <v>2</v>
      </c>
      <c r="B17" s="215" t="s">
        <v>339</v>
      </c>
      <c r="C17" s="76" t="s">
        <v>340</v>
      </c>
      <c r="D17" s="76" t="s">
        <v>137</v>
      </c>
      <c r="E17" s="79"/>
      <c r="F17" s="79">
        <f>150*0.7*0.4*1.3/100</f>
        <v>0.546</v>
      </c>
      <c r="G17" s="79"/>
      <c r="H17" s="7"/>
      <c r="I17" s="119"/>
      <c r="J17" s="108"/>
      <c r="K17" s="7"/>
      <c r="L17" s="7"/>
      <c r="M17" s="406">
        <f>SUM(M18)</f>
        <v>0</v>
      </c>
    </row>
    <row r="18" spans="1:13" s="213" customFormat="1" ht="13.5">
      <c r="A18" s="216">
        <f>A17+0.1</f>
        <v>2.1</v>
      </c>
      <c r="B18" s="147"/>
      <c r="C18" s="139" t="s">
        <v>166</v>
      </c>
      <c r="D18" s="139" t="s">
        <v>11</v>
      </c>
      <c r="E18" s="129">
        <v>206</v>
      </c>
      <c r="F18" s="129">
        <f>F17*E18</f>
        <v>112.47600000000001</v>
      </c>
      <c r="G18" s="123"/>
      <c r="H18" s="123"/>
      <c r="I18" s="408"/>
      <c r="J18" s="408"/>
      <c r="K18" s="123"/>
      <c r="L18" s="123"/>
      <c r="M18" s="408">
        <f>L18+J18+H18</f>
        <v>0</v>
      </c>
    </row>
    <row r="19" spans="1:13" s="213" customFormat="1" ht="40.5">
      <c r="A19" s="87">
        <v>3</v>
      </c>
      <c r="B19" s="215" t="s">
        <v>341</v>
      </c>
      <c r="C19" s="76" t="s">
        <v>342</v>
      </c>
      <c r="D19" s="76" t="s">
        <v>137</v>
      </c>
      <c r="E19" s="79"/>
      <c r="F19" s="79">
        <f>F17</f>
        <v>0.546</v>
      </c>
      <c r="G19" s="79"/>
      <c r="H19" s="7"/>
      <c r="I19" s="119"/>
      <c r="J19" s="108"/>
      <c r="K19" s="7"/>
      <c r="L19" s="7"/>
      <c r="M19" s="406">
        <f>SUM(M20)</f>
        <v>0</v>
      </c>
    </row>
    <row r="20" spans="1:13" s="213" customFormat="1" ht="13.5">
      <c r="A20" s="216">
        <f>A19+0.1</f>
        <v>3.1</v>
      </c>
      <c r="B20" s="147"/>
      <c r="C20" s="139" t="s">
        <v>170</v>
      </c>
      <c r="D20" s="139" t="s">
        <v>11</v>
      </c>
      <c r="E20" s="129">
        <v>121</v>
      </c>
      <c r="F20" s="129">
        <f>F19*E20</f>
        <v>66.066</v>
      </c>
      <c r="G20" s="123"/>
      <c r="H20" s="123"/>
      <c r="I20" s="408"/>
      <c r="J20" s="408"/>
      <c r="K20" s="123"/>
      <c r="L20" s="123"/>
      <c r="M20" s="408">
        <f>L20+J20+H20</f>
        <v>0</v>
      </c>
    </row>
    <row r="21" spans="1:13" s="213" customFormat="1" ht="38.25">
      <c r="A21" s="117" t="s">
        <v>15</v>
      </c>
      <c r="B21" s="117" t="s">
        <v>109</v>
      </c>
      <c r="C21" s="113" t="s">
        <v>343</v>
      </c>
      <c r="D21" s="113" t="s">
        <v>110</v>
      </c>
      <c r="E21" s="280"/>
      <c r="F21" s="200">
        <v>150</v>
      </c>
      <c r="G21" s="280"/>
      <c r="H21" s="201"/>
      <c r="I21" s="201"/>
      <c r="J21" s="211"/>
      <c r="K21" s="201"/>
      <c r="L21" s="201"/>
      <c r="M21" s="411">
        <f>SUM(M22:M26)</f>
        <v>0</v>
      </c>
    </row>
    <row r="22" spans="1:13" s="213" customFormat="1" ht="13.5">
      <c r="A22" s="4">
        <f>A21+0.1</f>
        <v>4.1</v>
      </c>
      <c r="B22" s="127"/>
      <c r="C22" s="126" t="s">
        <v>166</v>
      </c>
      <c r="D22" s="126" t="s">
        <v>11</v>
      </c>
      <c r="E22" s="202">
        <v>0.37</v>
      </c>
      <c r="F22" s="281">
        <f>F21*E22</f>
        <v>55.5</v>
      </c>
      <c r="G22" s="201"/>
      <c r="H22" s="201"/>
      <c r="I22" s="408"/>
      <c r="J22" s="442"/>
      <c r="K22" s="201"/>
      <c r="L22" s="201"/>
      <c r="M22" s="442">
        <f>J22</f>
        <v>0</v>
      </c>
    </row>
    <row r="23" spans="1:13" s="213" customFormat="1" ht="12.75">
      <c r="A23" s="4">
        <f>A22+0.1</f>
        <v>4.199999999999999</v>
      </c>
      <c r="B23" s="192"/>
      <c r="C23" s="187" t="s">
        <v>168</v>
      </c>
      <c r="D23" s="187" t="s">
        <v>32</v>
      </c>
      <c r="E23" s="221">
        <v>0.0136</v>
      </c>
      <c r="F23" s="282">
        <f>F21*E23</f>
        <v>2.04</v>
      </c>
      <c r="G23" s="201"/>
      <c r="H23" s="201"/>
      <c r="I23" s="201"/>
      <c r="J23" s="211"/>
      <c r="K23" s="435"/>
      <c r="L23" s="435"/>
      <c r="M23" s="435">
        <f>L23</f>
        <v>0</v>
      </c>
    </row>
    <row r="24" spans="1:13" s="213" customFormat="1" ht="12.75">
      <c r="A24" s="4">
        <f>A23+0.1</f>
        <v>4.299999999999999</v>
      </c>
      <c r="B24" s="283"/>
      <c r="C24" s="114" t="s">
        <v>344</v>
      </c>
      <c r="D24" s="114" t="s">
        <v>110</v>
      </c>
      <c r="E24" s="284">
        <v>1.02</v>
      </c>
      <c r="F24" s="285">
        <f>E24*F21</f>
        <v>153</v>
      </c>
      <c r="G24" s="443"/>
      <c r="H24" s="416"/>
      <c r="I24" s="201"/>
      <c r="J24" s="211"/>
      <c r="K24" s="201"/>
      <c r="L24" s="201"/>
      <c r="M24" s="416">
        <f>H24</f>
        <v>0</v>
      </c>
    </row>
    <row r="25" spans="1:13" s="213" customFormat="1" ht="12.75">
      <c r="A25" s="4">
        <f>A24+0.1</f>
        <v>4.399999999999999</v>
      </c>
      <c r="B25" s="283"/>
      <c r="C25" s="114" t="s">
        <v>345</v>
      </c>
      <c r="D25" s="283" t="s">
        <v>26</v>
      </c>
      <c r="E25" s="284"/>
      <c r="F25" s="285">
        <v>103</v>
      </c>
      <c r="G25" s="443"/>
      <c r="H25" s="416"/>
      <c r="I25" s="201"/>
      <c r="J25" s="211"/>
      <c r="K25" s="201"/>
      <c r="L25" s="201"/>
      <c r="M25" s="416">
        <f>H25</f>
        <v>0</v>
      </c>
    </row>
    <row r="26" spans="1:13" s="213" customFormat="1" ht="12.75">
      <c r="A26" s="4">
        <f>A25+0.1</f>
        <v>4.499999999999998</v>
      </c>
      <c r="B26" s="283"/>
      <c r="C26" s="114" t="s">
        <v>111</v>
      </c>
      <c r="D26" s="114" t="s">
        <v>32</v>
      </c>
      <c r="E26" s="284">
        <v>0.0163</v>
      </c>
      <c r="F26" s="285">
        <f>F21*E26</f>
        <v>2.445</v>
      </c>
      <c r="G26" s="443"/>
      <c r="H26" s="416"/>
      <c r="I26" s="201"/>
      <c r="J26" s="211"/>
      <c r="K26" s="201"/>
      <c r="L26" s="201"/>
      <c r="M26" s="416">
        <f>H26</f>
        <v>0</v>
      </c>
    </row>
    <row r="27" spans="1:13" s="213" customFormat="1" ht="38.25">
      <c r="A27" s="117" t="s">
        <v>16</v>
      </c>
      <c r="B27" s="117" t="s">
        <v>114</v>
      </c>
      <c r="C27" s="113" t="s">
        <v>113</v>
      </c>
      <c r="D27" s="279" t="s">
        <v>26</v>
      </c>
      <c r="E27" s="280"/>
      <c r="F27" s="200">
        <v>2</v>
      </c>
      <c r="G27" s="280"/>
      <c r="H27" s="201"/>
      <c r="I27" s="201"/>
      <c r="J27" s="211"/>
      <c r="K27" s="201"/>
      <c r="L27" s="201"/>
      <c r="M27" s="411">
        <f>SUM(M28:M31)</f>
        <v>0</v>
      </c>
    </row>
    <row r="28" spans="1:13" s="213" customFormat="1" ht="13.5">
      <c r="A28" s="4">
        <f>A27+0.1</f>
        <v>5.1</v>
      </c>
      <c r="B28" s="127"/>
      <c r="C28" s="126" t="s">
        <v>170</v>
      </c>
      <c r="D28" s="126" t="s">
        <v>11</v>
      </c>
      <c r="E28" s="202">
        <v>1.51</v>
      </c>
      <c r="F28" s="281">
        <f>F27*E28</f>
        <v>3.02</v>
      </c>
      <c r="G28" s="201"/>
      <c r="H28" s="201"/>
      <c r="I28" s="408"/>
      <c r="J28" s="442"/>
      <c r="K28" s="201"/>
      <c r="L28" s="201"/>
      <c r="M28" s="442">
        <f>J28</f>
        <v>0</v>
      </c>
    </row>
    <row r="29" spans="1:13" s="213" customFormat="1" ht="12.75">
      <c r="A29" s="4">
        <f>A28+0.1</f>
        <v>5.199999999999999</v>
      </c>
      <c r="B29" s="192"/>
      <c r="C29" s="187" t="s">
        <v>169</v>
      </c>
      <c r="D29" s="187" t="s">
        <v>32</v>
      </c>
      <c r="E29" s="221">
        <v>0.13</v>
      </c>
      <c r="F29" s="282">
        <f>F27*E29</f>
        <v>0.26</v>
      </c>
      <c r="G29" s="201"/>
      <c r="H29" s="201"/>
      <c r="I29" s="201"/>
      <c r="J29" s="211"/>
      <c r="K29" s="435"/>
      <c r="L29" s="435"/>
      <c r="M29" s="416">
        <f>L29</f>
        <v>0</v>
      </c>
    </row>
    <row r="30" spans="1:13" s="213" customFormat="1" ht="12.75">
      <c r="A30" s="4">
        <f>A29+0.1</f>
        <v>5.299999999999999</v>
      </c>
      <c r="B30" s="283"/>
      <c r="C30" s="114" t="s">
        <v>346</v>
      </c>
      <c r="D30" s="283" t="s">
        <v>26</v>
      </c>
      <c r="E30" s="284"/>
      <c r="F30" s="285">
        <v>2</v>
      </c>
      <c r="G30" s="443"/>
      <c r="H30" s="416"/>
      <c r="I30" s="201"/>
      <c r="J30" s="211"/>
      <c r="K30" s="201"/>
      <c r="L30" s="201"/>
      <c r="M30" s="416">
        <f>H30</f>
        <v>0</v>
      </c>
    </row>
    <row r="31" spans="1:13" s="213" customFormat="1" ht="12.75">
      <c r="A31" s="4">
        <f>A30+0.1</f>
        <v>5.399999999999999</v>
      </c>
      <c r="B31" s="283"/>
      <c r="C31" s="114" t="s">
        <v>111</v>
      </c>
      <c r="D31" s="114" t="s">
        <v>32</v>
      </c>
      <c r="E31" s="284">
        <v>0.07</v>
      </c>
      <c r="F31" s="285">
        <f>F27*E31</f>
        <v>0.14</v>
      </c>
      <c r="G31" s="443"/>
      <c r="H31" s="416"/>
      <c r="I31" s="201"/>
      <c r="J31" s="211"/>
      <c r="K31" s="201"/>
      <c r="L31" s="201"/>
      <c r="M31" s="416">
        <f>H31</f>
        <v>0</v>
      </c>
    </row>
    <row r="32" spans="1:13" s="213" customFormat="1" ht="12.75">
      <c r="A32" s="6"/>
      <c r="B32" s="322"/>
      <c r="C32" s="323" t="s">
        <v>473</v>
      </c>
      <c r="D32" s="323"/>
      <c r="E32" s="324"/>
      <c r="F32" s="324"/>
      <c r="G32" s="325"/>
      <c r="H32" s="324"/>
      <c r="I32" s="156"/>
      <c r="J32" s="156"/>
      <c r="K32" s="156"/>
      <c r="L32" s="156"/>
      <c r="M32" s="446"/>
    </row>
    <row r="33" spans="1:13" s="213" customFormat="1" ht="63.75">
      <c r="A33" s="117" t="s">
        <v>9</v>
      </c>
      <c r="B33" s="113" t="s">
        <v>155</v>
      </c>
      <c r="C33" s="113" t="s">
        <v>347</v>
      </c>
      <c r="D33" s="113" t="s">
        <v>137</v>
      </c>
      <c r="E33" s="280"/>
      <c r="F33" s="320">
        <f>3*3*2.5*2/1000</f>
        <v>0.045</v>
      </c>
      <c r="G33" s="280"/>
      <c r="H33" s="201"/>
      <c r="I33" s="156"/>
      <c r="J33" s="156"/>
      <c r="K33" s="156"/>
      <c r="L33" s="156"/>
      <c r="M33" s="411">
        <f>SUM(M34:M35)</f>
        <v>0</v>
      </c>
    </row>
    <row r="34" spans="1:13" s="213" customFormat="1" ht="13.5">
      <c r="A34" s="321">
        <f>A33+0.1</f>
        <v>1.1</v>
      </c>
      <c r="B34" s="125"/>
      <c r="C34" s="126" t="s">
        <v>140</v>
      </c>
      <c r="D34" s="126" t="s">
        <v>11</v>
      </c>
      <c r="E34" s="202">
        <v>16.5</v>
      </c>
      <c r="F34" s="204">
        <f>E34*F33</f>
        <v>0.7424999999999999</v>
      </c>
      <c r="G34" s="201"/>
      <c r="H34" s="201"/>
      <c r="I34" s="408"/>
      <c r="J34" s="404"/>
      <c r="K34" s="156"/>
      <c r="L34" s="156"/>
      <c r="M34" s="404">
        <f>J34</f>
        <v>0</v>
      </c>
    </row>
    <row r="35" spans="1:13" s="213" customFormat="1" ht="12.75">
      <c r="A35" s="321">
        <f>A34+0.1</f>
        <v>1.2000000000000002</v>
      </c>
      <c r="B35" s="189"/>
      <c r="C35" s="187" t="s">
        <v>348</v>
      </c>
      <c r="D35" s="187" t="s">
        <v>33</v>
      </c>
      <c r="E35" s="187">
        <v>37</v>
      </c>
      <c r="F35" s="207">
        <f>E35*F33</f>
        <v>1.665</v>
      </c>
      <c r="G35" s="201"/>
      <c r="H35" s="201"/>
      <c r="I35" s="156"/>
      <c r="J35" s="156"/>
      <c r="K35" s="428"/>
      <c r="L35" s="428"/>
      <c r="M35" s="428">
        <f>L35</f>
        <v>0</v>
      </c>
    </row>
    <row r="36" spans="1:13" s="213" customFormat="1" ht="25.5">
      <c r="A36" s="117" t="s">
        <v>112</v>
      </c>
      <c r="B36" s="113" t="s">
        <v>349</v>
      </c>
      <c r="C36" s="113" t="s">
        <v>350</v>
      </c>
      <c r="D36" s="113" t="s">
        <v>10</v>
      </c>
      <c r="E36" s="280"/>
      <c r="F36" s="320">
        <f>F33*0.1</f>
        <v>0.0045</v>
      </c>
      <c r="G36" s="280"/>
      <c r="H36" s="201"/>
      <c r="I36" s="156"/>
      <c r="J36" s="156"/>
      <c r="K36" s="156"/>
      <c r="L36" s="156"/>
      <c r="M36" s="411">
        <f>SUM(M37)</f>
        <v>0</v>
      </c>
    </row>
    <row r="37" spans="1:13" s="213" customFormat="1" ht="13.5">
      <c r="A37" s="321">
        <f>A36+0.1</f>
        <v>2.1</v>
      </c>
      <c r="B37" s="126"/>
      <c r="C37" s="126" t="s">
        <v>158</v>
      </c>
      <c r="D37" s="126" t="s">
        <v>11</v>
      </c>
      <c r="E37" s="202">
        <f>216*1.55</f>
        <v>334.8</v>
      </c>
      <c r="F37" s="204">
        <f>E37*F36</f>
        <v>1.5066</v>
      </c>
      <c r="G37" s="201"/>
      <c r="H37" s="201"/>
      <c r="I37" s="408"/>
      <c r="J37" s="404"/>
      <c r="K37" s="156"/>
      <c r="L37" s="156"/>
      <c r="M37" s="404">
        <f>J37</f>
        <v>0</v>
      </c>
    </row>
    <row r="38" spans="1:13" s="213" customFormat="1" ht="25.5">
      <c r="A38" s="117" t="s">
        <v>13</v>
      </c>
      <c r="B38" s="113" t="s">
        <v>354</v>
      </c>
      <c r="C38" s="113" t="s">
        <v>492</v>
      </c>
      <c r="D38" s="113" t="s">
        <v>27</v>
      </c>
      <c r="E38" s="280"/>
      <c r="F38" s="200">
        <v>16</v>
      </c>
      <c r="G38" s="280"/>
      <c r="H38" s="201"/>
      <c r="I38" s="156"/>
      <c r="J38" s="156"/>
      <c r="K38" s="156"/>
      <c r="L38" s="156"/>
      <c r="M38" s="411">
        <f>SUM(M39:M42)</f>
        <v>0</v>
      </c>
    </row>
    <row r="39" spans="1:13" s="213" customFormat="1" ht="13.5">
      <c r="A39" s="4">
        <f>A38+0.1</f>
        <v>3.1</v>
      </c>
      <c r="B39" s="126"/>
      <c r="C39" s="126" t="s">
        <v>140</v>
      </c>
      <c r="D39" s="126" t="s">
        <v>11</v>
      </c>
      <c r="E39" s="202">
        <v>0.25</v>
      </c>
      <c r="F39" s="204">
        <f>E39*F38</f>
        <v>4</v>
      </c>
      <c r="G39" s="201"/>
      <c r="H39" s="201"/>
      <c r="I39" s="408"/>
      <c r="J39" s="404"/>
      <c r="K39" s="156"/>
      <c r="L39" s="156"/>
      <c r="M39" s="404">
        <f>J39</f>
        <v>0</v>
      </c>
    </row>
    <row r="40" spans="1:13" s="213" customFormat="1" ht="12.75">
      <c r="A40" s="4">
        <f>A39+0.1</f>
        <v>3.2</v>
      </c>
      <c r="B40" s="187"/>
      <c r="C40" s="187" t="s">
        <v>173</v>
      </c>
      <c r="D40" s="187" t="s">
        <v>32</v>
      </c>
      <c r="E40" s="221">
        <v>0.11</v>
      </c>
      <c r="F40" s="207">
        <f>E40*F38</f>
        <v>1.76</v>
      </c>
      <c r="G40" s="201"/>
      <c r="H40" s="201"/>
      <c r="I40" s="156"/>
      <c r="J40" s="156"/>
      <c r="K40" s="428"/>
      <c r="L40" s="428"/>
      <c r="M40" s="447">
        <f>L40</f>
        <v>0</v>
      </c>
    </row>
    <row r="41" spans="1:13" s="213" customFormat="1" ht="12.75">
      <c r="A41" s="4">
        <f>A40+0.1</f>
        <v>3.3000000000000003</v>
      </c>
      <c r="B41" s="114"/>
      <c r="C41" s="114" t="s">
        <v>493</v>
      </c>
      <c r="D41" s="114" t="s">
        <v>27</v>
      </c>
      <c r="E41" s="327">
        <v>1</v>
      </c>
      <c r="F41" s="210">
        <f>E41*F38</f>
        <v>16</v>
      </c>
      <c r="G41" s="414"/>
      <c r="H41" s="414"/>
      <c r="I41" s="156"/>
      <c r="J41" s="156"/>
      <c r="K41" s="156"/>
      <c r="L41" s="156"/>
      <c r="M41" s="410">
        <f>H41</f>
        <v>0</v>
      </c>
    </row>
    <row r="42" spans="1:13" s="213" customFormat="1" ht="12.75">
      <c r="A42" s="4">
        <f>A41+0.1</f>
        <v>3.4000000000000004</v>
      </c>
      <c r="B42" s="114"/>
      <c r="C42" s="114" t="s">
        <v>157</v>
      </c>
      <c r="D42" s="321" t="s">
        <v>32</v>
      </c>
      <c r="E42" s="327">
        <v>0.01</v>
      </c>
      <c r="F42" s="210">
        <f>E42*F38</f>
        <v>0.16</v>
      </c>
      <c r="G42" s="414"/>
      <c r="H42" s="414"/>
      <c r="I42" s="156"/>
      <c r="J42" s="156"/>
      <c r="K42" s="156"/>
      <c r="L42" s="156"/>
      <c r="M42" s="410">
        <f>H42</f>
        <v>0</v>
      </c>
    </row>
    <row r="43" spans="1:13" s="213" customFormat="1" ht="54">
      <c r="A43" s="286">
        <v>4</v>
      </c>
      <c r="B43" s="215" t="s">
        <v>313</v>
      </c>
      <c r="C43" s="76" t="s">
        <v>474</v>
      </c>
      <c r="D43" s="76" t="s">
        <v>14</v>
      </c>
      <c r="E43" s="287"/>
      <c r="F43" s="287">
        <f>0.4*2.8*1</f>
        <v>1.1199999999999999</v>
      </c>
      <c r="G43" s="287"/>
      <c r="H43" s="156"/>
      <c r="I43" s="156"/>
      <c r="J43" s="162"/>
      <c r="K43" s="156"/>
      <c r="L43" s="156"/>
      <c r="M43" s="406">
        <f>SUM(M44:M50)</f>
        <v>0</v>
      </c>
    </row>
    <row r="44" spans="1:13" s="213" customFormat="1" ht="13.5">
      <c r="A44" s="139">
        <f aca="true" t="shared" si="0" ref="A44:A50">A43+0.1</f>
        <v>4.1</v>
      </c>
      <c r="B44" s="288"/>
      <c r="C44" s="139" t="s">
        <v>166</v>
      </c>
      <c r="D44" s="139" t="s">
        <v>11</v>
      </c>
      <c r="E44" s="179">
        <v>18</v>
      </c>
      <c r="F44" s="179">
        <f>F43*E44</f>
        <v>20.159999999999997</v>
      </c>
      <c r="G44" s="123"/>
      <c r="H44" s="123"/>
      <c r="I44" s="408"/>
      <c r="J44" s="408"/>
      <c r="K44" s="123"/>
      <c r="L44" s="123"/>
      <c r="M44" s="408">
        <f aca="true" t="shared" si="1" ref="M44:M50">L44+J44+H44</f>
        <v>0</v>
      </c>
    </row>
    <row r="45" spans="1:13" s="213" customFormat="1" ht="13.5">
      <c r="A45" s="145">
        <f t="shared" si="0"/>
        <v>4.199999999999999</v>
      </c>
      <c r="B45" s="289"/>
      <c r="C45" s="145" t="s">
        <v>169</v>
      </c>
      <c r="D45" s="145" t="s">
        <v>32</v>
      </c>
      <c r="E45" s="290">
        <v>0.23</v>
      </c>
      <c r="F45" s="290">
        <f>F43*E45</f>
        <v>0.2576</v>
      </c>
      <c r="G45" s="142"/>
      <c r="H45" s="142"/>
      <c r="I45" s="291"/>
      <c r="J45" s="141"/>
      <c r="K45" s="445"/>
      <c r="L45" s="445"/>
      <c r="M45" s="426">
        <f t="shared" si="1"/>
        <v>0</v>
      </c>
    </row>
    <row r="46" spans="1:13" s="213" customFormat="1" ht="13.5">
      <c r="A46" s="216">
        <f t="shared" si="0"/>
        <v>4.299999999999999</v>
      </c>
      <c r="B46" s="289"/>
      <c r="C46" s="216" t="s">
        <v>475</v>
      </c>
      <c r="D46" s="216" t="s">
        <v>26</v>
      </c>
      <c r="E46" s="80"/>
      <c r="F46" s="80">
        <v>2</v>
      </c>
      <c r="G46" s="444"/>
      <c r="H46" s="444"/>
      <c r="I46" s="293"/>
      <c r="J46" s="109"/>
      <c r="K46" s="80"/>
      <c r="L46" s="80"/>
      <c r="M46" s="403">
        <f>H46</f>
        <v>0</v>
      </c>
    </row>
    <row r="47" spans="1:13" s="213" customFormat="1" ht="13.5">
      <c r="A47" s="216">
        <f t="shared" si="0"/>
        <v>4.399999999999999</v>
      </c>
      <c r="B47" s="292"/>
      <c r="C47" s="216" t="s">
        <v>314</v>
      </c>
      <c r="D47" s="216" t="s">
        <v>14</v>
      </c>
      <c r="E47" s="80">
        <v>1.02</v>
      </c>
      <c r="F47" s="80">
        <f>F43*E47</f>
        <v>1.1423999999999999</v>
      </c>
      <c r="G47" s="407"/>
      <c r="H47" s="407"/>
      <c r="I47" s="293"/>
      <c r="J47" s="294"/>
      <c r="K47" s="295"/>
      <c r="L47" s="5"/>
      <c r="M47" s="403">
        <f t="shared" si="1"/>
        <v>0</v>
      </c>
    </row>
    <row r="48" spans="1:13" s="213" customFormat="1" ht="18.75" customHeight="1">
      <c r="A48" s="216">
        <f t="shared" si="0"/>
        <v>4.499999999999998</v>
      </c>
      <c r="B48" s="292"/>
      <c r="C48" s="216" t="s">
        <v>141</v>
      </c>
      <c r="D48" s="216" t="s">
        <v>14</v>
      </c>
      <c r="E48" s="80">
        <v>0.138</v>
      </c>
      <c r="F48" s="80">
        <f>F43*E48</f>
        <v>0.15456</v>
      </c>
      <c r="G48" s="407"/>
      <c r="H48" s="407"/>
      <c r="I48" s="293"/>
      <c r="J48" s="294"/>
      <c r="K48" s="295"/>
      <c r="L48" s="5"/>
      <c r="M48" s="403">
        <f t="shared" si="1"/>
        <v>0</v>
      </c>
    </row>
    <row r="49" spans="1:13" s="213" customFormat="1" ht="27">
      <c r="A49" s="216">
        <f t="shared" si="0"/>
        <v>4.599999999999998</v>
      </c>
      <c r="B49" s="292"/>
      <c r="C49" s="216" t="s">
        <v>315</v>
      </c>
      <c r="D49" s="93" t="s">
        <v>26</v>
      </c>
      <c r="E49" s="80"/>
      <c r="F49" s="80">
        <v>1</v>
      </c>
      <c r="G49" s="407"/>
      <c r="H49" s="407"/>
      <c r="I49" s="293"/>
      <c r="J49" s="294"/>
      <c r="K49" s="295"/>
      <c r="L49" s="5"/>
      <c r="M49" s="403">
        <f t="shared" si="1"/>
        <v>0</v>
      </c>
    </row>
    <row r="50" spans="1:13" s="213" customFormat="1" ht="13.5">
      <c r="A50" s="216">
        <f t="shared" si="0"/>
        <v>4.6999999999999975</v>
      </c>
      <c r="B50" s="292"/>
      <c r="C50" s="216" t="s">
        <v>24</v>
      </c>
      <c r="D50" s="216" t="s">
        <v>32</v>
      </c>
      <c r="E50" s="80">
        <v>2.54</v>
      </c>
      <c r="F50" s="80">
        <f>F43*E50</f>
        <v>2.8447999999999998</v>
      </c>
      <c r="G50" s="407"/>
      <c r="H50" s="407"/>
      <c r="I50" s="293"/>
      <c r="J50" s="294"/>
      <c r="K50" s="295"/>
      <c r="L50" s="5"/>
      <c r="M50" s="403">
        <f t="shared" si="1"/>
        <v>0</v>
      </c>
    </row>
    <row r="51" spans="1:13" s="213" customFormat="1" ht="38.25">
      <c r="A51" s="117" t="s">
        <v>16</v>
      </c>
      <c r="B51" s="113" t="s">
        <v>355</v>
      </c>
      <c r="C51" s="113" t="s">
        <v>356</v>
      </c>
      <c r="D51" s="113" t="s">
        <v>137</v>
      </c>
      <c r="E51" s="280"/>
      <c r="F51" s="200">
        <f>F33*10</f>
        <v>0.44999999999999996</v>
      </c>
      <c r="G51" s="280"/>
      <c r="H51" s="201"/>
      <c r="I51" s="156"/>
      <c r="J51" s="156"/>
      <c r="K51" s="156"/>
      <c r="L51" s="156"/>
      <c r="M51" s="411">
        <f>SUM(M52:M53)</f>
        <v>0</v>
      </c>
    </row>
    <row r="52" spans="1:13" s="213" customFormat="1" ht="14.25" customHeight="1">
      <c r="A52" s="4">
        <f>A51+0.1</f>
        <v>5.1</v>
      </c>
      <c r="B52" s="126"/>
      <c r="C52" s="126" t="s">
        <v>158</v>
      </c>
      <c r="D52" s="126" t="s">
        <v>11</v>
      </c>
      <c r="E52" s="202">
        <v>2.1</v>
      </c>
      <c r="F52" s="204">
        <f>E52*F51</f>
        <v>0.945</v>
      </c>
      <c r="G52" s="201"/>
      <c r="H52" s="201"/>
      <c r="I52" s="408"/>
      <c r="J52" s="404"/>
      <c r="K52" s="156"/>
      <c r="L52" s="156"/>
      <c r="M52" s="404">
        <f>J52</f>
        <v>0</v>
      </c>
    </row>
    <row r="53" spans="1:13" s="213" customFormat="1" ht="15.75" customHeight="1">
      <c r="A53" s="4">
        <f>A52+0.1</f>
        <v>5.199999999999999</v>
      </c>
      <c r="B53" s="189"/>
      <c r="C53" s="187" t="s">
        <v>338</v>
      </c>
      <c r="D53" s="187" t="s">
        <v>33</v>
      </c>
      <c r="E53" s="221">
        <v>3.7</v>
      </c>
      <c r="F53" s="207">
        <f>E53*F51</f>
        <v>1.6649999999999998</v>
      </c>
      <c r="G53" s="201"/>
      <c r="H53" s="201"/>
      <c r="I53" s="156"/>
      <c r="J53" s="156"/>
      <c r="K53" s="428"/>
      <c r="L53" s="428"/>
      <c r="M53" s="447">
        <f>L53</f>
        <v>0</v>
      </c>
    </row>
    <row r="54" spans="1:13" s="213" customFormat="1" ht="25.5">
      <c r="A54" s="330"/>
      <c r="B54" s="118"/>
      <c r="C54" s="113" t="s">
        <v>357</v>
      </c>
      <c r="D54" s="114"/>
      <c r="E54" s="327"/>
      <c r="F54" s="210"/>
      <c r="G54" s="327"/>
      <c r="H54" s="414"/>
      <c r="I54" s="201"/>
      <c r="J54" s="404"/>
      <c r="K54" s="201"/>
      <c r="L54" s="428"/>
      <c r="M54" s="411">
        <f>M58</f>
        <v>0</v>
      </c>
    </row>
    <row r="55" spans="1:13" s="213" customFormat="1" ht="12.75">
      <c r="A55" s="4"/>
      <c r="B55" s="4"/>
      <c r="C55" s="126" t="s">
        <v>248</v>
      </c>
      <c r="D55" s="126" t="s">
        <v>32</v>
      </c>
      <c r="E55" s="126"/>
      <c r="F55" s="222"/>
      <c r="G55" s="126"/>
      <c r="H55" s="126"/>
      <c r="I55" s="126"/>
      <c r="J55" s="126"/>
      <c r="K55" s="126"/>
      <c r="L55" s="126"/>
      <c r="M55" s="404">
        <f>J54</f>
        <v>0</v>
      </c>
    </row>
    <row r="56" spans="1:13" s="213" customFormat="1" ht="12.75">
      <c r="A56" s="4"/>
      <c r="B56" s="4"/>
      <c r="C56" s="190" t="s">
        <v>249</v>
      </c>
      <c r="D56" s="190" t="s">
        <v>32</v>
      </c>
      <c r="E56" s="191"/>
      <c r="F56" s="207"/>
      <c r="G56" s="191"/>
      <c r="H56" s="208"/>
      <c r="I56" s="208"/>
      <c r="J56" s="208"/>
      <c r="K56" s="208"/>
      <c r="L56" s="208"/>
      <c r="M56" s="413">
        <f>L54</f>
        <v>0</v>
      </c>
    </row>
    <row r="57" spans="1:13" s="213" customFormat="1" ht="12.75">
      <c r="A57" s="4"/>
      <c r="B57" s="4"/>
      <c r="C57" s="4" t="s">
        <v>250</v>
      </c>
      <c r="D57" s="4" t="s">
        <v>32</v>
      </c>
      <c r="E57" s="116"/>
      <c r="F57" s="210"/>
      <c r="G57" s="116"/>
      <c r="H57" s="201"/>
      <c r="I57" s="201"/>
      <c r="J57" s="201"/>
      <c r="K57" s="201"/>
      <c r="L57" s="201"/>
      <c r="M57" s="414">
        <f>H54</f>
        <v>0</v>
      </c>
    </row>
    <row r="58" spans="1:13" s="213" customFormat="1" ht="25.5">
      <c r="A58" s="4"/>
      <c r="B58" s="4"/>
      <c r="C58" s="4" t="s">
        <v>251</v>
      </c>
      <c r="D58" s="4" t="s">
        <v>32</v>
      </c>
      <c r="E58" s="116"/>
      <c r="F58" s="210"/>
      <c r="G58" s="116"/>
      <c r="H58" s="201"/>
      <c r="I58" s="201"/>
      <c r="J58" s="201"/>
      <c r="K58" s="201"/>
      <c r="L58" s="201"/>
      <c r="M58" s="411">
        <f>SUM(M55:M57)</f>
        <v>0</v>
      </c>
    </row>
    <row r="59" spans="1:13" s="213" customFormat="1" ht="12.75">
      <c r="A59" s="4"/>
      <c r="B59" s="4"/>
      <c r="C59" s="466" t="s">
        <v>499</v>
      </c>
      <c r="D59" s="203" t="s">
        <v>32</v>
      </c>
      <c r="E59" s="210"/>
      <c r="F59" s="210"/>
      <c r="G59" s="210"/>
      <c r="H59" s="211"/>
      <c r="I59" s="211"/>
      <c r="J59" s="211"/>
      <c r="K59" s="201"/>
      <c r="L59" s="201"/>
      <c r="M59" s="414">
        <f>M58*0.08%</f>
        <v>0</v>
      </c>
    </row>
    <row r="60" spans="1:13" s="213" customFormat="1" ht="12.75">
      <c r="A60" s="4"/>
      <c r="B60" s="4"/>
      <c r="C60" s="203" t="s">
        <v>86</v>
      </c>
      <c r="D60" s="203" t="s">
        <v>32</v>
      </c>
      <c r="E60" s="210"/>
      <c r="F60" s="210"/>
      <c r="G60" s="210"/>
      <c r="H60" s="211"/>
      <c r="I60" s="211"/>
      <c r="J60" s="211"/>
      <c r="K60" s="201"/>
      <c r="L60" s="201"/>
      <c r="M60" s="414">
        <f>SUM(M58:M59)</f>
        <v>0</v>
      </c>
    </row>
    <row r="61" spans="1:13" s="213" customFormat="1" ht="12.75">
      <c r="A61" s="4"/>
      <c r="B61" s="4"/>
      <c r="C61" s="466" t="s">
        <v>500</v>
      </c>
      <c r="D61" s="203" t="s">
        <v>32</v>
      </c>
      <c r="E61" s="210"/>
      <c r="F61" s="210"/>
      <c r="G61" s="210"/>
      <c r="H61" s="211"/>
      <c r="I61" s="211"/>
      <c r="J61" s="211"/>
      <c r="K61" s="201"/>
      <c r="L61" s="201"/>
      <c r="M61" s="414">
        <f>M60*0.06</f>
        <v>0</v>
      </c>
    </row>
    <row r="62" spans="1:13" s="213" customFormat="1" ht="12.75">
      <c r="A62" s="4"/>
      <c r="B62" s="4"/>
      <c r="C62" s="4" t="s">
        <v>47</v>
      </c>
      <c r="D62" s="4" t="s">
        <v>32</v>
      </c>
      <c r="E62" s="116"/>
      <c r="F62" s="210"/>
      <c r="G62" s="116"/>
      <c r="H62" s="201"/>
      <c r="I62" s="201"/>
      <c r="J62" s="201"/>
      <c r="K62" s="201"/>
      <c r="L62" s="201"/>
      <c r="M62" s="411">
        <f>SUM(M60:M61)</f>
        <v>0</v>
      </c>
    </row>
    <row r="63" s="213" customFormat="1" ht="12">
      <c r="F63" s="212"/>
    </row>
    <row r="64" spans="1:8" s="213" customFormat="1" ht="12.75">
      <c r="A64" s="331"/>
      <c r="B64" s="3"/>
      <c r="C64" s="514"/>
      <c r="D64" s="514"/>
      <c r="E64" s="3"/>
      <c r="F64" s="514"/>
      <c r="G64" s="514"/>
      <c r="H64" s="514"/>
    </row>
  </sheetData>
  <sheetProtection/>
  <mergeCells count="22">
    <mergeCell ref="G10:H10"/>
    <mergeCell ref="I10:J10"/>
    <mergeCell ref="K10:L10"/>
    <mergeCell ref="M10:M11"/>
    <mergeCell ref="C64:D64"/>
    <mergeCell ref="F64:H64"/>
    <mergeCell ref="A6:E6"/>
    <mergeCell ref="G6:H6"/>
    <mergeCell ref="A7:E7"/>
    <mergeCell ref="G7:H7"/>
    <mergeCell ref="A8:H8"/>
    <mergeCell ref="A10:A11"/>
    <mergeCell ref="B10:B11"/>
    <mergeCell ref="C10:C11"/>
    <mergeCell ref="D10:D11"/>
    <mergeCell ref="E10:F10"/>
    <mergeCell ref="B1:E1"/>
    <mergeCell ref="A2:H2"/>
    <mergeCell ref="A3:H3"/>
    <mergeCell ref="A4:H4"/>
    <mergeCell ref="A5:E5"/>
    <mergeCell ref="G5:H5"/>
  </mergeCells>
  <printOptions/>
  <pageMargins left="0.7" right="0.7" top="0.75" bottom="0.75" header="0.3" footer="0.3"/>
  <pageSetup horizontalDpi="300" verticalDpi="300" orientation="landscape" paperSize="9" scale="91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26">
      <selection activeCell="F25" sqref="F25"/>
    </sheetView>
  </sheetViews>
  <sheetFormatPr defaultColWidth="9.140625" defaultRowHeight="12.75"/>
  <cols>
    <col min="1" max="1" width="4.7109375" style="106" customWidth="1"/>
    <col min="2" max="2" width="12.8515625" style="305" customWidth="1"/>
    <col min="3" max="3" width="40.00390625" style="305" customWidth="1"/>
    <col min="4" max="4" width="8.140625" style="305" customWidth="1"/>
    <col min="5" max="5" width="7.8515625" style="305" customWidth="1"/>
    <col min="6" max="6" width="9.140625" style="305" customWidth="1"/>
    <col min="7" max="7" width="8.28125" style="305" customWidth="1"/>
    <col min="8" max="8" width="10.00390625" style="304" customWidth="1"/>
    <col min="9" max="9" width="7.00390625" style="304" customWidth="1"/>
    <col min="10" max="16384" width="9.140625" style="305" customWidth="1"/>
  </cols>
  <sheetData>
    <row r="1" spans="1:9" ht="13.5">
      <c r="A1" s="497" t="s">
        <v>412</v>
      </c>
      <c r="B1" s="497"/>
      <c r="C1" s="497"/>
      <c r="D1" s="497"/>
      <c r="E1" s="497"/>
      <c r="F1" s="497"/>
      <c r="G1" s="497"/>
      <c r="H1" s="497"/>
      <c r="I1" s="305"/>
    </row>
    <row r="2" spans="1:9" ht="12.75" customHeight="1">
      <c r="A2" s="516" t="s">
        <v>498</v>
      </c>
      <c r="B2" s="516"/>
      <c r="C2" s="516"/>
      <c r="D2" s="516"/>
      <c r="E2" s="516"/>
      <c r="F2" s="516"/>
      <c r="G2" s="516"/>
      <c r="H2" s="516"/>
      <c r="I2" s="305"/>
    </row>
    <row r="3" spans="1:9" ht="13.5">
      <c r="A3" s="522" t="s">
        <v>388</v>
      </c>
      <c r="B3" s="522"/>
      <c r="C3" s="522"/>
      <c r="D3" s="522"/>
      <c r="E3" s="522"/>
      <c r="F3" s="522"/>
      <c r="G3" s="522"/>
      <c r="H3" s="522"/>
      <c r="I3" s="305"/>
    </row>
    <row r="4" spans="1:9" ht="10.5" customHeight="1">
      <c r="A4" s="399"/>
      <c r="B4" s="401"/>
      <c r="C4" s="399"/>
      <c r="D4" s="399"/>
      <c r="E4" s="399"/>
      <c r="F4" s="399"/>
      <c r="G4" s="399"/>
      <c r="H4" s="399"/>
      <c r="I4" s="305"/>
    </row>
    <row r="5" spans="1:9" ht="13.5">
      <c r="A5" s="523" t="s">
        <v>165</v>
      </c>
      <c r="B5" s="523"/>
      <c r="C5" s="523"/>
      <c r="D5" s="523"/>
      <c r="E5" s="523"/>
      <c r="F5" s="81">
        <f>M53/1000</f>
        <v>0</v>
      </c>
      <c r="G5" s="503" t="s">
        <v>101</v>
      </c>
      <c r="H5" s="503"/>
      <c r="I5" s="305"/>
    </row>
    <row r="6" spans="1:8" ht="13.5">
      <c r="A6" s="513" t="s">
        <v>2</v>
      </c>
      <c r="B6" s="513"/>
      <c r="C6" s="513"/>
      <c r="D6" s="513"/>
      <c r="E6" s="513"/>
      <c r="F6" s="81">
        <f>M45/1000</f>
        <v>0</v>
      </c>
      <c r="G6" s="503" t="s">
        <v>101</v>
      </c>
      <c r="H6" s="503"/>
    </row>
    <row r="7" spans="1:8" ht="13.5">
      <c r="A7" s="513" t="s">
        <v>3</v>
      </c>
      <c r="B7" s="513"/>
      <c r="C7" s="513"/>
      <c r="D7" s="513"/>
      <c r="E7" s="513"/>
      <c r="F7" s="400">
        <f>F6*1000/6</f>
        <v>0</v>
      </c>
      <c r="G7" s="503" t="s">
        <v>105</v>
      </c>
      <c r="H7" s="503"/>
    </row>
    <row r="8" spans="1:9" ht="13.5">
      <c r="A8" s="90"/>
      <c r="B8" s="91"/>
      <c r="C8" s="90"/>
      <c r="D8" s="90"/>
      <c r="E8" s="90"/>
      <c r="F8" s="90"/>
      <c r="G8" s="90"/>
      <c r="H8" s="90"/>
      <c r="I8" s="305"/>
    </row>
    <row r="9" spans="1:9" ht="13.5">
      <c r="A9" s="510" t="str">
        <f>NAKREBI!A20</f>
        <v>Sedgenilia 2016wlis III kvartlis  fasebSi </v>
      </c>
      <c r="B9" s="510"/>
      <c r="C9" s="510"/>
      <c r="D9" s="510"/>
      <c r="E9" s="510"/>
      <c r="F9" s="510"/>
      <c r="G9" s="510"/>
      <c r="H9" s="510"/>
      <c r="I9" s="310"/>
    </row>
    <row r="10" spans="1:13" s="132" customFormat="1" ht="26.25" customHeight="1">
      <c r="A10" s="521" t="s">
        <v>4</v>
      </c>
      <c r="B10" s="505" t="s">
        <v>5</v>
      </c>
      <c r="C10" s="504" t="s">
        <v>236</v>
      </c>
      <c r="D10" s="504" t="s">
        <v>237</v>
      </c>
      <c r="E10" s="511" t="s">
        <v>6</v>
      </c>
      <c r="F10" s="512"/>
      <c r="G10" s="504" t="s">
        <v>238</v>
      </c>
      <c r="H10" s="504"/>
      <c r="I10" s="504" t="s">
        <v>239</v>
      </c>
      <c r="J10" s="504"/>
      <c r="K10" s="504" t="s">
        <v>240</v>
      </c>
      <c r="L10" s="504"/>
      <c r="M10" s="504" t="s">
        <v>241</v>
      </c>
    </row>
    <row r="11" spans="1:13" s="132" customFormat="1" ht="51">
      <c r="A11" s="521" t="s">
        <v>4</v>
      </c>
      <c r="B11" s="506"/>
      <c r="C11" s="504" t="s">
        <v>242</v>
      </c>
      <c r="D11" s="515" t="s">
        <v>243</v>
      </c>
      <c r="E11" s="133" t="s">
        <v>7</v>
      </c>
      <c r="F11" s="133" t="s">
        <v>8</v>
      </c>
      <c r="G11" s="134" t="s">
        <v>244</v>
      </c>
      <c r="H11" s="307" t="s">
        <v>245</v>
      </c>
      <c r="I11" s="307" t="s">
        <v>244</v>
      </c>
      <c r="J11" s="307" t="s">
        <v>245</v>
      </c>
      <c r="K11" s="307" t="s">
        <v>244</v>
      </c>
      <c r="L11" s="307" t="s">
        <v>245</v>
      </c>
      <c r="M11" s="504" t="s">
        <v>245</v>
      </c>
    </row>
    <row r="12" spans="1:13" s="132" customFormat="1" ht="12.75">
      <c r="A12" s="347">
        <v>1</v>
      </c>
      <c r="B12" s="307">
        <v>2</v>
      </c>
      <c r="C12" s="307">
        <v>3</v>
      </c>
      <c r="D12" s="307">
        <v>4</v>
      </c>
      <c r="E12" s="309">
        <v>5</v>
      </c>
      <c r="F12" s="137">
        <v>6</v>
      </c>
      <c r="G12" s="308">
        <v>7</v>
      </c>
      <c r="H12" s="308">
        <v>8</v>
      </c>
      <c r="I12" s="308">
        <v>9</v>
      </c>
      <c r="J12" s="308">
        <v>10</v>
      </c>
      <c r="K12" s="308">
        <v>11</v>
      </c>
      <c r="L12" s="308">
        <v>12</v>
      </c>
      <c r="M12" s="308">
        <v>13</v>
      </c>
    </row>
    <row r="13" spans="1:16" ht="13.5">
      <c r="A13" s="84"/>
      <c r="B13" s="84"/>
      <c r="C13" s="76" t="s">
        <v>51</v>
      </c>
      <c r="D13" s="216"/>
      <c r="E13" s="216"/>
      <c r="F13" s="348"/>
      <c r="G13" s="216"/>
      <c r="H13" s="85"/>
      <c r="I13" s="85"/>
      <c r="J13" s="216"/>
      <c r="K13" s="216"/>
      <c r="L13" s="216"/>
      <c r="M13" s="216"/>
      <c r="P13" s="349"/>
    </row>
    <row r="14" spans="1:16" s="94" customFormat="1" ht="44.25" customHeight="1">
      <c r="A14" s="87">
        <v>1</v>
      </c>
      <c r="B14" s="215" t="s">
        <v>339</v>
      </c>
      <c r="C14" s="76" t="s">
        <v>476</v>
      </c>
      <c r="D14" s="76" t="s">
        <v>137</v>
      </c>
      <c r="E14" s="79"/>
      <c r="F14" s="387">
        <v>0.001</v>
      </c>
      <c r="G14" s="79"/>
      <c r="H14" s="76"/>
      <c r="I14" s="76"/>
      <c r="J14" s="76"/>
      <c r="K14" s="76"/>
      <c r="L14" s="76"/>
      <c r="M14" s="406">
        <f>SUM(M15)</f>
        <v>0</v>
      </c>
      <c r="P14" s="350"/>
    </row>
    <row r="15" spans="1:13" s="351" customFormat="1" ht="18" customHeight="1">
      <c r="A15" s="216">
        <f>A14+0.1</f>
        <v>1.1</v>
      </c>
      <c r="B15" s="147"/>
      <c r="C15" s="139" t="s">
        <v>166</v>
      </c>
      <c r="D15" s="139" t="s">
        <v>11</v>
      </c>
      <c r="E15" s="129">
        <v>206</v>
      </c>
      <c r="F15" s="194">
        <v>0.29</v>
      </c>
      <c r="G15" s="139"/>
      <c r="H15" s="165"/>
      <c r="I15" s="408"/>
      <c r="J15" s="408"/>
      <c r="K15" s="139"/>
      <c r="L15" s="139"/>
      <c r="M15" s="408">
        <f>L15+J15+H15</f>
        <v>0</v>
      </c>
    </row>
    <row r="16" spans="1:13" ht="40.5">
      <c r="A16" s="87">
        <v>2</v>
      </c>
      <c r="B16" s="215" t="s">
        <v>391</v>
      </c>
      <c r="C16" s="76" t="s">
        <v>392</v>
      </c>
      <c r="D16" s="76" t="s">
        <v>393</v>
      </c>
      <c r="E16" s="79"/>
      <c r="F16" s="301">
        <v>0.5</v>
      </c>
      <c r="G16" s="79"/>
      <c r="H16" s="85"/>
      <c r="I16" s="85"/>
      <c r="J16" s="109"/>
      <c r="K16" s="216"/>
      <c r="L16" s="216"/>
      <c r="M16" s="406">
        <f>SUM(M17:M20)</f>
        <v>0</v>
      </c>
    </row>
    <row r="17" spans="1:13" s="351" customFormat="1" ht="13.5">
      <c r="A17" s="216">
        <f>A16+0.1</f>
        <v>2.1</v>
      </c>
      <c r="B17" s="147"/>
      <c r="C17" s="139" t="s">
        <v>170</v>
      </c>
      <c r="D17" s="139" t="s">
        <v>11</v>
      </c>
      <c r="E17" s="129">
        <v>5</v>
      </c>
      <c r="F17" s="194">
        <f>E17*F16</f>
        <v>2.5</v>
      </c>
      <c r="G17" s="139"/>
      <c r="H17" s="165"/>
      <c r="I17" s="408"/>
      <c r="J17" s="408"/>
      <c r="K17" s="139"/>
      <c r="L17" s="139"/>
      <c r="M17" s="408">
        <f>L17+J17+H17</f>
        <v>0</v>
      </c>
    </row>
    <row r="18" spans="1:13" s="360" customFormat="1" ht="13.5">
      <c r="A18" s="216">
        <f>A17+0.1</f>
        <v>2.2</v>
      </c>
      <c r="B18" s="148"/>
      <c r="C18" s="145" t="s">
        <v>172</v>
      </c>
      <c r="D18" s="145" t="s">
        <v>32</v>
      </c>
      <c r="E18" s="146">
        <v>6.96</v>
      </c>
      <c r="F18" s="362">
        <f>E18*F16</f>
        <v>3.48</v>
      </c>
      <c r="G18" s="145"/>
      <c r="H18" s="149"/>
      <c r="I18" s="149"/>
      <c r="J18" s="141"/>
      <c r="K18" s="426"/>
      <c r="L18" s="426"/>
      <c r="M18" s="426">
        <f>L18+J18+H18</f>
        <v>0</v>
      </c>
    </row>
    <row r="19" spans="1:13" ht="13.5">
      <c r="A19" s="216">
        <f>A18+0.1</f>
        <v>2.3000000000000003</v>
      </c>
      <c r="B19" s="84"/>
      <c r="C19" s="216" t="s">
        <v>386</v>
      </c>
      <c r="D19" s="216" t="s">
        <v>14</v>
      </c>
      <c r="E19" s="78"/>
      <c r="F19" s="193">
        <f>160*0.4*0.4</f>
        <v>25.6</v>
      </c>
      <c r="G19" s="403"/>
      <c r="H19" s="403"/>
      <c r="I19" s="85"/>
      <c r="J19" s="109"/>
      <c r="K19" s="216"/>
      <c r="L19" s="216"/>
      <c r="M19" s="403">
        <f>L19+J19+H19</f>
        <v>0</v>
      </c>
    </row>
    <row r="20" spans="1:13" ht="13.5">
      <c r="A20" s="216">
        <f>A19+0.1</f>
        <v>2.4000000000000004</v>
      </c>
      <c r="B20" s="84"/>
      <c r="C20" s="216" t="s">
        <v>24</v>
      </c>
      <c r="D20" s="216" t="s">
        <v>32</v>
      </c>
      <c r="E20" s="78">
        <v>0.05</v>
      </c>
      <c r="F20" s="193">
        <f>E20*F16</f>
        <v>0.025</v>
      </c>
      <c r="G20" s="403"/>
      <c r="H20" s="403"/>
      <c r="I20" s="85"/>
      <c r="J20" s="109"/>
      <c r="K20" s="216"/>
      <c r="L20" s="216"/>
      <c r="M20" s="403">
        <f>L20+J20+H20</f>
        <v>0</v>
      </c>
    </row>
    <row r="21" spans="1:13" ht="40.5">
      <c r="A21" s="87">
        <v>3</v>
      </c>
      <c r="B21" s="215" t="s">
        <v>341</v>
      </c>
      <c r="C21" s="76" t="s">
        <v>342</v>
      </c>
      <c r="D21" s="76" t="s">
        <v>137</v>
      </c>
      <c r="E21" s="79"/>
      <c r="F21" s="387">
        <f>F14</f>
        <v>0.001</v>
      </c>
      <c r="G21" s="79"/>
      <c r="H21" s="85"/>
      <c r="I21" s="85"/>
      <c r="J21" s="109"/>
      <c r="K21" s="216"/>
      <c r="L21" s="216"/>
      <c r="M21" s="406">
        <f>SUM(M22)</f>
        <v>0</v>
      </c>
    </row>
    <row r="22" spans="1:13" s="351" customFormat="1" ht="13.5">
      <c r="A22" s="216">
        <f>A21+0.1</f>
        <v>3.1</v>
      </c>
      <c r="B22" s="147"/>
      <c r="C22" s="139" t="s">
        <v>170</v>
      </c>
      <c r="D22" s="139" t="s">
        <v>11</v>
      </c>
      <c r="E22" s="129">
        <v>121</v>
      </c>
      <c r="F22" s="194">
        <v>0.17</v>
      </c>
      <c r="G22" s="139"/>
      <c r="H22" s="165"/>
      <c r="I22" s="408"/>
      <c r="J22" s="408"/>
      <c r="K22" s="139"/>
      <c r="L22" s="139"/>
      <c r="M22" s="408">
        <f>L22+J22+H22</f>
        <v>0</v>
      </c>
    </row>
    <row r="23" spans="1:13" ht="27">
      <c r="A23" s="85"/>
      <c r="B23" s="84"/>
      <c r="C23" s="76" t="s">
        <v>394</v>
      </c>
      <c r="D23" s="216"/>
      <c r="E23" s="78"/>
      <c r="F23" s="193"/>
      <c r="G23" s="78"/>
      <c r="H23" s="403"/>
      <c r="I23" s="85"/>
      <c r="J23" s="408"/>
      <c r="K23" s="216"/>
      <c r="L23" s="426"/>
      <c r="M23" s="406">
        <f>M27</f>
        <v>0</v>
      </c>
    </row>
    <row r="24" spans="1:13" s="360" customFormat="1" ht="16.5" customHeight="1">
      <c r="A24" s="85"/>
      <c r="B24" s="148"/>
      <c r="C24" s="297" t="s">
        <v>395</v>
      </c>
      <c r="D24" s="297" t="s">
        <v>32</v>
      </c>
      <c r="E24" s="146"/>
      <c r="F24" s="362"/>
      <c r="G24" s="146"/>
      <c r="H24" s="149"/>
      <c r="I24" s="149"/>
      <c r="J24" s="141"/>
      <c r="K24" s="145"/>
      <c r="L24" s="145"/>
      <c r="M24" s="408">
        <f>J23</f>
        <v>0</v>
      </c>
    </row>
    <row r="25" spans="1:13" s="360" customFormat="1" ht="16.5" customHeight="1">
      <c r="A25" s="85"/>
      <c r="B25" s="148"/>
      <c r="C25" s="141" t="s">
        <v>396</v>
      </c>
      <c r="D25" s="141" t="s">
        <v>32</v>
      </c>
      <c r="E25" s="146"/>
      <c r="F25" s="362"/>
      <c r="G25" s="146"/>
      <c r="H25" s="149"/>
      <c r="I25" s="149"/>
      <c r="J25" s="141"/>
      <c r="K25" s="145"/>
      <c r="L25" s="145"/>
      <c r="M25" s="426">
        <f>L23</f>
        <v>0</v>
      </c>
    </row>
    <row r="26" spans="1:13" ht="13.5">
      <c r="A26" s="85"/>
      <c r="B26" s="84"/>
      <c r="C26" s="109" t="s">
        <v>397</v>
      </c>
      <c r="D26" s="109" t="s">
        <v>32</v>
      </c>
      <c r="E26" s="78"/>
      <c r="F26" s="193"/>
      <c r="G26" s="78"/>
      <c r="H26" s="85"/>
      <c r="I26" s="87"/>
      <c r="J26" s="109"/>
      <c r="K26" s="216"/>
      <c r="L26" s="216"/>
      <c r="M26" s="403">
        <f>H23</f>
        <v>0</v>
      </c>
    </row>
    <row r="27" spans="1:13" ht="13.5">
      <c r="A27" s="85"/>
      <c r="B27" s="84"/>
      <c r="C27" s="216" t="s">
        <v>36</v>
      </c>
      <c r="D27" s="216" t="s">
        <v>32</v>
      </c>
      <c r="E27" s="78"/>
      <c r="F27" s="193"/>
      <c r="G27" s="78"/>
      <c r="H27" s="85"/>
      <c r="I27" s="85"/>
      <c r="J27" s="109"/>
      <c r="K27" s="216"/>
      <c r="L27" s="216"/>
      <c r="M27" s="406">
        <f>SUM(M24:M26)</f>
        <v>0</v>
      </c>
    </row>
    <row r="28" spans="1:13" ht="13.5">
      <c r="A28" s="85"/>
      <c r="B28" s="84"/>
      <c r="C28" s="203" t="s">
        <v>490</v>
      </c>
      <c r="D28" s="203" t="s">
        <v>32</v>
      </c>
      <c r="E28" s="210"/>
      <c r="F28" s="210"/>
      <c r="G28" s="210"/>
      <c r="H28" s="211"/>
      <c r="I28" s="211"/>
      <c r="J28" s="211"/>
      <c r="K28" s="201"/>
      <c r="L28" s="201"/>
      <c r="M28" s="414">
        <f>M27*0.08%</f>
        <v>0</v>
      </c>
    </row>
    <row r="29" spans="1:13" ht="13.5">
      <c r="A29" s="85"/>
      <c r="B29" s="84"/>
      <c r="C29" s="203" t="s">
        <v>86</v>
      </c>
      <c r="D29" s="203" t="s">
        <v>32</v>
      </c>
      <c r="E29" s="210"/>
      <c r="F29" s="210"/>
      <c r="G29" s="210"/>
      <c r="H29" s="211"/>
      <c r="I29" s="211"/>
      <c r="J29" s="211"/>
      <c r="K29" s="201"/>
      <c r="L29" s="201"/>
      <c r="M29" s="414">
        <f>SUM(M27:M28)</f>
        <v>0</v>
      </c>
    </row>
    <row r="30" spans="1:13" ht="13.5">
      <c r="A30" s="85"/>
      <c r="B30" s="84"/>
      <c r="C30" s="203" t="s">
        <v>491</v>
      </c>
      <c r="D30" s="203" t="s">
        <v>32</v>
      </c>
      <c r="E30" s="210"/>
      <c r="F30" s="210"/>
      <c r="G30" s="210"/>
      <c r="H30" s="211"/>
      <c r="I30" s="211"/>
      <c r="J30" s="211"/>
      <c r="K30" s="201"/>
      <c r="L30" s="201"/>
      <c r="M30" s="414">
        <f>M29*0.06</f>
        <v>0</v>
      </c>
    </row>
    <row r="31" spans="1:13" ht="13.5">
      <c r="A31" s="84"/>
      <c r="B31" s="84"/>
      <c r="C31" s="76" t="s">
        <v>398</v>
      </c>
      <c r="D31" s="76" t="s">
        <v>32</v>
      </c>
      <c r="E31" s="78"/>
      <c r="F31" s="193"/>
      <c r="G31" s="78"/>
      <c r="H31" s="85"/>
      <c r="I31" s="87"/>
      <c r="J31" s="109"/>
      <c r="K31" s="216"/>
      <c r="L31" s="216"/>
      <c r="M31" s="406">
        <f>SUM(M29:M30)</f>
        <v>0</v>
      </c>
    </row>
    <row r="32" spans="1:13" ht="13.5">
      <c r="A32" s="84"/>
      <c r="B32" s="84"/>
      <c r="C32" s="76" t="s">
        <v>44</v>
      </c>
      <c r="D32" s="76"/>
      <c r="E32" s="78"/>
      <c r="F32" s="193"/>
      <c r="G32" s="78"/>
      <c r="H32" s="79"/>
      <c r="I32" s="85"/>
      <c r="J32" s="109"/>
      <c r="K32" s="216"/>
      <c r="L32" s="216"/>
      <c r="M32" s="444"/>
    </row>
    <row r="33" spans="1:13" ht="31.5" customHeight="1">
      <c r="A33" s="76">
        <v>1</v>
      </c>
      <c r="B33" s="215" t="s">
        <v>389</v>
      </c>
      <c r="C33" s="76" t="s">
        <v>399</v>
      </c>
      <c r="D33" s="352" t="s">
        <v>400</v>
      </c>
      <c r="E33" s="216"/>
      <c r="F33" s="353">
        <v>0.5</v>
      </c>
      <c r="G33" s="216"/>
      <c r="H33" s="85"/>
      <c r="I33" s="85"/>
      <c r="J33" s="109"/>
      <c r="K33" s="216"/>
      <c r="L33" s="216"/>
      <c r="M33" s="406">
        <f>SUM(M34:M37)</f>
        <v>0</v>
      </c>
    </row>
    <row r="34" spans="1:13" s="351" customFormat="1" ht="15" customHeight="1">
      <c r="A34" s="216">
        <f>A33+0.1</f>
        <v>1.1</v>
      </c>
      <c r="B34" s="354"/>
      <c r="C34" s="139" t="s">
        <v>372</v>
      </c>
      <c r="D34" s="355" t="s">
        <v>11</v>
      </c>
      <c r="E34" s="139">
        <v>0.18</v>
      </c>
      <c r="F34" s="356">
        <f>E34*F33</f>
        <v>0.09</v>
      </c>
      <c r="G34" s="139"/>
      <c r="H34" s="165"/>
      <c r="I34" s="408"/>
      <c r="J34" s="408"/>
      <c r="K34" s="139"/>
      <c r="L34" s="139"/>
      <c r="M34" s="408">
        <f>L34+J34+H34</f>
        <v>0</v>
      </c>
    </row>
    <row r="35" spans="1:13" s="360" customFormat="1" ht="13.5">
      <c r="A35" s="216">
        <f>A34+0.1</f>
        <v>1.2000000000000002</v>
      </c>
      <c r="B35" s="358"/>
      <c r="C35" s="145" t="s">
        <v>172</v>
      </c>
      <c r="D35" s="361" t="s">
        <v>195</v>
      </c>
      <c r="E35" s="145">
        <v>2.23</v>
      </c>
      <c r="F35" s="359">
        <f>E35*F33</f>
        <v>1.115</v>
      </c>
      <c r="G35" s="145"/>
      <c r="H35" s="149"/>
      <c r="I35" s="149"/>
      <c r="J35" s="141"/>
      <c r="K35" s="432"/>
      <c r="L35" s="426"/>
      <c r="M35" s="426">
        <f>L35+J35+H35</f>
        <v>0</v>
      </c>
    </row>
    <row r="36" spans="1:13" ht="16.5" customHeight="1">
      <c r="A36" s="216">
        <f>A35+0.1</f>
        <v>1.3000000000000003</v>
      </c>
      <c r="B36" s="336"/>
      <c r="C36" s="216" t="s">
        <v>401</v>
      </c>
      <c r="D36" s="357" t="s">
        <v>373</v>
      </c>
      <c r="E36" s="216"/>
      <c r="F36" s="348">
        <v>50</v>
      </c>
      <c r="G36" s="444"/>
      <c r="H36" s="403"/>
      <c r="I36" s="85"/>
      <c r="J36" s="109"/>
      <c r="K36" s="216"/>
      <c r="L36" s="216"/>
      <c r="M36" s="403">
        <f>L36+J36+H36</f>
        <v>0</v>
      </c>
    </row>
    <row r="37" spans="1:13" ht="27">
      <c r="A37" s="216">
        <f>A36+0.1</f>
        <v>1.4000000000000004</v>
      </c>
      <c r="B37" s="336"/>
      <c r="C37" s="216" t="s">
        <v>402</v>
      </c>
      <c r="D37" s="357" t="s">
        <v>373</v>
      </c>
      <c r="E37" s="216"/>
      <c r="F37" s="348">
        <v>50</v>
      </c>
      <c r="G37" s="444"/>
      <c r="H37" s="403"/>
      <c r="I37" s="85"/>
      <c r="J37" s="109"/>
      <c r="K37" s="216"/>
      <c r="L37" s="216"/>
      <c r="M37" s="403">
        <f>L37+J37+H37</f>
        <v>0</v>
      </c>
    </row>
    <row r="38" spans="1:13" ht="30.75" customHeight="1">
      <c r="A38" s="76">
        <v>2</v>
      </c>
      <c r="B38" s="363" t="s">
        <v>403</v>
      </c>
      <c r="C38" s="76" t="s">
        <v>404</v>
      </c>
      <c r="D38" s="76" t="s">
        <v>390</v>
      </c>
      <c r="E38" s="79"/>
      <c r="F38" s="301">
        <v>1</v>
      </c>
      <c r="G38" s="79"/>
      <c r="H38" s="85"/>
      <c r="I38" s="85"/>
      <c r="J38" s="109"/>
      <c r="K38" s="216"/>
      <c r="L38" s="216"/>
      <c r="M38" s="406">
        <f>SUM(M39:M43)</f>
        <v>0</v>
      </c>
    </row>
    <row r="39" spans="1:13" s="351" customFormat="1" ht="16.5" customHeight="1">
      <c r="A39" s="216">
        <f>A38+0.1</f>
        <v>2.1</v>
      </c>
      <c r="B39" s="364"/>
      <c r="C39" s="139" t="s">
        <v>194</v>
      </c>
      <c r="D39" s="139" t="s">
        <v>11</v>
      </c>
      <c r="E39" s="129">
        <v>9</v>
      </c>
      <c r="F39" s="194">
        <f>F38*E39</f>
        <v>9</v>
      </c>
      <c r="G39" s="139"/>
      <c r="H39" s="165"/>
      <c r="I39" s="408"/>
      <c r="J39" s="408"/>
      <c r="K39" s="139"/>
      <c r="L39" s="139"/>
      <c r="M39" s="408">
        <f>L39+J39+H39</f>
        <v>0</v>
      </c>
    </row>
    <row r="40" spans="1:13" s="360" customFormat="1" ht="16.5" customHeight="1">
      <c r="A40" s="216">
        <f>A39+0.1</f>
        <v>2.2</v>
      </c>
      <c r="B40" s="365"/>
      <c r="C40" s="145" t="s">
        <v>172</v>
      </c>
      <c r="D40" s="145" t="s">
        <v>32</v>
      </c>
      <c r="E40" s="146">
        <v>0.77</v>
      </c>
      <c r="F40" s="362">
        <f>F38*E40</f>
        <v>0.77</v>
      </c>
      <c r="G40" s="145"/>
      <c r="H40" s="149"/>
      <c r="I40" s="149"/>
      <c r="J40" s="141"/>
      <c r="K40" s="426"/>
      <c r="L40" s="426"/>
      <c r="M40" s="426">
        <f>L40+J40+H40</f>
        <v>0</v>
      </c>
    </row>
    <row r="41" spans="1:13" ht="17.25" customHeight="1">
      <c r="A41" s="216">
        <f>A40+0.1</f>
        <v>2.3000000000000003</v>
      </c>
      <c r="B41" s="92"/>
      <c r="C41" s="216" t="s">
        <v>405</v>
      </c>
      <c r="D41" s="78" t="s">
        <v>373</v>
      </c>
      <c r="E41" s="78">
        <v>9</v>
      </c>
      <c r="F41" s="193">
        <f>E41*F38</f>
        <v>9</v>
      </c>
      <c r="G41" s="403"/>
      <c r="H41" s="403"/>
      <c r="I41" s="85"/>
      <c r="J41" s="109"/>
      <c r="K41" s="216"/>
      <c r="L41" s="216"/>
      <c r="M41" s="403">
        <f>L41+J41+H41</f>
        <v>0</v>
      </c>
    </row>
    <row r="42" spans="1:13" ht="21" customHeight="1">
      <c r="A42" s="216">
        <f>A41+0.1</f>
        <v>2.4000000000000004</v>
      </c>
      <c r="B42" s="366"/>
      <c r="C42" s="367" t="s">
        <v>406</v>
      </c>
      <c r="D42" s="366" t="s">
        <v>407</v>
      </c>
      <c r="E42" s="368">
        <v>8.5</v>
      </c>
      <c r="F42" s="369">
        <f>E42*F38</f>
        <v>8.5</v>
      </c>
      <c r="G42" s="448"/>
      <c r="H42" s="403"/>
      <c r="I42" s="85"/>
      <c r="J42" s="109"/>
      <c r="K42" s="216"/>
      <c r="L42" s="216"/>
      <c r="M42" s="403">
        <f>L42+J42+H42</f>
        <v>0</v>
      </c>
    </row>
    <row r="43" spans="1:13" ht="19.5" customHeight="1">
      <c r="A43" s="216">
        <f>A42+0.1</f>
        <v>2.5000000000000004</v>
      </c>
      <c r="B43" s="370"/>
      <c r="C43" s="371" t="s">
        <v>352</v>
      </c>
      <c r="D43" s="216" t="s">
        <v>32</v>
      </c>
      <c r="E43" s="372">
        <v>0.35</v>
      </c>
      <c r="F43" s="373">
        <f>E43*F38</f>
        <v>0.35</v>
      </c>
      <c r="G43" s="448"/>
      <c r="H43" s="449"/>
      <c r="I43" s="85"/>
      <c r="J43" s="109"/>
      <c r="K43" s="216"/>
      <c r="L43" s="216"/>
      <c r="M43" s="403">
        <f>L43+J43+H43</f>
        <v>0</v>
      </c>
    </row>
    <row r="44" spans="1:13" ht="27">
      <c r="A44" s="85"/>
      <c r="B44" s="84"/>
      <c r="C44" s="76" t="s">
        <v>408</v>
      </c>
      <c r="D44" s="216"/>
      <c r="E44" s="78"/>
      <c r="F44" s="193"/>
      <c r="G44" s="78"/>
      <c r="H44" s="403"/>
      <c r="I44" s="85"/>
      <c r="J44" s="408"/>
      <c r="K44" s="216"/>
      <c r="L44" s="426"/>
      <c r="M44" s="406">
        <f>M48</f>
        <v>0</v>
      </c>
    </row>
    <row r="45" spans="1:13" s="351" customFormat="1" ht="13.5">
      <c r="A45" s="85"/>
      <c r="B45" s="147"/>
      <c r="C45" s="297" t="s">
        <v>395</v>
      </c>
      <c r="D45" s="297" t="s">
        <v>32</v>
      </c>
      <c r="E45" s="129"/>
      <c r="F45" s="194"/>
      <c r="G45" s="129"/>
      <c r="H45" s="165"/>
      <c r="I45" s="165"/>
      <c r="J45" s="297"/>
      <c r="K45" s="139"/>
      <c r="L45" s="139"/>
      <c r="M45" s="408">
        <f>J44</f>
        <v>0</v>
      </c>
    </row>
    <row r="46" spans="1:13" s="360" customFormat="1" ht="13.5">
      <c r="A46" s="85"/>
      <c r="B46" s="148"/>
      <c r="C46" s="141" t="s">
        <v>396</v>
      </c>
      <c r="D46" s="141" t="s">
        <v>32</v>
      </c>
      <c r="E46" s="146"/>
      <c r="F46" s="362"/>
      <c r="G46" s="146"/>
      <c r="H46" s="149"/>
      <c r="I46" s="149"/>
      <c r="J46" s="141"/>
      <c r="K46" s="145"/>
      <c r="L46" s="145"/>
      <c r="M46" s="426">
        <f>L44</f>
        <v>0</v>
      </c>
    </row>
    <row r="47" spans="1:13" s="360" customFormat="1" ht="13.5">
      <c r="A47" s="85"/>
      <c r="B47" s="148"/>
      <c r="C47" s="109" t="s">
        <v>397</v>
      </c>
      <c r="D47" s="109" t="s">
        <v>32</v>
      </c>
      <c r="E47" s="146"/>
      <c r="F47" s="362"/>
      <c r="G47" s="146"/>
      <c r="H47" s="149"/>
      <c r="I47" s="149"/>
      <c r="J47" s="141"/>
      <c r="K47" s="145"/>
      <c r="L47" s="145"/>
      <c r="M47" s="426">
        <f>H44</f>
        <v>0</v>
      </c>
    </row>
    <row r="48" spans="1:13" ht="13.5">
      <c r="A48" s="85"/>
      <c r="B48" s="84"/>
      <c r="C48" s="216" t="s">
        <v>36</v>
      </c>
      <c r="D48" s="216" t="s">
        <v>32</v>
      </c>
      <c r="E48" s="78"/>
      <c r="F48" s="193"/>
      <c r="G48" s="78"/>
      <c r="H48" s="85"/>
      <c r="I48" s="85"/>
      <c r="J48" s="109"/>
      <c r="K48" s="216"/>
      <c r="L48" s="216"/>
      <c r="M48" s="406">
        <f>SUM(M45:M47)</f>
        <v>0</v>
      </c>
    </row>
    <row r="49" spans="1:13" ht="27">
      <c r="A49" s="85"/>
      <c r="B49" s="84"/>
      <c r="C49" s="444" t="s">
        <v>501</v>
      </c>
      <c r="D49" s="216" t="s">
        <v>32</v>
      </c>
      <c r="E49" s="78"/>
      <c r="F49" s="193"/>
      <c r="G49" s="78"/>
      <c r="H49" s="85"/>
      <c r="I49" s="85"/>
      <c r="J49" s="109"/>
      <c r="K49" s="216"/>
      <c r="L49" s="216"/>
      <c r="M49" s="403">
        <f>M45*0.75</f>
        <v>0</v>
      </c>
    </row>
    <row r="50" spans="1:13" ht="13.5">
      <c r="A50" s="85"/>
      <c r="B50" s="84"/>
      <c r="C50" s="216" t="s">
        <v>36</v>
      </c>
      <c r="D50" s="216" t="s">
        <v>32</v>
      </c>
      <c r="E50" s="78"/>
      <c r="F50" s="193"/>
      <c r="G50" s="78"/>
      <c r="H50" s="85"/>
      <c r="I50" s="85"/>
      <c r="J50" s="109"/>
      <c r="K50" s="216"/>
      <c r="L50" s="216"/>
      <c r="M50" s="403">
        <f>SUM(M48:M49)</f>
        <v>0</v>
      </c>
    </row>
    <row r="51" spans="1:13" ht="13.5">
      <c r="A51" s="85"/>
      <c r="B51" s="84"/>
      <c r="C51" s="444" t="s">
        <v>500</v>
      </c>
      <c r="D51" s="216" t="s">
        <v>32</v>
      </c>
      <c r="E51" s="78"/>
      <c r="F51" s="193"/>
      <c r="G51" s="78"/>
      <c r="H51" s="85"/>
      <c r="I51" s="85"/>
      <c r="J51" s="109"/>
      <c r="K51" s="216"/>
      <c r="L51" s="216"/>
      <c r="M51" s="403">
        <f>M50*6%</f>
        <v>0</v>
      </c>
    </row>
    <row r="52" spans="1:13" ht="13.5">
      <c r="A52" s="84"/>
      <c r="B52" s="84"/>
      <c r="C52" s="76" t="s">
        <v>409</v>
      </c>
      <c r="D52" s="76" t="s">
        <v>32</v>
      </c>
      <c r="E52" s="78"/>
      <c r="F52" s="193"/>
      <c r="G52" s="78"/>
      <c r="H52" s="85"/>
      <c r="I52" s="85"/>
      <c r="J52" s="109"/>
      <c r="K52" s="216"/>
      <c r="L52" s="216"/>
      <c r="M52" s="406">
        <f>SUM(M50:M51)</f>
        <v>0</v>
      </c>
    </row>
    <row r="53" spans="1:13" ht="13.5">
      <c r="A53" s="84"/>
      <c r="B53" s="84"/>
      <c r="C53" s="76" t="s">
        <v>410</v>
      </c>
      <c r="D53" s="76" t="s">
        <v>32</v>
      </c>
      <c r="E53" s="78"/>
      <c r="F53" s="193"/>
      <c r="G53" s="78" t="s">
        <v>37</v>
      </c>
      <c r="H53" s="85"/>
      <c r="I53" s="85"/>
      <c r="J53" s="109"/>
      <c r="K53" s="216"/>
      <c r="L53" s="216"/>
      <c r="M53" s="406">
        <f>M31+M52</f>
        <v>0</v>
      </c>
    </row>
    <row r="54" spans="1:13" ht="13.5">
      <c r="A54" s="84"/>
      <c r="B54" s="84"/>
      <c r="C54" s="216" t="s">
        <v>411</v>
      </c>
      <c r="D54" s="76" t="s">
        <v>32</v>
      </c>
      <c r="E54" s="78"/>
      <c r="F54" s="193"/>
      <c r="G54" s="78"/>
      <c r="H54" s="85"/>
      <c r="I54" s="85"/>
      <c r="J54" s="109"/>
      <c r="K54" s="216"/>
      <c r="L54" s="216"/>
      <c r="M54" s="408">
        <f>M24+M45</f>
        <v>0</v>
      </c>
    </row>
    <row r="55" spans="1:2" ht="13.5">
      <c r="A55" s="374"/>
      <c r="B55" s="303"/>
    </row>
    <row r="56" spans="1:2" ht="13.5">
      <c r="A56" s="374"/>
      <c r="B56" s="303"/>
    </row>
    <row r="57" spans="1:7" ht="13.5">
      <c r="A57" s="374"/>
      <c r="B57" s="303"/>
      <c r="C57" s="402"/>
      <c r="D57" s="399"/>
      <c r="E57" s="399"/>
      <c r="F57" s="497"/>
      <c r="G57" s="497"/>
    </row>
  </sheetData>
  <sheetProtection/>
  <mergeCells count="20">
    <mergeCell ref="I10:J10"/>
    <mergeCell ref="K10:L10"/>
    <mergeCell ref="M10:M11"/>
    <mergeCell ref="F57:G57"/>
    <mergeCell ref="A7:E7"/>
    <mergeCell ref="G7:H7"/>
    <mergeCell ref="A9:H9"/>
    <mergeCell ref="A10:A11"/>
    <mergeCell ref="B10:B11"/>
    <mergeCell ref="C10:C11"/>
    <mergeCell ref="D10:D11"/>
    <mergeCell ref="E10:F10"/>
    <mergeCell ref="G10:H10"/>
    <mergeCell ref="A1:H1"/>
    <mergeCell ref="A2:H2"/>
    <mergeCell ref="A3:H3"/>
    <mergeCell ref="A5:E5"/>
    <mergeCell ref="G5:H5"/>
    <mergeCell ref="A6:E6"/>
    <mergeCell ref="G6:H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33"/>
  <sheetViews>
    <sheetView view="pageBreakPreview" zoomScaleSheetLayoutView="100" zoomScalePageLayoutView="0" workbookViewId="0" topLeftCell="A75">
      <selection activeCell="Q94" sqref="Q94"/>
    </sheetView>
  </sheetViews>
  <sheetFormatPr defaultColWidth="9.140625" defaultRowHeight="12.75"/>
  <cols>
    <col min="1" max="1" width="5.140625" style="43" customWidth="1"/>
    <col min="2" max="2" width="11.00390625" style="43" customWidth="1"/>
    <col min="3" max="3" width="38.421875" style="43" customWidth="1"/>
    <col min="4" max="5" width="9.140625" style="43" customWidth="1"/>
    <col min="6" max="6" width="10.57421875" style="332" customWidth="1"/>
    <col min="7" max="7" width="8.421875" style="43" customWidth="1"/>
    <col min="8" max="8" width="10.421875" style="43" customWidth="1"/>
    <col min="9" max="9" width="9.140625" style="43" customWidth="1"/>
    <col min="10" max="10" width="9.140625" style="332" customWidth="1"/>
    <col min="11" max="12" width="9.140625" style="43" customWidth="1"/>
    <col min="13" max="13" width="9.421875" style="43" bestFit="1" customWidth="1"/>
    <col min="14" max="16384" width="9.140625" style="43" customWidth="1"/>
  </cols>
  <sheetData>
    <row r="1" spans="1:8" ht="13.5">
      <c r="A1" s="497" t="s">
        <v>336</v>
      </c>
      <c r="B1" s="497"/>
      <c r="C1" s="497"/>
      <c r="D1" s="497"/>
      <c r="E1" s="497"/>
      <c r="F1" s="497"/>
      <c r="G1" s="497"/>
      <c r="H1" s="497"/>
    </row>
    <row r="2" spans="1:8" ht="19.5" customHeight="1">
      <c r="A2" s="516" t="s">
        <v>498</v>
      </c>
      <c r="B2" s="516"/>
      <c r="C2" s="516"/>
      <c r="D2" s="516"/>
      <c r="E2" s="516"/>
      <c r="F2" s="516"/>
      <c r="G2" s="516"/>
      <c r="H2" s="516"/>
    </row>
    <row r="3" spans="1:8" ht="13.5">
      <c r="A3" s="497" t="str">
        <f>NAKREBI!C50</f>
        <v>SemoRobva da keTilmowyoba</v>
      </c>
      <c r="B3" s="497"/>
      <c r="C3" s="497"/>
      <c r="D3" s="497"/>
      <c r="E3" s="497"/>
      <c r="F3" s="497"/>
      <c r="G3" s="497"/>
      <c r="H3" s="497"/>
    </row>
    <row r="4" spans="1:8" ht="13.5">
      <c r="A4" s="497" t="s">
        <v>38</v>
      </c>
      <c r="B4" s="497"/>
      <c r="C4" s="497"/>
      <c r="D4" s="497"/>
      <c r="E4" s="497"/>
      <c r="F4" s="81">
        <f>M106/1000</f>
        <v>0</v>
      </c>
      <c r="G4" s="503" t="s">
        <v>101</v>
      </c>
      <c r="H4" s="503"/>
    </row>
    <row r="5" spans="1:8" ht="13.5">
      <c r="A5" s="497" t="s">
        <v>2</v>
      </c>
      <c r="B5" s="497"/>
      <c r="C5" s="497"/>
      <c r="D5" s="497"/>
      <c r="E5" s="497"/>
      <c r="F5" s="81">
        <f>M99/1000</f>
        <v>0</v>
      </c>
      <c r="G5" s="503" t="s">
        <v>101</v>
      </c>
      <c r="H5" s="503"/>
    </row>
    <row r="6" spans="1:8" ht="13.5">
      <c r="A6" s="497" t="s">
        <v>3</v>
      </c>
      <c r="B6" s="497"/>
      <c r="C6" s="497"/>
      <c r="D6" s="497"/>
      <c r="E6" s="497"/>
      <c r="F6" s="389">
        <f>F5*1000/6</f>
        <v>0</v>
      </c>
      <c r="G6" s="503" t="s">
        <v>105</v>
      </c>
      <c r="H6" s="503"/>
    </row>
    <row r="7" spans="1:8" ht="13.5">
      <c r="A7" s="497"/>
      <c r="B7" s="497"/>
      <c r="C7" s="497"/>
      <c r="D7" s="497"/>
      <c r="E7" s="497"/>
      <c r="F7" s="497"/>
      <c r="G7" s="497"/>
      <c r="H7" s="497"/>
    </row>
    <row r="8" spans="1:8" ht="12.75">
      <c r="A8" s="332"/>
      <c r="B8" s="332"/>
      <c r="C8" s="332"/>
      <c r="D8" s="332"/>
      <c r="E8" s="332"/>
      <c r="G8" s="332"/>
      <c r="H8" s="332"/>
    </row>
    <row r="9" spans="1:13" ht="28.5" customHeight="1">
      <c r="A9" s="521" t="s">
        <v>4</v>
      </c>
      <c r="B9" s="505" t="s">
        <v>5</v>
      </c>
      <c r="C9" s="504" t="s">
        <v>236</v>
      </c>
      <c r="D9" s="504" t="s">
        <v>237</v>
      </c>
      <c r="E9" s="511" t="s">
        <v>6</v>
      </c>
      <c r="F9" s="512"/>
      <c r="G9" s="504" t="s">
        <v>238</v>
      </c>
      <c r="H9" s="504"/>
      <c r="I9" s="504" t="s">
        <v>239</v>
      </c>
      <c r="J9" s="504"/>
      <c r="K9" s="504" t="s">
        <v>240</v>
      </c>
      <c r="L9" s="504"/>
      <c r="M9" s="504" t="s">
        <v>241</v>
      </c>
    </row>
    <row r="10" spans="1:13" ht="38.25">
      <c r="A10" s="521" t="s">
        <v>4</v>
      </c>
      <c r="B10" s="506"/>
      <c r="C10" s="504" t="s">
        <v>242</v>
      </c>
      <c r="D10" s="515" t="s">
        <v>243</v>
      </c>
      <c r="E10" s="133" t="s">
        <v>7</v>
      </c>
      <c r="F10" s="267" t="s">
        <v>8</v>
      </c>
      <c r="G10" s="134" t="s">
        <v>244</v>
      </c>
      <c r="H10" s="307" t="s">
        <v>245</v>
      </c>
      <c r="I10" s="307" t="s">
        <v>244</v>
      </c>
      <c r="J10" s="306" t="s">
        <v>245</v>
      </c>
      <c r="K10" s="307" t="s">
        <v>244</v>
      </c>
      <c r="L10" s="307" t="s">
        <v>245</v>
      </c>
      <c r="M10" s="504" t="s">
        <v>245</v>
      </c>
    </row>
    <row r="11" spans="1:13" ht="12.75">
      <c r="A11" s="312">
        <v>1</v>
      </c>
      <c r="B11" s="308">
        <v>2</v>
      </c>
      <c r="C11" s="308">
        <v>3</v>
      </c>
      <c r="D11" s="308">
        <v>4</v>
      </c>
      <c r="E11" s="137">
        <v>5</v>
      </c>
      <c r="F11" s="217">
        <v>6</v>
      </c>
      <c r="G11" s="308">
        <v>7</v>
      </c>
      <c r="H11" s="308">
        <v>8</v>
      </c>
      <c r="I11" s="308">
        <v>9</v>
      </c>
      <c r="J11" s="220">
        <v>10</v>
      </c>
      <c r="K11" s="308">
        <v>11</v>
      </c>
      <c r="L11" s="308">
        <v>12</v>
      </c>
      <c r="M11" s="308">
        <v>13</v>
      </c>
    </row>
    <row r="12" spans="1:13" ht="18" customHeight="1">
      <c r="A12" s="4"/>
      <c r="B12" s="133"/>
      <c r="C12" s="313" t="s">
        <v>359</v>
      </c>
      <c r="D12" s="133"/>
      <c r="E12" s="133"/>
      <c r="F12" s="267"/>
      <c r="G12" s="133"/>
      <c r="H12" s="133"/>
      <c r="I12" s="133"/>
      <c r="J12" s="267"/>
      <c r="K12" s="133"/>
      <c r="L12" s="133"/>
      <c r="M12" s="133"/>
    </row>
    <row r="13" spans="1:13" ht="51">
      <c r="A13" s="6">
        <v>1</v>
      </c>
      <c r="B13" s="6" t="s">
        <v>360</v>
      </c>
      <c r="C13" s="6" t="s">
        <v>361</v>
      </c>
      <c r="D13" s="6" t="s">
        <v>362</v>
      </c>
      <c r="E13" s="115"/>
      <c r="F13" s="200">
        <f>46*0.2/1000</f>
        <v>0.009200000000000002</v>
      </c>
      <c r="G13" s="115"/>
      <c r="H13" s="156"/>
      <c r="I13" s="156"/>
      <c r="J13" s="333"/>
      <c r="K13" s="156"/>
      <c r="L13" s="156"/>
      <c r="M13" s="456">
        <f>SUM(M14)</f>
        <v>0</v>
      </c>
    </row>
    <row r="14" spans="1:13" ht="12.75">
      <c r="A14" s="203">
        <f>A13+0.1</f>
        <v>1.1</v>
      </c>
      <c r="B14" s="317"/>
      <c r="C14" s="317" t="s">
        <v>363</v>
      </c>
      <c r="D14" s="317" t="s">
        <v>364</v>
      </c>
      <c r="E14" s="318">
        <f>22.4</f>
        <v>22.4</v>
      </c>
      <c r="F14" s="319">
        <f>F13*E14</f>
        <v>0.20608</v>
      </c>
      <c r="G14" s="156"/>
      <c r="H14" s="156"/>
      <c r="I14" s="156"/>
      <c r="J14" s="333"/>
      <c r="K14" s="451"/>
      <c r="L14" s="451"/>
      <c r="M14" s="451">
        <f>L14</f>
        <v>0</v>
      </c>
    </row>
    <row r="15" spans="1:13" ht="38.25">
      <c r="A15" s="6">
        <v>2</v>
      </c>
      <c r="B15" s="334" t="s">
        <v>365</v>
      </c>
      <c r="C15" s="6" t="s">
        <v>366</v>
      </c>
      <c r="D15" s="6" t="s">
        <v>367</v>
      </c>
      <c r="E15" s="115"/>
      <c r="F15" s="320">
        <f>F13*0.5</f>
        <v>0.004600000000000001</v>
      </c>
      <c r="G15" s="115"/>
      <c r="H15" s="156"/>
      <c r="I15" s="156"/>
      <c r="J15" s="333"/>
      <c r="K15" s="156"/>
      <c r="L15" s="156"/>
      <c r="M15" s="411">
        <f>SUM(M16)</f>
        <v>0</v>
      </c>
    </row>
    <row r="16" spans="1:13" ht="13.5">
      <c r="A16" s="203">
        <f>A15+0.1</f>
        <v>2.1</v>
      </c>
      <c r="B16" s="335"/>
      <c r="C16" s="314" t="s">
        <v>368</v>
      </c>
      <c r="D16" s="314" t="s">
        <v>212</v>
      </c>
      <c r="E16" s="315">
        <f>206*1.2*1.15</f>
        <v>284.28</v>
      </c>
      <c r="F16" s="316">
        <f>E16*F15</f>
        <v>1.3076880000000002</v>
      </c>
      <c r="G16" s="156"/>
      <c r="H16" s="156"/>
      <c r="I16" s="408"/>
      <c r="J16" s="450"/>
      <c r="K16" s="156"/>
      <c r="L16" s="156"/>
      <c r="M16" s="450">
        <f>J16</f>
        <v>0</v>
      </c>
    </row>
    <row r="17" spans="1:13" ht="46.5" customHeight="1">
      <c r="A17" s="7">
        <v>3</v>
      </c>
      <c r="B17" s="7"/>
      <c r="C17" s="7" t="s">
        <v>381</v>
      </c>
      <c r="D17" s="7" t="s">
        <v>25</v>
      </c>
      <c r="E17" s="7"/>
      <c r="F17" s="76">
        <v>0.24</v>
      </c>
      <c r="G17" s="7"/>
      <c r="H17" s="156"/>
      <c r="I17" s="156"/>
      <c r="J17" s="333"/>
      <c r="K17" s="156"/>
      <c r="L17" s="156"/>
      <c r="M17" s="406">
        <f>SUM(M18:M23)</f>
        <v>0</v>
      </c>
    </row>
    <row r="18" spans="1:13" ht="13.5">
      <c r="A18" s="203">
        <f aca="true" t="shared" si="0" ref="A18:A23">A17+0.1</f>
        <v>3.1</v>
      </c>
      <c r="B18" s="5"/>
      <c r="C18" s="183" t="s">
        <v>382</v>
      </c>
      <c r="D18" s="183" t="s">
        <v>212</v>
      </c>
      <c r="E18" s="185">
        <v>115.44</v>
      </c>
      <c r="F18" s="204">
        <f>E18*F17</f>
        <v>27.705599999999997</v>
      </c>
      <c r="G18" s="156"/>
      <c r="H18" s="156"/>
      <c r="I18" s="408"/>
      <c r="J18" s="450"/>
      <c r="K18" s="156"/>
      <c r="L18" s="156"/>
      <c r="M18" s="450">
        <f>J18</f>
        <v>0</v>
      </c>
    </row>
    <row r="19" spans="1:13" ht="13.5">
      <c r="A19" s="203">
        <f t="shared" si="0"/>
        <v>3.2</v>
      </c>
      <c r="B19" s="5"/>
      <c r="C19" s="5" t="s">
        <v>353</v>
      </c>
      <c r="D19" s="317" t="s">
        <v>33</v>
      </c>
      <c r="E19" s="317">
        <v>0.71</v>
      </c>
      <c r="F19" s="319">
        <f>E19*F17</f>
        <v>0.1704</v>
      </c>
      <c r="G19" s="277"/>
      <c r="H19" s="277"/>
      <c r="I19" s="277"/>
      <c r="J19" s="75"/>
      <c r="K19" s="451"/>
      <c r="L19" s="451"/>
      <c r="M19" s="410">
        <f>L19</f>
        <v>0</v>
      </c>
    </row>
    <row r="20" spans="1:13" ht="13.5">
      <c r="A20" s="203">
        <f t="shared" si="0"/>
        <v>3.3000000000000003</v>
      </c>
      <c r="B20" s="7"/>
      <c r="C20" s="5" t="s">
        <v>383</v>
      </c>
      <c r="D20" s="5" t="s">
        <v>373</v>
      </c>
      <c r="E20" s="13">
        <v>101.5</v>
      </c>
      <c r="F20" s="78">
        <f>E20*F17</f>
        <v>24.36</v>
      </c>
      <c r="G20" s="403"/>
      <c r="H20" s="403"/>
      <c r="I20" s="277"/>
      <c r="J20" s="75"/>
      <c r="K20" s="277"/>
      <c r="L20" s="277"/>
      <c r="M20" s="410">
        <f>H20</f>
        <v>0</v>
      </c>
    </row>
    <row r="21" spans="1:13" ht="13.5">
      <c r="A21" s="203">
        <f t="shared" si="0"/>
        <v>3.4000000000000004</v>
      </c>
      <c r="B21" s="5"/>
      <c r="C21" s="5" t="s">
        <v>384</v>
      </c>
      <c r="D21" s="5" t="s">
        <v>351</v>
      </c>
      <c r="E21" s="13">
        <v>2</v>
      </c>
      <c r="F21" s="78">
        <f>E21*F17</f>
        <v>0.48</v>
      </c>
      <c r="G21" s="403"/>
      <c r="H21" s="403"/>
      <c r="I21" s="156"/>
      <c r="J21" s="333"/>
      <c r="K21" s="156"/>
      <c r="L21" s="156"/>
      <c r="M21" s="410">
        <f>H21</f>
        <v>0</v>
      </c>
    </row>
    <row r="22" spans="1:13" ht="13.5">
      <c r="A22" s="203">
        <f t="shared" si="0"/>
        <v>3.5000000000000004</v>
      </c>
      <c r="B22" s="5"/>
      <c r="C22" s="5" t="s">
        <v>385</v>
      </c>
      <c r="D22" s="5" t="s">
        <v>351</v>
      </c>
      <c r="E22" s="13">
        <v>0.06</v>
      </c>
      <c r="F22" s="78">
        <f>E22*F17</f>
        <v>0.0144</v>
      </c>
      <c r="G22" s="403"/>
      <c r="H22" s="403"/>
      <c r="I22" s="156"/>
      <c r="J22" s="333"/>
      <c r="K22" s="156"/>
      <c r="L22" s="156"/>
      <c r="M22" s="410">
        <f>H22</f>
        <v>0</v>
      </c>
    </row>
    <row r="23" spans="1:13" ht="15" customHeight="1">
      <c r="A23" s="203">
        <f t="shared" si="0"/>
        <v>3.6000000000000005</v>
      </c>
      <c r="B23" s="5"/>
      <c r="C23" s="5" t="s">
        <v>197</v>
      </c>
      <c r="D23" s="5" t="s">
        <v>32</v>
      </c>
      <c r="E23" s="13">
        <v>9.6</v>
      </c>
      <c r="F23" s="78">
        <f>E23*F17</f>
        <v>2.304</v>
      </c>
      <c r="G23" s="403"/>
      <c r="H23" s="403"/>
      <c r="I23" s="156"/>
      <c r="J23" s="333"/>
      <c r="K23" s="156"/>
      <c r="L23" s="156"/>
      <c r="M23" s="410">
        <f>H23</f>
        <v>0</v>
      </c>
    </row>
    <row r="24" spans="1:13" ht="51">
      <c r="A24" s="233" t="s">
        <v>15</v>
      </c>
      <c r="B24" s="113" t="s">
        <v>269</v>
      </c>
      <c r="C24" s="76" t="s">
        <v>455</v>
      </c>
      <c r="D24" s="76" t="s">
        <v>14</v>
      </c>
      <c r="E24" s="78"/>
      <c r="F24" s="301">
        <f>46*0.15</f>
        <v>6.8999999999999995</v>
      </c>
      <c r="G24" s="78"/>
      <c r="H24" s="232"/>
      <c r="I24" s="263"/>
      <c r="J24" s="232"/>
      <c r="K24" s="131"/>
      <c r="L24" s="131"/>
      <c r="M24" s="406">
        <f>SUM(M25:M29)</f>
        <v>0</v>
      </c>
    </row>
    <row r="25" spans="1:13" ht="15.75">
      <c r="A25" s="203">
        <f>A24+0.1</f>
        <v>4.1</v>
      </c>
      <c r="B25" s="114"/>
      <c r="C25" s="139" t="s">
        <v>215</v>
      </c>
      <c r="D25" s="139" t="s">
        <v>11</v>
      </c>
      <c r="E25" s="129">
        <v>3.34</v>
      </c>
      <c r="F25" s="194">
        <f>E25*F24</f>
        <v>23.045999999999996</v>
      </c>
      <c r="G25" s="261"/>
      <c r="H25" s="261"/>
      <c r="I25" s="408"/>
      <c r="J25" s="408"/>
      <c r="K25" s="184"/>
      <c r="L25" s="184"/>
      <c r="M25" s="408">
        <f>L25+J25+H25</f>
        <v>0</v>
      </c>
    </row>
    <row r="26" spans="1:13" ht="15.75">
      <c r="A26" s="203">
        <f>A25+0.1</f>
        <v>4.199999999999999</v>
      </c>
      <c r="B26" s="114"/>
      <c r="C26" s="216" t="s">
        <v>295</v>
      </c>
      <c r="D26" s="216" t="s">
        <v>14</v>
      </c>
      <c r="E26" s="78">
        <v>1.02</v>
      </c>
      <c r="F26" s="193">
        <f>E26*F24</f>
        <v>7.037999999999999</v>
      </c>
      <c r="G26" s="403"/>
      <c r="H26" s="403"/>
      <c r="I26" s="263"/>
      <c r="J26" s="232"/>
      <c r="K26" s="131"/>
      <c r="L26" s="131"/>
      <c r="M26" s="438">
        <f>L26+J26+H26</f>
        <v>0</v>
      </c>
    </row>
    <row r="27" spans="1:13" ht="15.75">
      <c r="A27" s="203">
        <f>A26+0.1</f>
        <v>4.299999999999999</v>
      </c>
      <c r="B27" s="114"/>
      <c r="C27" s="216" t="s">
        <v>311</v>
      </c>
      <c r="D27" s="216" t="s">
        <v>14</v>
      </c>
      <c r="E27" s="78">
        <v>1.22</v>
      </c>
      <c r="F27" s="193">
        <f>E27*F24</f>
        <v>8.418</v>
      </c>
      <c r="G27" s="403"/>
      <c r="H27" s="403"/>
      <c r="I27" s="263"/>
      <c r="J27" s="232"/>
      <c r="K27" s="131"/>
      <c r="L27" s="131"/>
      <c r="M27" s="438">
        <f>L27+J27+H27</f>
        <v>0</v>
      </c>
    </row>
    <row r="28" spans="1:13" ht="15.75">
      <c r="A28" s="203">
        <f>A27+0.1</f>
        <v>4.399999999999999</v>
      </c>
      <c r="B28" s="114"/>
      <c r="C28" s="216" t="s">
        <v>456</v>
      </c>
      <c r="D28" s="216" t="s">
        <v>29</v>
      </c>
      <c r="E28" s="78"/>
      <c r="F28" s="193">
        <v>46</v>
      </c>
      <c r="G28" s="403"/>
      <c r="H28" s="403"/>
      <c r="I28" s="263"/>
      <c r="J28" s="232"/>
      <c r="K28" s="131"/>
      <c r="L28" s="131"/>
      <c r="M28" s="438">
        <f>L28+J28+H28</f>
        <v>0</v>
      </c>
    </row>
    <row r="29" spans="1:13" s="337" customFormat="1" ht="15.75">
      <c r="A29" s="203">
        <f>A28+0.1</f>
        <v>4.499999999999998</v>
      </c>
      <c r="B29" s="114"/>
      <c r="C29" s="216" t="s">
        <v>24</v>
      </c>
      <c r="D29" s="216" t="s">
        <v>32</v>
      </c>
      <c r="E29" s="78">
        <v>0.88</v>
      </c>
      <c r="F29" s="193">
        <f>E29*F24</f>
        <v>6.071999999999999</v>
      </c>
      <c r="G29" s="403"/>
      <c r="H29" s="403"/>
      <c r="I29" s="263"/>
      <c r="J29" s="232"/>
      <c r="K29" s="131"/>
      <c r="L29" s="131"/>
      <c r="M29" s="438">
        <f>L29+J29+H29</f>
        <v>0</v>
      </c>
    </row>
    <row r="30" spans="1:13" ht="54">
      <c r="A30" s="89" t="s">
        <v>16</v>
      </c>
      <c r="B30" s="76" t="s">
        <v>161</v>
      </c>
      <c r="C30" s="76" t="s">
        <v>450</v>
      </c>
      <c r="D30" s="76" t="s">
        <v>137</v>
      </c>
      <c r="E30" s="79"/>
      <c r="F30" s="378">
        <f>16.3*0.25/100</f>
        <v>0.04075</v>
      </c>
      <c r="G30" s="79"/>
      <c r="H30" s="155"/>
      <c r="I30" s="155"/>
      <c r="J30" s="336"/>
      <c r="K30" s="155"/>
      <c r="L30" s="155"/>
      <c r="M30" s="406">
        <f>SUM(M31:M37)</f>
        <v>0</v>
      </c>
    </row>
    <row r="31" spans="1:13" ht="13.5">
      <c r="A31" s="216">
        <f aca="true" t="shared" si="1" ref="A31:A44">A30+0.1</f>
        <v>5.1</v>
      </c>
      <c r="B31" s="216"/>
      <c r="C31" s="344" t="s">
        <v>140</v>
      </c>
      <c r="D31" s="344" t="s">
        <v>11</v>
      </c>
      <c r="E31" s="344">
        <v>622</v>
      </c>
      <c r="F31" s="130">
        <f>E31*F30</f>
        <v>25.346500000000002</v>
      </c>
      <c r="G31" s="344"/>
      <c r="H31" s="344"/>
      <c r="I31" s="450"/>
      <c r="J31" s="450"/>
      <c r="K31" s="344"/>
      <c r="L31" s="344"/>
      <c r="M31" s="450">
        <f>J31</f>
        <v>0</v>
      </c>
    </row>
    <row r="32" spans="1:13" ht="13.5">
      <c r="A32" s="216">
        <f t="shared" si="1"/>
        <v>5.199999999999999</v>
      </c>
      <c r="B32" s="216"/>
      <c r="C32" s="223" t="s">
        <v>171</v>
      </c>
      <c r="D32" s="223" t="s">
        <v>32</v>
      </c>
      <c r="E32" s="223">
        <v>81</v>
      </c>
      <c r="F32" s="224">
        <f>E32*F30</f>
        <v>3.3007500000000003</v>
      </c>
      <c r="G32" s="223"/>
      <c r="H32" s="223"/>
      <c r="I32" s="223"/>
      <c r="J32" s="223"/>
      <c r="K32" s="452"/>
      <c r="L32" s="452"/>
      <c r="M32" s="452">
        <f>L32</f>
        <v>0</v>
      </c>
    </row>
    <row r="33" spans="1:13" ht="13.5">
      <c r="A33" s="216">
        <f t="shared" si="1"/>
        <v>5.299999999999999</v>
      </c>
      <c r="B33" s="216"/>
      <c r="C33" s="216" t="s">
        <v>375</v>
      </c>
      <c r="D33" s="216" t="s">
        <v>14</v>
      </c>
      <c r="E33" s="78">
        <v>101.5</v>
      </c>
      <c r="F33" s="78">
        <f>E33*F30</f>
        <v>4.136125</v>
      </c>
      <c r="G33" s="403"/>
      <c r="H33" s="403"/>
      <c r="I33" s="155"/>
      <c r="J33" s="336"/>
      <c r="K33" s="155"/>
      <c r="L33" s="155"/>
      <c r="M33" s="425">
        <f>H33</f>
        <v>0</v>
      </c>
    </row>
    <row r="34" spans="1:13" ht="13.5">
      <c r="A34" s="216">
        <f t="shared" si="1"/>
        <v>5.399999999999999</v>
      </c>
      <c r="B34" s="216"/>
      <c r="C34" s="216" t="s">
        <v>163</v>
      </c>
      <c r="D34" s="216" t="s">
        <v>19</v>
      </c>
      <c r="E34" s="78"/>
      <c r="F34" s="78">
        <f>16*1.5*6*0.395*0.36/1000</f>
        <v>0.0204768</v>
      </c>
      <c r="G34" s="403"/>
      <c r="H34" s="403"/>
      <c r="I34" s="155"/>
      <c r="J34" s="336"/>
      <c r="K34" s="155"/>
      <c r="L34" s="155"/>
      <c r="M34" s="425">
        <f>H34</f>
        <v>0</v>
      </c>
    </row>
    <row r="35" spans="1:13" ht="13.5">
      <c r="A35" s="216">
        <f t="shared" si="1"/>
        <v>5.499999999999998</v>
      </c>
      <c r="B35" s="216"/>
      <c r="C35" s="216" t="s">
        <v>164</v>
      </c>
      <c r="D35" s="216" t="s">
        <v>19</v>
      </c>
      <c r="E35" s="78"/>
      <c r="F35" s="78">
        <f>16*1.5*20*0.395/1000</f>
        <v>0.18960000000000002</v>
      </c>
      <c r="G35" s="403"/>
      <c r="H35" s="403"/>
      <c r="I35" s="155"/>
      <c r="J35" s="336"/>
      <c r="K35" s="155"/>
      <c r="L35" s="155"/>
      <c r="M35" s="425">
        <f>H35</f>
        <v>0</v>
      </c>
    </row>
    <row r="36" spans="1:13" ht="13.5">
      <c r="A36" s="216">
        <f t="shared" si="1"/>
        <v>5.599999999999998</v>
      </c>
      <c r="B36" s="216"/>
      <c r="C36" s="216" t="s">
        <v>141</v>
      </c>
      <c r="D36" s="216" t="s">
        <v>14</v>
      </c>
      <c r="E36" s="78">
        <v>3.66</v>
      </c>
      <c r="F36" s="78">
        <f>E36*F30</f>
        <v>0.149145</v>
      </c>
      <c r="G36" s="403"/>
      <c r="H36" s="403"/>
      <c r="I36" s="155"/>
      <c r="J36" s="336"/>
      <c r="K36" s="155"/>
      <c r="L36" s="155"/>
      <c r="M36" s="425">
        <f>H36</f>
        <v>0</v>
      </c>
    </row>
    <row r="37" spans="1:13" ht="13.5">
      <c r="A37" s="216">
        <f t="shared" si="1"/>
        <v>5.6999999999999975</v>
      </c>
      <c r="B37" s="216"/>
      <c r="C37" s="216" t="s">
        <v>157</v>
      </c>
      <c r="D37" s="216" t="s">
        <v>32</v>
      </c>
      <c r="E37" s="78">
        <v>39</v>
      </c>
      <c r="F37" s="78">
        <f>E37*F30</f>
        <v>1.58925</v>
      </c>
      <c r="G37" s="403"/>
      <c r="H37" s="403"/>
      <c r="I37" s="155"/>
      <c r="J37" s="336"/>
      <c r="K37" s="155"/>
      <c r="L37" s="155"/>
      <c r="M37" s="425">
        <f>H37</f>
        <v>0</v>
      </c>
    </row>
    <row r="38" spans="1:13" ht="40.5">
      <c r="A38" s="379">
        <v>6</v>
      </c>
      <c r="B38" s="7" t="s">
        <v>451</v>
      </c>
      <c r="C38" s="380" t="s">
        <v>452</v>
      </c>
      <c r="D38" s="380" t="s">
        <v>29</v>
      </c>
      <c r="E38" s="380"/>
      <c r="F38" s="381">
        <f>16.3*0.4</f>
        <v>6.5200000000000005</v>
      </c>
      <c r="G38" s="380"/>
      <c r="H38" s="155"/>
      <c r="I38" s="155"/>
      <c r="J38" s="336"/>
      <c r="K38" s="155"/>
      <c r="L38" s="155"/>
      <c r="M38" s="406">
        <f>SUM(M39:M44)</f>
        <v>0</v>
      </c>
    </row>
    <row r="39" spans="1:13" ht="21" customHeight="1">
      <c r="A39" s="216">
        <f t="shared" si="1"/>
        <v>6.1</v>
      </c>
      <c r="B39" s="123"/>
      <c r="C39" s="123" t="s">
        <v>194</v>
      </c>
      <c r="D39" s="123" t="s">
        <v>11</v>
      </c>
      <c r="E39" s="123">
        <v>3.75</v>
      </c>
      <c r="F39" s="139">
        <f>E39*F38</f>
        <v>24.450000000000003</v>
      </c>
      <c r="G39" s="155"/>
      <c r="H39" s="155"/>
      <c r="I39" s="408"/>
      <c r="J39" s="408"/>
      <c r="K39" s="155"/>
      <c r="L39" s="155"/>
      <c r="M39" s="450">
        <f>J39</f>
        <v>0</v>
      </c>
    </row>
    <row r="40" spans="1:13" ht="13.5">
      <c r="A40" s="216">
        <f t="shared" si="1"/>
        <v>6.199999999999999</v>
      </c>
      <c r="B40" s="382"/>
      <c r="C40" s="223" t="s">
        <v>353</v>
      </c>
      <c r="D40" s="223" t="s">
        <v>453</v>
      </c>
      <c r="E40" s="223">
        <v>0.4</v>
      </c>
      <c r="F40" s="224">
        <f>E40*F38</f>
        <v>2.6080000000000005</v>
      </c>
      <c r="G40" s="223"/>
      <c r="H40" s="223"/>
      <c r="I40" s="223"/>
      <c r="J40" s="223"/>
      <c r="K40" s="452"/>
      <c r="L40" s="452"/>
      <c r="M40" s="452">
        <f>L40</f>
        <v>0</v>
      </c>
    </row>
    <row r="41" spans="1:13" ht="13.5">
      <c r="A41" s="216">
        <f t="shared" si="1"/>
        <v>6.299999999999999</v>
      </c>
      <c r="B41" s="382"/>
      <c r="C41" s="382" t="s">
        <v>454</v>
      </c>
      <c r="D41" s="382" t="s">
        <v>22</v>
      </c>
      <c r="E41" s="382"/>
      <c r="F41" s="383">
        <f>16*3*100/5</f>
        <v>960</v>
      </c>
      <c r="G41" s="453"/>
      <c r="H41" s="454"/>
      <c r="I41" s="155"/>
      <c r="J41" s="336"/>
      <c r="K41" s="155"/>
      <c r="L41" s="155"/>
      <c r="M41" s="425">
        <f>H41</f>
        <v>0</v>
      </c>
    </row>
    <row r="42" spans="1:13" ht="13.5">
      <c r="A42" s="216">
        <f t="shared" si="1"/>
        <v>6.399999999999999</v>
      </c>
      <c r="B42" s="382"/>
      <c r="C42" s="382" t="s">
        <v>405</v>
      </c>
      <c r="D42" s="382" t="s">
        <v>373</v>
      </c>
      <c r="E42" s="382"/>
      <c r="F42" s="383">
        <f>32+3</f>
        <v>35</v>
      </c>
      <c r="G42" s="453"/>
      <c r="H42" s="454"/>
      <c r="I42" s="155"/>
      <c r="J42" s="336"/>
      <c r="K42" s="155"/>
      <c r="L42" s="155"/>
      <c r="M42" s="425">
        <f>H42</f>
        <v>0</v>
      </c>
    </row>
    <row r="43" spans="1:13" ht="13.5">
      <c r="A43" s="216">
        <f t="shared" si="1"/>
        <v>6.499999999999998</v>
      </c>
      <c r="B43" s="382"/>
      <c r="C43" s="382" t="s">
        <v>108</v>
      </c>
      <c r="D43" s="382" t="s">
        <v>22</v>
      </c>
      <c r="E43" s="382">
        <v>0.15</v>
      </c>
      <c r="F43" s="383">
        <f>E43*F38</f>
        <v>0.978</v>
      </c>
      <c r="G43" s="453"/>
      <c r="H43" s="454"/>
      <c r="I43" s="155"/>
      <c r="J43" s="336"/>
      <c r="K43" s="155"/>
      <c r="L43" s="155"/>
      <c r="M43" s="425">
        <f>H43</f>
        <v>0</v>
      </c>
    </row>
    <row r="44" spans="1:13" ht="13.5">
      <c r="A44" s="216">
        <f t="shared" si="1"/>
        <v>6.599999999999998</v>
      </c>
      <c r="B44" s="382"/>
      <c r="C44" s="382" t="s">
        <v>352</v>
      </c>
      <c r="D44" s="382" t="s">
        <v>32</v>
      </c>
      <c r="E44" s="382">
        <v>1.5</v>
      </c>
      <c r="F44" s="384">
        <f>E44*F38</f>
        <v>9.780000000000001</v>
      </c>
      <c r="G44" s="453"/>
      <c r="H44" s="454"/>
      <c r="I44" s="155"/>
      <c r="J44" s="336"/>
      <c r="K44" s="155"/>
      <c r="L44" s="155"/>
      <c r="M44" s="425">
        <f>H44</f>
        <v>0</v>
      </c>
    </row>
    <row r="45" spans="1:13" ht="51">
      <c r="A45" s="97" t="s">
        <v>18</v>
      </c>
      <c r="B45" s="113" t="s">
        <v>186</v>
      </c>
      <c r="C45" s="113" t="s">
        <v>369</v>
      </c>
      <c r="D45" s="113" t="s">
        <v>156</v>
      </c>
      <c r="E45" s="280"/>
      <c r="F45" s="391">
        <f>204*0.1/1000</f>
        <v>0.0204</v>
      </c>
      <c r="G45" s="280"/>
      <c r="H45" s="155"/>
      <c r="I45" s="155"/>
      <c r="J45" s="336"/>
      <c r="K45" s="155"/>
      <c r="L45" s="155"/>
      <c r="M45" s="411">
        <f>SUM(M46:M50)</f>
        <v>0</v>
      </c>
    </row>
    <row r="46" spans="1:13" ht="13.5">
      <c r="A46" s="203">
        <f>A45+0.1</f>
        <v>7.1</v>
      </c>
      <c r="B46" s="114"/>
      <c r="C46" s="202" t="s">
        <v>170</v>
      </c>
      <c r="D46" s="202" t="s">
        <v>11</v>
      </c>
      <c r="E46" s="202">
        <v>190</v>
      </c>
      <c r="F46" s="204">
        <f>E46*F45</f>
        <v>3.8760000000000003</v>
      </c>
      <c r="G46" s="155"/>
      <c r="H46" s="155"/>
      <c r="I46" s="408"/>
      <c r="J46" s="455"/>
      <c r="K46" s="155"/>
      <c r="L46" s="155"/>
      <c r="M46" s="455">
        <f>J46</f>
        <v>0</v>
      </c>
    </row>
    <row r="47" spans="1:13" ht="12.75">
      <c r="A47" s="114">
        <f>A46+0.1</f>
        <v>7.199999999999999</v>
      </c>
      <c r="B47" s="187"/>
      <c r="C47" s="187" t="s">
        <v>190</v>
      </c>
      <c r="D47" s="187" t="s">
        <v>33</v>
      </c>
      <c r="E47" s="221">
        <v>112</v>
      </c>
      <c r="F47" s="207">
        <f>F45*E47</f>
        <v>2.2848</v>
      </c>
      <c r="G47" s="155"/>
      <c r="H47" s="155"/>
      <c r="I47" s="155"/>
      <c r="J47" s="336"/>
      <c r="K47" s="428"/>
      <c r="L47" s="428"/>
      <c r="M47" s="428">
        <f>L47</f>
        <v>0</v>
      </c>
    </row>
    <row r="48" spans="1:13" ht="12.75">
      <c r="A48" s="114">
        <f>A47+0.1</f>
        <v>7.299999999999999</v>
      </c>
      <c r="B48" s="187"/>
      <c r="C48" s="187" t="s">
        <v>187</v>
      </c>
      <c r="D48" s="187" t="s">
        <v>32</v>
      </c>
      <c r="E48" s="221">
        <v>20</v>
      </c>
      <c r="F48" s="207">
        <f>F45*E48</f>
        <v>0.40800000000000003</v>
      </c>
      <c r="G48" s="155"/>
      <c r="H48" s="155"/>
      <c r="I48" s="155"/>
      <c r="J48" s="336"/>
      <c r="K48" s="428"/>
      <c r="L48" s="428"/>
      <c r="M48" s="428">
        <f>L48</f>
        <v>0</v>
      </c>
    </row>
    <row r="49" spans="1:13" ht="12.75">
      <c r="A49" s="203">
        <f>A48+0.1</f>
        <v>7.399999999999999</v>
      </c>
      <c r="B49" s="113"/>
      <c r="C49" s="114" t="s">
        <v>119</v>
      </c>
      <c r="D49" s="114" t="s">
        <v>14</v>
      </c>
      <c r="E49" s="327">
        <v>40</v>
      </c>
      <c r="F49" s="210">
        <f>F45*E49</f>
        <v>0.8160000000000001</v>
      </c>
      <c r="G49" s="414"/>
      <c r="H49" s="414"/>
      <c r="I49" s="155"/>
      <c r="J49" s="336"/>
      <c r="K49" s="155"/>
      <c r="L49" s="155"/>
      <c r="M49" s="414">
        <f>H49</f>
        <v>0</v>
      </c>
    </row>
    <row r="50" spans="1:13" ht="12.75">
      <c r="A50" s="203">
        <f>A49+0.1</f>
        <v>7.499999999999998</v>
      </c>
      <c r="B50" s="114"/>
      <c r="C50" s="114" t="s">
        <v>478</v>
      </c>
      <c r="D50" s="114" t="s">
        <v>14</v>
      </c>
      <c r="E50" s="327">
        <v>1220</v>
      </c>
      <c r="F50" s="210">
        <f>E50*F45</f>
        <v>24.888</v>
      </c>
      <c r="G50" s="414"/>
      <c r="H50" s="414"/>
      <c r="I50" s="155"/>
      <c r="J50" s="336"/>
      <c r="K50" s="155"/>
      <c r="L50" s="155"/>
      <c r="M50" s="414">
        <f>H50</f>
        <v>0</v>
      </c>
    </row>
    <row r="51" spans="1:13" ht="12.75">
      <c r="A51" s="4"/>
      <c r="B51" s="133"/>
      <c r="C51" s="313" t="s">
        <v>457</v>
      </c>
      <c r="D51" s="133"/>
      <c r="E51" s="133"/>
      <c r="F51" s="267"/>
      <c r="G51" s="133"/>
      <c r="H51" s="133"/>
      <c r="I51" s="133"/>
      <c r="J51" s="267"/>
      <c r="K51" s="133"/>
      <c r="L51" s="133"/>
      <c r="M51" s="457"/>
    </row>
    <row r="52" spans="1:13" ht="51">
      <c r="A52" s="97" t="s">
        <v>9</v>
      </c>
      <c r="B52" s="113" t="s">
        <v>155</v>
      </c>
      <c r="C52" s="113" t="s">
        <v>228</v>
      </c>
      <c r="D52" s="113" t="s">
        <v>156</v>
      </c>
      <c r="E52" s="280"/>
      <c r="F52" s="391">
        <f>12*0.6*0.6*1.15/1000</f>
        <v>0.004967999999999999</v>
      </c>
      <c r="G52" s="280"/>
      <c r="H52" s="155"/>
      <c r="I52" s="155"/>
      <c r="J52" s="336"/>
      <c r="K52" s="155"/>
      <c r="L52" s="155"/>
      <c r="M52" s="411">
        <f>SUM(M53:M54)</f>
        <v>0</v>
      </c>
    </row>
    <row r="53" spans="1:13" ht="13.5">
      <c r="A53" s="203">
        <f>A52+0.1</f>
        <v>1.1</v>
      </c>
      <c r="B53" s="113"/>
      <c r="C53" s="202" t="s">
        <v>140</v>
      </c>
      <c r="D53" s="202" t="s">
        <v>11</v>
      </c>
      <c r="E53" s="202">
        <v>16.5</v>
      </c>
      <c r="F53" s="204">
        <f>E53*F52</f>
        <v>0.08197199999999999</v>
      </c>
      <c r="G53" s="155"/>
      <c r="H53" s="155"/>
      <c r="I53" s="408"/>
      <c r="J53" s="455"/>
      <c r="K53" s="155"/>
      <c r="L53" s="155"/>
      <c r="M53" s="455">
        <f>J53</f>
        <v>0</v>
      </c>
    </row>
    <row r="54" spans="1:13" ht="12.75">
      <c r="A54" s="203">
        <f>A53+0.1</f>
        <v>1.2000000000000002</v>
      </c>
      <c r="B54" s="113"/>
      <c r="C54" s="187" t="s">
        <v>189</v>
      </c>
      <c r="D54" s="187" t="s">
        <v>33</v>
      </c>
      <c r="E54" s="221">
        <v>37</v>
      </c>
      <c r="F54" s="207">
        <f>E54*F52</f>
        <v>0.18381599999999998</v>
      </c>
      <c r="G54" s="155"/>
      <c r="H54" s="155"/>
      <c r="I54" s="155"/>
      <c r="J54" s="336"/>
      <c r="K54" s="428"/>
      <c r="L54" s="428"/>
      <c r="M54" s="428">
        <f>L54</f>
        <v>0</v>
      </c>
    </row>
    <row r="55" spans="1:14" ht="51">
      <c r="A55" s="97" t="s">
        <v>112</v>
      </c>
      <c r="B55" s="113" t="s">
        <v>186</v>
      </c>
      <c r="C55" s="113" t="s">
        <v>369</v>
      </c>
      <c r="D55" s="113" t="s">
        <v>156</v>
      </c>
      <c r="E55" s="280"/>
      <c r="F55" s="391">
        <f>12*0.1*0.5/1000</f>
        <v>0.0006000000000000001</v>
      </c>
      <c r="G55" s="280"/>
      <c r="H55" s="155"/>
      <c r="I55" s="155"/>
      <c r="J55" s="336"/>
      <c r="K55" s="155"/>
      <c r="L55" s="155"/>
      <c r="M55" s="411">
        <f>SUM(M56:M60)</f>
        <v>0</v>
      </c>
      <c r="N55" s="343"/>
    </row>
    <row r="56" spans="1:14" ht="13.5">
      <c r="A56" s="203">
        <f>A55+0.1</f>
        <v>2.1</v>
      </c>
      <c r="B56" s="114"/>
      <c r="C56" s="202" t="s">
        <v>170</v>
      </c>
      <c r="D56" s="202" t="s">
        <v>11</v>
      </c>
      <c r="E56" s="202">
        <v>190</v>
      </c>
      <c r="F56" s="204">
        <f>E56*F55</f>
        <v>0.114</v>
      </c>
      <c r="G56" s="155"/>
      <c r="H56" s="155"/>
      <c r="I56" s="408"/>
      <c r="J56" s="455"/>
      <c r="K56" s="155"/>
      <c r="L56" s="155"/>
      <c r="M56" s="455">
        <f>J56</f>
        <v>0</v>
      </c>
      <c r="N56" s="343"/>
    </row>
    <row r="57" spans="1:14" ht="12.75">
      <c r="A57" s="114">
        <f>A56+0.1</f>
        <v>2.2</v>
      </c>
      <c r="B57" s="187"/>
      <c r="C57" s="187" t="s">
        <v>190</v>
      </c>
      <c r="D57" s="187" t="s">
        <v>33</v>
      </c>
      <c r="E57" s="221">
        <v>112</v>
      </c>
      <c r="F57" s="207">
        <f>F55*E57</f>
        <v>0.06720000000000001</v>
      </c>
      <c r="G57" s="155"/>
      <c r="H57" s="155"/>
      <c r="I57" s="155"/>
      <c r="J57" s="336"/>
      <c r="K57" s="428"/>
      <c r="L57" s="428"/>
      <c r="M57" s="428">
        <f>L57</f>
        <v>0</v>
      </c>
      <c r="N57" s="343"/>
    </row>
    <row r="58" spans="1:14" ht="18" customHeight="1">
      <c r="A58" s="114">
        <f>A57+0.1</f>
        <v>2.3000000000000003</v>
      </c>
      <c r="B58" s="187"/>
      <c r="C58" s="187" t="s">
        <v>187</v>
      </c>
      <c r="D58" s="187" t="s">
        <v>32</v>
      </c>
      <c r="E58" s="221">
        <v>20</v>
      </c>
      <c r="F58" s="207">
        <f>F55*E58</f>
        <v>0.012</v>
      </c>
      <c r="G58" s="155"/>
      <c r="H58" s="155"/>
      <c r="I58" s="155"/>
      <c r="J58" s="336"/>
      <c r="K58" s="428"/>
      <c r="L58" s="428"/>
      <c r="M58" s="428">
        <f>L58</f>
        <v>0</v>
      </c>
      <c r="N58" s="343"/>
    </row>
    <row r="59" spans="1:14" ht="12.75">
      <c r="A59" s="203">
        <f>A58+0.1</f>
        <v>2.4000000000000004</v>
      </c>
      <c r="B59" s="113"/>
      <c r="C59" s="114" t="s">
        <v>119</v>
      </c>
      <c r="D59" s="114" t="s">
        <v>14</v>
      </c>
      <c r="E59" s="327">
        <v>40</v>
      </c>
      <c r="F59" s="210">
        <f>F55*E59</f>
        <v>0.024</v>
      </c>
      <c r="G59" s="414"/>
      <c r="H59" s="414"/>
      <c r="I59" s="155"/>
      <c r="J59" s="336"/>
      <c r="K59" s="155"/>
      <c r="L59" s="155"/>
      <c r="M59" s="414">
        <f>H59</f>
        <v>0</v>
      </c>
      <c r="N59" s="343"/>
    </row>
    <row r="60" spans="1:14" ht="12.75">
      <c r="A60" s="203">
        <f>A59+0.1</f>
        <v>2.5000000000000004</v>
      </c>
      <c r="B60" s="114"/>
      <c r="C60" s="114" t="s">
        <v>188</v>
      </c>
      <c r="D60" s="114" t="s">
        <v>14</v>
      </c>
      <c r="E60" s="327">
        <v>1220</v>
      </c>
      <c r="F60" s="210">
        <f>E60*F55</f>
        <v>0.7320000000000001</v>
      </c>
      <c r="G60" s="414"/>
      <c r="H60" s="414"/>
      <c r="I60" s="155"/>
      <c r="J60" s="336"/>
      <c r="K60" s="155"/>
      <c r="L60" s="155"/>
      <c r="M60" s="414">
        <f>H60</f>
        <v>0</v>
      </c>
      <c r="N60" s="343"/>
    </row>
    <row r="61" spans="1:14" ht="51">
      <c r="A61" s="97" t="s">
        <v>13</v>
      </c>
      <c r="B61" s="113" t="s">
        <v>162</v>
      </c>
      <c r="C61" s="113" t="s">
        <v>370</v>
      </c>
      <c r="D61" s="113" t="s">
        <v>137</v>
      </c>
      <c r="E61" s="280"/>
      <c r="F61" s="320">
        <f>12*0.4*0.3/100</f>
        <v>0.014400000000000001</v>
      </c>
      <c r="G61" s="280"/>
      <c r="H61" s="155"/>
      <c r="I61" s="155"/>
      <c r="J61" s="336"/>
      <c r="K61" s="155"/>
      <c r="L61" s="155"/>
      <c r="M61" s="411">
        <f>SUM(M62:M67)</f>
        <v>0</v>
      </c>
      <c r="N61" s="343"/>
    </row>
    <row r="62" spans="1:14" ht="13.5">
      <c r="A62" s="203">
        <f aca="true" t="shared" si="2" ref="A62:A67">A61+0.1</f>
        <v>3.1</v>
      </c>
      <c r="B62" s="114"/>
      <c r="C62" s="202" t="s">
        <v>166</v>
      </c>
      <c r="D62" s="202" t="s">
        <v>11</v>
      </c>
      <c r="E62" s="202">
        <v>28.6</v>
      </c>
      <c r="F62" s="204">
        <f>E62*F61</f>
        <v>0.41184000000000004</v>
      </c>
      <c r="G62" s="155"/>
      <c r="H62" s="155"/>
      <c r="I62" s="408"/>
      <c r="J62" s="455"/>
      <c r="K62" s="155"/>
      <c r="L62" s="155"/>
      <c r="M62" s="455">
        <f>J62</f>
        <v>0</v>
      </c>
      <c r="N62" s="343"/>
    </row>
    <row r="63" spans="1:14" ht="19.5" customHeight="1">
      <c r="A63" s="114">
        <f t="shared" si="2"/>
        <v>3.2</v>
      </c>
      <c r="B63" s="187"/>
      <c r="C63" s="187" t="s">
        <v>168</v>
      </c>
      <c r="D63" s="187" t="s">
        <v>32</v>
      </c>
      <c r="E63" s="221">
        <v>76</v>
      </c>
      <c r="F63" s="207">
        <f>F61*E63</f>
        <v>1.0944</v>
      </c>
      <c r="G63" s="155"/>
      <c r="H63" s="155"/>
      <c r="I63" s="155"/>
      <c r="J63" s="336"/>
      <c r="K63" s="428"/>
      <c r="L63" s="428"/>
      <c r="M63" s="428">
        <f>L63</f>
        <v>0</v>
      </c>
      <c r="N63" s="343"/>
    </row>
    <row r="64" spans="1:13" ht="12.75">
      <c r="A64" s="203">
        <f t="shared" si="2"/>
        <v>3.3000000000000003</v>
      </c>
      <c r="B64" s="114"/>
      <c r="C64" s="114" t="s">
        <v>254</v>
      </c>
      <c r="D64" s="114" t="s">
        <v>14</v>
      </c>
      <c r="E64" s="327">
        <v>102</v>
      </c>
      <c r="F64" s="210">
        <f>E64*F61</f>
        <v>1.4688</v>
      </c>
      <c r="G64" s="414"/>
      <c r="H64" s="414"/>
      <c r="I64" s="155"/>
      <c r="J64" s="336"/>
      <c r="K64" s="155"/>
      <c r="L64" s="155"/>
      <c r="M64" s="414">
        <f>H64</f>
        <v>0</v>
      </c>
    </row>
    <row r="65" spans="1:13" ht="12.75">
      <c r="A65" s="203">
        <f t="shared" si="2"/>
        <v>3.4000000000000004</v>
      </c>
      <c r="B65" s="114"/>
      <c r="C65" s="114" t="s">
        <v>371</v>
      </c>
      <c r="D65" s="114" t="s">
        <v>23</v>
      </c>
      <c r="E65" s="327">
        <v>80.3</v>
      </c>
      <c r="F65" s="210">
        <f>F61*E65</f>
        <v>1.15632</v>
      </c>
      <c r="G65" s="414"/>
      <c r="H65" s="414"/>
      <c r="I65" s="155"/>
      <c r="J65" s="336"/>
      <c r="K65" s="155"/>
      <c r="L65" s="155"/>
      <c r="M65" s="414">
        <f>H65</f>
        <v>0</v>
      </c>
    </row>
    <row r="66" spans="1:13" ht="12.75">
      <c r="A66" s="203">
        <f t="shared" si="2"/>
        <v>3.5000000000000004</v>
      </c>
      <c r="B66" s="114"/>
      <c r="C66" s="114" t="s">
        <v>141</v>
      </c>
      <c r="D66" s="114" t="s">
        <v>14</v>
      </c>
      <c r="E66" s="327">
        <v>0.39</v>
      </c>
      <c r="F66" s="210">
        <f>F61*E66</f>
        <v>0.005616</v>
      </c>
      <c r="G66" s="414"/>
      <c r="H66" s="414"/>
      <c r="I66" s="155"/>
      <c r="J66" s="336"/>
      <c r="K66" s="155"/>
      <c r="L66" s="155"/>
      <c r="M66" s="414">
        <f>H66</f>
        <v>0</v>
      </c>
    </row>
    <row r="67" spans="1:13" ht="12.75">
      <c r="A67" s="203">
        <f t="shared" si="2"/>
        <v>3.6000000000000005</v>
      </c>
      <c r="B67" s="114"/>
      <c r="C67" s="114" t="s">
        <v>24</v>
      </c>
      <c r="D67" s="114" t="s">
        <v>32</v>
      </c>
      <c r="E67" s="327">
        <v>13</v>
      </c>
      <c r="F67" s="210">
        <f>E67*F61</f>
        <v>0.1872</v>
      </c>
      <c r="G67" s="414"/>
      <c r="H67" s="414"/>
      <c r="I67" s="155"/>
      <c r="J67" s="336"/>
      <c r="K67" s="155"/>
      <c r="L67" s="155"/>
      <c r="M67" s="414">
        <f>H67</f>
        <v>0</v>
      </c>
    </row>
    <row r="68" spans="1:13" ht="38.25">
      <c r="A68" s="97" t="s">
        <v>15</v>
      </c>
      <c r="B68" s="113" t="s">
        <v>176</v>
      </c>
      <c r="C68" s="113" t="s">
        <v>374</v>
      </c>
      <c r="D68" s="113" t="s">
        <v>137</v>
      </c>
      <c r="E68" s="280"/>
      <c r="F68" s="320">
        <f>12*0.2*0.2/100</f>
        <v>0.004800000000000001</v>
      </c>
      <c r="G68" s="280"/>
      <c r="H68" s="155"/>
      <c r="I68" s="155"/>
      <c r="J68" s="336"/>
      <c r="K68" s="155"/>
      <c r="L68" s="155"/>
      <c r="M68" s="411">
        <f>SUM(M69:M77)</f>
        <v>0</v>
      </c>
    </row>
    <row r="69" spans="1:13" ht="13.5">
      <c r="A69" s="203">
        <f>A68+0.1</f>
        <v>4.1</v>
      </c>
      <c r="B69" s="114"/>
      <c r="C69" s="202" t="s">
        <v>140</v>
      </c>
      <c r="D69" s="202" t="s">
        <v>11</v>
      </c>
      <c r="E69" s="202">
        <f>854/1.35</f>
        <v>632.5925925925925</v>
      </c>
      <c r="F69" s="204">
        <f>E69*F68</f>
        <v>3.0364444444444447</v>
      </c>
      <c r="G69" s="338"/>
      <c r="H69" s="338"/>
      <c r="I69" s="408"/>
      <c r="J69" s="455"/>
      <c r="K69" s="338"/>
      <c r="L69" s="338"/>
      <c r="M69" s="455">
        <f>J69</f>
        <v>0</v>
      </c>
    </row>
    <row r="70" spans="1:13" ht="12.75">
      <c r="A70" s="114">
        <f>A69+0.1</f>
        <v>4.199999999999999</v>
      </c>
      <c r="B70" s="187"/>
      <c r="C70" s="187" t="s">
        <v>168</v>
      </c>
      <c r="D70" s="187" t="s">
        <v>32</v>
      </c>
      <c r="E70" s="221">
        <v>105</v>
      </c>
      <c r="F70" s="207">
        <f>E70*F68</f>
        <v>0.5040000000000001</v>
      </c>
      <c r="G70" s="155"/>
      <c r="H70" s="155"/>
      <c r="I70" s="155"/>
      <c r="J70" s="336"/>
      <c r="K70" s="428"/>
      <c r="L70" s="428"/>
      <c r="M70" s="428">
        <f>L70</f>
        <v>0</v>
      </c>
    </row>
    <row r="71" spans="1:13" ht="12.75">
      <c r="A71" s="203">
        <f aca="true" t="shared" si="3" ref="A71:A77">A70+0.1</f>
        <v>4.299999999999999</v>
      </c>
      <c r="B71" s="114"/>
      <c r="C71" s="114" t="s">
        <v>375</v>
      </c>
      <c r="D71" s="114" t="s">
        <v>14</v>
      </c>
      <c r="E71" s="327">
        <v>101.5</v>
      </c>
      <c r="F71" s="210">
        <f>F68*E71</f>
        <v>0.48720000000000013</v>
      </c>
      <c r="G71" s="414"/>
      <c r="H71" s="414"/>
      <c r="I71" s="155"/>
      <c r="J71" s="336"/>
      <c r="K71" s="155"/>
      <c r="L71" s="155"/>
      <c r="M71" s="414">
        <f>H71</f>
        <v>0</v>
      </c>
    </row>
    <row r="72" spans="1:13" ht="12.75">
      <c r="A72" s="203">
        <f t="shared" si="3"/>
        <v>4.399999999999999</v>
      </c>
      <c r="B72" s="114"/>
      <c r="C72" s="114" t="s">
        <v>167</v>
      </c>
      <c r="D72" s="114" t="s">
        <v>23</v>
      </c>
      <c r="E72" s="327">
        <v>80.3</v>
      </c>
      <c r="F72" s="210">
        <f>E72*F68</f>
        <v>0.3854400000000001</v>
      </c>
      <c r="G72" s="414"/>
      <c r="H72" s="414"/>
      <c r="I72" s="155"/>
      <c r="J72" s="336"/>
      <c r="K72" s="155"/>
      <c r="L72" s="155"/>
      <c r="M72" s="414">
        <f aca="true" t="shared" si="4" ref="M72:M77">H72</f>
        <v>0</v>
      </c>
    </row>
    <row r="73" spans="1:13" ht="12.75">
      <c r="A73" s="203">
        <f t="shared" si="3"/>
        <v>4.499999999999998</v>
      </c>
      <c r="B73" s="114"/>
      <c r="C73" s="114" t="s">
        <v>160</v>
      </c>
      <c r="D73" s="114" t="s">
        <v>14</v>
      </c>
      <c r="E73" s="327">
        <v>1.45</v>
      </c>
      <c r="F73" s="210">
        <f>E73*F68</f>
        <v>0.006960000000000002</v>
      </c>
      <c r="G73" s="414"/>
      <c r="H73" s="414"/>
      <c r="I73" s="155"/>
      <c r="J73" s="336"/>
      <c r="K73" s="155"/>
      <c r="L73" s="155"/>
      <c r="M73" s="414">
        <f t="shared" si="4"/>
        <v>0</v>
      </c>
    </row>
    <row r="74" spans="1:13" ht="12.75">
      <c r="A74" s="203">
        <f t="shared" si="3"/>
        <v>4.599999999999998</v>
      </c>
      <c r="B74" s="114"/>
      <c r="C74" s="114" t="s">
        <v>108</v>
      </c>
      <c r="D74" s="114" t="s">
        <v>22</v>
      </c>
      <c r="E74" s="327">
        <v>2.5</v>
      </c>
      <c r="F74" s="210">
        <f>E74*F68</f>
        <v>0.012000000000000004</v>
      </c>
      <c r="G74" s="414"/>
      <c r="H74" s="414"/>
      <c r="I74" s="155"/>
      <c r="J74" s="336"/>
      <c r="K74" s="155"/>
      <c r="L74" s="155"/>
      <c r="M74" s="414">
        <f t="shared" si="4"/>
        <v>0</v>
      </c>
    </row>
    <row r="75" spans="1:13" ht="12.75">
      <c r="A75" s="203">
        <f t="shared" si="3"/>
        <v>4.6999999999999975</v>
      </c>
      <c r="B75" s="114"/>
      <c r="C75" s="114" t="s">
        <v>259</v>
      </c>
      <c r="D75" s="114" t="s">
        <v>19</v>
      </c>
      <c r="E75" s="327"/>
      <c r="F75" s="210">
        <f>37*4*1.15*0.222/1000</f>
        <v>0.037784399999999996</v>
      </c>
      <c r="G75" s="414"/>
      <c r="H75" s="414"/>
      <c r="I75" s="155"/>
      <c r="J75" s="336"/>
      <c r="K75" s="155"/>
      <c r="L75" s="155"/>
      <c r="M75" s="414">
        <f t="shared" si="4"/>
        <v>0</v>
      </c>
    </row>
    <row r="76" spans="1:13" ht="12.75">
      <c r="A76" s="203">
        <f t="shared" si="3"/>
        <v>4.799999999999997</v>
      </c>
      <c r="B76" s="114"/>
      <c r="C76" s="114" t="s">
        <v>260</v>
      </c>
      <c r="D76" s="114" t="s">
        <v>19</v>
      </c>
      <c r="E76" s="327"/>
      <c r="F76" s="210">
        <f>37*4*0.89/1000</f>
        <v>0.13172</v>
      </c>
      <c r="G76" s="414"/>
      <c r="H76" s="414"/>
      <c r="I76" s="155"/>
      <c r="J76" s="336"/>
      <c r="K76" s="155"/>
      <c r="L76" s="155"/>
      <c r="M76" s="414">
        <f t="shared" si="4"/>
        <v>0</v>
      </c>
    </row>
    <row r="77" spans="1:13" ht="12.75">
      <c r="A77" s="203">
        <f t="shared" si="3"/>
        <v>4.899999999999997</v>
      </c>
      <c r="B77" s="114"/>
      <c r="C77" s="114" t="s">
        <v>177</v>
      </c>
      <c r="D77" s="114" t="s">
        <v>32</v>
      </c>
      <c r="E77" s="327">
        <v>74</v>
      </c>
      <c r="F77" s="210">
        <f>E77*F68</f>
        <v>0.35520000000000007</v>
      </c>
      <c r="G77" s="414"/>
      <c r="H77" s="414"/>
      <c r="I77" s="155"/>
      <c r="J77" s="336"/>
      <c r="K77" s="155"/>
      <c r="L77" s="155"/>
      <c r="M77" s="414">
        <f t="shared" si="4"/>
        <v>0</v>
      </c>
    </row>
    <row r="78" spans="1:13" ht="25.5">
      <c r="A78" s="6">
        <v>5</v>
      </c>
      <c r="B78" s="6" t="s">
        <v>256</v>
      </c>
      <c r="C78" s="6" t="s">
        <v>376</v>
      </c>
      <c r="D78" s="328" t="s">
        <v>257</v>
      </c>
      <c r="E78" s="115"/>
      <c r="F78" s="200">
        <f>F85*0.6</f>
        <v>7.199999999999999</v>
      </c>
      <c r="G78" s="115"/>
      <c r="H78" s="155"/>
      <c r="I78" s="155"/>
      <c r="J78" s="336"/>
      <c r="K78" s="155"/>
      <c r="L78" s="155"/>
      <c r="M78" s="411">
        <f>SUM(M79:M82)</f>
        <v>0</v>
      </c>
    </row>
    <row r="79" spans="1:13" ht="13.5">
      <c r="A79" s="4">
        <f>A78+0.1</f>
        <v>5.1</v>
      </c>
      <c r="B79" s="326"/>
      <c r="C79" s="4" t="s">
        <v>194</v>
      </c>
      <c r="D79" s="314" t="s">
        <v>11</v>
      </c>
      <c r="E79" s="315">
        <f>0.15</f>
        <v>0.15</v>
      </c>
      <c r="F79" s="316">
        <f>F78*E79</f>
        <v>1.0799999999999998</v>
      </c>
      <c r="G79" s="155"/>
      <c r="H79" s="155"/>
      <c r="I79" s="408"/>
      <c r="J79" s="455"/>
      <c r="K79" s="155"/>
      <c r="L79" s="155"/>
      <c r="M79" s="455">
        <f>J79</f>
        <v>0</v>
      </c>
    </row>
    <row r="80" spans="1:13" ht="12.75">
      <c r="A80" s="4">
        <f>A79+0.1</f>
        <v>5.199999999999999</v>
      </c>
      <c r="B80" s="4"/>
      <c r="C80" s="4" t="s">
        <v>172</v>
      </c>
      <c r="D80" s="317" t="s">
        <v>195</v>
      </c>
      <c r="E80" s="318">
        <f>1.38/100</f>
        <v>0.0138</v>
      </c>
      <c r="F80" s="319">
        <f>F78*E80</f>
        <v>0.09935999999999999</v>
      </c>
      <c r="G80" s="155"/>
      <c r="H80" s="155"/>
      <c r="I80" s="155"/>
      <c r="J80" s="336"/>
      <c r="K80" s="451"/>
      <c r="L80" s="451"/>
      <c r="M80" s="428">
        <f>L80</f>
        <v>0</v>
      </c>
    </row>
    <row r="81" spans="1:13" ht="12.75">
      <c r="A81" s="4">
        <f>A80+0.1</f>
        <v>5.299999999999999</v>
      </c>
      <c r="B81" s="4"/>
      <c r="C81" s="4" t="s">
        <v>377</v>
      </c>
      <c r="D81" s="329" t="s">
        <v>22</v>
      </c>
      <c r="E81" s="116">
        <f>1*1.15*0.04*0.8</f>
        <v>0.0368</v>
      </c>
      <c r="F81" s="210">
        <f>F78*E81</f>
        <v>0.26496</v>
      </c>
      <c r="G81" s="414"/>
      <c r="H81" s="414"/>
      <c r="I81" s="155"/>
      <c r="J81" s="336"/>
      <c r="K81" s="155"/>
      <c r="L81" s="155"/>
      <c r="M81" s="458"/>
    </row>
    <row r="82" spans="1:13" ht="12.75">
      <c r="A82" s="4">
        <f>A81+0.1</f>
        <v>5.399999999999999</v>
      </c>
      <c r="B82" s="4"/>
      <c r="C82" s="4" t="s">
        <v>197</v>
      </c>
      <c r="D82" s="4" t="s">
        <v>195</v>
      </c>
      <c r="E82" s="116">
        <v>0.019</v>
      </c>
      <c r="F82" s="210">
        <f>F78*E82</f>
        <v>0.13679999999999998</v>
      </c>
      <c r="G82" s="414"/>
      <c r="H82" s="414"/>
      <c r="I82" s="155"/>
      <c r="J82" s="336"/>
      <c r="K82" s="155"/>
      <c r="L82" s="155"/>
      <c r="M82" s="458"/>
    </row>
    <row r="83" spans="1:13" ht="38.25">
      <c r="A83" s="339">
        <v>6</v>
      </c>
      <c r="B83" s="117" t="s">
        <v>341</v>
      </c>
      <c r="C83" s="113" t="s">
        <v>342</v>
      </c>
      <c r="D83" s="113" t="s">
        <v>137</v>
      </c>
      <c r="E83" s="280"/>
      <c r="F83" s="200">
        <f>F52*10</f>
        <v>0.049679999999999995</v>
      </c>
      <c r="G83" s="280"/>
      <c r="H83" s="155"/>
      <c r="I83" s="155"/>
      <c r="J83" s="336"/>
      <c r="K83" s="155"/>
      <c r="L83" s="155"/>
      <c r="M83" s="411">
        <f>SUM(M84)</f>
        <v>0</v>
      </c>
    </row>
    <row r="84" spans="1:13" ht="13.5">
      <c r="A84" s="114">
        <f>A83+0.1</f>
        <v>6.1</v>
      </c>
      <c r="B84" s="340"/>
      <c r="C84" s="340" t="s">
        <v>166</v>
      </c>
      <c r="D84" s="340" t="s">
        <v>11</v>
      </c>
      <c r="E84" s="341">
        <v>13.915</v>
      </c>
      <c r="F84" s="316">
        <f>F83*E84</f>
        <v>0.6912971999999998</v>
      </c>
      <c r="G84" s="155"/>
      <c r="H84" s="155"/>
      <c r="I84" s="408"/>
      <c r="J84" s="455"/>
      <c r="K84" s="155"/>
      <c r="L84" s="155"/>
      <c r="M84" s="455">
        <f>J84</f>
        <v>0</v>
      </c>
    </row>
    <row r="85" spans="1:13" ht="76.5">
      <c r="A85" s="198">
        <v>7</v>
      </c>
      <c r="B85" s="323" t="s">
        <v>378</v>
      </c>
      <c r="C85" s="323" t="s">
        <v>496</v>
      </c>
      <c r="D85" s="323" t="s">
        <v>205</v>
      </c>
      <c r="E85" s="324"/>
      <c r="F85" s="324">
        <v>12</v>
      </c>
      <c r="G85" s="342"/>
      <c r="H85" s="155"/>
      <c r="I85" s="155"/>
      <c r="J85" s="336"/>
      <c r="K85" s="155"/>
      <c r="L85" s="155"/>
      <c r="M85" s="411">
        <f>SUM(M86:M90)</f>
        <v>0</v>
      </c>
    </row>
    <row r="86" spans="1:13" ht="13.5">
      <c r="A86" s="203">
        <f>A85+0.1</f>
        <v>7.1</v>
      </c>
      <c r="B86" s="114"/>
      <c r="C86" s="202" t="s">
        <v>140</v>
      </c>
      <c r="D86" s="202" t="s">
        <v>11</v>
      </c>
      <c r="E86" s="202">
        <v>1.5</v>
      </c>
      <c r="F86" s="204">
        <f>E86*F85</f>
        <v>18</v>
      </c>
      <c r="G86" s="155"/>
      <c r="H86" s="155"/>
      <c r="I86" s="408"/>
      <c r="J86" s="455"/>
      <c r="K86" s="155"/>
      <c r="L86" s="155"/>
      <c r="M86" s="455">
        <f>J86</f>
        <v>0</v>
      </c>
    </row>
    <row r="87" spans="1:13" ht="12.75">
      <c r="A87" s="114">
        <f>A86+0.1</f>
        <v>7.199999999999999</v>
      </c>
      <c r="B87" s="187"/>
      <c r="C87" s="187" t="s">
        <v>168</v>
      </c>
      <c r="D87" s="187" t="s">
        <v>32</v>
      </c>
      <c r="E87" s="221">
        <v>0.4</v>
      </c>
      <c r="F87" s="207">
        <f>E87*F85</f>
        <v>4.800000000000001</v>
      </c>
      <c r="G87" s="155"/>
      <c r="H87" s="155"/>
      <c r="I87" s="155"/>
      <c r="J87" s="336"/>
      <c r="K87" s="428"/>
      <c r="L87" s="428"/>
      <c r="M87" s="428">
        <f>L87</f>
        <v>0</v>
      </c>
    </row>
    <row r="88" spans="1:13" ht="13.5">
      <c r="A88" s="203">
        <f>A87+0.1</f>
        <v>7.299999999999999</v>
      </c>
      <c r="B88" s="114"/>
      <c r="C88" s="114" t="s">
        <v>379</v>
      </c>
      <c r="D88" s="114" t="s">
        <v>205</v>
      </c>
      <c r="E88" s="327">
        <v>1</v>
      </c>
      <c r="F88" s="210">
        <f>F85*E88</f>
        <v>12</v>
      </c>
      <c r="G88" s="414"/>
      <c r="H88" s="414"/>
      <c r="I88" s="155"/>
      <c r="J88" s="336"/>
      <c r="K88" s="155"/>
      <c r="L88" s="155"/>
      <c r="M88" s="403">
        <f>H88</f>
        <v>0</v>
      </c>
    </row>
    <row r="89" spans="1:13" ht="13.5">
      <c r="A89" s="203">
        <f>A88+0.1</f>
        <v>7.399999999999999</v>
      </c>
      <c r="B89" s="114"/>
      <c r="C89" s="114" t="s">
        <v>380</v>
      </c>
      <c r="D89" s="114" t="s">
        <v>22</v>
      </c>
      <c r="E89" s="327">
        <v>1.25</v>
      </c>
      <c r="F89" s="210">
        <f>E89*F85</f>
        <v>15</v>
      </c>
      <c r="G89" s="414"/>
      <c r="H89" s="414"/>
      <c r="I89" s="155"/>
      <c r="J89" s="336"/>
      <c r="K89" s="155"/>
      <c r="L89" s="155"/>
      <c r="M89" s="403">
        <f>H89</f>
        <v>0</v>
      </c>
    </row>
    <row r="90" spans="1:13" ht="13.5">
      <c r="A90" s="203">
        <f>A89+0.1</f>
        <v>7.499999999999998</v>
      </c>
      <c r="B90" s="114"/>
      <c r="C90" s="114" t="s">
        <v>177</v>
      </c>
      <c r="D90" s="114" t="s">
        <v>32</v>
      </c>
      <c r="E90" s="327">
        <v>0.5</v>
      </c>
      <c r="F90" s="210">
        <f>E90*F85</f>
        <v>6</v>
      </c>
      <c r="G90" s="414"/>
      <c r="H90" s="414"/>
      <c r="I90" s="155"/>
      <c r="J90" s="336"/>
      <c r="K90" s="155"/>
      <c r="L90" s="155"/>
      <c r="M90" s="403">
        <f>H90</f>
        <v>0</v>
      </c>
    </row>
    <row r="91" spans="1:13" ht="38.25">
      <c r="A91" s="97" t="s">
        <v>20</v>
      </c>
      <c r="B91" s="113" t="s">
        <v>378</v>
      </c>
      <c r="C91" s="113" t="s">
        <v>477</v>
      </c>
      <c r="D91" s="113" t="s">
        <v>205</v>
      </c>
      <c r="E91" s="280"/>
      <c r="F91" s="320">
        <v>14</v>
      </c>
      <c r="G91" s="280"/>
      <c r="H91" s="155"/>
      <c r="I91" s="155"/>
      <c r="J91" s="336"/>
      <c r="K91" s="155"/>
      <c r="L91" s="155"/>
      <c r="M91" s="411">
        <f>SUM(M92:M97)</f>
        <v>0</v>
      </c>
    </row>
    <row r="92" spans="1:13" ht="12.75">
      <c r="A92" s="203">
        <f aca="true" t="shared" si="5" ref="A92:A97">A91+0.1</f>
        <v>8.1</v>
      </c>
      <c r="B92" s="114"/>
      <c r="C92" s="202" t="s">
        <v>140</v>
      </c>
      <c r="D92" s="202" t="s">
        <v>11</v>
      </c>
      <c r="E92" s="202">
        <v>0.5</v>
      </c>
      <c r="F92" s="204">
        <f>E92*F91</f>
        <v>7</v>
      </c>
      <c r="G92" s="338"/>
      <c r="H92" s="338"/>
      <c r="I92" s="404"/>
      <c r="J92" s="455"/>
      <c r="K92" s="338"/>
      <c r="L92" s="338"/>
      <c r="M92" s="455">
        <f>J92</f>
        <v>0</v>
      </c>
    </row>
    <row r="93" spans="1:13" ht="12.75">
      <c r="A93" s="114">
        <f t="shared" si="5"/>
        <v>8.2</v>
      </c>
      <c r="B93" s="187"/>
      <c r="C93" s="187" t="s">
        <v>168</v>
      </c>
      <c r="D93" s="187" t="s">
        <v>32</v>
      </c>
      <c r="E93" s="221">
        <v>0.1</v>
      </c>
      <c r="F93" s="207">
        <f>E93*F91</f>
        <v>1.4000000000000001</v>
      </c>
      <c r="G93" s="155"/>
      <c r="H93" s="155"/>
      <c r="I93" s="155"/>
      <c r="J93" s="336"/>
      <c r="K93" s="428"/>
      <c r="L93" s="428"/>
      <c r="M93" s="428">
        <f>L93</f>
        <v>0</v>
      </c>
    </row>
    <row r="94" spans="1:17" ht="15" customHeight="1">
      <c r="A94" s="203">
        <f t="shared" si="5"/>
        <v>8.299999999999999</v>
      </c>
      <c r="B94" s="114"/>
      <c r="C94" s="114" t="s">
        <v>495</v>
      </c>
      <c r="D94" s="114" t="s">
        <v>14</v>
      </c>
      <c r="E94" s="327">
        <f>0.3*0.4</f>
        <v>0.12</v>
      </c>
      <c r="F94" s="210">
        <f>F91*E94</f>
        <v>1.68</v>
      </c>
      <c r="G94" s="414"/>
      <c r="H94" s="414"/>
      <c r="I94" s="155"/>
      <c r="J94" s="336"/>
      <c r="K94" s="155"/>
      <c r="L94" s="155"/>
      <c r="M94" s="414">
        <f>H94</f>
        <v>0</v>
      </c>
      <c r="Q94" s="50"/>
    </row>
    <row r="95" spans="1:13" ht="12.75">
      <c r="A95" s="203">
        <f t="shared" si="5"/>
        <v>8.399999999999999</v>
      </c>
      <c r="B95" s="114"/>
      <c r="C95" s="114" t="s">
        <v>167</v>
      </c>
      <c r="D95" s="114" t="s">
        <v>23</v>
      </c>
      <c r="E95" s="327">
        <v>0.4</v>
      </c>
      <c r="F95" s="210">
        <f>E95*F91</f>
        <v>5.6000000000000005</v>
      </c>
      <c r="G95" s="414"/>
      <c r="H95" s="414"/>
      <c r="I95" s="155"/>
      <c r="J95" s="336"/>
      <c r="K95" s="155"/>
      <c r="L95" s="155"/>
      <c r="M95" s="414">
        <f>H95</f>
        <v>0</v>
      </c>
    </row>
    <row r="96" spans="1:13" ht="12.75">
      <c r="A96" s="203">
        <f t="shared" si="5"/>
        <v>8.499999999999998</v>
      </c>
      <c r="B96" s="114"/>
      <c r="C96" s="114" t="s">
        <v>160</v>
      </c>
      <c r="D96" s="114" t="s">
        <v>14</v>
      </c>
      <c r="E96" s="327">
        <v>0.0014</v>
      </c>
      <c r="F96" s="210">
        <f>E96*F91</f>
        <v>0.0196</v>
      </c>
      <c r="G96" s="414"/>
      <c r="H96" s="414"/>
      <c r="I96" s="155"/>
      <c r="J96" s="336"/>
      <c r="K96" s="155"/>
      <c r="L96" s="155"/>
      <c r="M96" s="414">
        <f>H96</f>
        <v>0</v>
      </c>
    </row>
    <row r="97" spans="1:13" ht="12.75">
      <c r="A97" s="203">
        <f t="shared" si="5"/>
        <v>8.599999999999998</v>
      </c>
      <c r="B97" s="114"/>
      <c r="C97" s="114" t="s">
        <v>177</v>
      </c>
      <c r="D97" s="114" t="s">
        <v>32</v>
      </c>
      <c r="E97" s="327">
        <v>0.007</v>
      </c>
      <c r="F97" s="210">
        <f>E97*F91</f>
        <v>0.098</v>
      </c>
      <c r="G97" s="414"/>
      <c r="H97" s="414"/>
      <c r="I97" s="155"/>
      <c r="J97" s="336"/>
      <c r="K97" s="155"/>
      <c r="L97" s="155"/>
      <c r="M97" s="414">
        <f>H97</f>
        <v>0</v>
      </c>
    </row>
    <row r="98" spans="1:13" ht="13.5">
      <c r="A98" s="7"/>
      <c r="B98" s="345"/>
      <c r="C98" s="7" t="s">
        <v>247</v>
      </c>
      <c r="D98" s="7" t="s">
        <v>32</v>
      </c>
      <c r="E98" s="27"/>
      <c r="F98" s="79"/>
      <c r="G98" s="27"/>
      <c r="H98" s="414"/>
      <c r="I98" s="156"/>
      <c r="J98" s="455"/>
      <c r="K98" s="156"/>
      <c r="L98" s="451"/>
      <c r="M98" s="406">
        <f>M102</f>
        <v>0</v>
      </c>
    </row>
    <row r="99" spans="1:13" ht="13.5">
      <c r="A99" s="5"/>
      <c r="B99" s="5"/>
      <c r="C99" s="5" t="s">
        <v>248</v>
      </c>
      <c r="D99" s="5" t="s">
        <v>32</v>
      </c>
      <c r="E99" s="13"/>
      <c r="F99" s="78"/>
      <c r="G99" s="13"/>
      <c r="H99" s="156"/>
      <c r="I99" s="156"/>
      <c r="J99" s="333"/>
      <c r="K99" s="156"/>
      <c r="L99" s="156"/>
      <c r="M99" s="450">
        <f>J98</f>
        <v>0</v>
      </c>
    </row>
    <row r="100" spans="1:13" ht="13.5">
      <c r="A100" s="5"/>
      <c r="B100" s="5"/>
      <c r="C100" s="5" t="s">
        <v>249</v>
      </c>
      <c r="D100" s="5" t="s">
        <v>32</v>
      </c>
      <c r="E100" s="13"/>
      <c r="F100" s="78"/>
      <c r="G100" s="13"/>
      <c r="H100" s="156"/>
      <c r="I100" s="156"/>
      <c r="J100" s="333"/>
      <c r="K100" s="156"/>
      <c r="L100" s="156"/>
      <c r="M100" s="452">
        <f>L98</f>
        <v>0</v>
      </c>
    </row>
    <row r="101" spans="1:13" ht="13.5">
      <c r="A101" s="5"/>
      <c r="B101" s="5"/>
      <c r="C101" s="5" t="s">
        <v>250</v>
      </c>
      <c r="D101" s="5" t="s">
        <v>32</v>
      </c>
      <c r="E101" s="13"/>
      <c r="F101" s="78"/>
      <c r="G101" s="13"/>
      <c r="H101" s="156"/>
      <c r="I101" s="156"/>
      <c r="J101" s="333"/>
      <c r="K101" s="156"/>
      <c r="L101" s="156"/>
      <c r="M101" s="403">
        <f>H98</f>
        <v>0</v>
      </c>
    </row>
    <row r="102" spans="1:13" ht="27">
      <c r="A102" s="5"/>
      <c r="B102" s="5"/>
      <c r="C102" s="5" t="s">
        <v>251</v>
      </c>
      <c r="D102" s="5" t="s">
        <v>32</v>
      </c>
      <c r="E102" s="13"/>
      <c r="F102" s="78"/>
      <c r="G102" s="13"/>
      <c r="H102" s="156"/>
      <c r="I102" s="156"/>
      <c r="J102" s="333"/>
      <c r="K102" s="156"/>
      <c r="L102" s="156"/>
      <c r="M102" s="406">
        <f>SUM(M99:M101)</f>
        <v>0</v>
      </c>
    </row>
    <row r="103" spans="1:13" ht="13.5">
      <c r="A103" s="5"/>
      <c r="B103" s="5"/>
      <c r="C103" s="466" t="s">
        <v>499</v>
      </c>
      <c r="D103" s="203" t="s">
        <v>32</v>
      </c>
      <c r="E103" s="210"/>
      <c r="F103" s="210"/>
      <c r="G103" s="210"/>
      <c r="H103" s="211"/>
      <c r="I103" s="211"/>
      <c r="J103" s="211"/>
      <c r="K103" s="201"/>
      <c r="L103" s="201"/>
      <c r="M103" s="414">
        <f>M102*0.08%</f>
        <v>0</v>
      </c>
    </row>
    <row r="104" spans="1:13" ht="13.5">
      <c r="A104" s="5"/>
      <c r="B104" s="5"/>
      <c r="C104" s="203" t="s">
        <v>86</v>
      </c>
      <c r="D104" s="203" t="s">
        <v>32</v>
      </c>
      <c r="E104" s="210"/>
      <c r="F104" s="210"/>
      <c r="G104" s="210"/>
      <c r="H104" s="211"/>
      <c r="I104" s="211"/>
      <c r="J104" s="211"/>
      <c r="K104" s="201"/>
      <c r="L104" s="201"/>
      <c r="M104" s="414">
        <f>SUM(M102:M103)</f>
        <v>0</v>
      </c>
    </row>
    <row r="105" spans="1:13" ht="13.5">
      <c r="A105" s="5"/>
      <c r="B105" s="5"/>
      <c r="C105" s="466" t="s">
        <v>500</v>
      </c>
      <c r="D105" s="203" t="s">
        <v>32</v>
      </c>
      <c r="E105" s="210"/>
      <c r="F105" s="210"/>
      <c r="G105" s="210"/>
      <c r="H105" s="211"/>
      <c r="I105" s="211"/>
      <c r="J105" s="211"/>
      <c r="K105" s="201"/>
      <c r="L105" s="201"/>
      <c r="M105" s="414">
        <f>M104*0.06</f>
        <v>0</v>
      </c>
    </row>
    <row r="106" spans="1:13" ht="13.5">
      <c r="A106" s="5"/>
      <c r="B106" s="5"/>
      <c r="C106" s="5" t="s">
        <v>47</v>
      </c>
      <c r="D106" s="5" t="s">
        <v>32</v>
      </c>
      <c r="E106" s="13"/>
      <c r="F106" s="78"/>
      <c r="G106" s="13"/>
      <c r="H106" s="156"/>
      <c r="I106" s="156"/>
      <c r="J106" s="333"/>
      <c r="K106" s="156"/>
      <c r="L106" s="156"/>
      <c r="M106" s="406">
        <f>SUM(M104:M105)</f>
        <v>0</v>
      </c>
    </row>
    <row r="107" ht="12.75">
      <c r="M107" s="385"/>
    </row>
    <row r="108" spans="1:8" ht="16.5">
      <c r="A108" s="346"/>
      <c r="B108" s="32"/>
      <c r="C108" s="491"/>
      <c r="D108" s="491"/>
      <c r="E108" s="32"/>
      <c r="F108" s="491"/>
      <c r="G108" s="491"/>
      <c r="H108" s="491"/>
    </row>
    <row r="111" spans="2:10" ht="12.75">
      <c r="B111"/>
      <c r="D111" s="332"/>
      <c r="F111" s="43"/>
      <c r="J111" s="43"/>
    </row>
    <row r="112" spans="2:10" ht="12.75">
      <c r="B112"/>
      <c r="D112" s="332"/>
      <c r="F112" s="43"/>
      <c r="J112" s="43"/>
    </row>
    <row r="113" spans="2:10" ht="12.75">
      <c r="B113"/>
      <c r="D113" s="332"/>
      <c r="F113" s="43"/>
      <c r="J113" s="43"/>
    </row>
    <row r="114" spans="2:10" ht="12.75">
      <c r="B114"/>
      <c r="D114" s="332"/>
      <c r="F114" s="43"/>
      <c r="J114" s="43"/>
    </row>
    <row r="115" spans="2:10" ht="12.75">
      <c r="B115"/>
      <c r="D115" s="332"/>
      <c r="F115" s="43"/>
      <c r="J115" s="43"/>
    </row>
    <row r="116" spans="2:10" ht="12.75">
      <c r="B116"/>
      <c r="D116" s="332"/>
      <c r="F116" s="43"/>
      <c r="J116" s="43"/>
    </row>
    <row r="117" spans="2:10" ht="12.75">
      <c r="B117"/>
      <c r="D117" s="332"/>
      <c r="F117" s="43"/>
      <c r="J117" s="43"/>
    </row>
    <row r="118" spans="2:10" ht="12.75">
      <c r="B118"/>
      <c r="D118" s="332"/>
      <c r="F118" s="43"/>
      <c r="J118" s="43"/>
    </row>
    <row r="119" spans="2:10" ht="12.75">
      <c r="B119"/>
      <c r="D119" s="332"/>
      <c r="F119" s="43"/>
      <c r="J119" s="43"/>
    </row>
    <row r="120" spans="2:10" ht="12.75">
      <c r="B120"/>
      <c r="D120" s="332"/>
      <c r="F120" s="43"/>
      <c r="J120" s="43"/>
    </row>
    <row r="121" spans="2:10" ht="12.75">
      <c r="B121"/>
      <c r="D121" s="332"/>
      <c r="F121" s="43"/>
      <c r="J121" s="43"/>
    </row>
    <row r="122" spans="2:10" ht="12.75">
      <c r="B122"/>
      <c r="D122" s="332"/>
      <c r="F122" s="43"/>
      <c r="J122" s="43"/>
    </row>
    <row r="123" spans="2:10" ht="12.75">
      <c r="B123"/>
      <c r="D123" s="332"/>
      <c r="F123" s="43"/>
      <c r="J123" s="43"/>
    </row>
    <row r="124" spans="2:10" ht="12.75">
      <c r="B124"/>
      <c r="D124" s="332"/>
      <c r="F124" s="43"/>
      <c r="J124" s="43"/>
    </row>
    <row r="125" spans="2:10" ht="12.75">
      <c r="B125"/>
      <c r="D125" s="332"/>
      <c r="F125" s="43"/>
      <c r="J125" s="43"/>
    </row>
    <row r="126" spans="2:10" ht="12.75">
      <c r="B126"/>
      <c r="D126" s="332"/>
      <c r="F126" s="43"/>
      <c r="J126" s="43"/>
    </row>
    <row r="127" spans="2:10" ht="12.75">
      <c r="B127"/>
      <c r="D127" s="332"/>
      <c r="F127" s="43"/>
      <c r="J127" s="43"/>
    </row>
    <row r="128" spans="2:10" ht="12.75">
      <c r="B128"/>
      <c r="D128" s="332"/>
      <c r="F128" s="43"/>
      <c r="J128" s="43"/>
    </row>
    <row r="129" spans="2:10" ht="12.75">
      <c r="B129"/>
      <c r="D129" s="332"/>
      <c r="F129" s="43"/>
      <c r="J129" s="43"/>
    </row>
    <row r="130" spans="2:10" ht="12.75">
      <c r="B130"/>
      <c r="D130" s="332"/>
      <c r="F130" s="43"/>
      <c r="J130" s="43"/>
    </row>
    <row r="131" spans="2:10" ht="12.75">
      <c r="B131"/>
      <c r="D131" s="332"/>
      <c r="F131" s="43"/>
      <c r="J131" s="43"/>
    </row>
    <row r="132" spans="2:10" ht="12.75">
      <c r="B132"/>
      <c r="D132" s="332"/>
      <c r="F132" s="43"/>
      <c r="J132" s="43"/>
    </row>
    <row r="133" spans="2:10" ht="12.75">
      <c r="B133"/>
      <c r="D133" s="332"/>
      <c r="F133" s="43"/>
      <c r="J133" s="43"/>
    </row>
    <row r="134" spans="2:10" ht="12.75">
      <c r="B134"/>
      <c r="D134" s="332"/>
      <c r="F134" s="43"/>
      <c r="J134" s="43"/>
    </row>
    <row r="135" spans="2:10" ht="12.75">
      <c r="B135"/>
      <c r="D135" s="332"/>
      <c r="F135" s="43"/>
      <c r="J135" s="43"/>
    </row>
    <row r="136" spans="2:10" ht="12.75">
      <c r="B136"/>
      <c r="D136" s="332"/>
      <c r="F136" s="43"/>
      <c r="J136" s="43"/>
    </row>
    <row r="137" spans="2:10" ht="12.75">
      <c r="B137"/>
      <c r="D137" s="332"/>
      <c r="F137" s="43"/>
      <c r="J137" s="43"/>
    </row>
    <row r="138" spans="2:10" ht="12.75">
      <c r="B138"/>
      <c r="D138" s="332"/>
      <c r="F138" s="43"/>
      <c r="J138" s="43"/>
    </row>
    <row r="139" spans="2:10" ht="12.75">
      <c r="B139"/>
      <c r="D139" s="332"/>
      <c r="F139" s="43"/>
      <c r="J139" s="43"/>
    </row>
    <row r="140" spans="2:10" ht="12.75">
      <c r="B140"/>
      <c r="D140" s="332"/>
      <c r="F140" s="43"/>
      <c r="J140" s="43"/>
    </row>
    <row r="141" spans="2:10" ht="12.75">
      <c r="B141"/>
      <c r="D141" s="332"/>
      <c r="F141" s="43"/>
      <c r="J141" s="43"/>
    </row>
    <row r="142" spans="2:10" ht="12.75">
      <c r="B142"/>
      <c r="D142" s="332"/>
      <c r="F142" s="43"/>
      <c r="J142" s="43"/>
    </row>
    <row r="143" spans="2:10" ht="12.75">
      <c r="B143"/>
      <c r="D143" s="332"/>
      <c r="F143" s="43"/>
      <c r="J143" s="43"/>
    </row>
    <row r="144" spans="2:10" ht="12.75">
      <c r="B144"/>
      <c r="D144" s="332"/>
      <c r="F144" s="43"/>
      <c r="J144" s="43"/>
    </row>
    <row r="145" spans="2:10" ht="12.75">
      <c r="B145"/>
      <c r="D145" s="332"/>
      <c r="F145" s="43"/>
      <c r="J145" s="43"/>
    </row>
    <row r="146" spans="2:10" ht="12.75">
      <c r="B146"/>
      <c r="D146" s="332"/>
      <c r="F146" s="43"/>
      <c r="J146" s="43"/>
    </row>
    <row r="147" spans="2:10" ht="12.75">
      <c r="B147"/>
      <c r="D147" s="332"/>
      <c r="F147" s="43"/>
      <c r="J147" s="43"/>
    </row>
    <row r="148" spans="4:10" ht="12.75">
      <c r="D148" s="332"/>
      <c r="F148" s="43"/>
      <c r="J148" s="43"/>
    </row>
    <row r="149" spans="4:10" ht="12.75">
      <c r="D149" s="332"/>
      <c r="F149" s="43"/>
      <c r="J149" s="43"/>
    </row>
    <row r="150" spans="4:10" ht="12.75">
      <c r="D150" s="332"/>
      <c r="F150" s="43"/>
      <c r="J150" s="43"/>
    </row>
    <row r="151" spans="4:10" ht="12.75">
      <c r="D151" s="332"/>
      <c r="F151" s="43"/>
      <c r="J151" s="43"/>
    </row>
    <row r="152" spans="4:10" ht="12.75">
      <c r="D152" s="332"/>
      <c r="F152" s="43"/>
      <c r="J152" s="43"/>
    </row>
    <row r="153" spans="4:10" ht="12.75">
      <c r="D153" s="332"/>
      <c r="F153" s="43"/>
      <c r="J153" s="43"/>
    </row>
    <row r="154" spans="4:10" ht="12.75">
      <c r="D154" s="332"/>
      <c r="F154" s="43"/>
      <c r="J154" s="43"/>
    </row>
    <row r="155" spans="4:10" ht="12.75">
      <c r="D155" s="332"/>
      <c r="F155" s="43"/>
      <c r="J155" s="43"/>
    </row>
    <row r="156" spans="4:10" ht="12.75">
      <c r="D156" s="332"/>
      <c r="F156" s="43"/>
      <c r="J156" s="43"/>
    </row>
    <row r="157" spans="4:10" ht="12.75">
      <c r="D157" s="332"/>
      <c r="F157" s="43"/>
      <c r="J157" s="43"/>
    </row>
    <row r="158" spans="4:10" ht="12.75">
      <c r="D158" s="332"/>
      <c r="F158" s="43"/>
      <c r="J158" s="43"/>
    </row>
    <row r="159" spans="4:10" ht="12.75">
      <c r="D159" s="332"/>
      <c r="F159" s="43"/>
      <c r="J159" s="43"/>
    </row>
    <row r="160" spans="4:10" ht="12.75">
      <c r="D160" s="332"/>
      <c r="F160" s="43"/>
      <c r="J160" s="43"/>
    </row>
    <row r="161" spans="4:10" ht="12.75">
      <c r="D161" s="332"/>
      <c r="F161" s="43"/>
      <c r="J161" s="43"/>
    </row>
    <row r="162" spans="4:10" ht="12.75">
      <c r="D162" s="332"/>
      <c r="F162" s="43"/>
      <c r="J162" s="43"/>
    </row>
    <row r="163" spans="4:10" ht="12.75">
      <c r="D163" s="332"/>
      <c r="F163" s="43"/>
      <c r="J163" s="43"/>
    </row>
    <row r="164" spans="4:10" ht="12.75">
      <c r="D164" s="332"/>
      <c r="F164" s="43"/>
      <c r="J164" s="43"/>
    </row>
    <row r="165" spans="4:10" ht="12.75">
      <c r="D165" s="332"/>
      <c r="F165" s="43"/>
      <c r="J165" s="43"/>
    </row>
    <row r="166" spans="4:10" ht="12.75">
      <c r="D166" s="332"/>
      <c r="F166" s="43"/>
      <c r="J166" s="43"/>
    </row>
    <row r="167" spans="4:10" ht="12.75">
      <c r="D167" s="332"/>
      <c r="F167" s="43"/>
      <c r="J167" s="43"/>
    </row>
    <row r="168" spans="4:10" ht="12.75">
      <c r="D168" s="332"/>
      <c r="F168" s="43"/>
      <c r="J168" s="43"/>
    </row>
    <row r="169" spans="4:10" ht="12.75">
      <c r="D169" s="332"/>
      <c r="F169" s="43"/>
      <c r="J169" s="43"/>
    </row>
    <row r="170" spans="4:10" ht="12.75">
      <c r="D170" s="332"/>
      <c r="F170" s="43"/>
      <c r="J170" s="43"/>
    </row>
    <row r="171" spans="4:10" ht="12.75">
      <c r="D171" s="332"/>
      <c r="F171" s="43"/>
      <c r="J171" s="43"/>
    </row>
    <row r="172" spans="4:10" ht="12.75">
      <c r="D172" s="332"/>
      <c r="F172" s="43"/>
      <c r="J172" s="43"/>
    </row>
    <row r="173" spans="4:10" ht="12.75">
      <c r="D173" s="332"/>
      <c r="F173" s="43"/>
      <c r="J173" s="43"/>
    </row>
    <row r="174" spans="4:10" ht="12.75">
      <c r="D174" s="332"/>
      <c r="F174" s="43"/>
      <c r="J174" s="43"/>
    </row>
    <row r="175" spans="4:10" ht="12.75">
      <c r="D175" s="332"/>
      <c r="F175" s="43"/>
      <c r="J175" s="43"/>
    </row>
    <row r="176" spans="4:10" ht="12.75">
      <c r="D176" s="332"/>
      <c r="F176" s="43"/>
      <c r="J176" s="43"/>
    </row>
    <row r="177" spans="4:10" ht="12.75">
      <c r="D177" s="332"/>
      <c r="F177" s="43"/>
      <c r="J177" s="43"/>
    </row>
    <row r="178" spans="4:10" ht="12.75">
      <c r="D178" s="332"/>
      <c r="F178" s="43"/>
      <c r="J178" s="43"/>
    </row>
    <row r="179" spans="4:10" ht="12.75">
      <c r="D179" s="332"/>
      <c r="F179" s="43"/>
      <c r="J179" s="43"/>
    </row>
    <row r="180" spans="4:10" ht="12.75">
      <c r="D180" s="332"/>
      <c r="F180" s="43"/>
      <c r="J180" s="43"/>
    </row>
    <row r="181" spans="4:10" ht="12.75">
      <c r="D181" s="332"/>
      <c r="F181" s="43"/>
      <c r="J181" s="43"/>
    </row>
    <row r="182" spans="4:10" ht="12.75">
      <c r="D182" s="332"/>
      <c r="F182" s="43"/>
      <c r="J182" s="43"/>
    </row>
    <row r="183" spans="4:10" ht="12.75">
      <c r="D183" s="332"/>
      <c r="F183" s="43"/>
      <c r="J183" s="43"/>
    </row>
    <row r="184" spans="4:10" ht="12.75">
      <c r="D184" s="332"/>
      <c r="F184" s="43"/>
      <c r="J184" s="43"/>
    </row>
    <row r="185" spans="4:10" ht="12.75">
      <c r="D185" s="332"/>
      <c r="F185" s="43"/>
      <c r="J185" s="43"/>
    </row>
    <row r="186" spans="4:10" ht="12.75">
      <c r="D186" s="332"/>
      <c r="F186" s="43"/>
      <c r="J186" s="43"/>
    </row>
    <row r="187" spans="4:10" ht="12.75">
      <c r="D187" s="332"/>
      <c r="F187" s="43"/>
      <c r="J187" s="43"/>
    </row>
    <row r="188" spans="4:10" ht="12.75">
      <c r="D188" s="332"/>
      <c r="F188" s="43"/>
      <c r="J188" s="43"/>
    </row>
    <row r="189" spans="4:10" ht="12.75">
      <c r="D189" s="332"/>
      <c r="F189" s="43"/>
      <c r="J189" s="43"/>
    </row>
    <row r="190" spans="4:10" ht="12.75">
      <c r="D190" s="332"/>
      <c r="F190" s="43"/>
      <c r="J190" s="43"/>
    </row>
    <row r="191" spans="4:10" ht="12.75">
      <c r="D191" s="332"/>
      <c r="F191" s="43"/>
      <c r="J191" s="43"/>
    </row>
    <row r="192" spans="4:10" ht="12.75">
      <c r="D192" s="332"/>
      <c r="F192" s="43"/>
      <c r="J192" s="43"/>
    </row>
    <row r="193" spans="4:10" ht="12.75">
      <c r="D193" s="332"/>
      <c r="F193" s="43"/>
      <c r="J193" s="43"/>
    </row>
    <row r="194" spans="4:10" ht="12.75">
      <c r="D194" s="332"/>
      <c r="F194" s="43"/>
      <c r="J194" s="43"/>
    </row>
    <row r="195" spans="4:10" ht="12.75">
      <c r="D195" s="332"/>
      <c r="F195" s="43"/>
      <c r="J195" s="43"/>
    </row>
    <row r="196" spans="4:10" ht="12.75">
      <c r="D196" s="332"/>
      <c r="F196" s="43"/>
      <c r="J196" s="43"/>
    </row>
    <row r="197" spans="4:10" ht="12.75">
      <c r="D197" s="332"/>
      <c r="F197" s="43"/>
      <c r="J197" s="43"/>
    </row>
    <row r="198" spans="4:10" ht="12.75">
      <c r="D198" s="332"/>
      <c r="F198" s="43"/>
      <c r="J198" s="43"/>
    </row>
    <row r="199" spans="4:10" ht="12.75">
      <c r="D199" s="332"/>
      <c r="F199" s="43"/>
      <c r="J199" s="43"/>
    </row>
    <row r="200" spans="4:10" ht="12.75">
      <c r="D200" s="332"/>
      <c r="F200" s="43"/>
      <c r="J200" s="43"/>
    </row>
    <row r="201" spans="4:10" ht="12.75">
      <c r="D201" s="332"/>
      <c r="F201" s="43"/>
      <c r="J201" s="43"/>
    </row>
    <row r="202" spans="4:10" ht="12.75">
      <c r="D202" s="332"/>
      <c r="F202" s="43"/>
      <c r="J202" s="43"/>
    </row>
    <row r="203" spans="4:10" ht="12.75">
      <c r="D203" s="332"/>
      <c r="F203" s="43"/>
      <c r="J203" s="43"/>
    </row>
    <row r="204" spans="4:10" ht="12.75">
      <c r="D204" s="332"/>
      <c r="F204" s="43"/>
      <c r="J204" s="43"/>
    </row>
    <row r="205" spans="4:10" ht="12.75">
      <c r="D205" s="332"/>
      <c r="F205" s="43"/>
      <c r="J205" s="43"/>
    </row>
    <row r="206" spans="4:10" ht="12.75">
      <c r="D206" s="332"/>
      <c r="F206" s="43"/>
      <c r="J206" s="43"/>
    </row>
    <row r="207" spans="4:10" ht="12.75">
      <c r="D207" s="332"/>
      <c r="F207" s="43"/>
      <c r="J207" s="43"/>
    </row>
    <row r="208" spans="4:10" ht="12.75">
      <c r="D208" s="332"/>
      <c r="F208" s="43"/>
      <c r="J208" s="43"/>
    </row>
    <row r="209" spans="4:10" ht="12.75">
      <c r="D209" s="332"/>
      <c r="F209" s="43"/>
      <c r="J209" s="43"/>
    </row>
    <row r="210" spans="4:10" ht="12.75">
      <c r="D210" s="332"/>
      <c r="F210" s="43"/>
      <c r="J210" s="43"/>
    </row>
    <row r="211" spans="4:10" ht="12.75">
      <c r="D211" s="332"/>
      <c r="F211" s="43"/>
      <c r="J211" s="43"/>
    </row>
    <row r="212" spans="4:10" ht="12.75">
      <c r="D212" s="332"/>
      <c r="F212" s="43"/>
      <c r="J212" s="43"/>
    </row>
    <row r="213" spans="4:10" ht="12.75">
      <c r="D213" s="332"/>
      <c r="F213" s="43"/>
      <c r="J213" s="43"/>
    </row>
    <row r="214" spans="4:10" ht="12.75">
      <c r="D214" s="332"/>
      <c r="F214" s="43"/>
      <c r="J214" s="43"/>
    </row>
    <row r="215" spans="4:10" ht="12.75">
      <c r="D215" s="332"/>
      <c r="F215" s="43"/>
      <c r="J215" s="43"/>
    </row>
    <row r="216" spans="4:10" ht="12.75">
      <c r="D216" s="332"/>
      <c r="F216" s="43"/>
      <c r="J216" s="43"/>
    </row>
    <row r="217" spans="4:10" ht="12.75">
      <c r="D217" s="332"/>
      <c r="F217" s="43"/>
      <c r="J217" s="43"/>
    </row>
    <row r="218" spans="4:10" ht="12.75">
      <c r="D218" s="332"/>
      <c r="F218" s="43"/>
      <c r="J218" s="43"/>
    </row>
    <row r="219" spans="4:10" ht="12.75">
      <c r="D219" s="332"/>
      <c r="F219" s="43"/>
      <c r="J219" s="43"/>
    </row>
    <row r="220" spans="4:10" ht="12.75">
      <c r="D220" s="332"/>
      <c r="F220" s="43"/>
      <c r="J220" s="43"/>
    </row>
    <row r="221" spans="4:10" ht="12.75">
      <c r="D221" s="332"/>
      <c r="F221" s="43"/>
      <c r="J221" s="43"/>
    </row>
    <row r="222" spans="4:10" ht="12.75">
      <c r="D222" s="332"/>
      <c r="F222" s="43"/>
      <c r="J222" s="43"/>
    </row>
    <row r="223" spans="4:10" ht="12.75">
      <c r="D223" s="332"/>
      <c r="F223" s="43"/>
      <c r="J223" s="43"/>
    </row>
    <row r="224" spans="4:10" ht="12.75">
      <c r="D224" s="332"/>
      <c r="F224" s="43"/>
      <c r="J224" s="43"/>
    </row>
    <row r="225" spans="4:10" ht="12.75">
      <c r="D225" s="332"/>
      <c r="F225" s="43"/>
      <c r="J225" s="43"/>
    </row>
    <row r="226" spans="4:10" ht="12.75">
      <c r="D226" s="332"/>
      <c r="F226" s="43"/>
      <c r="J226" s="43"/>
    </row>
    <row r="227" spans="4:10" ht="12.75">
      <c r="D227" s="332"/>
      <c r="F227" s="43"/>
      <c r="J227" s="43"/>
    </row>
    <row r="228" spans="4:10" ht="12.75">
      <c r="D228" s="332"/>
      <c r="F228" s="43"/>
      <c r="J228" s="43"/>
    </row>
    <row r="229" spans="4:10" ht="12.75">
      <c r="D229" s="332"/>
      <c r="F229" s="43"/>
      <c r="J229" s="43"/>
    </row>
    <row r="230" spans="4:10" ht="12.75">
      <c r="D230" s="332"/>
      <c r="F230" s="43"/>
      <c r="J230" s="43"/>
    </row>
    <row r="231" spans="4:10" ht="12.75">
      <c r="D231" s="332"/>
      <c r="F231" s="43"/>
      <c r="J231" s="43"/>
    </row>
    <row r="232" spans="4:10" ht="12.75">
      <c r="D232" s="332"/>
      <c r="F232" s="43"/>
      <c r="J232" s="43"/>
    </row>
    <row r="233" spans="4:10" ht="12.75">
      <c r="D233" s="332"/>
      <c r="F233" s="43"/>
      <c r="J233" s="43"/>
    </row>
  </sheetData>
  <sheetProtection/>
  <mergeCells count="21">
    <mergeCell ref="A5:E5"/>
    <mergeCell ref="I9:J9"/>
    <mergeCell ref="A1:H1"/>
    <mergeCell ref="A2:H2"/>
    <mergeCell ref="A3:H3"/>
    <mergeCell ref="A4:E4"/>
    <mergeCell ref="G4:H4"/>
    <mergeCell ref="A9:A10"/>
    <mergeCell ref="D9:D10"/>
    <mergeCell ref="E9:F9"/>
    <mergeCell ref="G9:H9"/>
    <mergeCell ref="K9:L9"/>
    <mergeCell ref="M9:M10"/>
    <mergeCell ref="B9:B10"/>
    <mergeCell ref="G5:H5"/>
    <mergeCell ref="C9:C10"/>
    <mergeCell ref="C108:D108"/>
    <mergeCell ref="F108:H108"/>
    <mergeCell ref="A6:E6"/>
    <mergeCell ref="G6:H6"/>
    <mergeCell ref="A7:H7"/>
  </mergeCells>
  <printOptions/>
  <pageMargins left="0.7" right="0.7" top="0.75" bottom="0.75" header="0.3" footer="0.3"/>
  <pageSetup horizontalDpi="300" verticalDpi="300" orientation="landscape" paperSize="9" scale="89" r:id="rId2"/>
  <colBreaks count="1" manualBreakCount="1">
    <brk id="13" max="9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MIRZA</dc:creator>
  <cp:keywords/>
  <dc:description/>
  <cp:lastModifiedBy>USER</cp:lastModifiedBy>
  <cp:lastPrinted>2016-07-10T18:49:47Z</cp:lastPrinted>
  <dcterms:created xsi:type="dcterms:W3CDTF">1996-10-14T23:33:28Z</dcterms:created>
  <dcterms:modified xsi:type="dcterms:W3CDTF">2017-01-20T14:37:25Z</dcterms:modified>
  <cp:category/>
  <cp:version/>
  <cp:contentType/>
  <cp:contentStatus/>
</cp:coreProperties>
</file>