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wm.barb chixebi" sheetId="2" r:id="rId1"/>
    <sheet name="wiwinadzis 1,2,3,4,5,6" sheetId="3" r:id="rId2"/>
  </sheets>
  <calcPr calcId="145621"/>
</workbook>
</file>

<file path=xl/calcChain.xml><?xml version="1.0" encoding="utf-8"?>
<calcChain xmlns="http://schemas.openxmlformats.org/spreadsheetml/2006/main">
  <c r="F38" i="3" l="1"/>
  <c r="D37" i="3"/>
  <c r="F37" i="3" s="1"/>
  <c r="F36" i="3"/>
  <c r="F34" i="3"/>
  <c r="F33" i="3"/>
  <c r="A33" i="3"/>
  <c r="A34" i="3" s="1"/>
  <c r="A35" i="3" s="1"/>
  <c r="A36" i="3" s="1"/>
  <c r="A37" i="3" s="1"/>
  <c r="A38" i="3" s="1"/>
  <c r="D32" i="3"/>
  <c r="D35" i="3" s="1"/>
  <c r="F35" i="3" s="1"/>
  <c r="F30" i="3"/>
  <c r="D29" i="3"/>
  <c r="F29" i="3" s="1"/>
  <c r="F28" i="3"/>
  <c r="D28" i="3"/>
  <c r="F27" i="3"/>
  <c r="F26" i="3"/>
  <c r="F24" i="3"/>
  <c r="D23" i="3"/>
  <c r="F23" i="3" s="1"/>
  <c r="D22" i="3"/>
  <c r="F22" i="3" s="1"/>
  <c r="D21" i="3"/>
  <c r="F21" i="3" s="1"/>
  <c r="A21" i="3"/>
  <c r="A22" i="3" s="1"/>
  <c r="A23" i="3" s="1"/>
  <c r="A24" i="3" s="1"/>
  <c r="A25" i="3" s="1"/>
  <c r="A26" i="3" s="1"/>
  <c r="A27" i="3" s="1"/>
  <c r="A28" i="3" s="1"/>
  <c r="A29" i="3" s="1"/>
  <c r="A30" i="3" s="1"/>
  <c r="D20" i="3"/>
  <c r="D25" i="3" s="1"/>
  <c r="F25" i="3" s="1"/>
  <c r="F19" i="3"/>
  <c r="F18" i="3"/>
  <c r="D17" i="3"/>
  <c r="F17" i="3" s="1"/>
  <c r="F16" i="3"/>
  <c r="F15" i="3"/>
  <c r="D15" i="3"/>
  <c r="D14" i="3"/>
  <c r="F14" i="3" s="1"/>
  <c r="D13" i="3"/>
  <c r="F13" i="3" s="1"/>
  <c r="F12" i="3"/>
  <c r="F11" i="3"/>
  <c r="F9" i="3"/>
  <c r="D8" i="3"/>
  <c r="F8" i="3" s="1"/>
  <c r="F7" i="3"/>
  <c r="D7" i="3"/>
  <c r="F6" i="3"/>
  <c r="D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D5" i="3"/>
  <c r="F5" i="3" s="1"/>
  <c r="D10" i="3" l="1"/>
  <c r="F10" i="3" s="1"/>
  <c r="F20" i="3"/>
  <c r="F32" i="3"/>
  <c r="D8" i="2"/>
  <c r="A9" i="2"/>
  <c r="D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D10" i="2"/>
  <c r="D11" i="2"/>
  <c r="D14" i="2"/>
  <c r="D15" i="2"/>
  <c r="D16" i="2"/>
  <c r="D18" i="2"/>
  <c r="D21" i="2"/>
  <c r="D23" i="2"/>
  <c r="D25" i="2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D24" i="2"/>
  <c r="D26" i="2"/>
  <c r="D27" i="2"/>
  <c r="D28" i="2"/>
  <c r="D30" i="2"/>
  <c r="D33" i="2"/>
  <c r="D35" i="2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D36" i="2"/>
  <c r="D39" i="2"/>
  <c r="D40" i="2"/>
  <c r="D41" i="2"/>
  <c r="D43" i="2"/>
  <c r="D46" i="2"/>
  <c r="D49" i="2"/>
  <c r="D50" i="2"/>
  <c r="A51" i="2"/>
  <c r="A52" i="2" s="1"/>
  <c r="A53" i="2" s="1"/>
  <c r="A54" i="2" s="1"/>
  <c r="D51" i="2"/>
  <c r="D52" i="2"/>
  <c r="D53" i="2"/>
  <c r="D56" i="2"/>
  <c r="A57" i="2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D57" i="2"/>
  <c r="D60" i="2"/>
  <c r="D61" i="2"/>
  <c r="D62" i="2"/>
  <c r="D64" i="2"/>
  <c r="D90" i="2" s="1"/>
  <c r="F90" i="2" s="1"/>
  <c r="D67" i="2"/>
  <c r="D93" i="2"/>
  <c r="F93" i="2" s="1"/>
  <c r="D92" i="2"/>
  <c r="F92" i="2" s="1"/>
  <c r="D91" i="2"/>
  <c r="F91" i="2" s="1"/>
  <c r="D89" i="2"/>
  <c r="F89" i="2" s="1"/>
  <c r="D85" i="2"/>
  <c r="F85" i="2" s="1"/>
  <c r="F81" i="2"/>
  <c r="A80" i="2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D88" i="2"/>
  <c r="F88" i="2" s="1"/>
  <c r="D87" i="2"/>
  <c r="F87" i="2" s="1"/>
  <c r="D82" i="2"/>
  <c r="F82" i="2" s="1"/>
  <c r="D80" i="2"/>
  <c r="F80" i="2" s="1"/>
  <c r="D79" i="2"/>
  <c r="F79" i="2" s="1"/>
  <c r="F39" i="3" l="1"/>
  <c r="F40" i="3"/>
  <c r="F41" i="3" s="1"/>
  <c r="D58" i="2"/>
  <c r="D37" i="2"/>
  <c r="D12" i="2"/>
  <c r="D83" i="2"/>
  <c r="F83" i="2" s="1"/>
  <c r="D86" i="2"/>
  <c r="F86" i="2" s="1"/>
  <c r="D94" i="2"/>
  <c r="F94" i="2" s="1"/>
  <c r="F42" i="3" l="1"/>
  <c r="F43" i="3" s="1"/>
  <c r="D84" i="2"/>
  <c r="F84" i="2" s="1"/>
  <c r="F95" i="2" s="1"/>
  <c r="F96" i="2" s="1"/>
  <c r="F44" i="3" l="1"/>
  <c r="F45" i="3" s="1"/>
  <c r="F97" i="2"/>
  <c r="F98" i="2" s="1"/>
  <c r="F99" i="2" s="1"/>
  <c r="F46" i="3" l="1"/>
  <c r="F47" i="3" s="1"/>
  <c r="F100" i="2"/>
  <c r="F101" i="2"/>
  <c r="F102" i="2" l="1"/>
  <c r="F103" i="2"/>
</calcChain>
</file>

<file path=xl/sharedStrings.xml><?xml version="1.0" encoding="utf-8"?>
<sst xmlns="http://schemas.openxmlformats.org/spreadsheetml/2006/main" count="297" uniqueCount="99">
  <si>
    <t>#</t>
  </si>
  <si>
    <t>samuSaos dasaxeleba</t>
  </si>
  <si>
    <t>ganz.</t>
  </si>
  <si>
    <t>raod.</t>
  </si>
  <si>
    <t>SeniSvna</t>
  </si>
  <si>
    <t>Tamaris quCa</t>
  </si>
  <si>
    <t xml:space="preserve">  dazianebuli a/betonis safaris moxsna meqanizmebiT da datvirTva avtoTviTmclelze </t>
  </si>
  <si>
    <t xml:space="preserve">  dazianebuli a/betonis safaris moxsna pnevmaturi CaquCiT da datvirTva avtoTviTmclelze</t>
  </si>
  <si>
    <t xml:space="preserve">  arsebuli gruntis (an naSali masalis ) damuSaveba meqanizmiT da datvirTva a/TviTmclelze</t>
  </si>
  <si>
    <t xml:space="preserve">  arsebuli gruntis  damuSaveba xeliT da datvirTva a/TviTmclelze</t>
  </si>
  <si>
    <t xml:space="preserve">  samSeneblo nagvis gatana nagavsayrelze saSualod 15km-ze</t>
  </si>
  <si>
    <t>ton.</t>
  </si>
  <si>
    <t xml:space="preserve">  arsebuli sakomunikacio Webis moyvana gzis niSnulze betonis safuZvelze.</t>
  </si>
  <si>
    <t>cal.</t>
  </si>
  <si>
    <t xml:space="preserve"> safuZvlis qveda fenis mowyoba qviSa-xreSovani nareviT (fraqciiT0-120mm.) datkepniT.</t>
  </si>
  <si>
    <t xml:space="preserve"> safuZvlis zeda fenis mowyoba fraqciuli RorRiT (0-40mm-mde.) datkepniT.</t>
  </si>
  <si>
    <t>lit.</t>
  </si>
  <si>
    <t>gzis gverdulebis mowyoba qviSa-xreSoavani nareviT 0-70mm. datkepniT.</t>
  </si>
  <si>
    <t>v. gigineiSvilis quCa</t>
  </si>
  <si>
    <t>aRniaSvilis quCa</t>
  </si>
  <si>
    <t>batoniSvilis quCa</t>
  </si>
  <si>
    <t xml:space="preserve">  Sesasvlelebis a/betonis safaris Caxerxva xerxiT</t>
  </si>
  <si>
    <t>g/m</t>
  </si>
  <si>
    <t xml:space="preserve"> 60%-iani bitumis emulsiis mosxma xerxiT damuSavebul nawiburebze (0,35l- grZiv metrze)</t>
  </si>
  <si>
    <t>g. reqtoris quCa</t>
  </si>
  <si>
    <t>erT. Ffasi</t>
  </si>
  <si>
    <t>mTliani Rirebuleba  Llari.</t>
  </si>
  <si>
    <t>jami</t>
  </si>
  <si>
    <t>gauTvaliswinebeli xarji 3%</t>
  </si>
  <si>
    <t>d.R.g. 18%</t>
  </si>
  <si>
    <t>sul jami</t>
  </si>
  <si>
    <t>wminda barbares ubnis Cixebi - Tamaris, v. gigineiSvilis, v. aRniaSvilis, batoniSvilis da g. reqtoris quCebi</t>
  </si>
  <si>
    <t>სამუშაოების ხარჯთაღრიცხვა</t>
  </si>
  <si>
    <r>
      <t>m</t>
    </r>
    <r>
      <rPr>
        <vertAlign val="superscript"/>
        <sz val="10"/>
        <rFont val="AcadNusx"/>
      </rPr>
      <t>3</t>
    </r>
  </si>
  <si>
    <r>
      <t>1740m</t>
    </r>
    <r>
      <rPr>
        <vertAlign val="superscript"/>
        <sz val="10"/>
        <rFont val="AcadNusx"/>
      </rPr>
      <t>2</t>
    </r>
    <r>
      <rPr>
        <sz val="10"/>
        <rFont val="AcadNusx"/>
      </rPr>
      <t>X0,1X30%=</t>
    </r>
    <r>
      <rPr>
        <b/>
        <sz val="10"/>
        <rFont val="AcadNusx"/>
      </rPr>
      <t>52,2m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</t>
    </r>
  </si>
  <si>
    <r>
      <t>1740m</t>
    </r>
    <r>
      <rPr>
        <vertAlign val="superscript"/>
        <sz val="10"/>
        <rFont val="AcadNusx"/>
      </rPr>
      <t>2</t>
    </r>
    <r>
      <rPr>
        <sz val="10"/>
        <rFont val="AcadNusx"/>
      </rPr>
      <t>X0,1X5%=</t>
    </r>
    <r>
      <rPr>
        <b/>
        <sz val="10"/>
        <rFont val="AcadNusx"/>
      </rPr>
      <t>8,7m</t>
    </r>
    <r>
      <rPr>
        <b/>
        <vertAlign val="superscript"/>
        <sz val="10"/>
        <rFont val="AcadNusx"/>
      </rPr>
      <t>3</t>
    </r>
    <r>
      <rPr>
        <sz val="10"/>
        <rFont val="AcadNusx"/>
      </rPr>
      <t xml:space="preserve">                                                    </t>
    </r>
  </si>
  <si>
    <r>
      <rPr>
        <b/>
        <sz val="11"/>
        <rFont val="AcadNusx"/>
      </rPr>
      <t xml:space="preserve"> </t>
    </r>
    <r>
      <rPr>
        <sz val="10"/>
        <rFont val="AcadNusx"/>
      </rPr>
      <t>1740m</t>
    </r>
    <r>
      <rPr>
        <vertAlign val="superscript"/>
        <sz val="10"/>
        <rFont val="AcadNusx"/>
      </rPr>
      <t>2</t>
    </r>
    <r>
      <rPr>
        <sz val="10"/>
        <rFont val="AcadNusx"/>
      </rPr>
      <t>X0,28X95%=</t>
    </r>
    <r>
      <rPr>
        <b/>
        <sz val="10"/>
        <rFont val="AcadNusx"/>
      </rPr>
      <t>462,8m</t>
    </r>
    <r>
      <rPr>
        <b/>
        <vertAlign val="superscript"/>
        <sz val="10"/>
        <rFont val="AcadNusx"/>
      </rPr>
      <t>3.</t>
    </r>
    <r>
      <rPr>
        <b/>
        <sz val="10"/>
        <rFont val="AcadNusx"/>
      </rPr>
      <t xml:space="preserve">                                     </t>
    </r>
    <r>
      <rPr>
        <sz val="10"/>
        <rFont val="AcadNusx"/>
      </rPr>
      <t xml:space="preserve">                                                                                           </t>
    </r>
  </si>
  <si>
    <r>
      <t>1740m</t>
    </r>
    <r>
      <rPr>
        <vertAlign val="superscript"/>
        <sz val="10"/>
        <rFont val="AcadNusx"/>
      </rPr>
      <t>2</t>
    </r>
    <r>
      <rPr>
        <sz val="10"/>
        <rFont val="AcadNusx"/>
      </rPr>
      <t>X0,28X5%=</t>
    </r>
    <r>
      <rPr>
        <b/>
        <sz val="10"/>
        <rFont val="AcadNusx"/>
      </rPr>
      <t>24,36m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.                                         </t>
    </r>
    <r>
      <rPr>
        <sz val="10"/>
        <rFont val="AcadNusx"/>
      </rPr>
      <t xml:space="preserve">                                             Sesasvlelebi 260m</t>
    </r>
    <r>
      <rPr>
        <vertAlign val="superscript"/>
        <sz val="10"/>
        <rFont val="AcadNusx"/>
      </rPr>
      <t>2</t>
    </r>
    <r>
      <rPr>
        <sz val="10"/>
        <rFont val="AcadNusx"/>
      </rPr>
      <t>X0,1=</t>
    </r>
    <r>
      <rPr>
        <b/>
        <sz val="10"/>
        <rFont val="AcadNusx"/>
      </rPr>
      <t>26,0m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.</t>
    </r>
    <r>
      <rPr>
        <sz val="10"/>
        <rFont val="AcadNusx"/>
      </rPr>
      <t xml:space="preserve">              </t>
    </r>
    <r>
      <rPr>
        <b/>
        <sz val="10"/>
        <rFont val="AcadNusx"/>
      </rPr>
      <t xml:space="preserve">      </t>
    </r>
  </si>
  <si>
    <r>
      <t xml:space="preserve">gasatania- </t>
    </r>
    <r>
      <rPr>
        <b/>
        <sz val="10"/>
        <rFont val="AcadNusx"/>
      </rPr>
      <t>574,1m</t>
    </r>
    <r>
      <rPr>
        <b/>
        <vertAlign val="superscript"/>
        <sz val="10"/>
        <rFont val="AcadNusx"/>
      </rPr>
      <t>3</t>
    </r>
    <r>
      <rPr>
        <sz val="10"/>
        <rFont val="AcadNusx"/>
      </rPr>
      <t>K                            KK-1,85-is gaTvaliswinebiT</t>
    </r>
  </si>
  <si>
    <r>
      <t xml:space="preserve"> </t>
    </r>
    <r>
      <rPr>
        <sz val="10"/>
        <rFont val="AcadNusx"/>
      </rPr>
      <t>1740m</t>
    </r>
    <r>
      <rPr>
        <vertAlign val="superscript"/>
        <sz val="10"/>
        <rFont val="AcadNusx"/>
      </rPr>
      <t>2</t>
    </r>
    <r>
      <rPr>
        <sz val="10"/>
        <rFont val="AcadNusx"/>
      </rPr>
      <t>X0,18X1,22=</t>
    </r>
    <r>
      <rPr>
        <b/>
        <sz val="10"/>
        <rFont val="AcadNusx"/>
      </rPr>
      <t>382,1m</t>
    </r>
    <r>
      <rPr>
        <b/>
        <vertAlign val="superscript"/>
        <sz val="10"/>
        <rFont val="AcadNusx"/>
      </rPr>
      <t>3</t>
    </r>
    <r>
      <rPr>
        <sz val="10"/>
        <rFont val="AcadNusx"/>
      </rPr>
      <t xml:space="preserve">                                  datkepnis KK-1,22 gaTvaliswinebiT.                                      </t>
    </r>
  </si>
  <si>
    <r>
      <rPr>
        <sz val="10"/>
        <rFont val="AcadNusx"/>
      </rPr>
      <t xml:space="preserve"> gza</t>
    </r>
    <r>
      <rPr>
        <b/>
        <sz val="10"/>
        <rFont val="AcadNusx"/>
      </rPr>
      <t xml:space="preserve"> </t>
    </r>
    <r>
      <rPr>
        <sz val="10"/>
        <rFont val="AcadNusx"/>
      </rPr>
      <t>1740m</t>
    </r>
    <r>
      <rPr>
        <vertAlign val="superscript"/>
        <sz val="10"/>
        <rFont val="AcadNusx"/>
      </rPr>
      <t>2</t>
    </r>
    <r>
      <rPr>
        <sz val="10"/>
        <rFont val="AcadNusx"/>
      </rPr>
      <t>X0,1X1,26=</t>
    </r>
    <r>
      <rPr>
        <b/>
        <sz val="10"/>
        <rFont val="AcadNusx"/>
      </rPr>
      <t>219,24m</t>
    </r>
    <r>
      <rPr>
        <b/>
        <vertAlign val="superscript"/>
        <sz val="10"/>
        <rFont val="AcadNusx"/>
      </rPr>
      <t>3</t>
    </r>
    <r>
      <rPr>
        <sz val="10"/>
        <rFont val="AcadNusx"/>
      </rPr>
      <t xml:space="preserve">            Sesasvlelebi 260m</t>
    </r>
    <r>
      <rPr>
        <vertAlign val="superscript"/>
        <sz val="10"/>
        <rFont val="AcadNusx"/>
      </rPr>
      <t>2</t>
    </r>
    <r>
      <rPr>
        <sz val="10"/>
        <rFont val="AcadNusx"/>
      </rPr>
      <t>X0,1X1,26=</t>
    </r>
    <r>
      <rPr>
        <b/>
        <sz val="10"/>
        <rFont val="AcadNusx"/>
      </rPr>
      <t>32,76m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. </t>
    </r>
    <r>
      <rPr>
        <sz val="10"/>
        <rFont val="AcadNusx"/>
      </rPr>
      <t xml:space="preserve">                               datkepnis KK-1,26 gaTvaliswinebiT.                                      </t>
    </r>
  </si>
  <si>
    <r>
      <t xml:space="preserve"> 60%-iani bitumis emulsiis mosxma safuZvlis zeda fenaze  ( 0,7 l/m</t>
    </r>
    <r>
      <rPr>
        <vertAlign val="superscript"/>
        <sz val="10"/>
        <rFont val="AcadNusx"/>
      </rPr>
      <t>2</t>
    </r>
    <r>
      <rPr>
        <sz val="10"/>
        <rFont val="AcadNusx"/>
      </rPr>
      <t>-ze )</t>
    </r>
  </si>
  <si>
    <r>
      <t>gza 1740m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-ze                         Sesasvlelebi 260m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.</t>
    </r>
  </si>
  <si>
    <r>
      <t xml:space="preserve">  safaris qveda fenis mowyoba msxvilmarcvlovani  a/betoniT sisqiT </t>
    </r>
    <r>
      <rPr>
        <b/>
        <sz val="10"/>
        <rFont val="AcadNusx"/>
      </rPr>
      <t>6sm.</t>
    </r>
  </si>
  <si>
    <r>
      <t>m</t>
    </r>
    <r>
      <rPr>
        <vertAlign val="superscript"/>
        <sz val="10"/>
        <rFont val="AcadNusx"/>
      </rPr>
      <t>2</t>
    </r>
  </si>
  <si>
    <r>
      <t xml:space="preserve"> 60%-iani bitumis emulsiis mosxma safuZvlis qveda fenaze  ( 0,35 l/m</t>
    </r>
    <r>
      <rPr>
        <vertAlign val="superscript"/>
        <sz val="10"/>
        <rFont val="AcadNusx"/>
      </rPr>
      <t>2</t>
    </r>
    <r>
      <rPr>
        <sz val="10"/>
        <rFont val="AcadNusx"/>
      </rPr>
      <t>-ze )</t>
    </r>
  </si>
  <si>
    <r>
      <t>gza 1740m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-ze</t>
    </r>
  </si>
  <si>
    <r>
      <t xml:space="preserve">  safaris zeda fenis mowyoba wvrilmarcvlovani  a/betoniT sisqiT </t>
    </r>
    <r>
      <rPr>
        <b/>
        <sz val="10"/>
        <rFont val="AcadNusx"/>
      </rPr>
      <t>4sm.</t>
    </r>
  </si>
  <si>
    <r>
      <t xml:space="preserve">  Sesasvlelebis safaris zeda fenis mowyoba wvrilmarcvlovani  a/betoniT sisqiT </t>
    </r>
    <r>
      <rPr>
        <b/>
        <sz val="10"/>
        <rFont val="AcadNusx"/>
      </rPr>
      <t>5sm.</t>
    </r>
  </si>
  <si>
    <r>
      <rPr>
        <sz val="10"/>
        <rFont val="AcadNusx"/>
      </rPr>
      <t>260m</t>
    </r>
    <r>
      <rPr>
        <vertAlign val="superscript"/>
        <sz val="10"/>
        <rFont val="AcadNusx"/>
      </rPr>
      <t>2</t>
    </r>
    <r>
      <rPr>
        <sz val="10"/>
        <rFont val="AcadNusx"/>
      </rPr>
      <t>X0,15X1,22=</t>
    </r>
    <r>
      <rPr>
        <b/>
        <sz val="10"/>
        <rFont val="AcadNusx"/>
      </rPr>
      <t>47,6m</t>
    </r>
    <r>
      <rPr>
        <b/>
        <vertAlign val="superscript"/>
        <sz val="10"/>
        <rFont val="AcadNusx"/>
      </rPr>
      <t xml:space="preserve">3  </t>
    </r>
    <r>
      <rPr>
        <sz val="10"/>
        <rFont val="AcadNusx"/>
      </rPr>
      <t xml:space="preserve">                     datkepnisKK-1,22 gaTvaliswinebiT.                   </t>
    </r>
  </si>
  <si>
    <r>
      <rPr>
        <b/>
        <sz val="11"/>
        <rFont val="AcadNusx"/>
      </rPr>
      <t xml:space="preserve"> </t>
    </r>
    <r>
      <rPr>
        <sz val="10"/>
        <rFont val="AcadNusx"/>
      </rPr>
      <t>1848m</t>
    </r>
    <r>
      <rPr>
        <vertAlign val="superscript"/>
        <sz val="10"/>
        <rFont val="AcadNusx"/>
      </rPr>
      <t>2</t>
    </r>
    <r>
      <rPr>
        <sz val="10"/>
        <rFont val="AcadNusx"/>
      </rPr>
      <t>X0,3X95%=</t>
    </r>
    <r>
      <rPr>
        <b/>
        <sz val="10"/>
        <rFont val="AcadNusx"/>
      </rPr>
      <t>526,7m</t>
    </r>
    <r>
      <rPr>
        <b/>
        <vertAlign val="superscript"/>
        <sz val="10"/>
        <rFont val="AcadNusx"/>
      </rPr>
      <t>3.</t>
    </r>
    <r>
      <rPr>
        <b/>
        <sz val="10"/>
        <rFont val="AcadNusx"/>
      </rPr>
      <t xml:space="preserve">                                     </t>
    </r>
    <r>
      <rPr>
        <sz val="10"/>
        <rFont val="AcadNusx"/>
      </rPr>
      <t xml:space="preserve">                                                                                           </t>
    </r>
  </si>
  <si>
    <r>
      <t>1848m</t>
    </r>
    <r>
      <rPr>
        <vertAlign val="superscript"/>
        <sz val="10"/>
        <rFont val="AcadNusx"/>
      </rPr>
      <t>2</t>
    </r>
    <r>
      <rPr>
        <sz val="10"/>
        <rFont val="AcadNusx"/>
      </rPr>
      <t>X0,3X5%=</t>
    </r>
    <r>
      <rPr>
        <b/>
        <sz val="10"/>
        <rFont val="AcadNusx"/>
      </rPr>
      <t>27,72m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.                                         </t>
    </r>
    <r>
      <rPr>
        <sz val="10"/>
        <rFont val="AcadNusx"/>
      </rPr>
      <t xml:space="preserve">                                             Sesasvlelebi 180m</t>
    </r>
    <r>
      <rPr>
        <vertAlign val="superscript"/>
        <sz val="10"/>
        <rFont val="AcadNusx"/>
      </rPr>
      <t>2</t>
    </r>
    <r>
      <rPr>
        <sz val="10"/>
        <rFont val="AcadNusx"/>
      </rPr>
      <t>X0,1=</t>
    </r>
    <r>
      <rPr>
        <b/>
        <sz val="10"/>
        <rFont val="AcadNusx"/>
      </rPr>
      <t>18,0m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.</t>
    </r>
    <r>
      <rPr>
        <sz val="10"/>
        <rFont val="AcadNusx"/>
      </rPr>
      <t xml:space="preserve">              </t>
    </r>
    <r>
      <rPr>
        <b/>
        <sz val="10"/>
        <rFont val="AcadNusx"/>
      </rPr>
      <t xml:space="preserve">      </t>
    </r>
  </si>
  <si>
    <r>
      <t xml:space="preserve">gasatania- </t>
    </r>
    <r>
      <rPr>
        <b/>
        <sz val="10"/>
        <rFont val="AcadNusx"/>
      </rPr>
      <t>572,38m</t>
    </r>
    <r>
      <rPr>
        <b/>
        <vertAlign val="superscript"/>
        <sz val="10"/>
        <rFont val="AcadNusx"/>
      </rPr>
      <t>3</t>
    </r>
    <r>
      <rPr>
        <sz val="10"/>
        <rFont val="AcadNusx"/>
      </rPr>
      <t>K                            KK-1,85-is gaTvaliswinebiT</t>
    </r>
  </si>
  <si>
    <r>
      <t xml:space="preserve"> </t>
    </r>
    <r>
      <rPr>
        <sz val="10"/>
        <rFont val="AcadNusx"/>
      </rPr>
      <t>1848m</t>
    </r>
    <r>
      <rPr>
        <vertAlign val="superscript"/>
        <sz val="10"/>
        <rFont val="AcadNusx"/>
      </rPr>
      <t>2</t>
    </r>
    <r>
      <rPr>
        <sz val="10"/>
        <rFont val="AcadNusx"/>
      </rPr>
      <t>X0,18X1,22=</t>
    </r>
    <r>
      <rPr>
        <b/>
        <sz val="10"/>
        <rFont val="AcadNusx"/>
      </rPr>
      <t>450,9m</t>
    </r>
    <r>
      <rPr>
        <b/>
        <vertAlign val="superscript"/>
        <sz val="10"/>
        <rFont val="AcadNusx"/>
      </rPr>
      <t>3</t>
    </r>
    <r>
      <rPr>
        <sz val="10"/>
        <rFont val="AcadNusx"/>
      </rPr>
      <t xml:space="preserve">                                  datkepnis KK-1,22 gaTvaliswinebiT.                                      </t>
    </r>
  </si>
  <si>
    <r>
      <rPr>
        <sz val="10"/>
        <rFont val="AcadNusx"/>
      </rPr>
      <t xml:space="preserve"> gza</t>
    </r>
    <r>
      <rPr>
        <b/>
        <sz val="10"/>
        <rFont val="AcadNusx"/>
      </rPr>
      <t xml:space="preserve"> </t>
    </r>
    <r>
      <rPr>
        <sz val="10"/>
        <rFont val="AcadNusx"/>
      </rPr>
      <t>1848m</t>
    </r>
    <r>
      <rPr>
        <vertAlign val="superscript"/>
        <sz val="10"/>
        <rFont val="AcadNusx"/>
      </rPr>
      <t>2</t>
    </r>
    <r>
      <rPr>
        <sz val="10"/>
        <rFont val="AcadNusx"/>
      </rPr>
      <t>X0,1X1,26=</t>
    </r>
    <r>
      <rPr>
        <b/>
        <sz val="10"/>
        <rFont val="AcadNusx"/>
      </rPr>
      <t>232,85m</t>
    </r>
    <r>
      <rPr>
        <b/>
        <vertAlign val="superscript"/>
        <sz val="10"/>
        <rFont val="AcadNusx"/>
      </rPr>
      <t>3</t>
    </r>
    <r>
      <rPr>
        <sz val="10"/>
        <rFont val="AcadNusx"/>
      </rPr>
      <t xml:space="preserve">            Sesasvlelebi 180m</t>
    </r>
    <r>
      <rPr>
        <vertAlign val="superscript"/>
        <sz val="10"/>
        <rFont val="AcadNusx"/>
      </rPr>
      <t>2</t>
    </r>
    <r>
      <rPr>
        <sz val="10"/>
        <rFont val="AcadNusx"/>
      </rPr>
      <t>X0,1X1,26=</t>
    </r>
    <r>
      <rPr>
        <b/>
        <sz val="10"/>
        <rFont val="AcadNusx"/>
      </rPr>
      <t>22,68m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. </t>
    </r>
    <r>
      <rPr>
        <sz val="10"/>
        <rFont val="AcadNusx"/>
      </rPr>
      <t xml:space="preserve">                               datkepnis KK-1,26 gaTvaliswinebiT.                                      </t>
    </r>
  </si>
  <si>
    <r>
      <t>gza 1848m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-ze                         Sesasvlelebi 180m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.</t>
    </r>
  </si>
  <si>
    <r>
      <t>gza 1848m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-ze</t>
    </r>
  </si>
  <si>
    <r>
      <rPr>
        <sz val="10"/>
        <rFont val="AcadNusx"/>
      </rPr>
      <t>308m</t>
    </r>
    <r>
      <rPr>
        <vertAlign val="superscript"/>
        <sz val="10"/>
        <rFont val="AcadNusx"/>
      </rPr>
      <t>2</t>
    </r>
    <r>
      <rPr>
        <sz val="10"/>
        <rFont val="AcadNusx"/>
      </rPr>
      <t>X0,15X1,22=</t>
    </r>
    <r>
      <rPr>
        <b/>
        <sz val="10"/>
        <rFont val="AcadNusx"/>
      </rPr>
      <t>56,4m</t>
    </r>
    <r>
      <rPr>
        <b/>
        <vertAlign val="superscript"/>
        <sz val="10"/>
        <rFont val="AcadNusx"/>
      </rPr>
      <t xml:space="preserve">3  </t>
    </r>
    <r>
      <rPr>
        <sz val="10"/>
        <rFont val="AcadNusx"/>
      </rPr>
      <t xml:space="preserve">                     datkepnisKK-1,22 gaTvaliswinebiT.                   </t>
    </r>
  </si>
  <si>
    <r>
      <rPr>
        <b/>
        <sz val="11"/>
        <rFont val="AcadNusx"/>
      </rPr>
      <t xml:space="preserve"> </t>
    </r>
    <r>
      <rPr>
        <sz val="10"/>
        <rFont val="AcadNusx"/>
      </rPr>
      <t>1658m</t>
    </r>
    <r>
      <rPr>
        <vertAlign val="superscript"/>
        <sz val="10"/>
        <rFont val="AcadNusx"/>
      </rPr>
      <t>2</t>
    </r>
    <r>
      <rPr>
        <sz val="10"/>
        <rFont val="AcadNusx"/>
      </rPr>
      <t>X0,5X95%=</t>
    </r>
    <r>
      <rPr>
        <b/>
        <sz val="10"/>
        <rFont val="AcadNusx"/>
      </rPr>
      <t>787,6m</t>
    </r>
    <r>
      <rPr>
        <b/>
        <vertAlign val="superscript"/>
        <sz val="10"/>
        <rFont val="AcadNusx"/>
      </rPr>
      <t>3.</t>
    </r>
    <r>
      <rPr>
        <b/>
        <sz val="10"/>
        <rFont val="AcadNusx"/>
      </rPr>
      <t xml:space="preserve">                                     </t>
    </r>
    <r>
      <rPr>
        <sz val="10"/>
        <rFont val="AcadNusx"/>
      </rPr>
      <t xml:space="preserve">                                                                                           </t>
    </r>
  </si>
  <si>
    <r>
      <t>1658m</t>
    </r>
    <r>
      <rPr>
        <vertAlign val="superscript"/>
        <sz val="10"/>
        <rFont val="AcadNusx"/>
      </rPr>
      <t>2</t>
    </r>
    <r>
      <rPr>
        <sz val="10"/>
        <rFont val="AcadNusx"/>
      </rPr>
      <t>X0,5X5%=</t>
    </r>
    <r>
      <rPr>
        <b/>
        <sz val="10"/>
        <rFont val="AcadNusx"/>
      </rPr>
      <t>41,45m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.                                         </t>
    </r>
    <r>
      <rPr>
        <sz val="10"/>
        <rFont val="AcadNusx"/>
      </rPr>
      <t xml:space="preserve">                                             Sesasvlelebi 180m</t>
    </r>
    <r>
      <rPr>
        <vertAlign val="superscript"/>
        <sz val="10"/>
        <rFont val="AcadNusx"/>
      </rPr>
      <t>2</t>
    </r>
    <r>
      <rPr>
        <sz val="10"/>
        <rFont val="AcadNusx"/>
      </rPr>
      <t>X0,1=</t>
    </r>
    <r>
      <rPr>
        <b/>
        <sz val="10"/>
        <rFont val="AcadNusx"/>
      </rPr>
      <t>18,0m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.</t>
    </r>
    <r>
      <rPr>
        <sz val="10"/>
        <rFont val="AcadNusx"/>
      </rPr>
      <t xml:space="preserve">              </t>
    </r>
    <r>
      <rPr>
        <b/>
        <sz val="10"/>
        <rFont val="AcadNusx"/>
      </rPr>
      <t xml:space="preserve">      </t>
    </r>
  </si>
  <si>
    <r>
      <t xml:space="preserve"> </t>
    </r>
    <r>
      <rPr>
        <sz val="10"/>
        <rFont val="AcadNusx"/>
      </rPr>
      <t>1658m</t>
    </r>
    <r>
      <rPr>
        <vertAlign val="superscript"/>
        <sz val="10"/>
        <rFont val="AcadNusx"/>
      </rPr>
      <t>2</t>
    </r>
    <r>
      <rPr>
        <sz val="10"/>
        <rFont val="AcadNusx"/>
      </rPr>
      <t>X0,3X1,22=</t>
    </r>
    <r>
      <rPr>
        <b/>
        <sz val="10"/>
        <rFont val="AcadNusx"/>
      </rPr>
      <t>606,8m</t>
    </r>
    <r>
      <rPr>
        <b/>
        <vertAlign val="superscript"/>
        <sz val="10"/>
        <rFont val="AcadNusx"/>
      </rPr>
      <t>3</t>
    </r>
    <r>
      <rPr>
        <sz val="10"/>
        <rFont val="AcadNusx"/>
      </rPr>
      <t xml:space="preserve">                                  datkepnis KK-1,22 gaTvaliswinebiT.                                      </t>
    </r>
  </si>
  <si>
    <r>
      <rPr>
        <sz val="10"/>
        <rFont val="AcadNusx"/>
      </rPr>
      <t xml:space="preserve"> gza</t>
    </r>
    <r>
      <rPr>
        <b/>
        <sz val="10"/>
        <rFont val="AcadNusx"/>
      </rPr>
      <t xml:space="preserve"> </t>
    </r>
    <r>
      <rPr>
        <sz val="10"/>
        <rFont val="AcadNusx"/>
      </rPr>
      <t>1658m</t>
    </r>
    <r>
      <rPr>
        <vertAlign val="superscript"/>
        <sz val="10"/>
        <rFont val="AcadNusx"/>
      </rPr>
      <t>2</t>
    </r>
    <r>
      <rPr>
        <sz val="10"/>
        <rFont val="AcadNusx"/>
      </rPr>
      <t>X0,1X1,26=</t>
    </r>
    <r>
      <rPr>
        <b/>
        <sz val="10"/>
        <rFont val="AcadNusx"/>
      </rPr>
      <t>208,9m</t>
    </r>
    <r>
      <rPr>
        <b/>
        <vertAlign val="superscript"/>
        <sz val="10"/>
        <rFont val="AcadNusx"/>
      </rPr>
      <t>3</t>
    </r>
    <r>
      <rPr>
        <sz val="10"/>
        <rFont val="AcadNusx"/>
      </rPr>
      <t xml:space="preserve">            Sesasvlelebi 180m</t>
    </r>
    <r>
      <rPr>
        <vertAlign val="superscript"/>
        <sz val="10"/>
        <rFont val="AcadNusx"/>
      </rPr>
      <t>2</t>
    </r>
    <r>
      <rPr>
        <sz val="10"/>
        <rFont val="AcadNusx"/>
      </rPr>
      <t>X0,1X1,26=</t>
    </r>
    <r>
      <rPr>
        <b/>
        <sz val="10"/>
        <rFont val="AcadNusx"/>
      </rPr>
      <t>22,68m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. </t>
    </r>
    <r>
      <rPr>
        <sz val="10"/>
        <rFont val="AcadNusx"/>
      </rPr>
      <t xml:space="preserve">                               datkepnis KK-1,26 gaTvaliswinebiT.                                      </t>
    </r>
  </si>
  <si>
    <r>
      <t>gza 1658m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-ze                         Sesasvlelebi 180m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.</t>
    </r>
  </si>
  <si>
    <r>
      <t>gza 1658m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-ze</t>
    </r>
  </si>
  <si>
    <r>
      <rPr>
        <sz val="10"/>
        <rFont val="AcadNusx"/>
      </rPr>
      <t>280m</t>
    </r>
    <r>
      <rPr>
        <vertAlign val="superscript"/>
        <sz val="10"/>
        <rFont val="AcadNusx"/>
      </rPr>
      <t>2</t>
    </r>
    <r>
      <rPr>
        <sz val="10"/>
        <rFont val="AcadNusx"/>
      </rPr>
      <t>X0,15X1,22=</t>
    </r>
    <r>
      <rPr>
        <b/>
        <sz val="10"/>
        <rFont val="AcadNusx"/>
      </rPr>
      <t>51,2m</t>
    </r>
    <r>
      <rPr>
        <b/>
        <vertAlign val="superscript"/>
        <sz val="10"/>
        <rFont val="AcadNusx"/>
      </rPr>
      <t xml:space="preserve">3  </t>
    </r>
    <r>
      <rPr>
        <sz val="10"/>
        <rFont val="AcadNusx"/>
      </rPr>
      <t xml:space="preserve">                     datkepnisKK-1,22 gaTvaliswinebiT.                   </t>
    </r>
  </si>
  <si>
    <r>
      <rPr>
        <sz val="10"/>
        <rFont val="AcadNusx"/>
      </rPr>
      <t>92g/mX0,35l=</t>
    </r>
    <r>
      <rPr>
        <b/>
        <sz val="10"/>
        <rFont val="AcadNusx"/>
      </rPr>
      <t>32,2l.</t>
    </r>
  </si>
  <si>
    <r>
      <t>Sesasvlelebi 230m</t>
    </r>
    <r>
      <rPr>
        <vertAlign val="superscript"/>
        <sz val="10"/>
        <rFont val="AcadNusx"/>
      </rPr>
      <t>2</t>
    </r>
    <r>
      <rPr>
        <sz val="10"/>
        <rFont val="AcadNusx"/>
      </rPr>
      <t>X0,1=</t>
    </r>
    <r>
      <rPr>
        <b/>
        <sz val="10"/>
        <rFont val="AcadNusx"/>
      </rPr>
      <t>23m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.</t>
    </r>
    <r>
      <rPr>
        <sz val="10"/>
        <rFont val="AcadNusx"/>
      </rPr>
      <t xml:space="preserve">              </t>
    </r>
    <r>
      <rPr>
        <b/>
        <sz val="10"/>
        <rFont val="AcadNusx"/>
      </rPr>
      <t xml:space="preserve">      </t>
    </r>
  </si>
  <si>
    <r>
      <t xml:space="preserve">gasatania- </t>
    </r>
    <r>
      <rPr>
        <b/>
        <sz val="10"/>
        <rFont val="AcadNusx"/>
      </rPr>
      <t>23m</t>
    </r>
    <r>
      <rPr>
        <b/>
        <vertAlign val="superscript"/>
        <sz val="10"/>
        <rFont val="AcadNusx"/>
      </rPr>
      <t>3</t>
    </r>
    <r>
      <rPr>
        <sz val="10"/>
        <rFont val="AcadNusx"/>
      </rPr>
      <t>K                            Kk-1,85-is gaTvaliswinebiT</t>
    </r>
  </si>
  <si>
    <r>
      <rPr>
        <sz val="10"/>
        <rFont val="AcadNusx"/>
      </rPr>
      <t xml:space="preserve"> Sesasvlelebi 230m</t>
    </r>
    <r>
      <rPr>
        <vertAlign val="superscript"/>
        <sz val="10"/>
        <rFont val="AcadNusx"/>
      </rPr>
      <t>2</t>
    </r>
    <r>
      <rPr>
        <sz val="10"/>
        <rFont val="AcadNusx"/>
      </rPr>
      <t>X0,1X1,26=</t>
    </r>
    <r>
      <rPr>
        <b/>
        <sz val="10"/>
        <rFont val="AcadNusx"/>
      </rPr>
      <t>28,98m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. </t>
    </r>
    <r>
      <rPr>
        <sz val="10"/>
        <rFont val="AcadNusx"/>
      </rPr>
      <t xml:space="preserve">                               datkepnis KKk-1,26 gaTvaliswinebiT.                                      </t>
    </r>
  </si>
  <si>
    <r>
      <t>Sesasvlelebi 230m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.</t>
    </r>
  </si>
  <si>
    <r>
      <rPr>
        <b/>
        <sz val="11"/>
        <rFont val="AcadNusx"/>
      </rPr>
      <t xml:space="preserve"> </t>
    </r>
    <r>
      <rPr>
        <sz val="10"/>
        <rFont val="AcadNusx"/>
      </rPr>
      <t>1640m</t>
    </r>
    <r>
      <rPr>
        <vertAlign val="superscript"/>
        <sz val="10"/>
        <rFont val="AcadNusx"/>
      </rPr>
      <t>2</t>
    </r>
    <r>
      <rPr>
        <sz val="10"/>
        <rFont val="AcadNusx"/>
      </rPr>
      <t>X0,5X95%=</t>
    </r>
    <r>
      <rPr>
        <b/>
        <sz val="10"/>
        <rFont val="AcadNusx"/>
      </rPr>
      <t>779m</t>
    </r>
    <r>
      <rPr>
        <b/>
        <vertAlign val="superscript"/>
        <sz val="10"/>
        <rFont val="AcadNusx"/>
      </rPr>
      <t>3.</t>
    </r>
    <r>
      <rPr>
        <b/>
        <sz val="10"/>
        <rFont val="AcadNusx"/>
      </rPr>
      <t xml:space="preserve">                                     </t>
    </r>
    <r>
      <rPr>
        <sz val="10"/>
        <rFont val="AcadNusx"/>
      </rPr>
      <t xml:space="preserve">                                                                                           </t>
    </r>
  </si>
  <si>
    <r>
      <t>1640m</t>
    </r>
    <r>
      <rPr>
        <vertAlign val="superscript"/>
        <sz val="10"/>
        <rFont val="AcadNusx"/>
      </rPr>
      <t>2</t>
    </r>
    <r>
      <rPr>
        <sz val="10"/>
        <rFont val="AcadNusx"/>
      </rPr>
      <t>X0,5X5%=</t>
    </r>
    <r>
      <rPr>
        <b/>
        <sz val="10"/>
        <rFont val="AcadNusx"/>
      </rPr>
      <t>41m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.                                         </t>
    </r>
    <r>
      <rPr>
        <sz val="10"/>
        <rFont val="AcadNusx"/>
      </rPr>
      <t xml:space="preserve">                                             Sesasvlelebi 80m</t>
    </r>
    <r>
      <rPr>
        <vertAlign val="superscript"/>
        <sz val="10"/>
        <rFont val="AcadNusx"/>
      </rPr>
      <t>2</t>
    </r>
    <r>
      <rPr>
        <sz val="10"/>
        <rFont val="AcadNusx"/>
      </rPr>
      <t>X0,1=</t>
    </r>
    <r>
      <rPr>
        <b/>
        <sz val="10"/>
        <rFont val="AcadNusx"/>
      </rPr>
      <t>8,0m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.</t>
    </r>
    <r>
      <rPr>
        <sz val="10"/>
        <rFont val="AcadNusx"/>
      </rPr>
      <t xml:space="preserve">              </t>
    </r>
    <r>
      <rPr>
        <b/>
        <sz val="10"/>
        <rFont val="AcadNusx"/>
      </rPr>
      <t xml:space="preserve">      </t>
    </r>
  </si>
  <si>
    <r>
      <t xml:space="preserve">gasatania- </t>
    </r>
    <r>
      <rPr>
        <b/>
        <sz val="10"/>
        <rFont val="AcadNusx"/>
      </rPr>
      <t>828m</t>
    </r>
    <r>
      <rPr>
        <b/>
        <vertAlign val="superscript"/>
        <sz val="10"/>
        <rFont val="AcadNusx"/>
      </rPr>
      <t>3</t>
    </r>
    <r>
      <rPr>
        <sz val="10"/>
        <rFont val="AcadNusx"/>
      </rPr>
      <t>K                            KK-1,85-is gaTvaliswinebiT</t>
    </r>
  </si>
  <si>
    <r>
      <t xml:space="preserve"> </t>
    </r>
    <r>
      <rPr>
        <sz val="10"/>
        <rFont val="AcadNusx"/>
      </rPr>
      <t>1640m</t>
    </r>
    <r>
      <rPr>
        <vertAlign val="superscript"/>
        <sz val="10"/>
        <rFont val="AcadNusx"/>
      </rPr>
      <t>2</t>
    </r>
    <r>
      <rPr>
        <sz val="10"/>
        <rFont val="AcadNusx"/>
      </rPr>
      <t>X0,3X1,22=</t>
    </r>
    <r>
      <rPr>
        <b/>
        <sz val="10"/>
        <rFont val="AcadNusx"/>
      </rPr>
      <t>600,2m</t>
    </r>
    <r>
      <rPr>
        <b/>
        <vertAlign val="superscript"/>
        <sz val="10"/>
        <rFont val="AcadNusx"/>
      </rPr>
      <t>3</t>
    </r>
    <r>
      <rPr>
        <sz val="10"/>
        <rFont val="AcadNusx"/>
      </rPr>
      <t xml:space="preserve">                                  datkepnis KK-1,22 gaTvaliswinebiT.                                      </t>
    </r>
  </si>
  <si>
    <r>
      <rPr>
        <sz val="10"/>
        <rFont val="AcadNusx"/>
      </rPr>
      <t xml:space="preserve"> gza</t>
    </r>
    <r>
      <rPr>
        <b/>
        <sz val="10"/>
        <rFont val="AcadNusx"/>
      </rPr>
      <t xml:space="preserve"> </t>
    </r>
    <r>
      <rPr>
        <sz val="10"/>
        <rFont val="AcadNusx"/>
      </rPr>
      <t>1640m</t>
    </r>
    <r>
      <rPr>
        <vertAlign val="superscript"/>
        <sz val="10"/>
        <rFont val="AcadNusx"/>
      </rPr>
      <t>2</t>
    </r>
    <r>
      <rPr>
        <sz val="10"/>
        <rFont val="AcadNusx"/>
      </rPr>
      <t>X0,1X1,26=</t>
    </r>
    <r>
      <rPr>
        <b/>
        <sz val="10"/>
        <rFont val="AcadNusx"/>
      </rPr>
      <t>206,64m</t>
    </r>
    <r>
      <rPr>
        <b/>
        <vertAlign val="superscript"/>
        <sz val="10"/>
        <rFont val="AcadNusx"/>
      </rPr>
      <t>3</t>
    </r>
    <r>
      <rPr>
        <sz val="10"/>
        <rFont val="AcadNusx"/>
      </rPr>
      <t xml:space="preserve">            Sesasvlelebi 80m</t>
    </r>
    <r>
      <rPr>
        <vertAlign val="superscript"/>
        <sz val="10"/>
        <rFont val="AcadNusx"/>
      </rPr>
      <t>2</t>
    </r>
    <r>
      <rPr>
        <sz val="10"/>
        <rFont val="AcadNusx"/>
      </rPr>
      <t>X0,1X1,26=</t>
    </r>
    <r>
      <rPr>
        <b/>
        <sz val="10"/>
        <rFont val="AcadNusx"/>
      </rPr>
      <t>10,08m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. </t>
    </r>
    <r>
      <rPr>
        <sz val="10"/>
        <rFont val="AcadNusx"/>
      </rPr>
      <t xml:space="preserve">                               datkepnis KK-1,26 gaTvaliswinebiT.                                      </t>
    </r>
  </si>
  <si>
    <r>
      <t>gza 1640m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-ze                         Sesasvlelebi 80m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.</t>
    </r>
  </si>
  <si>
    <r>
      <t>gza 1640m</t>
    </r>
    <r>
      <rPr>
        <b/>
        <vertAlign val="superscript"/>
        <sz val="10"/>
        <rFont val="AcadNusx"/>
      </rPr>
      <t>2</t>
    </r>
    <r>
      <rPr>
        <b/>
        <sz val="10"/>
        <rFont val="AcadNusx"/>
      </rPr>
      <t>-ze</t>
    </r>
  </si>
  <si>
    <r>
      <rPr>
        <sz val="10"/>
        <rFont val="AcadNusx"/>
      </rPr>
      <t>80m</t>
    </r>
    <r>
      <rPr>
        <vertAlign val="superscript"/>
        <sz val="10"/>
        <rFont val="AcadNusx"/>
      </rPr>
      <t>2</t>
    </r>
    <r>
      <rPr>
        <sz val="10"/>
        <rFont val="AcadNusx"/>
      </rPr>
      <t>X0,15X1,22=</t>
    </r>
    <r>
      <rPr>
        <b/>
        <sz val="10"/>
        <rFont val="AcadNusx"/>
      </rPr>
      <t>14,6m</t>
    </r>
    <r>
      <rPr>
        <b/>
        <vertAlign val="superscript"/>
        <sz val="10"/>
        <rFont val="AcadNusx"/>
      </rPr>
      <t xml:space="preserve">3  </t>
    </r>
    <r>
      <rPr>
        <sz val="10"/>
        <rFont val="AcadNusx"/>
      </rPr>
      <t xml:space="preserve">                     datkepnisKK-1,22 gaTvaliswinebiT.                   </t>
    </r>
  </si>
  <si>
    <t>zednadebi xarji %</t>
  </si>
  <si>
    <t>mogeba %</t>
  </si>
  <si>
    <t>ხელმოწერა          /                 /          ბ.ა</t>
  </si>
  <si>
    <t>tipi-I</t>
  </si>
  <si>
    <t xml:space="preserve"> arsebuli gruntis (an naSali masalis ) damuSaveba meqanizmiT da datvirTva a/TviTmclelze</t>
  </si>
  <si>
    <t xml:space="preserve">  dazianebuli bordiurebis demontaJi da datvirTva avtoTviTmclelebze</t>
  </si>
  <si>
    <t>grZ/m</t>
  </si>
  <si>
    <t>tipi-II</t>
  </si>
  <si>
    <t xml:space="preserve"> sarinelis mowyoba</t>
  </si>
  <si>
    <t xml:space="preserve">  sarinelis safuZvlis zeda fenis mowyoba fraqciuli RorRiT (0-40mm-mde.) datkepniT.</t>
  </si>
  <si>
    <r>
      <t xml:space="preserve">  betonis axali bordiuris (15X30X100) montaJi betonis safuZvelze. safuZvlisTvis gamoiyeneba (aranakleb B-10) betoni 0,035m</t>
    </r>
    <r>
      <rPr>
        <vertAlign val="superscript"/>
        <sz val="10"/>
        <rFont val="AcadNusx"/>
      </rPr>
      <t>3</t>
    </r>
    <r>
      <rPr>
        <sz val="10"/>
        <rFont val="AcadNusx"/>
      </rPr>
      <t>./grZiv metrze</t>
    </r>
  </si>
  <si>
    <r>
      <t xml:space="preserve">  60%-iani bitumis emulsiis mosxma safuZvlis zeda fenaze  ( 0,7 l/m</t>
    </r>
    <r>
      <rPr>
        <vertAlign val="superscript"/>
        <sz val="10"/>
        <rFont val="AcadNusx"/>
      </rPr>
      <t>2</t>
    </r>
    <r>
      <rPr>
        <sz val="10"/>
        <rFont val="AcadNusx"/>
      </rPr>
      <t>-ze )</t>
    </r>
  </si>
  <si>
    <r>
      <t xml:space="preserve">  safaris qveda fenis mowyoba msxvilmarcvlovani  a/betoniT  sisqiT </t>
    </r>
    <r>
      <rPr>
        <b/>
        <sz val="10"/>
        <rFont val="AcadNusx"/>
      </rPr>
      <t>6sm.</t>
    </r>
  </si>
  <si>
    <r>
      <t xml:space="preserve">  60%-iani bitumis emulsiis mosxma safaris qveda fenis mTel farTze             ( 0,35 l/m</t>
    </r>
    <r>
      <rPr>
        <vertAlign val="superscript"/>
        <sz val="10"/>
        <rFont val="AcadNusx"/>
      </rPr>
      <t>2</t>
    </r>
    <r>
      <rPr>
        <sz val="10"/>
        <rFont val="AcadNusx"/>
      </rPr>
      <t>-ze )</t>
    </r>
  </si>
  <si>
    <r>
      <t xml:space="preserve">  safaris zeda fenis mowyoba wvrilmarcvlovani  a/betoniT  sisqiT </t>
    </r>
    <r>
      <rPr>
        <b/>
        <sz val="10"/>
        <rFont val="AcadNusx"/>
      </rPr>
      <t>4sm.</t>
    </r>
  </si>
  <si>
    <r>
      <t xml:space="preserve">  safaris zeda fenis mowyoba wvrilmarcvlovani  a/betoniT  sisqiT </t>
    </r>
    <r>
      <rPr>
        <b/>
        <sz val="10"/>
        <rFont val="AcadNusx"/>
      </rPr>
      <t>5sm.</t>
    </r>
  </si>
  <si>
    <r>
      <t xml:space="preserve">  bilikisa da sarinelis safaris  mowyoba qviSovani a/betonis cxeli nareviT   sisqiT </t>
    </r>
    <r>
      <rPr>
        <b/>
        <sz val="10"/>
        <rFont val="AcadNusx"/>
      </rPr>
      <t>3sm.</t>
    </r>
  </si>
  <si>
    <t xml:space="preserve">დანართი #4 </t>
  </si>
  <si>
    <t>ხელმოწერა                                                  /                                               /          ბ.ა</t>
  </si>
  <si>
    <t>WiWinaZis quCis #1, #2, #3, #4, #5, #6-is Cixebi</t>
  </si>
  <si>
    <t xml:space="preserve">შესასრულებელი მოცულობები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</si>
</sst>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LitNusx"/>
      <family val="2"/>
    </font>
    <font>
      <sz val="12"/>
      <name val="LitNusx"/>
      <family val="2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b/>
      <sz val="12"/>
      <name val="LitNusx"/>
      <family val="2"/>
    </font>
    <font>
      <b/>
      <sz val="10"/>
      <name val="LitNusx"/>
      <family val="2"/>
    </font>
    <font>
      <b/>
      <sz val="14"/>
      <name val="AcadNusx"/>
    </font>
    <font>
      <b/>
      <sz val="10"/>
      <name val="AcadNusx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LitNusx"/>
      <family val="2"/>
    </font>
    <font>
      <b/>
      <sz val="16"/>
      <name val="AcadNusx"/>
    </font>
    <font>
      <vertAlign val="superscript"/>
      <sz val="10"/>
      <name val="AcadNusx"/>
    </font>
    <font>
      <b/>
      <vertAlign val="superscript"/>
      <sz val="10"/>
      <name val="AcadNusx"/>
    </font>
    <font>
      <b/>
      <sz val="11"/>
      <name val="AcadNusx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1" fillId="0" borderId="0" xfId="1" applyFont="1" applyAlignment="1">
      <alignment horizontal="center" vertical="center" wrapText="1"/>
    </xf>
    <xf numFmtId="0" fontId="3" fillId="0" borderId="0" xfId="1"/>
    <xf numFmtId="2" fontId="6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1" fontId="1" fillId="0" borderId="0" xfId="1" applyNumberFormat="1" applyFont="1" applyBorder="1" applyAlignment="1">
      <alignment horizontal="center" vertical="center" wrapText="1"/>
    </xf>
    <xf numFmtId="2" fontId="1" fillId="0" borderId="0" xfId="1" applyNumberFormat="1" applyFont="1" applyBorder="1" applyAlignment="1">
      <alignment horizontal="left" vertical="center" wrapText="1"/>
    </xf>
    <xf numFmtId="2" fontId="1" fillId="0" borderId="0" xfId="1" applyNumberFormat="1" applyFont="1" applyBorder="1" applyAlignment="1">
      <alignment horizontal="center" vertical="center" wrapText="1"/>
    </xf>
    <xf numFmtId="164" fontId="1" fillId="3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1" applyFont="1"/>
    <xf numFmtId="0" fontId="7" fillId="0" borderId="0" xfId="1" applyFont="1"/>
    <xf numFmtId="0" fontId="2" fillId="0" borderId="0" xfId="0" applyFont="1" applyAlignment="1">
      <alignment vertical="center" wrapText="1"/>
    </xf>
    <xf numFmtId="0" fontId="1" fillId="0" borderId="0" xfId="1" applyFont="1" applyBorder="1"/>
    <xf numFmtId="0" fontId="3" fillId="0" borderId="0" xfId="1" applyBorder="1"/>
    <xf numFmtId="0" fontId="10" fillId="0" borderId="0" xfId="1" applyFont="1" applyAlignment="1">
      <alignment horizontal="center"/>
    </xf>
    <xf numFmtId="2" fontId="1" fillId="2" borderId="0" xfId="2" applyNumberFormat="1" applyFont="1" applyFill="1" applyBorder="1" applyAlignment="1">
      <alignment horizontal="left" vertical="center" wrapText="1"/>
    </xf>
    <xf numFmtId="2" fontId="1" fillId="2" borderId="0" xfId="2" applyNumberFormat="1" applyFont="1" applyFill="1" applyBorder="1" applyAlignment="1">
      <alignment horizontal="center" vertical="center" wrapText="1"/>
    </xf>
    <xf numFmtId="164" fontId="1" fillId="2" borderId="0" xfId="2" applyNumberFormat="1" applyFont="1" applyFill="1" applyBorder="1" applyAlignment="1">
      <alignment horizontal="center" vertical="center" wrapText="1"/>
    </xf>
    <xf numFmtId="2" fontId="7" fillId="2" borderId="0" xfId="2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2" fontId="13" fillId="2" borderId="1" xfId="2" applyNumberFormat="1" applyFont="1" applyFill="1" applyBorder="1" applyAlignment="1">
      <alignment horizontal="center" vertical="center" wrapText="1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left" vertical="center" wrapText="1"/>
    </xf>
    <xf numFmtId="2" fontId="4" fillId="3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3">
    <cellStyle name="Normal" xfId="0" builtinId="0"/>
    <cellStyle name="Normal 2 2" xfId="1"/>
    <cellStyle name="Normal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60"/>
  <sheetViews>
    <sheetView tabSelected="1" workbookViewId="0">
      <selection activeCell="B4" sqref="B4:F4"/>
    </sheetView>
  </sheetViews>
  <sheetFormatPr defaultColWidth="9.140625" defaultRowHeight="12.75" x14ac:dyDescent="0.2"/>
  <cols>
    <col min="1" max="1" width="4.42578125" style="2" customWidth="1"/>
    <col min="2" max="2" width="67.140625" style="2" customWidth="1"/>
    <col min="3" max="3" width="6.5703125" style="2" customWidth="1"/>
    <col min="4" max="4" width="9.85546875" style="2" customWidth="1"/>
    <col min="5" max="5" width="10.5703125" style="2" customWidth="1"/>
    <col min="6" max="6" width="28.28515625" style="2" customWidth="1"/>
    <col min="7" max="16384" width="9.140625" style="2"/>
  </cols>
  <sheetData>
    <row r="2" spans="1:6" ht="15.75" x14ac:dyDescent="0.25">
      <c r="E2" s="65" t="s">
        <v>95</v>
      </c>
      <c r="F2" s="65"/>
    </row>
    <row r="3" spans="1:6" ht="15.75" x14ac:dyDescent="0.25">
      <c r="E3" s="16"/>
      <c r="F3" s="16"/>
    </row>
    <row r="4" spans="1:6" ht="17.25" customHeight="1" x14ac:dyDescent="0.25">
      <c r="B4" s="64" t="s">
        <v>98</v>
      </c>
      <c r="C4" s="64"/>
      <c r="D4" s="64"/>
      <c r="E4" s="64"/>
      <c r="F4" s="64"/>
    </row>
    <row r="5" spans="1:6" ht="13.5" x14ac:dyDescent="0.2">
      <c r="A5" s="1"/>
      <c r="B5" s="1"/>
      <c r="C5" s="1"/>
      <c r="D5" s="1"/>
      <c r="E5" s="1"/>
      <c r="F5" s="1"/>
    </row>
    <row r="6" spans="1:6" ht="27" customHeight="1" x14ac:dyDescent="0.2">
      <c r="A6" s="3" t="s">
        <v>0</v>
      </c>
      <c r="B6" s="21" t="s">
        <v>1</v>
      </c>
      <c r="C6" s="21" t="s">
        <v>2</v>
      </c>
      <c r="D6" s="21" t="s">
        <v>3</v>
      </c>
      <c r="E6" s="56" t="s">
        <v>4</v>
      </c>
      <c r="F6" s="57"/>
    </row>
    <row r="7" spans="1:6" ht="22.5" x14ac:dyDescent="0.2">
      <c r="A7" s="3"/>
      <c r="B7" s="22" t="s">
        <v>5</v>
      </c>
      <c r="C7" s="21"/>
      <c r="D7" s="21"/>
      <c r="E7" s="23"/>
      <c r="F7" s="24"/>
    </row>
    <row r="8" spans="1:6" ht="27" customHeight="1" x14ac:dyDescent="0.2">
      <c r="A8" s="4">
        <v>1</v>
      </c>
      <c r="B8" s="25" t="s">
        <v>6</v>
      </c>
      <c r="C8" s="26" t="s">
        <v>33</v>
      </c>
      <c r="D8" s="27">
        <f>1740*0.1*30%</f>
        <v>52.199999999999996</v>
      </c>
      <c r="E8" s="54" t="s">
        <v>34</v>
      </c>
      <c r="F8" s="55"/>
    </row>
    <row r="9" spans="1:6" ht="27" customHeight="1" x14ac:dyDescent="0.2">
      <c r="A9" s="4">
        <f>A8+1</f>
        <v>2</v>
      </c>
      <c r="B9" s="25" t="s">
        <v>7</v>
      </c>
      <c r="C9" s="26" t="s">
        <v>33</v>
      </c>
      <c r="D9" s="27">
        <f>1740*0.1*5%</f>
        <v>8.7000000000000011</v>
      </c>
      <c r="E9" s="54" t="s">
        <v>35</v>
      </c>
      <c r="F9" s="55"/>
    </row>
    <row r="10" spans="1:6" ht="33" customHeight="1" x14ac:dyDescent="0.2">
      <c r="A10" s="4">
        <f t="shared" ref="A10:A21" si="0">A9+1</f>
        <v>3</v>
      </c>
      <c r="B10" s="25" t="s">
        <v>8</v>
      </c>
      <c r="C10" s="26" t="s">
        <v>33</v>
      </c>
      <c r="D10" s="27">
        <f>1740*0.28*95%</f>
        <v>462.84000000000003</v>
      </c>
      <c r="E10" s="54" t="s">
        <v>36</v>
      </c>
      <c r="F10" s="55"/>
    </row>
    <row r="11" spans="1:6" ht="40.5" customHeight="1" x14ac:dyDescent="0.2">
      <c r="A11" s="4">
        <f t="shared" si="0"/>
        <v>4</v>
      </c>
      <c r="B11" s="25" t="s">
        <v>9</v>
      </c>
      <c r="C11" s="26" t="s">
        <v>33</v>
      </c>
      <c r="D11" s="27">
        <f>24.36+26</f>
        <v>50.36</v>
      </c>
      <c r="E11" s="54" t="s">
        <v>37</v>
      </c>
      <c r="F11" s="55"/>
    </row>
    <row r="12" spans="1:6" ht="31.5" customHeight="1" x14ac:dyDescent="0.2">
      <c r="A12" s="4">
        <f t="shared" si="0"/>
        <v>5</v>
      </c>
      <c r="B12" s="25" t="s">
        <v>10</v>
      </c>
      <c r="C12" s="26" t="s">
        <v>11</v>
      </c>
      <c r="D12" s="27">
        <f>(D8+D9+D10+D11)*1.85</f>
        <v>1062.085</v>
      </c>
      <c r="E12" s="60" t="s">
        <v>38</v>
      </c>
      <c r="F12" s="61"/>
    </row>
    <row r="13" spans="1:6" ht="27" x14ac:dyDescent="0.2">
      <c r="A13" s="4">
        <f t="shared" si="0"/>
        <v>6</v>
      </c>
      <c r="B13" s="28" t="s">
        <v>12</v>
      </c>
      <c r="C13" s="26" t="s">
        <v>13</v>
      </c>
      <c r="D13" s="27">
        <v>5</v>
      </c>
      <c r="E13" s="56"/>
      <c r="F13" s="57"/>
    </row>
    <row r="14" spans="1:6" ht="36" customHeight="1" x14ac:dyDescent="0.2">
      <c r="A14" s="4">
        <f t="shared" si="0"/>
        <v>7</v>
      </c>
      <c r="B14" s="28" t="s">
        <v>14</v>
      </c>
      <c r="C14" s="26" t="s">
        <v>33</v>
      </c>
      <c r="D14" s="27">
        <f>1740*0.18*1.22</f>
        <v>382.10399999999998</v>
      </c>
      <c r="E14" s="58" t="s">
        <v>39</v>
      </c>
      <c r="F14" s="59"/>
    </row>
    <row r="15" spans="1:6" ht="48" customHeight="1" x14ac:dyDescent="0.2">
      <c r="A15" s="4">
        <f t="shared" si="0"/>
        <v>8</v>
      </c>
      <c r="B15" s="28" t="s">
        <v>15</v>
      </c>
      <c r="C15" s="26" t="s">
        <v>33</v>
      </c>
      <c r="D15" s="27">
        <f>219.24+32.76</f>
        <v>252</v>
      </c>
      <c r="E15" s="58" t="s">
        <v>40</v>
      </c>
      <c r="F15" s="59"/>
    </row>
    <row r="16" spans="1:6" ht="37.5" customHeight="1" x14ac:dyDescent="0.2">
      <c r="A16" s="4">
        <f t="shared" si="0"/>
        <v>9</v>
      </c>
      <c r="B16" s="28" t="s">
        <v>41</v>
      </c>
      <c r="C16" s="26" t="s">
        <v>16</v>
      </c>
      <c r="D16" s="27">
        <f>2000*0.7</f>
        <v>1400</v>
      </c>
      <c r="E16" s="58" t="s">
        <v>42</v>
      </c>
      <c r="F16" s="59"/>
    </row>
    <row r="17" spans="1:6" ht="24.75" customHeight="1" x14ac:dyDescent="0.2">
      <c r="A17" s="4">
        <f t="shared" si="0"/>
        <v>10</v>
      </c>
      <c r="B17" s="28" t="s">
        <v>43</v>
      </c>
      <c r="C17" s="26" t="s">
        <v>44</v>
      </c>
      <c r="D17" s="29">
        <v>1740</v>
      </c>
      <c r="E17" s="58"/>
      <c r="F17" s="59"/>
    </row>
    <row r="18" spans="1:6" ht="29.25" x14ac:dyDescent="0.2">
      <c r="A18" s="4">
        <f t="shared" si="0"/>
        <v>11</v>
      </c>
      <c r="B18" s="28" t="s">
        <v>45</v>
      </c>
      <c r="C18" s="26" t="s">
        <v>16</v>
      </c>
      <c r="D18" s="27">
        <f>1740*0.35</f>
        <v>609</v>
      </c>
      <c r="E18" s="58" t="s">
        <v>46</v>
      </c>
      <c r="F18" s="59"/>
    </row>
    <row r="19" spans="1:6" ht="24" customHeight="1" x14ac:dyDescent="0.2">
      <c r="A19" s="4">
        <f t="shared" si="0"/>
        <v>12</v>
      </c>
      <c r="B19" s="28" t="s">
        <v>47</v>
      </c>
      <c r="C19" s="26" t="s">
        <v>44</v>
      </c>
      <c r="D19" s="29">
        <v>1740</v>
      </c>
      <c r="E19" s="30"/>
      <c r="F19" s="31"/>
    </row>
    <row r="20" spans="1:6" ht="27" x14ac:dyDescent="0.2">
      <c r="A20" s="4">
        <f t="shared" si="0"/>
        <v>13</v>
      </c>
      <c r="B20" s="28" t="s">
        <v>48</v>
      </c>
      <c r="C20" s="26" t="s">
        <v>44</v>
      </c>
      <c r="D20" s="29">
        <v>260</v>
      </c>
      <c r="E20" s="30"/>
      <c r="F20" s="32"/>
    </row>
    <row r="21" spans="1:6" ht="33" customHeight="1" x14ac:dyDescent="0.2">
      <c r="A21" s="4">
        <f t="shared" si="0"/>
        <v>14</v>
      </c>
      <c r="B21" s="33" t="s">
        <v>17</v>
      </c>
      <c r="C21" s="34" t="s">
        <v>33</v>
      </c>
      <c r="D21" s="35">
        <f>260*0.15*1.22</f>
        <v>47.58</v>
      </c>
      <c r="E21" s="62" t="s">
        <v>49</v>
      </c>
      <c r="F21" s="63"/>
    </row>
    <row r="22" spans="1:6" ht="22.5" x14ac:dyDescent="0.2">
      <c r="A22" s="4"/>
      <c r="B22" s="36" t="s">
        <v>18</v>
      </c>
      <c r="C22" s="34"/>
      <c r="D22" s="35"/>
      <c r="E22" s="37"/>
      <c r="F22" s="38"/>
    </row>
    <row r="23" spans="1:6" ht="30" customHeight="1" x14ac:dyDescent="0.2">
      <c r="A23" s="4">
        <v>1</v>
      </c>
      <c r="B23" s="25" t="s">
        <v>8</v>
      </c>
      <c r="C23" s="26" t="s">
        <v>33</v>
      </c>
      <c r="D23" s="27">
        <f>1848*0.3*95%</f>
        <v>526.67999999999995</v>
      </c>
      <c r="E23" s="54" t="s">
        <v>50</v>
      </c>
      <c r="F23" s="55"/>
    </row>
    <row r="24" spans="1:6" ht="39" customHeight="1" x14ac:dyDescent="0.2">
      <c r="A24" s="4">
        <f>A23+1</f>
        <v>2</v>
      </c>
      <c r="B24" s="25" t="s">
        <v>9</v>
      </c>
      <c r="C24" s="26" t="s">
        <v>33</v>
      </c>
      <c r="D24" s="27">
        <f>27.72+18</f>
        <v>45.72</v>
      </c>
      <c r="E24" s="54" t="s">
        <v>51</v>
      </c>
      <c r="F24" s="55"/>
    </row>
    <row r="25" spans="1:6" ht="34.5" customHeight="1" x14ac:dyDescent="0.2">
      <c r="A25" s="4">
        <f t="shared" ref="A25:A33" si="1">A24+1</f>
        <v>3</v>
      </c>
      <c r="B25" s="25" t="s">
        <v>10</v>
      </c>
      <c r="C25" s="26" t="s">
        <v>11</v>
      </c>
      <c r="D25" s="27">
        <f>(D23+D24)*1.85</f>
        <v>1058.94</v>
      </c>
      <c r="E25" s="60" t="s">
        <v>52</v>
      </c>
      <c r="F25" s="61"/>
    </row>
    <row r="26" spans="1:6" ht="36.75" customHeight="1" x14ac:dyDescent="0.2">
      <c r="A26" s="4">
        <f t="shared" si="1"/>
        <v>4</v>
      </c>
      <c r="B26" s="28" t="s">
        <v>14</v>
      </c>
      <c r="C26" s="26" t="s">
        <v>33</v>
      </c>
      <c r="D26" s="27">
        <f>1848*0.2*1.22</f>
        <v>450.91200000000003</v>
      </c>
      <c r="E26" s="58" t="s">
        <v>53</v>
      </c>
      <c r="F26" s="59"/>
    </row>
    <row r="27" spans="1:6" ht="56.25" customHeight="1" x14ac:dyDescent="0.2">
      <c r="A27" s="4">
        <f t="shared" si="1"/>
        <v>5</v>
      </c>
      <c r="B27" s="28" t="s">
        <v>15</v>
      </c>
      <c r="C27" s="26" t="s">
        <v>33</v>
      </c>
      <c r="D27" s="27">
        <f>232.85+22.68</f>
        <v>255.53</v>
      </c>
      <c r="E27" s="58" t="s">
        <v>54</v>
      </c>
      <c r="F27" s="59"/>
    </row>
    <row r="28" spans="1:6" ht="36.75" customHeight="1" x14ac:dyDescent="0.2">
      <c r="A28" s="4">
        <f t="shared" si="1"/>
        <v>6</v>
      </c>
      <c r="B28" s="28" t="s">
        <v>41</v>
      </c>
      <c r="C28" s="26" t="s">
        <v>16</v>
      </c>
      <c r="D28" s="27">
        <f>2028*0.7</f>
        <v>1419.6</v>
      </c>
      <c r="E28" s="58" t="s">
        <v>55</v>
      </c>
      <c r="F28" s="59"/>
    </row>
    <row r="29" spans="1:6" ht="25.5" customHeight="1" x14ac:dyDescent="0.2">
      <c r="A29" s="4">
        <f t="shared" si="1"/>
        <v>7</v>
      </c>
      <c r="B29" s="28" t="s">
        <v>43</v>
      </c>
      <c r="C29" s="26" t="s">
        <v>44</v>
      </c>
      <c r="D29" s="29">
        <v>1848</v>
      </c>
      <c r="E29" s="58"/>
      <c r="F29" s="59"/>
    </row>
    <row r="30" spans="1:6" ht="29.25" x14ac:dyDescent="0.2">
      <c r="A30" s="4">
        <f t="shared" si="1"/>
        <v>8</v>
      </c>
      <c r="B30" s="28" t="s">
        <v>45</v>
      </c>
      <c r="C30" s="26" t="s">
        <v>16</v>
      </c>
      <c r="D30" s="27">
        <f>1848*0.35</f>
        <v>646.79999999999995</v>
      </c>
      <c r="E30" s="58" t="s">
        <v>56</v>
      </c>
      <c r="F30" s="59"/>
    </row>
    <row r="31" spans="1:6" ht="24.75" customHeight="1" x14ac:dyDescent="0.2">
      <c r="A31" s="4">
        <f t="shared" si="1"/>
        <v>9</v>
      </c>
      <c r="B31" s="28" t="s">
        <v>47</v>
      </c>
      <c r="C31" s="26" t="s">
        <v>44</v>
      </c>
      <c r="D31" s="29">
        <v>1848</v>
      </c>
      <c r="E31" s="30"/>
      <c r="F31" s="31"/>
    </row>
    <row r="32" spans="1:6" ht="27" x14ac:dyDescent="0.2">
      <c r="A32" s="4">
        <f t="shared" si="1"/>
        <v>10</v>
      </c>
      <c r="B32" s="28" t="s">
        <v>48</v>
      </c>
      <c r="C32" s="26" t="s">
        <v>44</v>
      </c>
      <c r="D32" s="29">
        <v>180</v>
      </c>
      <c r="E32" s="30"/>
      <c r="F32" s="32"/>
    </row>
    <row r="33" spans="1:6" ht="39" customHeight="1" x14ac:dyDescent="0.2">
      <c r="A33" s="4">
        <f t="shared" si="1"/>
        <v>11</v>
      </c>
      <c r="B33" s="33" t="s">
        <v>17</v>
      </c>
      <c r="C33" s="34" t="s">
        <v>33</v>
      </c>
      <c r="D33" s="35">
        <f>308*0.15*1.22</f>
        <v>56.36399999999999</v>
      </c>
      <c r="E33" s="62" t="s">
        <v>57</v>
      </c>
      <c r="F33" s="63"/>
    </row>
    <row r="34" spans="1:6" ht="22.5" x14ac:dyDescent="0.2">
      <c r="A34" s="4"/>
      <c r="B34" s="36" t="s">
        <v>19</v>
      </c>
      <c r="C34" s="34"/>
      <c r="D34" s="35"/>
      <c r="E34" s="37"/>
      <c r="F34" s="38"/>
    </row>
    <row r="35" spans="1:6" ht="37.5" customHeight="1" x14ac:dyDescent="0.2">
      <c r="A35" s="4">
        <v>1</v>
      </c>
      <c r="B35" s="25" t="s">
        <v>8</v>
      </c>
      <c r="C35" s="26" t="s">
        <v>33</v>
      </c>
      <c r="D35" s="27">
        <f>1658*0.5*95%</f>
        <v>787.55</v>
      </c>
      <c r="E35" s="54" t="s">
        <v>58</v>
      </c>
      <c r="F35" s="55"/>
    </row>
    <row r="36" spans="1:6" ht="36" customHeight="1" x14ac:dyDescent="0.2">
      <c r="A36" s="4">
        <f>A35+1</f>
        <v>2</v>
      </c>
      <c r="B36" s="25" t="s">
        <v>9</v>
      </c>
      <c r="C36" s="26" t="s">
        <v>33</v>
      </c>
      <c r="D36" s="27">
        <f>41.45+18</f>
        <v>59.45</v>
      </c>
      <c r="E36" s="54" t="s">
        <v>59</v>
      </c>
      <c r="F36" s="55"/>
    </row>
    <row r="37" spans="1:6" ht="33" customHeight="1" x14ac:dyDescent="0.2">
      <c r="A37" s="4">
        <f t="shared" ref="A37:A46" si="2">A36+1</f>
        <v>3</v>
      </c>
      <c r="B37" s="25" t="s">
        <v>10</v>
      </c>
      <c r="C37" s="26" t="s">
        <v>11</v>
      </c>
      <c r="D37" s="27">
        <f>(D35+D36)*1.85</f>
        <v>1566.95</v>
      </c>
      <c r="E37" s="60" t="s">
        <v>52</v>
      </c>
      <c r="F37" s="61"/>
    </row>
    <row r="38" spans="1:6" ht="27" x14ac:dyDescent="0.2">
      <c r="A38" s="4">
        <f t="shared" si="2"/>
        <v>4</v>
      </c>
      <c r="B38" s="28" t="s">
        <v>12</v>
      </c>
      <c r="C38" s="26" t="s">
        <v>13</v>
      </c>
      <c r="D38" s="27">
        <v>8</v>
      </c>
      <c r="E38" s="39"/>
      <c r="F38" s="31"/>
    </row>
    <row r="39" spans="1:6" ht="36" customHeight="1" x14ac:dyDescent="0.2">
      <c r="A39" s="4">
        <f t="shared" si="2"/>
        <v>5</v>
      </c>
      <c r="B39" s="28" t="s">
        <v>14</v>
      </c>
      <c r="C39" s="26" t="s">
        <v>33</v>
      </c>
      <c r="D39" s="27">
        <f>1658*0.3*1.22</f>
        <v>606.82799999999997</v>
      </c>
      <c r="E39" s="58" t="s">
        <v>60</v>
      </c>
      <c r="F39" s="59"/>
    </row>
    <row r="40" spans="1:6" ht="49.5" customHeight="1" x14ac:dyDescent="0.2">
      <c r="A40" s="4">
        <f t="shared" si="2"/>
        <v>6</v>
      </c>
      <c r="B40" s="28" t="s">
        <v>15</v>
      </c>
      <c r="C40" s="26" t="s">
        <v>33</v>
      </c>
      <c r="D40" s="27">
        <f>208.9+22.68</f>
        <v>231.58</v>
      </c>
      <c r="E40" s="58" t="s">
        <v>61</v>
      </c>
      <c r="F40" s="59"/>
    </row>
    <row r="41" spans="1:6" ht="36" customHeight="1" x14ac:dyDescent="0.2">
      <c r="A41" s="4">
        <f t="shared" si="2"/>
        <v>7</v>
      </c>
      <c r="B41" s="28" t="s">
        <v>41</v>
      </c>
      <c r="C41" s="26" t="s">
        <v>16</v>
      </c>
      <c r="D41" s="27">
        <f>1838*0.7</f>
        <v>1286.5999999999999</v>
      </c>
      <c r="E41" s="58" t="s">
        <v>62</v>
      </c>
      <c r="F41" s="59"/>
    </row>
    <row r="42" spans="1:6" ht="25.5" customHeight="1" x14ac:dyDescent="0.2">
      <c r="A42" s="4">
        <f t="shared" si="2"/>
        <v>8</v>
      </c>
      <c r="B42" s="28" t="s">
        <v>43</v>
      </c>
      <c r="C42" s="26" t="s">
        <v>44</v>
      </c>
      <c r="D42" s="29">
        <v>1658</v>
      </c>
      <c r="E42" s="58"/>
      <c r="F42" s="59"/>
    </row>
    <row r="43" spans="1:6" ht="29.25" x14ac:dyDescent="0.2">
      <c r="A43" s="4">
        <f t="shared" si="2"/>
        <v>9</v>
      </c>
      <c r="B43" s="28" t="s">
        <v>45</v>
      </c>
      <c r="C43" s="26" t="s">
        <v>16</v>
      </c>
      <c r="D43" s="27">
        <f>1658*0.35</f>
        <v>580.29999999999995</v>
      </c>
      <c r="E43" s="58" t="s">
        <v>63</v>
      </c>
      <c r="F43" s="59"/>
    </row>
    <row r="44" spans="1:6" ht="24" customHeight="1" x14ac:dyDescent="0.2">
      <c r="A44" s="4">
        <f t="shared" si="2"/>
        <v>10</v>
      </c>
      <c r="B44" s="28" t="s">
        <v>47</v>
      </c>
      <c r="C44" s="26" t="s">
        <v>44</v>
      </c>
      <c r="D44" s="29">
        <v>1658</v>
      </c>
      <c r="E44" s="30"/>
      <c r="F44" s="31"/>
    </row>
    <row r="45" spans="1:6" ht="27" x14ac:dyDescent="0.2">
      <c r="A45" s="4">
        <f t="shared" si="2"/>
        <v>11</v>
      </c>
      <c r="B45" s="28" t="s">
        <v>48</v>
      </c>
      <c r="C45" s="26" t="s">
        <v>44</v>
      </c>
      <c r="D45" s="29">
        <v>180</v>
      </c>
      <c r="E45" s="30"/>
      <c r="F45" s="32"/>
    </row>
    <row r="46" spans="1:6" ht="36" customHeight="1" x14ac:dyDescent="0.2">
      <c r="A46" s="4">
        <f t="shared" si="2"/>
        <v>12</v>
      </c>
      <c r="B46" s="33" t="s">
        <v>17</v>
      </c>
      <c r="C46" s="34" t="s">
        <v>33</v>
      </c>
      <c r="D46" s="35">
        <f>280*0.15*1.22</f>
        <v>51.24</v>
      </c>
      <c r="E46" s="62" t="s">
        <v>64</v>
      </c>
      <c r="F46" s="63"/>
    </row>
    <row r="47" spans="1:6" ht="21" x14ac:dyDescent="0.2">
      <c r="A47" s="4"/>
      <c r="B47" s="5" t="s">
        <v>20</v>
      </c>
      <c r="C47" s="34"/>
      <c r="D47" s="35"/>
      <c r="E47" s="37"/>
      <c r="F47" s="38"/>
    </row>
    <row r="48" spans="1:6" ht="19.5" customHeight="1" x14ac:dyDescent="0.2">
      <c r="A48" s="4">
        <v>1</v>
      </c>
      <c r="B48" s="33" t="s">
        <v>21</v>
      </c>
      <c r="C48" s="34" t="s">
        <v>22</v>
      </c>
      <c r="D48" s="35">
        <v>92</v>
      </c>
      <c r="E48" s="37"/>
      <c r="F48" s="38"/>
    </row>
    <row r="49" spans="1:6" ht="27" x14ac:dyDescent="0.2">
      <c r="A49" s="4">
        <v>2</v>
      </c>
      <c r="B49" s="33" t="s">
        <v>23</v>
      </c>
      <c r="C49" s="34" t="s">
        <v>16</v>
      </c>
      <c r="D49" s="35">
        <f>92*0.35</f>
        <v>32.199999999999996</v>
      </c>
      <c r="E49" s="62" t="s">
        <v>65</v>
      </c>
      <c r="F49" s="63"/>
    </row>
    <row r="50" spans="1:6" ht="25.5" customHeight="1" x14ac:dyDescent="0.2">
      <c r="A50" s="4">
        <v>3</v>
      </c>
      <c r="B50" s="25" t="s">
        <v>9</v>
      </c>
      <c r="C50" s="26" t="s">
        <v>33</v>
      </c>
      <c r="D50" s="27">
        <f>230*0.1</f>
        <v>23</v>
      </c>
      <c r="E50" s="54" t="s">
        <v>66</v>
      </c>
      <c r="F50" s="55"/>
    </row>
    <row r="51" spans="1:6" ht="35.25" customHeight="1" x14ac:dyDescent="0.2">
      <c r="A51" s="4">
        <f>A50+1</f>
        <v>4</v>
      </c>
      <c r="B51" s="25" t="s">
        <v>10</v>
      </c>
      <c r="C51" s="26" t="s">
        <v>11</v>
      </c>
      <c r="D51" s="27">
        <f>23*1.85</f>
        <v>42.550000000000004</v>
      </c>
      <c r="E51" s="60" t="s">
        <v>67</v>
      </c>
      <c r="F51" s="61"/>
    </row>
    <row r="52" spans="1:6" ht="33.75" customHeight="1" x14ac:dyDescent="0.2">
      <c r="A52" s="4">
        <f t="shared" ref="A52:A54" si="3">A51+1</f>
        <v>5</v>
      </c>
      <c r="B52" s="28" t="s">
        <v>15</v>
      </c>
      <c r="C52" s="26" t="s">
        <v>33</v>
      </c>
      <c r="D52" s="27">
        <f>230*0.1*1.26</f>
        <v>28.98</v>
      </c>
      <c r="E52" s="58" t="s">
        <v>68</v>
      </c>
      <c r="F52" s="59"/>
    </row>
    <row r="53" spans="1:6" ht="29.25" customHeight="1" x14ac:dyDescent="0.2">
      <c r="A53" s="4">
        <f t="shared" si="3"/>
        <v>6</v>
      </c>
      <c r="B53" s="28" t="s">
        <v>41</v>
      </c>
      <c r="C53" s="26" t="s">
        <v>16</v>
      </c>
      <c r="D53" s="27">
        <f>230*0.7</f>
        <v>161</v>
      </c>
      <c r="E53" s="58" t="s">
        <v>69</v>
      </c>
      <c r="F53" s="59"/>
    </row>
    <row r="54" spans="1:6" ht="27" x14ac:dyDescent="0.2">
      <c r="A54" s="4">
        <f t="shared" si="3"/>
        <v>7</v>
      </c>
      <c r="B54" s="28" t="s">
        <v>48</v>
      </c>
      <c r="C54" s="26" t="s">
        <v>44</v>
      </c>
      <c r="D54" s="29">
        <v>230</v>
      </c>
      <c r="E54" s="30"/>
      <c r="F54" s="32"/>
    </row>
    <row r="55" spans="1:6" ht="21" x14ac:dyDescent="0.2">
      <c r="A55" s="4"/>
      <c r="B55" s="5" t="s">
        <v>24</v>
      </c>
      <c r="C55" s="34"/>
      <c r="D55" s="35"/>
      <c r="E55" s="37"/>
      <c r="F55" s="38"/>
    </row>
    <row r="56" spans="1:6" ht="27" customHeight="1" x14ac:dyDescent="0.2">
      <c r="A56" s="4">
        <v>1</v>
      </c>
      <c r="B56" s="25" t="s">
        <v>8</v>
      </c>
      <c r="C56" s="26" t="s">
        <v>33</v>
      </c>
      <c r="D56" s="27">
        <f>1640*0.5*95%</f>
        <v>779</v>
      </c>
      <c r="E56" s="54" t="s">
        <v>70</v>
      </c>
      <c r="F56" s="55"/>
    </row>
    <row r="57" spans="1:6" ht="20.25" customHeight="1" x14ac:dyDescent="0.2">
      <c r="A57" s="4">
        <f>A56+1</f>
        <v>2</v>
      </c>
      <c r="B57" s="25" t="s">
        <v>9</v>
      </c>
      <c r="C57" s="26" t="s">
        <v>33</v>
      </c>
      <c r="D57" s="27">
        <f>41+8</f>
        <v>49</v>
      </c>
      <c r="E57" s="54" t="s">
        <v>71</v>
      </c>
      <c r="F57" s="55"/>
    </row>
    <row r="58" spans="1:6" ht="36" customHeight="1" x14ac:dyDescent="0.2">
      <c r="A58" s="4">
        <f t="shared" ref="A58:A67" si="4">A57+1</f>
        <v>3</v>
      </c>
      <c r="B58" s="25" t="s">
        <v>10</v>
      </c>
      <c r="C58" s="26" t="s">
        <v>33</v>
      </c>
      <c r="D58" s="27">
        <f>(D56+D57)*1.85</f>
        <v>1531.8000000000002</v>
      </c>
      <c r="E58" s="60" t="s">
        <v>72</v>
      </c>
      <c r="F58" s="61"/>
    </row>
    <row r="59" spans="1:6" ht="27" x14ac:dyDescent="0.2">
      <c r="A59" s="4">
        <f t="shared" si="4"/>
        <v>4</v>
      </c>
      <c r="B59" s="28" t="s">
        <v>12</v>
      </c>
      <c r="C59" s="26" t="s">
        <v>13</v>
      </c>
      <c r="D59" s="27">
        <v>2</v>
      </c>
      <c r="E59" s="56"/>
      <c r="F59" s="57"/>
    </row>
    <row r="60" spans="1:6" ht="40.5" customHeight="1" x14ac:dyDescent="0.2">
      <c r="A60" s="4">
        <f t="shared" si="4"/>
        <v>5</v>
      </c>
      <c r="B60" s="28" t="s">
        <v>14</v>
      </c>
      <c r="C60" s="26" t="s">
        <v>33</v>
      </c>
      <c r="D60" s="27">
        <f>1640*0.3*1.22</f>
        <v>600.24</v>
      </c>
      <c r="E60" s="58" t="s">
        <v>73</v>
      </c>
      <c r="F60" s="59"/>
    </row>
    <row r="61" spans="1:6" ht="53.25" customHeight="1" x14ac:dyDescent="0.2">
      <c r="A61" s="4">
        <f t="shared" si="4"/>
        <v>6</v>
      </c>
      <c r="B61" s="28" t="s">
        <v>15</v>
      </c>
      <c r="C61" s="26" t="s">
        <v>33</v>
      </c>
      <c r="D61" s="27">
        <f>206.64+10.08</f>
        <v>216.72</v>
      </c>
      <c r="E61" s="58" t="s">
        <v>74</v>
      </c>
      <c r="F61" s="59"/>
    </row>
    <row r="62" spans="1:6" ht="29.25" customHeight="1" x14ac:dyDescent="0.2">
      <c r="A62" s="4">
        <f t="shared" si="4"/>
        <v>7</v>
      </c>
      <c r="B62" s="28" t="s">
        <v>41</v>
      </c>
      <c r="C62" s="26" t="s">
        <v>16</v>
      </c>
      <c r="D62" s="27">
        <f>1720*0.7</f>
        <v>1204</v>
      </c>
      <c r="E62" s="58" t="s">
        <v>75</v>
      </c>
      <c r="F62" s="59"/>
    </row>
    <row r="63" spans="1:6" ht="24.75" customHeight="1" x14ac:dyDescent="0.2">
      <c r="A63" s="4">
        <f t="shared" si="4"/>
        <v>8</v>
      </c>
      <c r="B63" s="28" t="s">
        <v>43</v>
      </c>
      <c r="C63" s="26" t="s">
        <v>44</v>
      </c>
      <c r="D63" s="29">
        <v>1640</v>
      </c>
      <c r="E63" s="58"/>
      <c r="F63" s="59"/>
    </row>
    <row r="64" spans="1:6" ht="29.25" x14ac:dyDescent="0.2">
      <c r="A64" s="4">
        <f t="shared" si="4"/>
        <v>9</v>
      </c>
      <c r="B64" s="28" t="s">
        <v>45</v>
      </c>
      <c r="C64" s="26" t="s">
        <v>16</v>
      </c>
      <c r="D64" s="27">
        <f>1640*0.35</f>
        <v>574</v>
      </c>
      <c r="E64" s="58" t="s">
        <v>76</v>
      </c>
      <c r="F64" s="59"/>
    </row>
    <row r="65" spans="1:12" ht="24.75" customHeight="1" x14ac:dyDescent="0.2">
      <c r="A65" s="4">
        <f t="shared" si="4"/>
        <v>10</v>
      </c>
      <c r="B65" s="28" t="s">
        <v>47</v>
      </c>
      <c r="C65" s="26" t="s">
        <v>44</v>
      </c>
      <c r="D65" s="29">
        <v>1640</v>
      </c>
      <c r="E65" s="30"/>
      <c r="F65" s="31"/>
    </row>
    <row r="66" spans="1:12" ht="27" x14ac:dyDescent="0.2">
      <c r="A66" s="4">
        <f t="shared" si="4"/>
        <v>11</v>
      </c>
      <c r="B66" s="28" t="s">
        <v>48</v>
      </c>
      <c r="C66" s="26" t="s">
        <v>44</v>
      </c>
      <c r="D66" s="29">
        <v>80</v>
      </c>
      <c r="E66" s="30"/>
      <c r="F66" s="32"/>
    </row>
    <row r="67" spans="1:12" ht="30" customHeight="1" x14ac:dyDescent="0.2">
      <c r="A67" s="4">
        <f t="shared" si="4"/>
        <v>12</v>
      </c>
      <c r="B67" s="33" t="s">
        <v>17</v>
      </c>
      <c r="C67" s="34" t="s">
        <v>33</v>
      </c>
      <c r="D67" s="35">
        <f>80*0.15*1.22</f>
        <v>14.64</v>
      </c>
      <c r="E67" s="62" t="s">
        <v>77</v>
      </c>
      <c r="F67" s="63"/>
    </row>
    <row r="68" spans="1:12" ht="30" customHeight="1" x14ac:dyDescent="0.2">
      <c r="A68" s="6"/>
      <c r="B68" s="17"/>
      <c r="C68" s="18"/>
      <c r="D68" s="19"/>
      <c r="E68" s="20"/>
      <c r="F68" s="20"/>
    </row>
    <row r="69" spans="1:12" ht="30" customHeight="1" x14ac:dyDescent="0.2">
      <c r="A69" s="6"/>
      <c r="B69" s="17"/>
      <c r="C69" s="18"/>
      <c r="D69" s="19"/>
      <c r="E69" s="20"/>
      <c r="F69" s="20"/>
    </row>
    <row r="70" spans="1:12" ht="30" customHeight="1" x14ac:dyDescent="0.2">
      <c r="A70" s="6"/>
      <c r="B70" s="17"/>
      <c r="C70" s="18"/>
      <c r="D70" s="19"/>
      <c r="E70" s="20"/>
      <c r="F70" s="20"/>
    </row>
    <row r="71" spans="1:12" ht="30" customHeight="1" x14ac:dyDescent="0.2">
      <c r="A71" s="6"/>
      <c r="B71" s="17"/>
      <c r="C71" s="18"/>
      <c r="D71" s="19"/>
      <c r="E71" s="20"/>
      <c r="F71" s="20"/>
    </row>
    <row r="72" spans="1:12" ht="15" x14ac:dyDescent="0.25">
      <c r="A72" s="6"/>
      <c r="B72" s="7"/>
      <c r="C72" s="8"/>
      <c r="D72" s="9"/>
      <c r="E72" s="8"/>
      <c r="F72" s="10"/>
    </row>
    <row r="73" spans="1:12" ht="15" x14ac:dyDescent="0.25">
      <c r="A73" s="6"/>
      <c r="B73" s="7"/>
      <c r="C73" s="8"/>
      <c r="D73" s="9"/>
      <c r="E73" s="8"/>
      <c r="F73" s="10"/>
    </row>
    <row r="74" spans="1:12" ht="18.75" x14ac:dyDescent="0.3">
      <c r="A74" s="11"/>
      <c r="B74" s="66" t="s">
        <v>32</v>
      </c>
      <c r="C74" s="66"/>
      <c r="D74" s="66"/>
      <c r="E74" s="66"/>
      <c r="F74" s="66"/>
    </row>
    <row r="75" spans="1:12" ht="13.5" x14ac:dyDescent="0.25">
      <c r="A75" s="11"/>
      <c r="C75" s="11"/>
      <c r="D75" s="11"/>
      <c r="E75" s="11"/>
      <c r="F75" s="11"/>
    </row>
    <row r="76" spans="1:12" ht="45" customHeight="1" x14ac:dyDescent="0.2">
      <c r="A76" s="40"/>
      <c r="B76" s="68" t="s">
        <v>31</v>
      </c>
      <c r="C76" s="68"/>
      <c r="D76" s="68"/>
      <c r="E76" s="68"/>
      <c r="F76" s="68"/>
      <c r="G76" s="13"/>
      <c r="H76" s="13"/>
      <c r="I76" s="13"/>
      <c r="J76" s="13"/>
      <c r="K76" s="13"/>
      <c r="L76" s="13"/>
    </row>
    <row r="77" spans="1:12" ht="13.5" x14ac:dyDescent="0.2">
      <c r="A77" s="40"/>
      <c r="B77" s="40"/>
      <c r="C77" s="40"/>
      <c r="D77" s="40"/>
      <c r="E77" s="40"/>
      <c r="F77" s="40"/>
    </row>
    <row r="78" spans="1:12" ht="49.5" x14ac:dyDescent="0.2">
      <c r="A78" s="21" t="s">
        <v>0</v>
      </c>
      <c r="B78" s="21" t="s">
        <v>1</v>
      </c>
      <c r="C78" s="21" t="s">
        <v>2</v>
      </c>
      <c r="D78" s="21" t="s">
        <v>3</v>
      </c>
      <c r="E78" s="21" t="s">
        <v>25</v>
      </c>
      <c r="F78" s="21" t="s">
        <v>26</v>
      </c>
    </row>
    <row r="79" spans="1:12" ht="37.5" customHeight="1" x14ac:dyDescent="0.2">
      <c r="A79" s="41">
        <v>1</v>
      </c>
      <c r="B79" s="25" t="s">
        <v>6</v>
      </c>
      <c r="C79" s="26" t="s">
        <v>33</v>
      </c>
      <c r="D79" s="27">
        <f>D8</f>
        <v>52.199999999999996</v>
      </c>
      <c r="E79" s="42"/>
      <c r="F79" s="42">
        <f>E79*D79</f>
        <v>0</v>
      </c>
    </row>
    <row r="80" spans="1:12" ht="37.5" customHeight="1" x14ac:dyDescent="0.2">
      <c r="A80" s="41">
        <f>A79+1</f>
        <v>2</v>
      </c>
      <c r="B80" s="25" t="s">
        <v>7</v>
      </c>
      <c r="C80" s="26" t="s">
        <v>33</v>
      </c>
      <c r="D80" s="27">
        <f>D9</f>
        <v>8.7000000000000011</v>
      </c>
      <c r="E80" s="26"/>
      <c r="F80" s="42">
        <f t="shared" ref="F80:F94" si="5">E80*D80</f>
        <v>0</v>
      </c>
    </row>
    <row r="81" spans="1:6" ht="26.25" customHeight="1" x14ac:dyDescent="0.2">
      <c r="A81" s="41">
        <f t="shared" ref="A81:A94" si="6">A80+1</f>
        <v>3</v>
      </c>
      <c r="B81" s="33" t="s">
        <v>21</v>
      </c>
      <c r="C81" s="34" t="s">
        <v>22</v>
      </c>
      <c r="D81" s="35">
        <v>92</v>
      </c>
      <c r="E81" s="26"/>
      <c r="F81" s="42">
        <f t="shared" si="5"/>
        <v>0</v>
      </c>
    </row>
    <row r="82" spans="1:6" ht="39" customHeight="1" x14ac:dyDescent="0.2">
      <c r="A82" s="41">
        <f t="shared" si="6"/>
        <v>4</v>
      </c>
      <c r="B82" s="25" t="s">
        <v>8</v>
      </c>
      <c r="C82" s="26" t="s">
        <v>33</v>
      </c>
      <c r="D82" s="27">
        <f>D10+D23+D35+D56</f>
        <v>2556.0699999999997</v>
      </c>
      <c r="E82" s="43"/>
      <c r="F82" s="42">
        <f t="shared" si="5"/>
        <v>0</v>
      </c>
    </row>
    <row r="83" spans="1:6" ht="25.5" customHeight="1" x14ac:dyDescent="0.2">
      <c r="A83" s="41">
        <f t="shared" si="6"/>
        <v>5</v>
      </c>
      <c r="B83" s="25" t="s">
        <v>9</v>
      </c>
      <c r="C83" s="26" t="s">
        <v>33</v>
      </c>
      <c r="D83" s="27">
        <f>D11+D24+D36+D50+D57</f>
        <v>227.53</v>
      </c>
      <c r="E83" s="26"/>
      <c r="F83" s="42">
        <f t="shared" si="5"/>
        <v>0</v>
      </c>
    </row>
    <row r="84" spans="1:6" ht="25.5" customHeight="1" x14ac:dyDescent="0.2">
      <c r="A84" s="41">
        <f t="shared" si="6"/>
        <v>6</v>
      </c>
      <c r="B84" s="25" t="s">
        <v>10</v>
      </c>
      <c r="C84" s="26" t="s">
        <v>11</v>
      </c>
      <c r="D84" s="27">
        <f>D12+D25+D37+D51+D58</f>
        <v>5262.3250000000007</v>
      </c>
      <c r="E84" s="26"/>
      <c r="F84" s="42">
        <f t="shared" si="5"/>
        <v>0</v>
      </c>
    </row>
    <row r="85" spans="1:6" ht="27" x14ac:dyDescent="0.2">
      <c r="A85" s="41">
        <f t="shared" si="6"/>
        <v>7</v>
      </c>
      <c r="B85" s="28" t="s">
        <v>12</v>
      </c>
      <c r="C85" s="26" t="s">
        <v>13</v>
      </c>
      <c r="D85" s="27">
        <f>D13+D38+D59</f>
        <v>15</v>
      </c>
      <c r="E85" s="44"/>
      <c r="F85" s="42">
        <f t="shared" si="5"/>
        <v>0</v>
      </c>
    </row>
    <row r="86" spans="1:6" ht="36" customHeight="1" x14ac:dyDescent="0.2">
      <c r="A86" s="41">
        <f t="shared" si="6"/>
        <v>8</v>
      </c>
      <c r="B86" s="28" t="s">
        <v>14</v>
      </c>
      <c r="C86" s="26" t="s">
        <v>33</v>
      </c>
      <c r="D86" s="27">
        <f>D14+D26+D39+D60</f>
        <v>2040.0840000000001</v>
      </c>
      <c r="E86" s="44"/>
      <c r="F86" s="42">
        <f t="shared" si="5"/>
        <v>0</v>
      </c>
    </row>
    <row r="87" spans="1:6" ht="27" x14ac:dyDescent="0.2">
      <c r="A87" s="41">
        <f t="shared" si="6"/>
        <v>9</v>
      </c>
      <c r="B87" s="28" t="s">
        <v>15</v>
      </c>
      <c r="C87" s="26" t="s">
        <v>33</v>
      </c>
      <c r="D87" s="27">
        <f>D15+D27+D40+D52+D61</f>
        <v>984.81000000000006</v>
      </c>
      <c r="E87" s="26"/>
      <c r="F87" s="42">
        <f t="shared" si="5"/>
        <v>0</v>
      </c>
    </row>
    <row r="88" spans="1:6" ht="29.25" x14ac:dyDescent="0.2">
      <c r="A88" s="41">
        <f t="shared" si="6"/>
        <v>10</v>
      </c>
      <c r="B88" s="28" t="s">
        <v>41</v>
      </c>
      <c r="C88" s="26" t="s">
        <v>16</v>
      </c>
      <c r="D88" s="27">
        <f>D16+D28+D41+D53+D62</f>
        <v>5471.2</v>
      </c>
      <c r="E88" s="26"/>
      <c r="F88" s="42">
        <f t="shared" si="5"/>
        <v>0</v>
      </c>
    </row>
    <row r="89" spans="1:6" ht="29.25" customHeight="1" x14ac:dyDescent="0.2">
      <c r="A89" s="41">
        <f t="shared" si="6"/>
        <v>11</v>
      </c>
      <c r="B89" s="28" t="s">
        <v>43</v>
      </c>
      <c r="C89" s="26" t="s">
        <v>44</v>
      </c>
      <c r="D89" s="29">
        <f>D17+D29+D42+D63</f>
        <v>6886</v>
      </c>
      <c r="E89" s="44"/>
      <c r="F89" s="42">
        <f t="shared" si="5"/>
        <v>0</v>
      </c>
    </row>
    <row r="90" spans="1:6" ht="29.25" x14ac:dyDescent="0.2">
      <c r="A90" s="41">
        <f t="shared" si="6"/>
        <v>12</v>
      </c>
      <c r="B90" s="28" t="s">
        <v>45</v>
      </c>
      <c r="C90" s="26" t="s">
        <v>16</v>
      </c>
      <c r="D90" s="27">
        <f>D18+D30+D43+D64</f>
        <v>2410.1</v>
      </c>
      <c r="E90" s="44"/>
      <c r="F90" s="42">
        <f t="shared" si="5"/>
        <v>0</v>
      </c>
    </row>
    <row r="91" spans="1:6" ht="26.25" customHeight="1" x14ac:dyDescent="0.2">
      <c r="A91" s="41">
        <f t="shared" si="6"/>
        <v>13</v>
      </c>
      <c r="B91" s="28" t="s">
        <v>47</v>
      </c>
      <c r="C91" s="26" t="s">
        <v>44</v>
      </c>
      <c r="D91" s="29">
        <f>D19+D31+D44+D65</f>
        <v>6886</v>
      </c>
      <c r="E91" s="44"/>
      <c r="F91" s="42">
        <f t="shared" si="5"/>
        <v>0</v>
      </c>
    </row>
    <row r="92" spans="1:6" ht="36" customHeight="1" x14ac:dyDescent="0.2">
      <c r="A92" s="41">
        <f t="shared" si="6"/>
        <v>14</v>
      </c>
      <c r="B92" s="33" t="s">
        <v>23</v>
      </c>
      <c r="C92" s="34" t="s">
        <v>16</v>
      </c>
      <c r="D92" s="35">
        <f>92*0.35</f>
        <v>32.199999999999996</v>
      </c>
      <c r="E92" s="45"/>
      <c r="F92" s="42">
        <f t="shared" si="5"/>
        <v>0</v>
      </c>
    </row>
    <row r="93" spans="1:6" ht="36" customHeight="1" x14ac:dyDescent="0.2">
      <c r="A93" s="41">
        <f t="shared" si="6"/>
        <v>15</v>
      </c>
      <c r="B93" s="28" t="s">
        <v>48</v>
      </c>
      <c r="C93" s="26" t="s">
        <v>44</v>
      </c>
      <c r="D93" s="29">
        <f>D20+D32+D45+D54+D66</f>
        <v>930</v>
      </c>
      <c r="E93" s="44"/>
      <c r="F93" s="42">
        <f t="shared" si="5"/>
        <v>0</v>
      </c>
    </row>
    <row r="94" spans="1:6" ht="28.5" customHeight="1" x14ac:dyDescent="0.2">
      <c r="A94" s="41">
        <f t="shared" si="6"/>
        <v>16</v>
      </c>
      <c r="B94" s="33" t="s">
        <v>17</v>
      </c>
      <c r="C94" s="34" t="s">
        <v>33</v>
      </c>
      <c r="D94" s="35">
        <f>D21+D33+D46+D67</f>
        <v>169.82400000000001</v>
      </c>
      <c r="E94" s="44"/>
      <c r="F94" s="42">
        <f t="shared" si="5"/>
        <v>0</v>
      </c>
    </row>
    <row r="95" spans="1:6" ht="16.5" x14ac:dyDescent="0.2">
      <c r="A95" s="41"/>
      <c r="B95" s="21" t="s">
        <v>27</v>
      </c>
      <c r="C95" s="26"/>
      <c r="D95" s="26"/>
      <c r="E95" s="26"/>
      <c r="F95" s="21">
        <f>SUM(F79:F94)</f>
        <v>0</v>
      </c>
    </row>
    <row r="96" spans="1:6" ht="16.5" x14ac:dyDescent="0.2">
      <c r="A96" s="41"/>
      <c r="B96" s="21" t="s">
        <v>78</v>
      </c>
      <c r="C96" s="26"/>
      <c r="D96" s="26"/>
      <c r="E96" s="26"/>
      <c r="F96" s="21">
        <f>F95*10%</f>
        <v>0</v>
      </c>
    </row>
    <row r="97" spans="1:6" ht="16.5" x14ac:dyDescent="0.2">
      <c r="A97" s="41"/>
      <c r="B97" s="21" t="s">
        <v>27</v>
      </c>
      <c r="C97" s="26"/>
      <c r="D97" s="26"/>
      <c r="E97" s="26"/>
      <c r="F97" s="21">
        <f>SUM(F95:F96)</f>
        <v>0</v>
      </c>
    </row>
    <row r="98" spans="1:6" ht="16.5" x14ac:dyDescent="0.2">
      <c r="A98" s="41"/>
      <c r="B98" s="21" t="s">
        <v>79</v>
      </c>
      <c r="C98" s="26"/>
      <c r="D98" s="26"/>
      <c r="E98" s="26"/>
      <c r="F98" s="21">
        <f>F97*8%</f>
        <v>0</v>
      </c>
    </row>
    <row r="99" spans="1:6" ht="16.5" x14ac:dyDescent="0.2">
      <c r="A99" s="41"/>
      <c r="B99" s="21" t="s">
        <v>27</v>
      </c>
      <c r="C99" s="26"/>
      <c r="D99" s="26"/>
      <c r="E99" s="26"/>
      <c r="F99" s="21">
        <f>SUM(F97:F98)</f>
        <v>0</v>
      </c>
    </row>
    <row r="100" spans="1:6" ht="16.5" x14ac:dyDescent="0.2">
      <c r="A100" s="41"/>
      <c r="B100" s="21" t="s">
        <v>28</v>
      </c>
      <c r="C100" s="26"/>
      <c r="D100" s="26"/>
      <c r="E100" s="26"/>
      <c r="F100" s="21">
        <f>F99*3%</f>
        <v>0</v>
      </c>
    </row>
    <row r="101" spans="1:6" ht="16.5" x14ac:dyDescent="0.2">
      <c r="A101" s="41"/>
      <c r="B101" s="21" t="s">
        <v>27</v>
      </c>
      <c r="C101" s="26"/>
      <c r="D101" s="26"/>
      <c r="E101" s="26"/>
      <c r="F101" s="21">
        <f>SUM(F99:F100)</f>
        <v>0</v>
      </c>
    </row>
    <row r="102" spans="1:6" ht="16.5" x14ac:dyDescent="0.2">
      <c r="A102" s="41"/>
      <c r="B102" s="21" t="s">
        <v>29</v>
      </c>
      <c r="C102" s="26"/>
      <c r="D102" s="26"/>
      <c r="E102" s="26"/>
      <c r="F102" s="21">
        <f>F101*18%</f>
        <v>0</v>
      </c>
    </row>
    <row r="103" spans="1:6" ht="16.5" x14ac:dyDescent="0.2">
      <c r="A103" s="41"/>
      <c r="B103" s="21" t="s">
        <v>30</v>
      </c>
      <c r="C103" s="26"/>
      <c r="D103" s="26"/>
      <c r="E103" s="26"/>
      <c r="F103" s="21">
        <f>SUM(F101:F102)</f>
        <v>0</v>
      </c>
    </row>
    <row r="104" spans="1:6" ht="13.5" x14ac:dyDescent="0.25">
      <c r="A104" s="14"/>
      <c r="B104" s="14"/>
      <c r="C104" s="11"/>
      <c r="D104" s="11"/>
      <c r="E104" s="11"/>
      <c r="F104" s="11"/>
    </row>
    <row r="105" spans="1:6" ht="13.5" x14ac:dyDescent="0.25">
      <c r="A105" s="11"/>
      <c r="B105" s="11"/>
      <c r="C105" s="11"/>
      <c r="D105" s="11"/>
      <c r="E105" s="11"/>
      <c r="F105" s="11"/>
    </row>
    <row r="106" spans="1:6" ht="13.5" x14ac:dyDescent="0.25">
      <c r="A106" s="11"/>
      <c r="B106" s="67" t="s">
        <v>80</v>
      </c>
      <c r="C106" s="67"/>
      <c r="D106" s="67"/>
      <c r="E106" s="67"/>
      <c r="F106" s="67"/>
    </row>
    <row r="107" spans="1:6" ht="13.5" x14ac:dyDescent="0.25">
      <c r="A107" s="11"/>
      <c r="B107" s="12"/>
      <c r="C107" s="11"/>
      <c r="D107" s="11"/>
      <c r="E107" s="11"/>
      <c r="F107" s="11"/>
    </row>
    <row r="108" spans="1:6" ht="13.5" x14ac:dyDescent="0.25">
      <c r="A108" s="11"/>
      <c r="B108" s="12"/>
      <c r="C108" s="11"/>
      <c r="D108" s="11"/>
      <c r="E108" s="11"/>
      <c r="F108" s="11"/>
    </row>
    <row r="109" spans="1:6" ht="13.5" x14ac:dyDescent="0.25">
      <c r="A109" s="11"/>
      <c r="B109" s="12"/>
      <c r="C109" s="11"/>
      <c r="D109" s="11"/>
      <c r="E109" s="11"/>
      <c r="F109" s="11"/>
    </row>
    <row r="110" spans="1:6" ht="13.5" x14ac:dyDescent="0.25">
      <c r="A110" s="11"/>
    </row>
    <row r="111" spans="1:6" ht="13.5" x14ac:dyDescent="0.25">
      <c r="A111" s="11"/>
    </row>
    <row r="112" spans="1:6" ht="13.5" x14ac:dyDescent="0.25">
      <c r="A112" s="11"/>
    </row>
    <row r="113" spans="1:1" ht="13.5" x14ac:dyDescent="0.25">
      <c r="A113" s="11"/>
    </row>
    <row r="160" spans="1:4" x14ac:dyDescent="0.2">
      <c r="A160" s="15"/>
      <c r="B160" s="15"/>
      <c r="C160" s="15"/>
      <c r="D160" s="15"/>
    </row>
  </sheetData>
  <mergeCells count="51">
    <mergeCell ref="B106:F106"/>
    <mergeCell ref="B76:F76"/>
    <mergeCell ref="E61:F61"/>
    <mergeCell ref="E62:F62"/>
    <mergeCell ref="E63:F63"/>
    <mergeCell ref="E64:F64"/>
    <mergeCell ref="E67:F67"/>
    <mergeCell ref="E57:F57"/>
    <mergeCell ref="E58:F58"/>
    <mergeCell ref="B4:F4"/>
    <mergeCell ref="E2:F2"/>
    <mergeCell ref="B74:F74"/>
    <mergeCell ref="E60:F60"/>
    <mergeCell ref="E43:F43"/>
    <mergeCell ref="E46:F46"/>
    <mergeCell ref="E49:F49"/>
    <mergeCell ref="E50:F50"/>
    <mergeCell ref="E51:F51"/>
    <mergeCell ref="E59:F59"/>
    <mergeCell ref="E42:F42"/>
    <mergeCell ref="E27:F27"/>
    <mergeCell ref="E28:F28"/>
    <mergeCell ref="E29:F29"/>
    <mergeCell ref="E30:F30"/>
    <mergeCell ref="E33:F33"/>
    <mergeCell ref="E35:F35"/>
    <mergeCell ref="E36:F36"/>
    <mergeCell ref="E37:F37"/>
    <mergeCell ref="E39:F39"/>
    <mergeCell ref="E40:F40"/>
    <mergeCell ref="E41:F41"/>
    <mergeCell ref="E52:F52"/>
    <mergeCell ref="E53:F53"/>
    <mergeCell ref="E56:F56"/>
    <mergeCell ref="E26:F26"/>
    <mergeCell ref="E12:F12"/>
    <mergeCell ref="E13:F13"/>
    <mergeCell ref="E14:F14"/>
    <mergeCell ref="E15:F15"/>
    <mergeCell ref="E16:F16"/>
    <mergeCell ref="E17:F17"/>
    <mergeCell ref="E18:F18"/>
    <mergeCell ref="E21:F21"/>
    <mergeCell ref="E23:F23"/>
    <mergeCell ref="E24:F24"/>
    <mergeCell ref="E25:F25"/>
    <mergeCell ref="E11:F11"/>
    <mergeCell ref="E6:F6"/>
    <mergeCell ref="E8:F8"/>
    <mergeCell ref="E9:F9"/>
    <mergeCell ref="E10:F10"/>
  </mergeCells>
  <pageMargins left="0.70866141732283472" right="0.3" top="0.41" bottom="0.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1" workbookViewId="0">
      <selection activeCell="J5" sqref="J5"/>
    </sheetView>
  </sheetViews>
  <sheetFormatPr defaultRowHeight="15" x14ac:dyDescent="0.25"/>
  <cols>
    <col min="2" max="2" width="55" customWidth="1"/>
    <col min="5" max="5" width="12.140625" customWidth="1"/>
    <col min="6" max="6" width="17.140625" customWidth="1"/>
  </cols>
  <sheetData>
    <row r="1" spans="1:6" ht="39.75" customHeight="1" x14ac:dyDescent="0.25">
      <c r="A1" s="40"/>
      <c r="B1" s="68" t="s">
        <v>97</v>
      </c>
      <c r="C1" s="68"/>
      <c r="D1" s="68"/>
      <c r="E1" s="68"/>
      <c r="F1" s="68"/>
    </row>
    <row r="2" spans="1:6" x14ac:dyDescent="0.25">
      <c r="A2" s="40"/>
      <c r="B2" s="40"/>
      <c r="C2" s="40"/>
      <c r="D2" s="40"/>
      <c r="E2" s="40"/>
      <c r="F2" s="40"/>
    </row>
    <row r="3" spans="1:6" ht="49.5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25</v>
      </c>
      <c r="F3" s="21" t="s">
        <v>26</v>
      </c>
    </row>
    <row r="4" spans="1:6" ht="21" x14ac:dyDescent="0.25">
      <c r="A4" s="41"/>
      <c r="B4" s="47" t="s">
        <v>81</v>
      </c>
      <c r="C4" s="26"/>
      <c r="D4" s="27"/>
      <c r="E4" s="44"/>
      <c r="F4" s="42"/>
    </row>
    <row r="5" spans="1:6" ht="27" x14ac:dyDescent="0.25">
      <c r="A5" s="41">
        <v>1</v>
      </c>
      <c r="B5" s="25" t="s">
        <v>6</v>
      </c>
      <c r="C5" s="26" t="s">
        <v>33</v>
      </c>
      <c r="D5" s="27">
        <f>8042*0.1*30%</f>
        <v>241.26</v>
      </c>
      <c r="E5" s="44"/>
      <c r="F5" s="42">
        <f t="shared" ref="F5:F38" si="0">E5*D5</f>
        <v>0</v>
      </c>
    </row>
    <row r="6" spans="1:6" ht="27" x14ac:dyDescent="0.25">
      <c r="A6" s="41">
        <f>A5+1</f>
        <v>2</v>
      </c>
      <c r="B6" s="25" t="s">
        <v>7</v>
      </c>
      <c r="C6" s="26" t="s">
        <v>33</v>
      </c>
      <c r="D6" s="27">
        <f>8042*0.1*5%</f>
        <v>40.210000000000008</v>
      </c>
      <c r="E6" s="46"/>
      <c r="F6" s="42">
        <f t="shared" si="0"/>
        <v>0</v>
      </c>
    </row>
    <row r="7" spans="1:6" ht="27" x14ac:dyDescent="0.25">
      <c r="A7" s="41">
        <f t="shared" ref="A7:A18" si="1">A6+1</f>
        <v>3</v>
      </c>
      <c r="B7" s="25" t="s">
        <v>82</v>
      </c>
      <c r="C7" s="26" t="s">
        <v>33</v>
      </c>
      <c r="D7" s="27">
        <f>8042*0.28*95%</f>
        <v>2139.172</v>
      </c>
      <c r="E7" s="44"/>
      <c r="F7" s="42">
        <f t="shared" si="0"/>
        <v>0</v>
      </c>
    </row>
    <row r="8" spans="1:6" ht="27" x14ac:dyDescent="0.25">
      <c r="A8" s="41">
        <f t="shared" si="1"/>
        <v>4</v>
      </c>
      <c r="B8" s="25" t="s">
        <v>9</v>
      </c>
      <c r="C8" s="26" t="s">
        <v>33</v>
      </c>
      <c r="D8" s="27">
        <f>8042*0.28*5%</f>
        <v>112.58800000000002</v>
      </c>
      <c r="E8" s="44"/>
      <c r="F8" s="42">
        <f t="shared" si="0"/>
        <v>0</v>
      </c>
    </row>
    <row r="9" spans="1:6" ht="27" x14ac:dyDescent="0.25">
      <c r="A9" s="41">
        <f t="shared" si="1"/>
        <v>5</v>
      </c>
      <c r="B9" s="25" t="s">
        <v>83</v>
      </c>
      <c r="C9" s="26" t="s">
        <v>84</v>
      </c>
      <c r="D9" s="27">
        <v>250</v>
      </c>
      <c r="E9" s="44"/>
      <c r="F9" s="42">
        <f t="shared" si="0"/>
        <v>0</v>
      </c>
    </row>
    <row r="10" spans="1:6" ht="27" x14ac:dyDescent="0.25">
      <c r="A10" s="41">
        <f t="shared" si="1"/>
        <v>6</v>
      </c>
      <c r="B10" s="25" t="s">
        <v>10</v>
      </c>
      <c r="C10" s="26" t="s">
        <v>11</v>
      </c>
      <c r="D10" s="48">
        <f>(D5+D6+D7+D8+11.25+8.75)*1.85</f>
        <v>4723.4755000000005</v>
      </c>
      <c r="E10" s="44"/>
      <c r="F10" s="42">
        <f t="shared" si="0"/>
        <v>0</v>
      </c>
    </row>
    <row r="11" spans="1:6" ht="27" x14ac:dyDescent="0.25">
      <c r="A11" s="41">
        <f t="shared" si="1"/>
        <v>7</v>
      </c>
      <c r="B11" s="49" t="s">
        <v>12</v>
      </c>
      <c r="C11" s="26" t="s">
        <v>13</v>
      </c>
      <c r="D11" s="27">
        <v>92</v>
      </c>
      <c r="E11" s="44"/>
      <c r="F11" s="42">
        <f t="shared" si="0"/>
        <v>0</v>
      </c>
    </row>
    <row r="12" spans="1:6" ht="42.75" x14ac:dyDescent="0.25">
      <c r="A12" s="41">
        <f t="shared" si="1"/>
        <v>8</v>
      </c>
      <c r="B12" s="50" t="s">
        <v>88</v>
      </c>
      <c r="C12" s="26" t="s">
        <v>84</v>
      </c>
      <c r="D12" s="27">
        <v>1390</v>
      </c>
      <c r="E12" s="44"/>
      <c r="F12" s="42">
        <f t="shared" si="0"/>
        <v>0</v>
      </c>
    </row>
    <row r="13" spans="1:6" ht="27" x14ac:dyDescent="0.25">
      <c r="A13" s="41">
        <f t="shared" si="1"/>
        <v>9</v>
      </c>
      <c r="B13" s="28" t="s">
        <v>14</v>
      </c>
      <c r="C13" s="26" t="s">
        <v>33</v>
      </c>
      <c r="D13" s="27">
        <f>8042*0.18*1.22</f>
        <v>1766.0231999999999</v>
      </c>
      <c r="E13" s="44"/>
      <c r="F13" s="42">
        <f t="shared" si="0"/>
        <v>0</v>
      </c>
    </row>
    <row r="14" spans="1:6" ht="27" x14ac:dyDescent="0.25">
      <c r="A14" s="41">
        <f t="shared" si="1"/>
        <v>10</v>
      </c>
      <c r="B14" s="28" t="s">
        <v>15</v>
      </c>
      <c r="C14" s="26" t="s">
        <v>33</v>
      </c>
      <c r="D14" s="51">
        <f>8042*0.1*1.26</f>
        <v>1013.292</v>
      </c>
      <c r="E14" s="44"/>
      <c r="F14" s="42">
        <f t="shared" si="0"/>
        <v>0</v>
      </c>
    </row>
    <row r="15" spans="1:6" ht="29.25" x14ac:dyDescent="0.25">
      <c r="A15" s="41">
        <f t="shared" si="1"/>
        <v>11</v>
      </c>
      <c r="B15" s="28" t="s">
        <v>89</v>
      </c>
      <c r="C15" s="26" t="s">
        <v>16</v>
      </c>
      <c r="D15" s="51">
        <f>8042*0.7</f>
        <v>5629.4</v>
      </c>
      <c r="E15" s="44"/>
      <c r="F15" s="42">
        <f t="shared" si="0"/>
        <v>0</v>
      </c>
    </row>
    <row r="16" spans="1:6" ht="27" x14ac:dyDescent="0.25">
      <c r="A16" s="41">
        <f t="shared" si="1"/>
        <v>12</v>
      </c>
      <c r="B16" s="49" t="s">
        <v>90</v>
      </c>
      <c r="C16" s="44" t="s">
        <v>44</v>
      </c>
      <c r="D16" s="51">
        <v>8042</v>
      </c>
      <c r="E16" s="44"/>
      <c r="F16" s="42">
        <f t="shared" si="0"/>
        <v>0</v>
      </c>
    </row>
    <row r="17" spans="1:6" ht="29.25" x14ac:dyDescent="0.25">
      <c r="A17" s="41">
        <f t="shared" si="1"/>
        <v>13</v>
      </c>
      <c r="B17" s="49" t="s">
        <v>91</v>
      </c>
      <c r="C17" s="44" t="s">
        <v>16</v>
      </c>
      <c r="D17" s="51">
        <f xml:space="preserve"> 8042*0.35</f>
        <v>2814.7</v>
      </c>
      <c r="E17" s="44"/>
      <c r="F17" s="42">
        <f t="shared" si="0"/>
        <v>0</v>
      </c>
    </row>
    <row r="18" spans="1:6" ht="27" x14ac:dyDescent="0.25">
      <c r="A18" s="41">
        <f t="shared" si="1"/>
        <v>14</v>
      </c>
      <c r="B18" s="28" t="s">
        <v>92</v>
      </c>
      <c r="C18" s="26" t="s">
        <v>44</v>
      </c>
      <c r="D18" s="51">
        <v>8042</v>
      </c>
      <c r="E18" s="44"/>
      <c r="F18" s="42">
        <f t="shared" si="0"/>
        <v>0</v>
      </c>
    </row>
    <row r="19" spans="1:6" ht="21" x14ac:dyDescent="0.25">
      <c r="A19" s="41"/>
      <c r="B19" s="47" t="s">
        <v>85</v>
      </c>
      <c r="C19" s="26"/>
      <c r="D19" s="52"/>
      <c r="E19" s="44"/>
      <c r="F19" s="42">
        <f t="shared" si="0"/>
        <v>0</v>
      </c>
    </row>
    <row r="20" spans="1:6" ht="27" x14ac:dyDescent="0.25">
      <c r="A20" s="41">
        <v>15</v>
      </c>
      <c r="B20" s="25" t="s">
        <v>6</v>
      </c>
      <c r="C20" s="26" t="s">
        <v>33</v>
      </c>
      <c r="D20" s="27">
        <f>2650*0.05*80%</f>
        <v>106</v>
      </c>
      <c r="E20" s="44"/>
      <c r="F20" s="42">
        <f t="shared" si="0"/>
        <v>0</v>
      </c>
    </row>
    <row r="21" spans="1:6" ht="27" x14ac:dyDescent="0.25">
      <c r="A21" s="41">
        <f>A20+1</f>
        <v>16</v>
      </c>
      <c r="B21" s="25" t="s">
        <v>7</v>
      </c>
      <c r="C21" s="26" t="s">
        <v>33</v>
      </c>
      <c r="D21" s="27">
        <f>2650*0.05*5%</f>
        <v>6.625</v>
      </c>
      <c r="E21" s="44"/>
      <c r="F21" s="42">
        <f t="shared" si="0"/>
        <v>0</v>
      </c>
    </row>
    <row r="22" spans="1:6" ht="27" x14ac:dyDescent="0.25">
      <c r="A22" s="41">
        <f t="shared" ref="A22:A30" si="2">A21+1</f>
        <v>17</v>
      </c>
      <c r="B22" s="25" t="s">
        <v>8</v>
      </c>
      <c r="C22" s="26" t="s">
        <v>33</v>
      </c>
      <c r="D22" s="27">
        <f>2650*0.1*95%</f>
        <v>251.75</v>
      </c>
      <c r="E22" s="44"/>
      <c r="F22" s="42">
        <f t="shared" si="0"/>
        <v>0</v>
      </c>
    </row>
    <row r="23" spans="1:6" ht="27" x14ac:dyDescent="0.25">
      <c r="A23" s="41">
        <f t="shared" si="2"/>
        <v>18</v>
      </c>
      <c r="B23" s="25" t="s">
        <v>9</v>
      </c>
      <c r="C23" s="26" t="s">
        <v>33</v>
      </c>
      <c r="D23" s="27">
        <f>2650*0.1*5%</f>
        <v>13.25</v>
      </c>
      <c r="E23" s="44"/>
      <c r="F23" s="42">
        <f t="shared" si="0"/>
        <v>0</v>
      </c>
    </row>
    <row r="24" spans="1:6" ht="27" x14ac:dyDescent="0.25">
      <c r="A24" s="41">
        <f t="shared" si="2"/>
        <v>19</v>
      </c>
      <c r="B24" s="25" t="s">
        <v>83</v>
      </c>
      <c r="C24" s="26" t="s">
        <v>84</v>
      </c>
      <c r="D24" s="27">
        <v>221</v>
      </c>
      <c r="E24" s="44"/>
      <c r="F24" s="42">
        <f t="shared" si="0"/>
        <v>0</v>
      </c>
    </row>
    <row r="25" spans="1:6" ht="27" x14ac:dyDescent="0.25">
      <c r="A25" s="41">
        <f t="shared" si="2"/>
        <v>20</v>
      </c>
      <c r="B25" s="25" t="s">
        <v>10</v>
      </c>
      <c r="C25" s="26" t="s">
        <v>11</v>
      </c>
      <c r="D25" s="48">
        <f>(D20+D21+D22+D23+9.94+7.73)*1.85</f>
        <v>731.29575000000011</v>
      </c>
      <c r="E25" s="44"/>
      <c r="F25" s="42">
        <f t="shared" si="0"/>
        <v>0</v>
      </c>
    </row>
    <row r="26" spans="1:6" ht="27" x14ac:dyDescent="0.25">
      <c r="A26" s="41">
        <f t="shared" si="2"/>
        <v>21</v>
      </c>
      <c r="B26" s="49" t="s">
        <v>12</v>
      </c>
      <c r="C26" s="26" t="s">
        <v>13</v>
      </c>
      <c r="D26" s="48">
        <v>7</v>
      </c>
      <c r="E26" s="44"/>
      <c r="F26" s="42">
        <f t="shared" si="0"/>
        <v>0</v>
      </c>
    </row>
    <row r="27" spans="1:6" ht="42.75" x14ac:dyDescent="0.25">
      <c r="A27" s="41">
        <f t="shared" si="2"/>
        <v>22</v>
      </c>
      <c r="B27" s="50" t="s">
        <v>88</v>
      </c>
      <c r="C27" s="26" t="s">
        <v>84</v>
      </c>
      <c r="D27" s="27">
        <v>260</v>
      </c>
      <c r="E27" s="44"/>
      <c r="F27" s="42">
        <f t="shared" si="0"/>
        <v>0</v>
      </c>
    </row>
    <row r="28" spans="1:6" ht="27" x14ac:dyDescent="0.25">
      <c r="A28" s="41">
        <f t="shared" si="2"/>
        <v>23</v>
      </c>
      <c r="B28" s="28" t="s">
        <v>15</v>
      </c>
      <c r="C28" s="26" t="s">
        <v>33</v>
      </c>
      <c r="D28" s="51">
        <f>2650*0.1*1.26</f>
        <v>333.9</v>
      </c>
      <c r="E28" s="44"/>
      <c r="F28" s="42">
        <f t="shared" si="0"/>
        <v>0</v>
      </c>
    </row>
    <row r="29" spans="1:6" ht="29.25" x14ac:dyDescent="0.25">
      <c r="A29" s="41">
        <f t="shared" si="2"/>
        <v>24</v>
      </c>
      <c r="B29" s="28" t="s">
        <v>89</v>
      </c>
      <c r="C29" s="26" t="s">
        <v>16</v>
      </c>
      <c r="D29" s="51">
        <f>2650*0.7</f>
        <v>1854.9999999999998</v>
      </c>
      <c r="E29" s="44"/>
      <c r="F29" s="42">
        <f t="shared" si="0"/>
        <v>0</v>
      </c>
    </row>
    <row r="30" spans="1:6" ht="27" x14ac:dyDescent="0.25">
      <c r="A30" s="41">
        <f t="shared" si="2"/>
        <v>25</v>
      </c>
      <c r="B30" s="28" t="s">
        <v>93</v>
      </c>
      <c r="C30" s="26" t="s">
        <v>44</v>
      </c>
      <c r="D30" s="53">
        <v>2650</v>
      </c>
      <c r="E30" s="44"/>
      <c r="F30" s="42">
        <f t="shared" si="0"/>
        <v>0</v>
      </c>
    </row>
    <row r="31" spans="1:6" ht="22.5" x14ac:dyDescent="0.25">
      <c r="A31" s="41"/>
      <c r="B31" s="22" t="s">
        <v>86</v>
      </c>
      <c r="C31" s="26"/>
      <c r="D31" s="53"/>
      <c r="E31" s="44"/>
      <c r="F31" s="42"/>
    </row>
    <row r="32" spans="1:6" ht="27" x14ac:dyDescent="0.25">
      <c r="A32" s="41">
        <v>26</v>
      </c>
      <c r="B32" s="25" t="s">
        <v>7</v>
      </c>
      <c r="C32" s="26" t="s">
        <v>33</v>
      </c>
      <c r="D32" s="27">
        <f>870*0.03</f>
        <v>26.099999999999998</v>
      </c>
      <c r="E32" s="44"/>
      <c r="F32" s="42">
        <f t="shared" si="0"/>
        <v>0</v>
      </c>
    </row>
    <row r="33" spans="1:6" ht="27" x14ac:dyDescent="0.25">
      <c r="A33" s="41">
        <f t="shared" ref="A33:A38" si="3">A32+1</f>
        <v>27</v>
      </c>
      <c r="B33" s="25" t="s">
        <v>9</v>
      </c>
      <c r="C33" s="26" t="s">
        <v>33</v>
      </c>
      <c r="D33" s="27">
        <v>87</v>
      </c>
      <c r="E33" s="44"/>
      <c r="F33" s="42">
        <f t="shared" si="0"/>
        <v>0</v>
      </c>
    </row>
    <row r="34" spans="1:6" ht="27" x14ac:dyDescent="0.25">
      <c r="A34" s="41">
        <f t="shared" si="3"/>
        <v>28</v>
      </c>
      <c r="B34" s="25" t="s">
        <v>83</v>
      </c>
      <c r="C34" s="26" t="s">
        <v>84</v>
      </c>
      <c r="D34" s="27">
        <v>317</v>
      </c>
      <c r="E34" s="44"/>
      <c r="F34" s="42">
        <f t="shared" si="0"/>
        <v>0</v>
      </c>
    </row>
    <row r="35" spans="1:6" ht="27" x14ac:dyDescent="0.25">
      <c r="A35" s="41">
        <f t="shared" si="3"/>
        <v>29</v>
      </c>
      <c r="B35" s="25" t="s">
        <v>10</v>
      </c>
      <c r="C35" s="26" t="s">
        <v>11</v>
      </c>
      <c r="D35" s="48">
        <f>(D32+D33+14.26+11.09)*1.85</f>
        <v>256.13249999999999</v>
      </c>
      <c r="E35" s="44"/>
      <c r="F35" s="42">
        <f t="shared" si="0"/>
        <v>0</v>
      </c>
    </row>
    <row r="36" spans="1:6" ht="42.75" x14ac:dyDescent="0.25">
      <c r="A36" s="41">
        <f t="shared" si="3"/>
        <v>30</v>
      </c>
      <c r="B36" s="50" t="s">
        <v>88</v>
      </c>
      <c r="C36" s="26" t="s">
        <v>84</v>
      </c>
      <c r="D36" s="27">
        <v>350</v>
      </c>
      <c r="E36" s="26"/>
      <c r="F36" s="42">
        <f t="shared" si="0"/>
        <v>0</v>
      </c>
    </row>
    <row r="37" spans="1:6" ht="27" x14ac:dyDescent="0.25">
      <c r="A37" s="41">
        <f t="shared" si="3"/>
        <v>31</v>
      </c>
      <c r="B37" s="28" t="s">
        <v>87</v>
      </c>
      <c r="C37" s="26" t="s">
        <v>33</v>
      </c>
      <c r="D37" s="51">
        <f>870*0.1*1.26</f>
        <v>109.62</v>
      </c>
      <c r="E37" s="26"/>
      <c r="F37" s="42">
        <f t="shared" si="0"/>
        <v>0</v>
      </c>
    </row>
    <row r="38" spans="1:6" ht="27" x14ac:dyDescent="0.25">
      <c r="A38" s="41">
        <f t="shared" si="3"/>
        <v>32</v>
      </c>
      <c r="B38" s="28" t="s">
        <v>94</v>
      </c>
      <c r="C38" s="26" t="s">
        <v>44</v>
      </c>
      <c r="D38" s="53">
        <v>870</v>
      </c>
      <c r="E38" s="26"/>
      <c r="F38" s="42">
        <f t="shared" si="0"/>
        <v>0</v>
      </c>
    </row>
    <row r="39" spans="1:6" ht="16.5" x14ac:dyDescent="0.25">
      <c r="A39" s="41"/>
      <c r="B39" s="21" t="s">
        <v>27</v>
      </c>
      <c r="C39" s="26"/>
      <c r="D39" s="26"/>
      <c r="E39" s="26"/>
      <c r="F39" s="21">
        <f>SUM(F5:F38)</f>
        <v>0</v>
      </c>
    </row>
    <row r="40" spans="1:6" ht="16.5" x14ac:dyDescent="0.25">
      <c r="A40" s="41"/>
      <c r="B40" s="21" t="s">
        <v>78</v>
      </c>
      <c r="C40" s="26"/>
      <c r="D40" s="26"/>
      <c r="E40" s="26"/>
      <c r="F40" s="21">
        <f>F39*10%</f>
        <v>0</v>
      </c>
    </row>
    <row r="41" spans="1:6" ht="16.5" x14ac:dyDescent="0.25">
      <c r="A41" s="41"/>
      <c r="B41" s="21" t="s">
        <v>27</v>
      </c>
      <c r="C41" s="26"/>
      <c r="D41" s="26"/>
      <c r="E41" s="26"/>
      <c r="F41" s="21">
        <f>SUM(F39:F40)</f>
        <v>0</v>
      </c>
    </row>
    <row r="42" spans="1:6" ht="16.5" x14ac:dyDescent="0.25">
      <c r="A42" s="41"/>
      <c r="B42" s="21" t="s">
        <v>79</v>
      </c>
      <c r="C42" s="26"/>
      <c r="D42" s="26"/>
      <c r="E42" s="26"/>
      <c r="F42" s="21">
        <f>F41*8%</f>
        <v>0</v>
      </c>
    </row>
    <row r="43" spans="1:6" ht="16.5" x14ac:dyDescent="0.25">
      <c r="A43" s="41"/>
      <c r="B43" s="21" t="s">
        <v>27</v>
      </c>
      <c r="C43" s="26"/>
      <c r="D43" s="26"/>
      <c r="E43" s="26"/>
      <c r="F43" s="21">
        <f>SUM(F41:F42)</f>
        <v>0</v>
      </c>
    </row>
    <row r="44" spans="1:6" ht="16.5" x14ac:dyDescent="0.25">
      <c r="A44" s="41"/>
      <c r="B44" s="21" t="s">
        <v>28</v>
      </c>
      <c r="C44" s="26"/>
      <c r="D44" s="26"/>
      <c r="E44" s="26"/>
      <c r="F44" s="21">
        <f>F43*3%</f>
        <v>0</v>
      </c>
    </row>
    <row r="45" spans="1:6" ht="16.5" x14ac:dyDescent="0.25">
      <c r="A45" s="41"/>
      <c r="B45" s="21" t="s">
        <v>27</v>
      </c>
      <c r="C45" s="26"/>
      <c r="D45" s="26"/>
      <c r="E45" s="26"/>
      <c r="F45" s="21">
        <f>SUM(F43:F44)</f>
        <v>0</v>
      </c>
    </row>
    <row r="46" spans="1:6" ht="16.5" x14ac:dyDescent="0.25">
      <c r="A46" s="41"/>
      <c r="B46" s="21" t="s">
        <v>29</v>
      </c>
      <c r="C46" s="26"/>
      <c r="D46" s="26"/>
      <c r="E46" s="26"/>
      <c r="F46" s="21">
        <f>F45*18%</f>
        <v>0</v>
      </c>
    </row>
    <row r="47" spans="1:6" ht="16.5" x14ac:dyDescent="0.25">
      <c r="A47" s="41"/>
      <c r="B47" s="21" t="s">
        <v>30</v>
      </c>
      <c r="C47" s="26"/>
      <c r="D47" s="26"/>
      <c r="E47" s="26"/>
      <c r="F47" s="21">
        <f>SUM(F45:F46)</f>
        <v>0</v>
      </c>
    </row>
    <row r="50" spans="2:6" x14ac:dyDescent="0.25">
      <c r="B50" s="69" t="s">
        <v>96</v>
      </c>
      <c r="C50" s="69"/>
      <c r="D50" s="69"/>
      <c r="E50" s="69"/>
      <c r="F50" s="69"/>
    </row>
  </sheetData>
  <mergeCells count="2">
    <mergeCell ref="B1:F1"/>
    <mergeCell ref="B50:F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wm.barb chixebi</vt:lpstr>
      <vt:lpstr>wiwinadzis 1,2,3,4,5,6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2016-11-17T09:42:44Z</dcterms:modified>
</cp:coreProperties>
</file>