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840" tabRatio="968" activeTab="0"/>
  </bookViews>
  <sheets>
    <sheet name="def" sheetId="1" r:id="rId1"/>
  </sheets>
  <externalReferences>
    <externalReference r:id="rId4"/>
  </externalReferences>
  <definedNames>
    <definedName name="_xlnm.Print_Area" localSheetId="0">'def'!$A$1:$K$824</definedName>
    <definedName name="_xlnm.Print_Titles" localSheetId="0">'def'!$8:$8</definedName>
  </definedNames>
  <calcPr fullCalcOnLoad="1"/>
</workbook>
</file>

<file path=xl/sharedStrings.xml><?xml version="1.0" encoding="utf-8"?>
<sst xmlns="http://schemas.openxmlformats.org/spreadsheetml/2006/main" count="1986" uniqueCount="665">
  <si>
    <t>1. miwis samuSaoebi</t>
  </si>
  <si>
    <t xml:space="preserve">muSaoba nayarSi </t>
  </si>
  <si>
    <t>2. saZirkveli</t>
  </si>
  <si>
    <t>jami 3</t>
  </si>
  <si>
    <t>4. saxuravi</t>
  </si>
  <si>
    <t>jami 4</t>
  </si>
  <si>
    <t>jami 5</t>
  </si>
  <si>
    <t>jami 6</t>
  </si>
  <si>
    <t>jami 7</t>
  </si>
  <si>
    <t>jami 8</t>
  </si>
  <si>
    <t>jami 9</t>
  </si>
  <si>
    <t>lari</t>
  </si>
  <si>
    <t>ganz.</t>
  </si>
  <si>
    <t>masala</t>
  </si>
  <si>
    <t>xelfasi</t>
  </si>
  <si>
    <t>manqana-meqanizmebi da transporti</t>
  </si>
  <si>
    <t>jami</t>
  </si>
  <si>
    <t>sul</t>
  </si>
  <si>
    <t>erT. fasi</t>
  </si>
  <si>
    <t>1</t>
  </si>
  <si>
    <t>c</t>
  </si>
  <si>
    <t>7</t>
  </si>
  <si>
    <t>NN</t>
  </si>
  <si>
    <t>samuSao</t>
  </si>
  <si>
    <t>m2</t>
  </si>
  <si>
    <t>kg</t>
  </si>
  <si>
    <t>m3</t>
  </si>
  <si>
    <t>samSeneblo samuSaoebi</t>
  </si>
  <si>
    <t>2</t>
  </si>
  <si>
    <t>3</t>
  </si>
  <si>
    <t>4</t>
  </si>
  <si>
    <t>5</t>
  </si>
  <si>
    <t>6</t>
  </si>
  <si>
    <t>8</t>
  </si>
  <si>
    <t>t</t>
  </si>
  <si>
    <t>rigiTi #</t>
  </si>
  <si>
    <t>xarjT.                  #</t>
  </si>
  <si>
    <t>Tavebis, obieqtebis, samuSaoebisa da danaxarjebis dasaxeleba</t>
  </si>
  <si>
    <t>Tavi 2</t>
  </si>
  <si>
    <t>mSeneblobis ZiriTadi obieqtebi</t>
  </si>
  <si>
    <t>jami  Tavi 2</t>
  </si>
  <si>
    <t>dRg - 18%</t>
  </si>
  <si>
    <t>m</t>
  </si>
  <si>
    <t>jami 1</t>
  </si>
  <si>
    <t>jami 2</t>
  </si>
  <si>
    <t xml:space="preserve">jami </t>
  </si>
  <si>
    <t>samontaJo samuSaoebi</t>
  </si>
  <si>
    <t>grZ.m</t>
  </si>
  <si>
    <t>cali</t>
  </si>
  <si>
    <t>komp</t>
  </si>
  <si>
    <t>ventili d=40mm</t>
  </si>
  <si>
    <t>jami 10</t>
  </si>
  <si>
    <t>maT Soris: mowyobiloba</t>
  </si>
  <si>
    <t>armatura a-3</t>
  </si>
  <si>
    <t>kibis marSebisa da baqnebis qvemodan  Selesva cementis xsnariT</t>
  </si>
  <si>
    <t>saStefselo rozeti  mesame damamiwebeli kontaqtiT 220v</t>
  </si>
  <si>
    <t>jami 1+2+3+4+5+6+7+8+9+10</t>
  </si>
  <si>
    <t xml:space="preserve">betonis momzadeba m100 betonisagan </t>
  </si>
  <si>
    <t xml:space="preserve">liTonis moajiris mowyoba </t>
  </si>
  <si>
    <t xml:space="preserve">nayaris mowyoba buldozeriT </t>
  </si>
  <si>
    <t>nayaris datkepna muStebiani satkepniT 5t</t>
  </si>
  <si>
    <t>kibis marSebisa da baqnebis qvemodan SeRebva wyalemulsiuri saRebaviT</t>
  </si>
  <si>
    <t>3. karkasi, kedlebi da tixrebi</t>
  </si>
  <si>
    <t>5. kibe</t>
  </si>
  <si>
    <t>6. Riobebi</t>
  </si>
  <si>
    <t>7. iatakebi</t>
  </si>
  <si>
    <t>9 gare mopirkeTeba</t>
  </si>
  <si>
    <t>liTonis moajiris SeRebva zeTovani saRebaviT orjer</t>
  </si>
  <si>
    <t>el.zari</t>
  </si>
  <si>
    <r>
      <t>5 kategoriis kabeli U</t>
    </r>
    <r>
      <rPr>
        <sz val="10"/>
        <rFont val="Arial"/>
        <family val="2"/>
      </rPr>
      <t xml:space="preserve">UTP-5 </t>
    </r>
  </si>
  <si>
    <t>kompiuteruli da satelefono qseli</t>
  </si>
  <si>
    <t>saxanZro signalizaciis qseli</t>
  </si>
  <si>
    <t xml:space="preserve">luminescenturi sanaTi ornaTuriani 2X36vt </t>
  </si>
  <si>
    <t>erTklaviSiani CamrTveli</t>
  </si>
  <si>
    <t>orklaviSiani CamrTveli</t>
  </si>
  <si>
    <t>spilenZis kabeli kveTiT 3X2,5mm2</t>
  </si>
  <si>
    <t>spilenZis kabeli kveTiT 3X1,5mm2</t>
  </si>
  <si>
    <t>armatura a-1</t>
  </si>
  <si>
    <t>Weris Selesva cementis xsnariT</t>
  </si>
  <si>
    <t>saxarjTaRricxvo Rirebuleba</t>
  </si>
  <si>
    <t xml:space="preserve"> maT Soris xelfasi</t>
  </si>
  <si>
    <t>plastmasis wyalsadenis mili d=25mm</t>
  </si>
  <si>
    <t xml:space="preserve">plastmasis wyalsadenis mili d=40mm </t>
  </si>
  <si>
    <t>ventili d=25mm</t>
  </si>
  <si>
    <t>muxli  d=20mm</t>
  </si>
  <si>
    <t>muxli  d=25mm</t>
  </si>
  <si>
    <t xml:space="preserve">zednadebi xarjebi </t>
  </si>
  <si>
    <t xml:space="preserve">mogeba </t>
  </si>
  <si>
    <t>muxli  d=50mm</t>
  </si>
  <si>
    <t>muxli  d=100mm</t>
  </si>
  <si>
    <t>samkapi 50/50</t>
  </si>
  <si>
    <t>samkapi 50/100</t>
  </si>
  <si>
    <t>samkapi 100/100</t>
  </si>
  <si>
    <t>sifoni d=50mm</t>
  </si>
  <si>
    <t xml:space="preserve">xelsabani </t>
  </si>
  <si>
    <t>pisuari</t>
  </si>
  <si>
    <t xml:space="preserve">mogeba  </t>
  </si>
  <si>
    <t xml:space="preserve">zednadebi xarjebi  </t>
  </si>
  <si>
    <t>mogeba</t>
  </si>
  <si>
    <t>gruntis ukuCayra xeliT</t>
  </si>
  <si>
    <t>mowyobiloba</t>
  </si>
  <si>
    <t xml:space="preserve">gruntis datkepna pnevmosatkepnebiT </t>
  </si>
  <si>
    <t xml:space="preserve">milebis perforacia </t>
  </si>
  <si>
    <t>III kategoriis gruntis damuSaveba eqskavatoriT nayarSi datovebiT</t>
  </si>
  <si>
    <t>III kategoriis gruntis damuSaveba xeliT</t>
  </si>
  <si>
    <t>III kategoriis gruntis ukuCayra buldozeriT</t>
  </si>
  <si>
    <t>III kategoriis gruntis ukuCayra xeliT</t>
  </si>
  <si>
    <t>kompiuteruli qselis komutatori 24 portiani</t>
  </si>
  <si>
    <r>
      <t>satelefono rozeti</t>
    </r>
    <r>
      <rPr>
        <sz val="10"/>
        <rFont val="Arial"/>
        <family val="2"/>
      </rPr>
      <t xml:space="preserve"> (</t>
    </r>
    <r>
      <rPr>
        <sz val="10"/>
        <rFont val="AcadNusx"/>
        <family val="0"/>
      </rPr>
      <t>orbudiani</t>
    </r>
    <r>
      <rPr>
        <sz val="10"/>
        <rFont val="Arial"/>
        <family val="2"/>
      </rPr>
      <t>)  RJ</t>
    </r>
    <r>
      <rPr>
        <sz val="10"/>
        <rFont val="AcadNusx"/>
        <family val="0"/>
      </rPr>
      <t xml:space="preserve">45                      </t>
    </r>
  </si>
  <si>
    <t>satelevizio antenis dasadgmeli adgilis SerCeva</t>
  </si>
  <si>
    <t>satelevizio  antena</t>
  </si>
  <si>
    <t>antenis gamaZlierebeli</t>
  </si>
  <si>
    <t>eleqtro zaris Rilaki</t>
  </si>
  <si>
    <t>gamoZaxebis Rilaki TokiT</t>
  </si>
  <si>
    <r>
      <t xml:space="preserve">kvamlis deteqtori </t>
    </r>
    <r>
      <rPr>
        <sz val="10"/>
        <rFont val="Arial"/>
        <family val="2"/>
      </rPr>
      <t>SSD-521</t>
    </r>
  </si>
  <si>
    <r>
      <t>samagri Ziri</t>
    </r>
    <r>
      <rPr>
        <sz val="10"/>
        <rFont val="Arial"/>
        <family val="2"/>
      </rPr>
      <t xml:space="preserve"> USB-</t>
    </r>
    <r>
      <rPr>
        <sz val="10"/>
        <rFont val="AcadNusx"/>
        <family val="0"/>
      </rPr>
      <t>501-1</t>
    </r>
  </si>
  <si>
    <t>komp.</t>
  </si>
  <si>
    <t xml:space="preserve">luminescenturi sanaTi erTnaTuriani 36vt (dafis) </t>
  </si>
  <si>
    <t>wertilovani sanaTi ekonaTuriT 13 vt</t>
  </si>
  <si>
    <t>viniplastis milis montaJi d=25mm</t>
  </si>
  <si>
    <t>zolovani foladi  40X4mm</t>
  </si>
  <si>
    <t>ekonaTura 13vt</t>
  </si>
  <si>
    <t>kabeli spilenZis ZarRviT kveTiT 5X4mm2</t>
  </si>
  <si>
    <t>1. samSeneblo samuSaoebi</t>
  </si>
  <si>
    <t xml:space="preserve">liTonis boZis dabetoneba m200 betonisagan </t>
  </si>
  <si>
    <t>2. samontaJo samuSaoebi</t>
  </si>
  <si>
    <t>sawolis momzadeba erTi kabelisaTvis</t>
  </si>
  <si>
    <t xml:space="preserve">fari cokolSi </t>
  </si>
  <si>
    <t>zednadebi xarjebi xelfasidan</t>
  </si>
  <si>
    <t xml:space="preserve">mogeba -  </t>
  </si>
  <si>
    <t>sakabelo lenta</t>
  </si>
  <si>
    <t>qviSis fenilis mowyoba milebis qveS</t>
  </si>
  <si>
    <t xml:space="preserve">plastmasis wyalsadenis mili d=50mm </t>
  </si>
  <si>
    <t>ventili d=20mm</t>
  </si>
  <si>
    <t>onkani unitazis d=20mm</t>
  </si>
  <si>
    <t>urduli d=50mm</t>
  </si>
  <si>
    <t>gadamyvani d=50/100mm</t>
  </si>
  <si>
    <t>unitazis (Camrecxi avziT) mowyoba SezRuduli unaris mqone pirTaTvis kompleqtSi</t>
  </si>
  <si>
    <t>kompl</t>
  </si>
  <si>
    <t>II kategoriis gruntis ukuCayra buldozeriT</t>
  </si>
  <si>
    <t>qviSis fenilis mowyoba milebis qveS sisq.10sm</t>
  </si>
  <si>
    <t>Fgzebis  mowyoba</t>
  </si>
  <si>
    <t>qviSa-xreSovani safuZvelis mowyoba sisqiT 20sm</t>
  </si>
  <si>
    <t>zeda fenis mowyoba wvrilmarcvlovani asfaltobetoniT mowyoba sisqiT 4,0sm</t>
  </si>
  <si>
    <t>kompiuteruli qselis komutatori 48 portiani</t>
  </si>
  <si>
    <r>
      <t xml:space="preserve">optikuri kabeli </t>
    </r>
    <r>
      <rPr>
        <sz val="10"/>
        <rFont val="Arial"/>
        <family val="2"/>
      </rPr>
      <t xml:space="preserve"> 2X2</t>
    </r>
  </si>
  <si>
    <t>satelevizio sistema</t>
  </si>
  <si>
    <t>eleqtrozari</t>
  </si>
  <si>
    <t>gamoZaxebis sasignalo sistema</t>
  </si>
  <si>
    <t>"19"-iani saabonento karada (reki)</t>
  </si>
  <si>
    <t>plastmasis polieTilenis wyalsadenis mili d=20mm</t>
  </si>
  <si>
    <t>muxli  d=40mm</t>
  </si>
  <si>
    <t>onkani pisuaris d=20mm</t>
  </si>
  <si>
    <t>Semrevi xelsabanis</t>
  </si>
  <si>
    <t>xelsabani niJaris mowyoba SezRuduli unarebis mqoneTaTvis kompleqtSi</t>
  </si>
  <si>
    <t>kanalizaciis polipropilenis mili  d=100mm</t>
  </si>
  <si>
    <t>jvaredini 100/100</t>
  </si>
  <si>
    <t>saSxape</t>
  </si>
  <si>
    <t>revizia d=100mm</t>
  </si>
  <si>
    <t>gamwmendi d=100mm</t>
  </si>
  <si>
    <t>kompl.</t>
  </si>
  <si>
    <t>maT Soris: samSeneblo samuSaoebi</t>
  </si>
  <si>
    <t>zednadebi xarjebi samontaJo samuSaoebze -  xelfasidan</t>
  </si>
  <si>
    <t xml:space="preserve">mogeba- </t>
  </si>
  <si>
    <t xml:space="preserve">zednadebi xarjebi  samSeneblo samuSaoebze </t>
  </si>
  <si>
    <t>kedlebis mopirkeTeba moWiquli filebiT</t>
  </si>
  <si>
    <t>10. sxva samuSaoebi</t>
  </si>
  <si>
    <t>აბრა (warwera)</t>
  </si>
  <si>
    <t>abris (warweris) mowyoba</t>
  </si>
  <si>
    <t>cementis moWimvis mowyoba sisqiT 20mm</t>
  </si>
  <si>
    <t>magidis signalizatori</t>
  </si>
  <si>
    <t>kedlebis da tixrebis damuSaveba fiTxiT da SeRebva wyalemulsiuri saRebaviT</t>
  </si>
  <si>
    <t xml:space="preserve">gare xaraCoebis mowyoba </t>
  </si>
  <si>
    <t>samontaJo xvrelebis mowyoba</t>
  </si>
  <si>
    <t>xvrelebis amovseba cementiT</t>
  </si>
  <si>
    <t>teritoriis gamwvaneba</t>
  </si>
  <si>
    <r>
      <t>m</t>
    </r>
    <r>
      <rPr>
        <vertAlign val="superscript"/>
        <sz val="10"/>
        <rFont val="AcadNusx"/>
        <family val="0"/>
      </rPr>
      <t>2</t>
    </r>
  </si>
  <si>
    <t>Cveulebrivi balaxis daTesva</t>
  </si>
  <si>
    <t>Cveulebrivi balaxis movla</t>
  </si>
  <si>
    <t>kibis saxeluris SeRebva laqiT orjer</t>
  </si>
  <si>
    <t>liTonis moajiris mowyoba xis saxeluriT</t>
  </si>
  <si>
    <t>sarke</t>
  </si>
  <si>
    <t>urna</t>
  </si>
  <si>
    <t>saqvabis fari 6 jgufiani, Semyvanze 3 faza avtomaturi gamomrTveliT 32a, xolo jgufebSi erTfaza gamomrTveliT 10a-ze-6c</t>
  </si>
  <si>
    <t>fizika, biologiis da qimiis kabinetebis el.fari, Semyvanze 3 faza avtomaturi gamomrTveliT 25a, xolo jgufebSi erTfaza gamomrTveliT 10a-ze-12c</t>
  </si>
  <si>
    <t xml:space="preserve">luminescenturi sanaTi oTxnaTuriani 4X18vt </t>
  </si>
  <si>
    <t>luminescenturi sanaTi ornaTuriani 2X36vt hermetuli</t>
  </si>
  <si>
    <t>kabeli spilenZis ZarRviT kveTiT 5X6mm2</t>
  </si>
  <si>
    <t>kabeli spilenZis ZarRviT kveTiT 5X10mm2</t>
  </si>
  <si>
    <t>viniplastis milis montaJi d=32mm</t>
  </si>
  <si>
    <t>viniplastis milis montaJi d=47mm</t>
  </si>
  <si>
    <t>luminiscenturi naTura. simZlavre 18vt,    36vt</t>
  </si>
  <si>
    <t>gasasvlelis maCvenebelis sanaTi naTuriT</t>
  </si>
  <si>
    <r>
      <t xml:space="preserve">kabeli </t>
    </r>
    <r>
      <rPr>
        <sz val="10"/>
        <rFont val="Arial"/>
        <family val="2"/>
      </rPr>
      <t>JYSTY</t>
    </r>
    <r>
      <rPr>
        <sz val="10"/>
        <rFont val="AcadNusx"/>
        <family val="0"/>
      </rPr>
      <t xml:space="preserve"> 20X2X0,6</t>
    </r>
  </si>
  <si>
    <t>spliteri</t>
  </si>
  <si>
    <r>
      <t xml:space="preserve">gamtari </t>
    </r>
    <r>
      <rPr>
        <sz val="10"/>
        <rFont val="Arial"/>
        <family val="2"/>
      </rPr>
      <t xml:space="preserve"> 2X1,2</t>
    </r>
    <r>
      <rPr>
        <sz val="10"/>
        <rFont val="AcadNusx"/>
        <family val="0"/>
      </rPr>
      <t>m</t>
    </r>
  </si>
  <si>
    <t>saxanZro signalizaciis oTxzoniani paneli</t>
  </si>
  <si>
    <r>
      <t xml:space="preserve">xelis Rilakiani (SuSis) deteqtori </t>
    </r>
    <r>
      <rPr>
        <sz val="10"/>
        <rFont val="Arial"/>
        <family val="2"/>
      </rPr>
      <t>FT-521</t>
    </r>
  </si>
  <si>
    <t>Tburi deteqtori</t>
  </si>
  <si>
    <t>gofrirebuli mili</t>
  </si>
  <si>
    <t>plastmasis wyalsadenis mili d=32mm</t>
  </si>
  <si>
    <t xml:space="preserve">plastmasis wyalsadenis mili d=75mm </t>
  </si>
  <si>
    <t xml:space="preserve">plastmasis wyalsadenis mili d=110mm </t>
  </si>
  <si>
    <t>muxli  d=75mm</t>
  </si>
  <si>
    <t>muxli  d=32mm</t>
  </si>
  <si>
    <t>samkapi d=110</t>
  </si>
  <si>
    <t>urduli d=80mm</t>
  </si>
  <si>
    <t>urduli d=100mm</t>
  </si>
  <si>
    <t>Semrevi SxapisTvis</t>
  </si>
  <si>
    <t>Semrevi CanebisaTvis</t>
  </si>
  <si>
    <t>Semrevi WurWlis samrecxisTvis</t>
  </si>
  <si>
    <t>onkani unitazis (inkluzivis) d=20mm</t>
  </si>
  <si>
    <t>Semrevi xelsabanis (inkluzivis)</t>
  </si>
  <si>
    <t>foladis milebi  70mm (saxanZro daniSn.)</t>
  </si>
  <si>
    <t>jvaredini 50/100</t>
  </si>
  <si>
    <t>gamwmendi d=50mm</t>
  </si>
  <si>
    <t>unitazi (Camrecxi avziT)</t>
  </si>
  <si>
    <t xml:space="preserve">WurWlis samrecxi </t>
  </si>
  <si>
    <t>kedlebis da tixrebis gaxvreta d=100-130mm</t>
  </si>
  <si>
    <t>gaxvretili kedlebisa da tixrebis Selesva cementis xsnariT (1m3)</t>
  </si>
  <si>
    <t>trapi nikelis  sifoniT d=50</t>
  </si>
  <si>
    <t xml:space="preserve">wyalsadenis polieTilenis  milebi d=110mm  </t>
  </si>
  <si>
    <t>wyalmzomis kvanZi d=40mm (proeqtis mixedviT)</t>
  </si>
  <si>
    <t xml:space="preserve">SeWra arsebul kanalizaciis qselSi  </t>
  </si>
  <si>
    <t>plastmasis poliprofilenis kanalizaciis mili d=250mm</t>
  </si>
  <si>
    <t xml:space="preserve">qviSis fenilis mowyoba milebis qveS </t>
  </si>
  <si>
    <t xml:space="preserve">SeWra arsebul kanalizaciis qselSi d=300mm  </t>
  </si>
  <si>
    <t>haersatari moTuTiebuli furclovani foladisagan sisqe 0,8mm</t>
  </si>
  <si>
    <t>ventilatoris sixSiruli regulatori da damakavSirebeli kabeli 40m</t>
  </si>
  <si>
    <t>xmaurdamxSobi 500X500mm 1m</t>
  </si>
  <si>
    <t>gamwovi difuzori 450X450 haermaregulirebeli meqanikuri damperiT</t>
  </si>
  <si>
    <t>gamwovi difuzori 300X300 haermaregulirebeli meqanikuri damperiT</t>
  </si>
  <si>
    <t>qimiis da fizikis kabinetis ventilaciis sistema</t>
  </si>
  <si>
    <t>gare Zraviani ventilatori 400m3/sT 120pa 1/230v da kabinetSi damontaJdes simZlavris regulatori</t>
  </si>
  <si>
    <t>ventilatoris sixSiruli regulatori da damakavSirebeli kabeli 14 da 18m</t>
  </si>
  <si>
    <t>haersatari uJangavi furclovani foladisagan sisqe 0,7mm</t>
  </si>
  <si>
    <t>sapirispiro sarqveli 250X330mm</t>
  </si>
  <si>
    <t>modinebis sistema (sasadilo)</t>
  </si>
  <si>
    <t>samsvliani regulirebadi eleqtro sarqveli ventilebi da eleqtro avtomatika haersataris TermometriT</t>
  </si>
  <si>
    <t>ventilatoris sixSiruli regulatori da damakavSirebeli kabeli 6m</t>
  </si>
  <si>
    <t xml:space="preserve">ventilatoris sixSiruli regulatori </t>
  </si>
  <si>
    <t>xmaurdamxSobi 200X200mm 1m</t>
  </si>
  <si>
    <t>haersatari moTuTiebuli furclovani foladisagan sisqe 0,6mm</t>
  </si>
  <si>
    <t xml:space="preserve">fasadis cxauri 800X400 </t>
  </si>
  <si>
    <t>difuzori 450X450 haermaregulirebeli meqanikuri damperiT</t>
  </si>
  <si>
    <t xml:space="preserve">fasadis cxauri 300X300 </t>
  </si>
  <si>
    <t>cxauri 200X100 haermaregulirebeli meqanikuri</t>
  </si>
  <si>
    <t>gawovis sistema  (sportdarbazi)</t>
  </si>
  <si>
    <t xml:space="preserve">freoni </t>
  </si>
  <si>
    <t>samagri kronSteini</t>
  </si>
  <si>
    <t>Camket-maregulirebeli ventili d=15mm</t>
  </si>
  <si>
    <t>wyvili</t>
  </si>
  <si>
    <t>quro gare xraxniT liT/plast d=15/20</t>
  </si>
  <si>
    <t>minaboWkovani polieTilenis mili d=20mm</t>
  </si>
  <si>
    <t>minaboWkovani polieTilenis mili d=25mm</t>
  </si>
  <si>
    <t>minaboWkovani polieTilenis mili d=32</t>
  </si>
  <si>
    <t>minaboWkovani polieTilenis mili d=40</t>
  </si>
  <si>
    <t>minaboWkovani polieTilenis mili d=50</t>
  </si>
  <si>
    <t>minaboWkovani polieTilenis mili d=63</t>
  </si>
  <si>
    <t>burT. plast. ventili d=25mm</t>
  </si>
  <si>
    <t>burT. plast. ventili d=32mm</t>
  </si>
  <si>
    <t>burT. plast. ventili d=40mm</t>
  </si>
  <si>
    <t>plastmasis fasonuri nawilebi</t>
  </si>
  <si>
    <t>Werze misamagrebeli samagrebi d=32,40,50mm</t>
  </si>
  <si>
    <t>milebis SefuTva folgaizoliani mineraluri bambiT</t>
  </si>
  <si>
    <t>sistemis hidravlikuri  gamocda</t>
  </si>
  <si>
    <t>erTjer.</t>
  </si>
  <si>
    <r>
      <t xml:space="preserve">paneluri radiatori </t>
    </r>
    <r>
      <rPr>
        <sz val="10"/>
        <rFont val="Arial"/>
        <family val="2"/>
      </rPr>
      <t xml:space="preserve"> H</t>
    </r>
    <r>
      <rPr>
        <sz val="10"/>
        <rFont val="AcadNusx"/>
        <family val="0"/>
      </rPr>
      <t xml:space="preserve">=60sm  </t>
    </r>
    <r>
      <rPr>
        <sz val="10"/>
        <rFont val="Arial"/>
        <family val="2"/>
      </rPr>
      <t xml:space="preserve"> L</t>
    </r>
    <r>
      <rPr>
        <sz val="10"/>
        <rFont val="AcadNusx"/>
        <family val="0"/>
      </rPr>
      <t>=40 sm (sakidebiTa da haergamSvebis kompleqtiT)</t>
    </r>
  </si>
  <si>
    <r>
      <t xml:space="preserve">paneluri radiatori </t>
    </r>
    <r>
      <rPr>
        <sz val="10"/>
        <rFont val="Arial"/>
        <family val="2"/>
      </rPr>
      <t xml:space="preserve"> H</t>
    </r>
    <r>
      <rPr>
        <sz val="10"/>
        <rFont val="AcadNusx"/>
        <family val="0"/>
      </rPr>
      <t xml:space="preserve">=60sm  </t>
    </r>
    <r>
      <rPr>
        <sz val="10"/>
        <rFont val="Arial"/>
        <family val="2"/>
      </rPr>
      <t xml:space="preserve"> L</t>
    </r>
    <r>
      <rPr>
        <sz val="10"/>
        <rFont val="AcadNusx"/>
        <family val="0"/>
      </rPr>
      <t>=60sm (sakidebiTa da haergamSvebis kompleqtiT)</t>
    </r>
  </si>
  <si>
    <r>
      <t xml:space="preserve">paneluri radiatori </t>
    </r>
    <r>
      <rPr>
        <sz val="10"/>
        <rFont val="Arial"/>
        <family val="2"/>
      </rPr>
      <t xml:space="preserve"> H</t>
    </r>
    <r>
      <rPr>
        <sz val="10"/>
        <rFont val="AcadNusx"/>
        <family val="0"/>
      </rPr>
      <t xml:space="preserve">=60sm  </t>
    </r>
    <r>
      <rPr>
        <sz val="10"/>
        <rFont val="Arial"/>
        <family val="2"/>
      </rPr>
      <t xml:space="preserve"> L</t>
    </r>
    <r>
      <rPr>
        <sz val="10"/>
        <rFont val="AcadNusx"/>
        <family val="0"/>
      </rPr>
      <t>=80 sm(sakidebiTa da haergamSvebis kompleqtiT)</t>
    </r>
  </si>
  <si>
    <r>
      <t xml:space="preserve">paneluri radiatori </t>
    </r>
    <r>
      <rPr>
        <sz val="10"/>
        <rFont val="Arial"/>
        <family val="2"/>
      </rPr>
      <t xml:space="preserve"> H</t>
    </r>
    <r>
      <rPr>
        <sz val="10"/>
        <rFont val="AcadNusx"/>
        <family val="0"/>
      </rPr>
      <t xml:space="preserve">=60sm  </t>
    </r>
    <r>
      <rPr>
        <sz val="10"/>
        <rFont val="Arial"/>
        <family val="2"/>
      </rPr>
      <t xml:space="preserve"> L</t>
    </r>
    <r>
      <rPr>
        <sz val="10"/>
        <rFont val="AcadNusx"/>
        <family val="0"/>
      </rPr>
      <t>=100 sm(sakidebiTa da haergamSvebis kompleqtiT)</t>
    </r>
  </si>
  <si>
    <r>
      <t xml:space="preserve">paneluri radiatori </t>
    </r>
    <r>
      <rPr>
        <sz val="10"/>
        <rFont val="Arial"/>
        <family val="2"/>
      </rPr>
      <t xml:space="preserve"> H</t>
    </r>
    <r>
      <rPr>
        <sz val="10"/>
        <rFont val="AcadNusx"/>
        <family val="0"/>
      </rPr>
      <t xml:space="preserve">=60sm  </t>
    </r>
    <r>
      <rPr>
        <sz val="10"/>
        <rFont val="Arial"/>
        <family val="2"/>
      </rPr>
      <t xml:space="preserve"> L</t>
    </r>
    <r>
      <rPr>
        <sz val="10"/>
        <rFont val="AcadNusx"/>
        <family val="0"/>
      </rPr>
      <t>=120 sm (sakidebiTa da haergamSvebis kompleqtiT)</t>
    </r>
  </si>
  <si>
    <r>
      <t xml:space="preserve">paneluri radiatori </t>
    </r>
    <r>
      <rPr>
        <sz val="10"/>
        <rFont val="Arial"/>
        <family val="2"/>
      </rPr>
      <t xml:space="preserve"> H</t>
    </r>
    <r>
      <rPr>
        <sz val="10"/>
        <rFont val="AcadNusx"/>
        <family val="0"/>
      </rPr>
      <t xml:space="preserve">=60sm  </t>
    </r>
    <r>
      <rPr>
        <sz val="10"/>
        <rFont val="Arial"/>
        <family val="2"/>
      </rPr>
      <t xml:space="preserve"> L</t>
    </r>
    <r>
      <rPr>
        <sz val="10"/>
        <rFont val="AcadNusx"/>
        <family val="0"/>
      </rPr>
      <t>=140 sm (sakidebiTa da haergamSvebis kompleqtiT)</t>
    </r>
  </si>
  <si>
    <r>
      <t xml:space="preserve">paneluri radiatori </t>
    </r>
    <r>
      <rPr>
        <sz val="10"/>
        <rFont val="Arial"/>
        <family val="2"/>
      </rPr>
      <t xml:space="preserve"> H</t>
    </r>
    <r>
      <rPr>
        <sz val="10"/>
        <rFont val="AcadNusx"/>
        <family val="0"/>
      </rPr>
      <t xml:space="preserve">=60sm  </t>
    </r>
    <r>
      <rPr>
        <sz val="10"/>
        <rFont val="Arial"/>
        <family val="2"/>
      </rPr>
      <t xml:space="preserve"> L</t>
    </r>
    <r>
      <rPr>
        <sz val="10"/>
        <rFont val="AcadNusx"/>
        <family val="0"/>
      </rPr>
      <t>=160 sm (sakidebiTa da haergamSvebis kompleqtiT)</t>
    </r>
  </si>
  <si>
    <t xml:space="preserve">minaboWkovani polieTilenis mili d=75mm </t>
  </si>
  <si>
    <t xml:space="preserve">plastmasis wyalsadenis mili d=90mm </t>
  </si>
  <si>
    <t xml:space="preserve">Tboizolacia kauCukis SaliTiT d=22-32mm </t>
  </si>
  <si>
    <t>Tboizolacia kauCukis SaliTiT d=40-63mm</t>
  </si>
  <si>
    <t xml:space="preserve">Tboizolacia kauCukis SaliTiT d=75-90mm </t>
  </si>
  <si>
    <t>plastmasis da liTonis fasonuri nawilebi</t>
  </si>
  <si>
    <t>Termomanometri</t>
  </si>
  <si>
    <t xml:space="preserve">membranuli safarToebeli avzi V=200l </t>
  </si>
  <si>
    <t xml:space="preserve">avtomaturi haergamSvebi </t>
  </si>
  <si>
    <t>burT. plast. ventili d=20mm</t>
  </si>
  <si>
    <t>meqanikuri filtris montaJi d=25mm</t>
  </si>
  <si>
    <t xml:space="preserve">350kv-ani bunebriv airze momuSave rkinis qvabis montaJi </t>
  </si>
  <si>
    <t xml:space="preserve">qseluri sacirkulacio tumbo d=50mm, q=7t, h=8m (an meti simZlavris) </t>
  </si>
  <si>
    <t xml:space="preserve">qseluri sacirkulacio tumbo d=80mm, q=15t, h=16m (an meti simZlavris) </t>
  </si>
  <si>
    <r>
      <t xml:space="preserve">qseluri sacirkulacio tumbo d=50mm, q=5t, </t>
    </r>
    <r>
      <rPr>
        <sz val="10"/>
        <rFont val="Arial"/>
        <family val="2"/>
      </rPr>
      <t>h</t>
    </r>
    <r>
      <rPr>
        <sz val="10"/>
        <rFont val="AcadNusx"/>
        <family val="0"/>
      </rPr>
      <t xml:space="preserve">=14m (an meti simZlavris) </t>
    </r>
  </si>
  <si>
    <t xml:space="preserve">qseluri sacirkulacio tumbo d=50mm, q=6t, h=8m (an meti simZlavris) </t>
  </si>
  <si>
    <t xml:space="preserve">membranuli safarToebeli avzi V=300l </t>
  </si>
  <si>
    <t>gadasvla liTonidan plastmasze 65/50mm</t>
  </si>
  <si>
    <t>qvabis damcavi kvanZi 6 bariani sarqveliT haergamSvebiT da TermometriT</t>
  </si>
  <si>
    <t>urduli milyel-miltuCiT da sainstalacio qanCebiT d=63mm</t>
  </si>
  <si>
    <t>urduli milyel-miltuCiT da sainstalacio qanCebiT d=75mm</t>
  </si>
  <si>
    <t>urduli milyel-miltuCiT da sainstalacio qanCebiT d=90mm</t>
  </si>
  <si>
    <t>milebis izolacia folgoizoliani mineraluri bambiT (12m2)</t>
  </si>
  <si>
    <t>d=100mm foladis milis mowyoba antikoroziuli ormagi SeRebviT</t>
  </si>
  <si>
    <t>d=133mm foladis milis mowyoba antikoroziuli ormagi SeRebviT</t>
  </si>
  <si>
    <t>moculobiTi Tbomcvleli V=800l 60kvt/sT</t>
  </si>
  <si>
    <t xml:space="preserve">saxarjTaRricxvo Rirebuleba aT.lari </t>
  </si>
  <si>
    <t>saerTo saxarjTaR. Rirebuleba aT.lari</t>
  </si>
  <si>
    <t>maT Soris:</t>
  </si>
  <si>
    <t>samontaJo samuSaoeb.</t>
  </si>
  <si>
    <t>mowyobiloba aveji,inven</t>
  </si>
  <si>
    <t xml:space="preserve">sxvadasxva samuSaoeb. </t>
  </si>
  <si>
    <t xml:space="preserve">zednadebi xarjebi samontaJo samuSaoebze xelfasidan - </t>
  </si>
  <si>
    <t>mogeba -</t>
  </si>
  <si>
    <t>.xarjT..#1</t>
  </si>
  <si>
    <t>kompleqsis wyalmomarageba</t>
  </si>
  <si>
    <t xml:space="preserve">samontaJoMMsamuSaoebi </t>
  </si>
  <si>
    <t>Casatanebeli detalebis mowyoba woniT 20kg-ze meti</t>
  </si>
  <si>
    <r>
      <t xml:space="preserve">monoliTuri rk/betonis kolonebis mowyoba </t>
    </r>
    <r>
      <rPr>
        <sz val="10"/>
        <rFont val="Arial"/>
        <family val="2"/>
      </rPr>
      <t>B25</t>
    </r>
    <r>
      <rPr>
        <sz val="10"/>
        <rFont val="AcadNusx"/>
        <family val="0"/>
      </rPr>
      <t xml:space="preserve">  betonisagan </t>
    </r>
  </si>
  <si>
    <t>RorRis safuZvelis mowyoba</t>
  </si>
  <si>
    <t>gare kibe #4</t>
  </si>
  <si>
    <r>
      <t xml:space="preserve">monoliTuri rk/betonis saZirkvlis filis mowyoba </t>
    </r>
    <r>
      <rPr>
        <sz val="10"/>
        <rFont val="Arial"/>
        <family val="2"/>
      </rPr>
      <t>B25</t>
    </r>
    <r>
      <rPr>
        <sz val="10"/>
        <rFont val="AcadNusx"/>
        <family val="0"/>
      </rPr>
      <t xml:space="preserve"> betonisagan smf-1</t>
    </r>
  </si>
  <si>
    <t>Casatanebeli detalebis mowyoba woniT 20kg-mde</t>
  </si>
  <si>
    <t xml:space="preserve">fasadis liTonis elementebis SefuTva betopanis filebiT sisqiT 15mm </t>
  </si>
  <si>
    <t>miwiT Sevseba</t>
  </si>
  <si>
    <t>kibe #3</t>
  </si>
  <si>
    <t>kibe #5 da #6</t>
  </si>
  <si>
    <t>kibe #7 da #8</t>
  </si>
  <si>
    <t>ankerebis blokis mowyoba ab-1</t>
  </si>
  <si>
    <t>liTonis dgarebis montaJi da Rirebuleba ld-1, ld-2</t>
  </si>
  <si>
    <t>liTonis koWebis montaJi da Rirebuleba lk-1--lk-7</t>
  </si>
  <si>
    <t>liTonis parapetis montaJi da Rirebuleba lp-1, lp-2</t>
  </si>
  <si>
    <t>liTonis samontaJo kuTxovanas montaJi da Rirebuleba lsk-1</t>
  </si>
  <si>
    <t>liTonis konstruqciebis SeRebva  saRebaviT orjer</t>
  </si>
  <si>
    <r>
      <t xml:space="preserve">monoliTuri rk/betonis Tanaormos filis Tmf-1 mowyoba </t>
    </r>
    <r>
      <rPr>
        <sz val="10"/>
        <rFont val="Arial"/>
        <family val="2"/>
      </rPr>
      <t>B25</t>
    </r>
    <r>
      <rPr>
        <sz val="10"/>
        <rFont val="AcadNusx"/>
        <family val="0"/>
      </rPr>
      <t xml:space="preserve"> betonisagan (liftis Saxta)</t>
    </r>
  </si>
  <si>
    <t>RorRis momzadebis mowyoba saqvabis filis qveS sisqiT 2m</t>
  </si>
  <si>
    <t xml:space="preserve">sakvamle milis Saxtis liTonis karkasis montaJi da Rirebuleba </t>
  </si>
  <si>
    <t>sakvamle milis Saxtis liTonis karkasis dafarva antikoroziuli saRebaviT orjer</t>
  </si>
  <si>
    <t>sakvamle milis Saxta</t>
  </si>
  <si>
    <t>tipi-04 rbili saxuravi</t>
  </si>
  <si>
    <t>tipi-05 sportdarbazis saxuravi</t>
  </si>
  <si>
    <t>liTonis konstruqciebis dafarva antikoroziuli saRebaviT orjer</t>
  </si>
  <si>
    <r>
      <t xml:space="preserve">monoliTuri rk/betonis zRudarebis mowyoba mowyoba </t>
    </r>
    <r>
      <rPr>
        <sz val="10"/>
        <rFont val="Arial"/>
        <family val="2"/>
      </rPr>
      <t>B25</t>
    </r>
    <r>
      <rPr>
        <sz val="10"/>
        <rFont val="AcadNusx"/>
        <family val="0"/>
      </rPr>
      <t xml:space="preserve"> betonisagan</t>
    </r>
  </si>
  <si>
    <t>orTqlizolacia erTi fena celofanis firiT</t>
  </si>
  <si>
    <t>pemzobetonis moWimvis mowyoba sisqiT 120mm</t>
  </si>
  <si>
    <t>saxuravis dafarva 2 fena hidroizoliT biTumis mastikaze</t>
  </si>
  <si>
    <t>gruntis datkepna RorRiT</t>
  </si>
  <si>
    <t>RorRis safuZvelis mowyoba sisqiT 10sm</t>
  </si>
  <si>
    <t>keramikuli filebis mowyoba webo-cementze</t>
  </si>
  <si>
    <t>pemzobetonis moWimvis mowyoba sisqiT 65mm</t>
  </si>
  <si>
    <t>cementis moWimvis mowyoba sisqiT 30mm</t>
  </si>
  <si>
    <t>TviTsworebadi xsnariT moWimva, sisqiT 3sm</t>
  </si>
  <si>
    <t xml:space="preserve">wyalsawreti milebis mowyoba </t>
  </si>
  <si>
    <t>wyalmimRebi Zabrebis mowyoba</t>
  </si>
  <si>
    <t>wyalmimRebi muxlebis mowyoba</t>
  </si>
  <si>
    <t>wvrilmarcvlovani asfaltobetonis safaris mowyoba sisqiT 3sm</t>
  </si>
  <si>
    <t>qveda fenis mowyoba msxvilmarcvlovani asfaltobetoniT sisqiT 5sm</t>
  </si>
  <si>
    <t>RorRis fuZis mowyoba sisqiT 15sm</t>
  </si>
  <si>
    <t xml:space="preserve">kibis baqnebis mopirkeTeba keramikuli filebiT </t>
  </si>
  <si>
    <t>kibis safexurebis da qvesafexurebis mopirkeTeba keramikuli filebiT</t>
  </si>
  <si>
    <t>aguris kedlebis mowyoba sisqiT 0,4m</t>
  </si>
  <si>
    <t>aguris kedlebis mowyoba sisqiT 0,25m</t>
  </si>
  <si>
    <t>aguris tixrebis mowyoba</t>
  </si>
  <si>
    <t>liTonis pwkalas dafarva antikoroziuli saRebaviT orjer</t>
  </si>
  <si>
    <t>liTonis Canebis montaJi da Rirebuleba lka-1, lka-2</t>
  </si>
  <si>
    <t xml:space="preserve">liTonis saxeluris mowyoba </t>
  </si>
  <si>
    <t>liTonis saxelurebis da liTonis gisosebis SeRebva  saRebaviT orjer</t>
  </si>
  <si>
    <t>kibis liTonis moajiris mowyoba marSebs Soris</t>
  </si>
  <si>
    <t>safexurebis daboloebis mowyoba aluminis kuTxovanebiT 50X50X5mm -proeqtis mixedviT</t>
  </si>
  <si>
    <t>Weris damuSaveba fiTxiT da SeRebva wyalemulsiuri saRebaviT</t>
  </si>
  <si>
    <t>fasadis kedlebis Selesva cementis xsnariT ferdoebis gaTvaliswinebiT</t>
  </si>
  <si>
    <t>Selesili fasadis kedlebis daSxefva dekoratiuli cementiT ferdoebis gaTvaliswinebiT</t>
  </si>
  <si>
    <t>daSxefili fasadis kedlebis SeRebva orjer proeqtis mixedviT ferdoebis gaTvaliswinebiT</t>
  </si>
  <si>
    <t>karkasis mowyoba mopirkeTebisaTvis</t>
  </si>
  <si>
    <t>kedlebis Selesva cementis xsnariT ferdoebis gaTvaliswinebiT</t>
  </si>
  <si>
    <t>kedlebis gaumjobisebuli Selesva gajiT ferdoebis gaTvaliswinebiT</t>
  </si>
  <si>
    <t>TabaSirmuyaos tixrebis mowyoba ormagi sakedle filebiT (kompleqti) izolaciiT (folgiani minabambis fila sisqiT 75mm)</t>
  </si>
  <si>
    <t>parapetis dafarva moTuTiebuli TunuqiT sisqiT 0,55mm</t>
  </si>
  <si>
    <t>aluminis cxauris mowyoba (cx-8)</t>
  </si>
  <si>
    <t>WiSkaris da Robis mowyoba liTonis milkvadratebisagan</t>
  </si>
  <si>
    <t>liTonis luqis SeRebva zeTovani saRebaviT orjer</t>
  </si>
  <si>
    <t>liTonis cxaurebis SeRebva zeTovani saRebaviT orjer</t>
  </si>
  <si>
    <t>Txevadi sapnis  dispenseri</t>
  </si>
  <si>
    <t>tualetis QqaRaldis dispenseri</t>
  </si>
  <si>
    <t>qaRaldis pirsaxocis dispenseri</t>
  </si>
  <si>
    <r>
      <t xml:space="preserve">satelevizio kabeli </t>
    </r>
    <r>
      <rPr>
        <sz val="10"/>
        <rFont val="Arial"/>
        <family val="2"/>
      </rPr>
      <t xml:space="preserve"> Rg11, Rg6</t>
    </r>
  </si>
  <si>
    <t>sankvanZis aqsesuarebis mowyoba:</t>
  </si>
  <si>
    <t>%</t>
  </si>
  <si>
    <t>zednadebi xarjebi</t>
  </si>
  <si>
    <t>moculoba</t>
  </si>
  <si>
    <t xml:space="preserve">mogeba - </t>
  </si>
  <si>
    <t xml:space="preserve">zednadebi xarjebi  - </t>
  </si>
  <si>
    <t>zednadebi xarjebi  -  xelfasidan</t>
  </si>
  <si>
    <t>zednadebi xarjebi  - xelfasidan</t>
  </si>
  <si>
    <t xml:space="preserve">zednadebi xarjebi - </t>
  </si>
  <si>
    <t>kabelis gatareba gofrirebul milebSi da sayrden boZebSi:</t>
  </si>
  <si>
    <t>safuZveli: proeqti</t>
  </si>
  <si>
    <t>danaxarjebi droebiT Senoba _ nagebobebze (samSeneblo da samontaJo samuSaoebidan)</t>
  </si>
  <si>
    <t>danaxarjebi zamTris pirobebSi muSaobisas                                     (samSeneblo da samontaJo samuSaoebidan)</t>
  </si>
  <si>
    <t xml:space="preserve">rezervi gauTvaliswinebel samuSaoebze </t>
  </si>
  <si>
    <t>cokolis mopirkeTeba bunebrivi traventinis filebiT cementis xsnarze sisqiT 20mm</t>
  </si>
  <si>
    <t>fasadis kedlebis Selesva cementis xsnariT ferdoebis gaTvaliswinebiT (ventilirebadi panelebis qveS)</t>
  </si>
  <si>
    <t>saxanZro karada 850X700X250 (proeqtis mixedviT) saxanZro onkaniT d=50mm ,Slangebi onkanebTan s=25m</t>
  </si>
  <si>
    <t>xvrelebis mowyoba d=18mm</t>
  </si>
  <si>
    <t>Casatanebeli detalebis mowyoba</t>
  </si>
  <si>
    <t xml:space="preserve">saaankero WanWikebis dayeneba </t>
  </si>
  <si>
    <t xml:space="preserve">კედლებში, მეტალის  მილკვადრატის 60*60*3 მმ
საწვიმარი  ქოლგის კარკასის მოწყობა </t>
  </si>
  <si>
    <t>liTonis konstruqciebis dafarva antikoroziuli saRebaviT</t>
  </si>
  <si>
    <t xml:space="preserve">ტრიpლექსის (laminirebuli) gamWvirvale მინისაგან 16  მმ  სისქით   საწვიმარი  ქოლგის  დახურვა 
</t>
  </si>
  <si>
    <t>II kategoriis gruntis damuSaveba eqskavatoriT avtomanqanebze datvirTviT</t>
  </si>
  <si>
    <t xml:space="preserve">gruntis gatana 5km-ze </t>
  </si>
  <si>
    <t>II kategoriis gruntis damuSaveba eqskavatoriT nayarSi datovebiT</t>
  </si>
  <si>
    <t>I kategoriis gruntis damuSaveba eqskavatoriT nayarSi datovebiT</t>
  </si>
  <si>
    <t>I kategoriis gruntis meqanizirebuli damuSaveba (qvabulis Ziris mosworeba meqanizmiT)</t>
  </si>
  <si>
    <t>I kategoriis miwis damuSaveba xeliT (qvabulis Ziris mosworeba xeliT)</t>
  </si>
  <si>
    <t>I kategoriis gruntis ukuCayra xeliT</t>
  </si>
  <si>
    <t>I kategoriis gruntis ukuCayra buldozeriT</t>
  </si>
  <si>
    <t xml:space="preserve">RorRis safuZvlis mowyoba sisqiT 20sm </t>
  </si>
  <si>
    <t>kedlebis hidroizolacia  ori fena hidroizoliT</t>
  </si>
  <si>
    <t xml:space="preserve">sankvanZebSi fundermaqsis sisq.12mm tixrebis mowyoba (karkasiT) </t>
  </si>
  <si>
    <t>orTqlizolacia erTi fena celofnis firiT</t>
  </si>
  <si>
    <t>parapetis kedelze 2 fena linokromis gakvra biTumis mastikaze</t>
  </si>
  <si>
    <t>liTonis koWebis lk-1,lk-2,lk-3 mowyoba +16.300 niSnulze</t>
  </si>
  <si>
    <t>liTonis zedasadebis lz-1 mowyoba +16.300 niSnulze</t>
  </si>
  <si>
    <t>plintusis mowyoba keramikuli filebiT webo-cementze h=100mm</t>
  </si>
  <si>
    <t xml:space="preserve">liTonis pwkalas montaJi da Rirebuleba sxvenSi asasvleli (2 cali) </t>
  </si>
  <si>
    <t xml:space="preserve">liTonis luqis l-1 montaJi da Rirebuleba </t>
  </si>
  <si>
    <t>safexurebis da baqnebis montaJi da Rirebuleba lf-1-:--lf-6</t>
  </si>
  <si>
    <t xml:space="preserve">fasaduri izoaluminis vitraJis montaJi da Rirebuleba (nawrTobi miniT, samkameriani) </t>
  </si>
  <si>
    <t xml:space="preserve">Sida izoaluminis vitraJis montaJi da Rirebuleba (nawrTobi miniT, samkameriani) </t>
  </si>
  <si>
    <t>izoaluminis fanjris montaJi da Rirebuleba (nawrTobi miniT, samkameriani)</t>
  </si>
  <si>
    <t>liTonis cxaurebis montaJi da Rirebuleba cx-1,2,3,5,6,7</t>
  </si>
  <si>
    <r>
      <t xml:space="preserve">keramikuli filebi -2,9 niSnulze </t>
    </r>
    <r>
      <rPr>
        <b/>
        <sz val="11"/>
        <rFont val="Arial"/>
        <family val="2"/>
      </rPr>
      <t>S</t>
    </r>
    <r>
      <rPr>
        <b/>
        <sz val="11"/>
        <rFont val="AcadNusx"/>
        <family val="0"/>
      </rPr>
      <t>=</t>
    </r>
    <r>
      <rPr>
        <b/>
        <sz val="11"/>
        <color indexed="8"/>
        <rFont val="AcadNusx"/>
        <family val="0"/>
      </rPr>
      <t>1609</t>
    </r>
    <r>
      <rPr>
        <b/>
        <sz val="11"/>
        <rFont val="AcadNusx"/>
        <family val="0"/>
      </rPr>
      <t xml:space="preserve"> m2 (tipi-01)</t>
    </r>
  </si>
  <si>
    <t>betonis safuZvelis mowyoba m150 betonisagan sisqiT 150mm</t>
  </si>
  <si>
    <t xml:space="preserve">erTi fena hidroizolis mowyoba </t>
  </si>
  <si>
    <r>
      <t xml:space="preserve">keramikuli filebi </t>
    </r>
    <r>
      <rPr>
        <b/>
        <sz val="11"/>
        <rFont val="Arial"/>
        <family val="2"/>
      </rPr>
      <t>S</t>
    </r>
    <r>
      <rPr>
        <b/>
        <sz val="11"/>
        <rFont val="AcadNusx"/>
        <family val="0"/>
      </rPr>
      <t>=</t>
    </r>
    <r>
      <rPr>
        <b/>
        <sz val="11"/>
        <color indexed="8"/>
        <rFont val="AcadNusx"/>
        <family val="0"/>
      </rPr>
      <t>260</t>
    </r>
    <r>
      <rPr>
        <b/>
        <sz val="11"/>
        <rFont val="AcadNusx"/>
        <family val="0"/>
      </rPr>
      <t>m2 (tipi-02)</t>
    </r>
  </si>
  <si>
    <r>
      <t xml:space="preserve">vinilis iataki </t>
    </r>
    <r>
      <rPr>
        <b/>
        <sz val="11"/>
        <rFont val="Arial"/>
        <family val="2"/>
      </rPr>
      <t>S</t>
    </r>
    <r>
      <rPr>
        <b/>
        <sz val="11"/>
        <rFont val="AcadNusx"/>
        <family val="0"/>
      </rPr>
      <t>=</t>
    </r>
    <r>
      <rPr>
        <b/>
        <sz val="11"/>
        <color indexed="8"/>
        <rFont val="AcadNusx"/>
        <family val="0"/>
      </rPr>
      <t>4800</t>
    </r>
    <r>
      <rPr>
        <b/>
        <sz val="11"/>
        <rFont val="AcadNusx"/>
        <family val="0"/>
      </rPr>
      <t xml:space="preserve"> m2      (tipi-03)</t>
    </r>
  </si>
  <si>
    <t>8. Sida mopirkeTeba</t>
  </si>
  <si>
    <t>Sekiduli EWeris mowyoba TabaSir-muyaoTi, Cveulebrivi (aluminis profilze )</t>
  </si>
  <si>
    <t>Sekiduli Weris mowyoba TabaSir-muyaoTi, nestgamZle (aluminis profilze )</t>
  </si>
  <si>
    <t>karnizis mowyoba bunebrivi traventinis filebiT  20X10sm- 290 grZ.m 100mm</t>
  </si>
  <si>
    <t>fasadis kedlebisa da ferdoebis mopirkeTeba ventilirebadi panelebiT (karkasiT) kompania fundermaqsi an analogi</t>
  </si>
  <si>
    <t>moTuTiebuli Tunuqis sacremleebis mowyoba fanjrebze - (366 grZ.m)</t>
  </si>
  <si>
    <t xml:space="preserve">monoliTuri rk/betonis kedlebis mk-1 mowyoba m300 betonisagan simaRliT 3m-mde sisqiT 300mm-mde </t>
  </si>
  <si>
    <t>winafris liTonis konstruqciebis montaJi da Rirebuleba</t>
  </si>
  <si>
    <t>winafris liTonis konstruqciebis SeRebva</t>
  </si>
  <si>
    <t>baqnebze bazaltis filis sisq.20mm mowyoba cementis xsnarze</t>
  </si>
  <si>
    <t>kibis safexurebis da qvesafexurebis mopirkeTeba bazaltis filebiT:</t>
  </si>
  <si>
    <t>bazaltis filebi sisqiT 20mm</t>
  </si>
  <si>
    <t>bazaltis filebi sisqiT 40mm</t>
  </si>
  <si>
    <t>baqani, pandusi da kibe #1</t>
  </si>
  <si>
    <t>kibis safexurebis, baqnis da pandusis zedapiris mopirkeTeba travertinis filebiT cementis xsnarze sisqiT 30mm</t>
  </si>
  <si>
    <t>kibis qvesafexurebis da pandusis bordiurebis mopirkeTeba travertinis filebiT sisq.20mm</t>
  </si>
  <si>
    <t xml:space="preserve">moajiris mowyoba uJangavi liTonisagan </t>
  </si>
  <si>
    <t>aluminis gadamyvani profili</t>
  </si>
  <si>
    <t>sakvamle mili moTuTiebuli foladisagan d=400mm</t>
  </si>
  <si>
    <t>sakvamle mili moTuTiebuli foladisagan d=250mm</t>
  </si>
  <si>
    <t>sakvamuris qudis mowyoba moTuTiebuli Tunuqisagan d=300mm</t>
  </si>
  <si>
    <t>sakvamle milis Tburi izolacia qvabambiT sisqiT 50mm</t>
  </si>
  <si>
    <t>Tboizolirebuli milis garsacmi foladis moTuTiebuli furclisgan sisqiT 0,5mm</t>
  </si>
  <si>
    <t xml:space="preserve">winafris mowyoba tripleqsis miniT </t>
  </si>
  <si>
    <t>sadroSe</t>
  </si>
  <si>
    <t>miwis damuSaveba xeliT</t>
  </si>
  <si>
    <t>gruntis datvirTva a/m xeliT</t>
  </si>
  <si>
    <t xml:space="preserve">gruntis gatana 5 km-mde </t>
  </si>
  <si>
    <t>sadroSes liTonis konstruqciebis montaJi da Rirebuleba</t>
  </si>
  <si>
    <t>sadroSes liTonis konstruqciebis SeRebva</t>
  </si>
  <si>
    <t>ventili d=32mm</t>
  </si>
  <si>
    <t>samkapi d=20/20mm</t>
  </si>
  <si>
    <t>samkapi d=20/25mm</t>
  </si>
  <si>
    <t>samkapi d=32/40mm</t>
  </si>
  <si>
    <t>samkapi d=25/40mm</t>
  </si>
  <si>
    <t>samkapi d=40/50mm</t>
  </si>
  <si>
    <t>samkapi d=110/75mm</t>
  </si>
  <si>
    <t>kanalizaciis poliprofilenis mili d=50mm</t>
  </si>
  <si>
    <t>kanalizaciis poliprofilenis mili  d=100mm</t>
  </si>
  <si>
    <t>gawovis sistema (samzareulo)</t>
  </si>
  <si>
    <t>SefuTva qvabambiT 110m2</t>
  </si>
  <si>
    <t>samzareulos qolga uJangavi metalis cximdamWeri badiT da cximis drenaJiT 6000m3/sT 1600X900mm</t>
  </si>
  <si>
    <t>saventilacio cxauri 200X300 (cocxali kveTi 80%)</t>
  </si>
  <si>
    <t>gawovis sistema (sasadilo)</t>
  </si>
  <si>
    <t>sapirfareSos gamwovi sistemebi</t>
  </si>
  <si>
    <t>sapirfareSos gamwovi ventilatori sapirispiro sarqveliT da cxauriT d=100mm 60m3/sT 0,3kv/sT</t>
  </si>
  <si>
    <t>sapirfareSos gamwovi ventilatori sapirispiro sarqveliT da cxauriT d=150mm 120m3/sT 0,45 kv/sT</t>
  </si>
  <si>
    <t>sapirfareSos gamwovi ventilatori sapirispiro sarqveliT da cxauriT d=150mm 180m3/sT 0,45 kv/sT</t>
  </si>
  <si>
    <t>sapirfareSos gamwovi ventilatori sapirispiro sarqveliT da cxauriT d=200mm 240m3/sT 0,6 kv/sT</t>
  </si>
  <si>
    <t>haersatari moTuTiebuli furclovani foladisagan sisqe 0,5mm</t>
  </si>
  <si>
    <t>kanalizaciis pvc mili  d=100mm</t>
  </si>
  <si>
    <t>gadamdeni cxaura karSi 300X200</t>
  </si>
  <si>
    <t>gadamdeni cxaura karSi 400X200</t>
  </si>
  <si>
    <t>gadamdeni cxaura karSi 500X200</t>
  </si>
  <si>
    <t>mrgvali dabalxmauriani ventilatori 500m3/sT 120pa 1/230v</t>
  </si>
  <si>
    <t>cxauri 300X150 haermaregulirebeli meqanikuri damperiT</t>
  </si>
  <si>
    <t>wyalze momuSave gamaTbobeli kaloriferi sigrZiT 61kv wnevis danakargi maqs.120pa</t>
  </si>
  <si>
    <t>modineba - gawovis sistema  (informatikis kabineti samkiTxvelo oTaxi da direqtoris moadgilis kabineti)</t>
  </si>
  <si>
    <t>rekupiratoriani modinebis da gawovis danadgari eleqtro teniT marTvis pultiT 800m3/sT 200pa 4kvt/sT marTva pultiT drekadi daerTebebiT 6c</t>
  </si>
  <si>
    <t>kauCukis webovani izolacia 9mm</t>
  </si>
  <si>
    <t>RerZuli ventilatori l=2000m3/sT 50pa Sida cxauriT 0,2kv 1X230v</t>
  </si>
  <si>
    <t>fasadis cxauri 400X400 gravitaciuli frTebiT</t>
  </si>
  <si>
    <t>split sistema  (sportdarbazi)</t>
  </si>
  <si>
    <t>split sistema Sida gare blokiT da marTvis paneliT 24000btu/sT (montaJis makompleqtebeli nawilebiT spilenZis milebiT damakavSirebeli kabeliT SesafuTiT da drenaJis miliT)</t>
  </si>
  <si>
    <t>split sistema Sida gare blokiT da marTvis paneliT 18000btu/sT (montaJis makompleqtebeli nawilebiT spilenZis milebiT damakavSirebeli kabeliT SesafuTiT da drenaJis miliT)</t>
  </si>
  <si>
    <t>sportdarbazis Weridan siTbos dabla damberavi ventilatori d=350 simaRle 9m 2500 m3/sT 230v 0,2kv/sT</t>
  </si>
  <si>
    <t>Werze misamagrebeli samagrebi d=63,75,90mm</t>
  </si>
  <si>
    <t>polieTilenis mili d=50mm</t>
  </si>
  <si>
    <t>polieTilenis mili d=63mm</t>
  </si>
  <si>
    <t>polieTilenis mili d=75mm</t>
  </si>
  <si>
    <t xml:space="preserve">milis antikoroziuli saRebaviT dafarva (or fenad) </t>
  </si>
  <si>
    <t>generatori 250kv simZlavris</t>
  </si>
  <si>
    <t xml:space="preserve">samzareulo-sasadilos fari 15 jgufiani, Semyvanze 3 faza avtomaturi gamomrTveliT 160a, xolo jgufebSi 3-faza avtomati 50a-ze-2c, 25a-ze-3c, 32a-ze-1c da erTfaza gamomrTveliT 25a-ze-1c, 16a-ze-2c, 10a-5c </t>
  </si>
  <si>
    <r>
      <t xml:space="preserve">ganaTebis fari #1 fari 8 jgufiani, Semyvanze 3 faza avtomaturi gamomrTveliT 25a, xolo jgufebSi erTfaza gamomrTveliT 10a-ze-6c, 16a-ze-2c                </t>
    </r>
  </si>
  <si>
    <t xml:space="preserve">ganaTebis fari #2 12 jgufiani, Semyvanze 3faza avtomaturi gamomrTveliT 40a, xolo jgufebSi erTfaza gamomrTveliT 10a-ze-11c, 16a-ze-1c                                                </t>
  </si>
  <si>
    <t xml:space="preserve">ganaTebis fari #3 20-jgufiani, Semyvanze 3-faza avtomaturi gamomrTveliT 50a, xolo jgufebSi erTfaza gamomrTveliT 10a-ze-14c, 16a-ze-6c                                                </t>
  </si>
  <si>
    <t xml:space="preserve">ganaTebis fari #4 12-jgufiani, Semyvanze 3-faza avtomaturi gamomrTveliT 50a, xolo jgufebSi erTfaza gamomrTveliT 32a-ze-3c, 20a-ze-1c, 16a-ze-3c, 10a-ze-5c                                                </t>
  </si>
  <si>
    <r>
      <t xml:space="preserve">ganaTebis fari #5 12-jgufiani, Semyvanze 3-faza avtomaturi gamomrTveliT 32a,xolo jgufebSi erTfaza gamomrTveliT 10a-ze-5c, 16a-3c, 20a-1c, 32a-3c                                                </t>
    </r>
  </si>
  <si>
    <t xml:space="preserve">sardafis fari 6 jgufiani, Semyvanze 3-faza avtomaturi gamomrTveliT 16a, xolo jgufebSi erTfaza gamomrTveliT 10a-ze-6c                                                </t>
  </si>
  <si>
    <t xml:space="preserve">ventilaciis fari 3-jgufiani, Semyvanze 3faza avtomaturi gamomrTveliT 16a, xolo jgufebSi samfaza gamomrTveliT 16a-ze-4c, erTfaza gamomrTveliT  10a-ze-3c,                  </t>
  </si>
  <si>
    <t>saStefselo rozeti  mesame damamiwebeli kontaqtiT 220v orbudiani</t>
  </si>
  <si>
    <t>gamanawilebeli kolofi</t>
  </si>
  <si>
    <t xml:space="preserve">spilenZis ZarRviani kabelebi nalesis qveS :  </t>
  </si>
  <si>
    <t>spilenZis kabeli kveTiT 5X2,5mm3</t>
  </si>
  <si>
    <t>spilenZis ormagizoliaciani kabelis gatareba milebSi, kveTiT 5X4, 5X6, 5X10, 5X35mm2:</t>
  </si>
  <si>
    <t>kabeli spilenZis ZarRviT kveTiT 5X35mm2</t>
  </si>
  <si>
    <t>kuTxovana 50X50X5mm - sul 22.5 m</t>
  </si>
  <si>
    <t xml:space="preserve">sakanalizacio sistema </t>
  </si>
  <si>
    <t>sakabelo arxi (arxdamWeri 1000c, Jguti-20c, skobi-20c):</t>
  </si>
  <si>
    <t>sakabelo arxi</t>
  </si>
  <si>
    <t>Txrilis gaTxra xeliT erTi kabelisaTvis</t>
  </si>
  <si>
    <t>qviSis safuZveli  momzadeba TxrilSi erTi kabelisaTvis</t>
  </si>
  <si>
    <t>kabelis kabeli, kveTiT 3X120+1X95mm2 Cadeba TxrilSi</t>
  </si>
  <si>
    <t>kabelis damcav-sasignalo lenta</t>
  </si>
  <si>
    <t>zednadebi xarjebi   xelfasidan</t>
  </si>
  <si>
    <t>maT Soris:samSeneblo samuSaoebi</t>
  </si>
  <si>
    <t>gruntis gatana 5 km-ze</t>
  </si>
  <si>
    <t>urduli d=100mm WaSi</t>
  </si>
  <si>
    <t>wyalmzomis  Wa Tujis TavsaxuriT</t>
  </si>
  <si>
    <t>arsebul wyalsadenis qselSi SeWra d=90mm</t>
  </si>
  <si>
    <r>
      <t xml:space="preserve">wyalsadenis rk/betonis anakrebi wriuli Wis mowyoba  </t>
    </r>
    <r>
      <rPr>
        <sz val="10"/>
        <rFont val="Arial"/>
        <family val="2"/>
      </rPr>
      <t>D</t>
    </r>
    <r>
      <rPr>
        <sz val="10"/>
        <rFont val="AcadNusx"/>
        <family val="0"/>
      </rPr>
      <t>=1m, Tujis TavsaxuriT (1c)</t>
    </r>
  </si>
  <si>
    <t xml:space="preserve">gruntis gatana 5 km-ze </t>
  </si>
  <si>
    <t>kanalizaciis polipropilenis mili  d=150mm</t>
  </si>
  <si>
    <t>anakrebi rk/betonis kanalizaciis Wa d=1,0m  Tujis TavsaxuriT  (4c)</t>
  </si>
  <si>
    <t>plastmasis poliprofilenis kanalizaciis mili d=200mm</t>
  </si>
  <si>
    <t>anakrebi rk/betonis saniaRvre Wa d=1000 mm wyalmimRebi Tujis cxauriT (11cali)</t>
  </si>
  <si>
    <t xml:space="preserve">II kategoriis gruntis damuSaveba eqskavatoriT avtomanqanebze datvirTviT </t>
  </si>
  <si>
    <t>gruntis gatana 5km-მdე</t>
  </si>
  <si>
    <t>gruntis gatana 1km-mde monoliTuri rk/betonis sayrdeni kedlebisTvis</t>
  </si>
  <si>
    <t>sarinelebis da trotuarebis mowyoba</t>
  </si>
  <si>
    <t>RorRis fuZis mowyoba sisqiT 10sm</t>
  </si>
  <si>
    <t>betonis bordiurebis mowyoba zomiT 15X30sm fuZiT m200 betoniT</t>
  </si>
  <si>
    <t>Cveulebrivi gazonis mosawyobad miwis momzadeba meqanizmiT, fxvieri miwis SetaniT sisqiT 15sm</t>
  </si>
  <si>
    <t>gruntis damuSaveba eqskavatoriT nayarSi datovebiT</t>
  </si>
  <si>
    <t xml:space="preserve">miwis damuSaveba xeliT </t>
  </si>
  <si>
    <t>gruntis ukuCayra buldozeriT</t>
  </si>
  <si>
    <t xml:space="preserve">RorRis safuZvlis mowyoba sisqiT 10sm </t>
  </si>
  <si>
    <t>baqnebze bazaltis filebis mowyoba cementis xsnarze sisqiT 20mm</t>
  </si>
  <si>
    <t>gruntis damuSaveba xeliT</t>
  </si>
  <si>
    <t>liTonis sayrdeni boZis montaJi:</t>
  </si>
  <si>
    <t>liTonis sayrdeni 3.5m-4m simaRlis erTfrTiani</t>
  </si>
  <si>
    <t>liTonis sayrdeni 9m simaRlis erTfrTiani</t>
  </si>
  <si>
    <t>gofrirebuli milis Cawyoba TxrilSi d=25mm</t>
  </si>
  <si>
    <t>kronSteini sanaTis dasamagreblad</t>
  </si>
  <si>
    <t>luminescenturi sanaTi simZlavriT 250vt</t>
  </si>
  <si>
    <t>sanaTi "Sari"-s tipis simZ.70vt</t>
  </si>
  <si>
    <t>fotorele 220v Zabvaze</t>
  </si>
  <si>
    <r>
      <t xml:space="preserve">spilenZis ormagizolaciani kabeli kveTiT: </t>
    </r>
    <r>
      <rPr>
        <b/>
        <sz val="10"/>
        <rFont val="AcadNusx"/>
        <family val="0"/>
      </rPr>
      <t>3X2.5kv.mm</t>
    </r>
    <r>
      <rPr>
        <sz val="10"/>
        <rFont val="AcadNusx"/>
        <family val="0"/>
      </rPr>
      <t xml:space="preserve"> /cokolis faridan sanaTamde/</t>
    </r>
  </si>
  <si>
    <r>
      <t xml:space="preserve">aluminis ormagizolaciani kabeli kveTiT </t>
    </r>
    <r>
      <rPr>
        <b/>
        <sz val="10"/>
        <rFont val="AcadNusx"/>
        <family val="0"/>
      </rPr>
      <t>5X6kv.mm</t>
    </r>
  </si>
  <si>
    <t>kuTxovana 50X50X5mm (400m)</t>
  </si>
  <si>
    <t>kaspis #1 sajaro skola</t>
  </si>
  <si>
    <t>arsebuli aguris Senobebis dangreva</t>
  </si>
  <si>
    <t>betonis saZirkvlebis mongreva</t>
  </si>
  <si>
    <t>samSeneblo da arsebuli nagvis datvirTva a/manqanebze meqanizmiT</t>
  </si>
  <si>
    <t>samSeneblo nagvis gatana</t>
  </si>
  <si>
    <t>muSaoba nayarSi</t>
  </si>
  <si>
    <t>1. arsebuli Senobebis dangreva</t>
  </si>
  <si>
    <t xml:space="preserve">jami 1 </t>
  </si>
  <si>
    <t xml:space="preserve">2.1 samSeneblo samuSaoebi </t>
  </si>
  <si>
    <t>jami 2.1</t>
  </si>
  <si>
    <t xml:space="preserve">2.2 Siga wyalsadeni </t>
  </si>
  <si>
    <t>jami 2.2</t>
  </si>
  <si>
    <t xml:space="preserve">2.3 Sida kanalizacia </t>
  </si>
  <si>
    <t>jami 2.3</t>
  </si>
  <si>
    <t>2.4 ventilacia-kondicireba</t>
  </si>
  <si>
    <t>jami 2.4</t>
  </si>
  <si>
    <t xml:space="preserve">2.5  gaTboba </t>
  </si>
  <si>
    <t>jami 2.5</t>
  </si>
  <si>
    <t xml:space="preserve">2.6  saqvabis mowyobiloba </t>
  </si>
  <si>
    <t>jami 2.6</t>
  </si>
  <si>
    <t>2.7  Zalovani el.mowyobiloba da el.ganaTeba</t>
  </si>
  <si>
    <t>jami 2.7</t>
  </si>
  <si>
    <t>2.8  satelefono,  kompiuteris qseli da saxanZro signalizacia</t>
  </si>
  <si>
    <t>jami 2.8</t>
  </si>
  <si>
    <t xml:space="preserve">2.9 samgzavro liftebi unarSezRudulTaTvis tvirTamweobiT 630kg  3 gaCerebaze </t>
  </si>
  <si>
    <t xml:space="preserve">jami 2.9 </t>
  </si>
  <si>
    <t>3. dabali Zabvis sakabelo qseli</t>
  </si>
  <si>
    <t>4. gare wyalsadeni</t>
  </si>
  <si>
    <t>5. gare kanalizacia</t>
  </si>
  <si>
    <t>6. saniaRvre kanalizacia</t>
  </si>
  <si>
    <t>7. vertikaluri dagegmareba</t>
  </si>
  <si>
    <t>8. teritoriis keTilmowyoba</t>
  </si>
  <si>
    <t>9. monoliTuri rk/betonis sayrdeni kedlebi</t>
  </si>
  <si>
    <t>10.  gare ganaTeba</t>
  </si>
  <si>
    <t>10.1. samSeneblo samuSaoebi</t>
  </si>
  <si>
    <t>jami 10.1</t>
  </si>
  <si>
    <t>10.2. samontaJo samuSaoebi</t>
  </si>
  <si>
    <t>jami 10.2</t>
  </si>
  <si>
    <t>11.  Robe da WiSkari</t>
  </si>
  <si>
    <t>jami 11</t>
  </si>
  <si>
    <t>jami 1+2+3+4+5+6+7+8+9+10+11</t>
  </si>
  <si>
    <t>izolacia ormagi mineraluruli bambis filebiT</t>
  </si>
  <si>
    <t>2. sajaro skolis Senoba</t>
  </si>
  <si>
    <r>
      <t xml:space="preserve">monoliTuri rk/betonis lenturi saZirkvlis mowyoba </t>
    </r>
    <r>
      <rPr>
        <sz val="10"/>
        <rFont val="Arial"/>
        <family val="2"/>
      </rPr>
      <t>B</t>
    </r>
    <r>
      <rPr>
        <sz val="10"/>
        <rFont val="AcadNusx"/>
        <family val="0"/>
      </rPr>
      <t xml:space="preserve">25 betonisagan </t>
    </r>
  </si>
  <si>
    <r>
      <t xml:space="preserve">saqvabis monoliTuri rk/betonis saZirkvlis filis mowyoba </t>
    </r>
    <r>
      <rPr>
        <sz val="10"/>
        <color indexed="8"/>
        <rFont val="Arial"/>
        <family val="2"/>
      </rPr>
      <t>B</t>
    </r>
    <r>
      <rPr>
        <sz val="10"/>
        <color indexed="8"/>
        <rFont val="AcadNusx"/>
        <family val="0"/>
      </rPr>
      <t>25 betonisagan ssf-1</t>
    </r>
  </si>
  <si>
    <r>
      <t xml:space="preserve">monoliTuri rk/betonis kedlebis mowyoba </t>
    </r>
    <r>
      <rPr>
        <sz val="10"/>
        <color indexed="8"/>
        <rFont val="Arial"/>
        <family val="2"/>
      </rPr>
      <t>B25</t>
    </r>
    <r>
      <rPr>
        <sz val="10"/>
        <color indexed="8"/>
        <rFont val="AcadNusx"/>
        <family val="0"/>
      </rPr>
      <t xml:space="preserve"> betonisagan sisqiT 0,3m</t>
    </r>
  </si>
  <si>
    <r>
      <t xml:space="preserve">monoliTuri rk/betonis kedlebis mowyoba </t>
    </r>
    <r>
      <rPr>
        <sz val="10"/>
        <color indexed="8"/>
        <rFont val="Arial"/>
        <family val="2"/>
      </rPr>
      <t>B25</t>
    </r>
    <r>
      <rPr>
        <sz val="10"/>
        <color indexed="8"/>
        <rFont val="AcadNusx"/>
        <family val="0"/>
      </rPr>
      <t xml:space="preserve"> betonisagan sisqiT 0,4m</t>
    </r>
  </si>
  <si>
    <r>
      <t xml:space="preserve">saqvabis monoliTuri rk/betonis kedlebis mowyoba </t>
    </r>
    <r>
      <rPr>
        <sz val="10"/>
        <color indexed="8"/>
        <rFont val="Arial"/>
        <family val="2"/>
      </rPr>
      <t>B25</t>
    </r>
    <r>
      <rPr>
        <sz val="10"/>
        <color indexed="8"/>
        <rFont val="AcadNusx"/>
        <family val="0"/>
      </rPr>
      <t xml:space="preserve"> betonisagan sisqiT 0,3m smkd-1 </t>
    </r>
  </si>
  <si>
    <r>
      <t xml:space="preserve">monoliTuri rk/betonis pilonebis mowyoba </t>
    </r>
    <r>
      <rPr>
        <sz val="10"/>
        <color indexed="8"/>
        <rFont val="Arial"/>
        <family val="2"/>
      </rPr>
      <t>B25</t>
    </r>
    <r>
      <rPr>
        <sz val="10"/>
        <color indexed="8"/>
        <rFont val="AcadNusx"/>
        <family val="0"/>
      </rPr>
      <t xml:space="preserve"> betonisagan </t>
    </r>
  </si>
  <si>
    <r>
      <t xml:space="preserve">monoliTuri rk/betonis koWebis mowyoba </t>
    </r>
    <r>
      <rPr>
        <sz val="10"/>
        <color indexed="8"/>
        <rFont val="Arial"/>
        <family val="2"/>
      </rPr>
      <t>B</t>
    </r>
    <r>
      <rPr>
        <sz val="10"/>
        <color indexed="8"/>
        <rFont val="AcadNusx"/>
        <family val="0"/>
      </rPr>
      <t xml:space="preserve">25 betonisagan, simaRliT 500mm-mde </t>
    </r>
  </si>
  <si>
    <r>
      <t xml:space="preserve">monoliTuri rk/betonis diafragmis mowyoba </t>
    </r>
    <r>
      <rPr>
        <sz val="10"/>
        <color indexed="8"/>
        <rFont val="Arial"/>
        <family val="2"/>
      </rPr>
      <t>B25</t>
    </r>
    <r>
      <rPr>
        <sz val="10"/>
        <color indexed="8"/>
        <rFont val="AcadNusx"/>
        <family val="0"/>
      </rPr>
      <t xml:space="preserve"> betonisagan sisqiT 0,3m</t>
    </r>
  </si>
  <si>
    <r>
      <t xml:space="preserve">monoliTuri rk/betonis diafragmis mowyoba </t>
    </r>
    <r>
      <rPr>
        <sz val="10"/>
        <color indexed="8"/>
        <rFont val="Arial"/>
        <family val="2"/>
      </rPr>
      <t>B25</t>
    </r>
    <r>
      <rPr>
        <sz val="10"/>
        <color indexed="8"/>
        <rFont val="AcadNusx"/>
        <family val="0"/>
      </rPr>
      <t xml:space="preserve"> betonisagan sisqiT 0,4m</t>
    </r>
  </si>
  <si>
    <r>
      <t xml:space="preserve">monoliTuri rk/betonis gadaxurvebis mowyoba </t>
    </r>
    <r>
      <rPr>
        <sz val="10"/>
        <color indexed="8"/>
        <rFont val="Arial"/>
        <family val="2"/>
      </rPr>
      <t>B25</t>
    </r>
    <r>
      <rPr>
        <sz val="10"/>
        <color indexed="8"/>
        <rFont val="AcadNusx"/>
        <family val="0"/>
      </rPr>
      <t xml:space="preserve"> betonisagan sisqiT 200mm-mde</t>
    </r>
  </si>
  <si>
    <r>
      <t xml:space="preserve">monoliTuri rk/betonis sartyelis mowyoba </t>
    </r>
    <r>
      <rPr>
        <sz val="10"/>
        <color indexed="8"/>
        <rFont val="Arial"/>
        <family val="2"/>
      </rPr>
      <t>B25</t>
    </r>
    <r>
      <rPr>
        <sz val="10"/>
        <color indexed="8"/>
        <rFont val="AcadNusx"/>
        <family val="0"/>
      </rPr>
      <t xml:space="preserve"> betonisagan (liftis Saxta)</t>
    </r>
  </si>
  <si>
    <r>
      <t xml:space="preserve">saqvabis monoliTuri rk/betonis svetis mowyoba </t>
    </r>
    <r>
      <rPr>
        <sz val="10"/>
        <color indexed="8"/>
        <rFont val="Arial"/>
        <family val="2"/>
      </rPr>
      <t>B25</t>
    </r>
    <r>
      <rPr>
        <sz val="10"/>
        <color indexed="8"/>
        <rFont val="AcadNusx"/>
        <family val="0"/>
      </rPr>
      <t xml:space="preserve"> betonisagan sms-1</t>
    </r>
  </si>
  <si>
    <r>
      <t xml:space="preserve">saqvabis monoliTuri rk/betonis koWebis mowyoba </t>
    </r>
    <r>
      <rPr>
        <sz val="10"/>
        <color indexed="8"/>
        <rFont val="Arial"/>
        <family val="2"/>
      </rPr>
      <t>B</t>
    </r>
    <r>
      <rPr>
        <sz val="10"/>
        <color indexed="8"/>
        <rFont val="AcadNusx"/>
        <family val="0"/>
      </rPr>
      <t>25 betonisagan, simaRliT 500mm-mde smk-1, smk-2</t>
    </r>
  </si>
  <si>
    <r>
      <t xml:space="preserve">saqvabis monoliTuri rk/betonis filis mowyoba </t>
    </r>
    <r>
      <rPr>
        <sz val="10"/>
        <color indexed="8"/>
        <rFont val="Arial"/>
        <family val="2"/>
      </rPr>
      <t>B25</t>
    </r>
    <r>
      <rPr>
        <sz val="10"/>
        <color indexed="8"/>
        <rFont val="AcadNusx"/>
        <family val="0"/>
      </rPr>
      <t xml:space="preserve"> betonisagan sisqiT 200mm-mde smf-1</t>
    </r>
  </si>
  <si>
    <r>
      <t xml:space="preserve">aguris kedlis  armireba </t>
    </r>
    <r>
      <rPr>
        <sz val="10"/>
        <rFont val="Arial"/>
        <family val="2"/>
      </rPr>
      <t>A</t>
    </r>
    <r>
      <rPr>
        <sz val="10"/>
        <rFont val="AcadNusx"/>
        <family val="0"/>
      </rPr>
      <t>-1 klasis armaturiT</t>
    </r>
  </si>
  <si>
    <r>
      <t xml:space="preserve">moTuTiebuli profilirebuli Tunuqis fenilis mowyoba </t>
    </r>
    <r>
      <rPr>
        <sz val="10"/>
        <color indexed="8"/>
        <rFont val="AcadNusx"/>
        <family val="0"/>
      </rPr>
      <t>sisqiT 0,8mm</t>
    </r>
  </si>
  <si>
    <t>gamaTanabrebeli qviSa-cementis moWimvis mowyoba sisqiT 20mm</t>
  </si>
  <si>
    <r>
      <t xml:space="preserve">monoliTuri rk/betonis koWis mk-36 mowyoba </t>
    </r>
    <r>
      <rPr>
        <sz val="10"/>
        <color indexed="8"/>
        <rFont val="Arial"/>
        <family val="2"/>
      </rPr>
      <t>B</t>
    </r>
    <r>
      <rPr>
        <sz val="10"/>
        <color indexed="8"/>
        <rFont val="AcadNusx"/>
        <family val="0"/>
      </rPr>
      <t>25 betonisagan</t>
    </r>
  </si>
  <si>
    <r>
      <t xml:space="preserve">monoliTuri rk/betonis kibis marSebisa </t>
    </r>
    <r>
      <rPr>
        <sz val="10"/>
        <color indexed="8"/>
        <rFont val="AcadNusx"/>
        <family val="0"/>
      </rPr>
      <t>da baqnis</t>
    </r>
    <r>
      <rPr>
        <sz val="10"/>
        <color indexed="10"/>
        <rFont val="AcadNusx"/>
        <family val="0"/>
      </rPr>
      <t xml:space="preserve"> </t>
    </r>
    <r>
      <rPr>
        <sz val="10"/>
        <rFont val="AcadNusx"/>
        <family val="0"/>
      </rPr>
      <t xml:space="preserve">mowyoba </t>
    </r>
    <r>
      <rPr>
        <sz val="10"/>
        <rFont val="Arial"/>
        <family val="2"/>
      </rPr>
      <t>B25</t>
    </r>
    <r>
      <rPr>
        <sz val="10"/>
        <rFont val="AcadNusx"/>
        <family val="0"/>
      </rPr>
      <t xml:space="preserve"> betonisagan </t>
    </r>
  </si>
  <si>
    <r>
      <t xml:space="preserve">monoliTuri rk/betonis koWebis mk-35 mowyoba </t>
    </r>
    <r>
      <rPr>
        <sz val="10"/>
        <rFont val="Arial"/>
        <family val="2"/>
      </rPr>
      <t>B</t>
    </r>
    <r>
      <rPr>
        <sz val="10"/>
        <rFont val="AcadNusx"/>
        <family val="0"/>
      </rPr>
      <t xml:space="preserve">25 betonisagan, simaRliT 500mm-mde </t>
    </r>
  </si>
  <si>
    <r>
      <t xml:space="preserve">monoliTuri rk/betonis kibis marSebisa da baqnis mowyoba </t>
    </r>
    <r>
      <rPr>
        <sz val="10"/>
        <color indexed="8"/>
        <rFont val="Arial"/>
        <family val="2"/>
      </rPr>
      <t>B25</t>
    </r>
    <r>
      <rPr>
        <sz val="10"/>
        <color indexed="8"/>
        <rFont val="AcadNusx"/>
        <family val="0"/>
      </rPr>
      <t xml:space="preserve"> betonisagan </t>
    </r>
  </si>
  <si>
    <r>
      <t xml:space="preserve">kibis baqnebis da safexurebis mopirkeTeba viniliT sisqiT 3mm kompania </t>
    </r>
    <r>
      <rPr>
        <sz val="10"/>
        <color indexed="8"/>
        <rFont val="Arial"/>
        <family val="2"/>
      </rPr>
      <t xml:space="preserve">GERFLOR </t>
    </r>
    <r>
      <rPr>
        <sz val="10"/>
        <color indexed="8"/>
        <rFont val="AcadNusx"/>
        <family val="0"/>
      </rPr>
      <t>(safrangeTi) an analogi -proeqtis mixedviT</t>
    </r>
  </si>
  <si>
    <r>
      <t xml:space="preserve">safexurebze anti mosrialebis zolis mowyoba kompania </t>
    </r>
    <r>
      <rPr>
        <sz val="10"/>
        <color indexed="8"/>
        <rFont val="Arial"/>
        <family val="2"/>
      </rPr>
      <t xml:space="preserve">GERFLOR  </t>
    </r>
    <r>
      <rPr>
        <sz val="10"/>
        <color indexed="8"/>
        <rFont val="AcadNusx"/>
        <family val="0"/>
      </rPr>
      <t>(safrangeTi) an analogi -proeqtis mixedviT</t>
    </r>
  </si>
  <si>
    <r>
      <t xml:space="preserve">kuTxis gadabmis detalis mowyoba kompania </t>
    </r>
    <r>
      <rPr>
        <sz val="10"/>
        <color indexed="8"/>
        <rFont val="Arial"/>
        <family val="2"/>
      </rPr>
      <t xml:space="preserve">GERFLOR  </t>
    </r>
    <r>
      <rPr>
        <sz val="10"/>
        <color indexed="8"/>
        <rFont val="AcadNusx"/>
        <family val="0"/>
      </rPr>
      <t>(safrangeTi) an analogi -proeqtis mixedviT</t>
    </r>
  </si>
  <si>
    <r>
      <t xml:space="preserve">plintusis xufis mowyoba kompania </t>
    </r>
    <r>
      <rPr>
        <sz val="10"/>
        <color indexed="8"/>
        <rFont val="Arial"/>
        <family val="2"/>
      </rPr>
      <t xml:space="preserve">GERFLOR  </t>
    </r>
    <r>
      <rPr>
        <sz val="10"/>
        <color indexed="8"/>
        <rFont val="AcadNusx"/>
        <family val="0"/>
      </rPr>
      <t>(safrangeTi) an analogi -proeqtis mixedviT</t>
    </r>
  </si>
  <si>
    <r>
      <t xml:space="preserve">monoliTuri rk/betonis tumboebis mowyoba </t>
    </r>
    <r>
      <rPr>
        <sz val="10"/>
        <rFont val="Arial"/>
        <family val="2"/>
      </rPr>
      <t>B</t>
    </r>
    <r>
      <rPr>
        <sz val="10"/>
        <rFont val="AcadNusx"/>
        <family val="0"/>
      </rPr>
      <t xml:space="preserve">25 betonisagan </t>
    </r>
  </si>
  <si>
    <r>
      <t xml:space="preserve">liTonis konstruqciebis Cabetoneba </t>
    </r>
    <r>
      <rPr>
        <sz val="10"/>
        <color indexed="8"/>
        <rFont val="Arial"/>
        <family val="2"/>
      </rPr>
      <t>B20</t>
    </r>
    <r>
      <rPr>
        <sz val="10"/>
        <color indexed="8"/>
        <rFont val="AcadNusx"/>
        <family val="0"/>
      </rPr>
      <t xml:space="preserve"> betoniT</t>
    </r>
  </si>
  <si>
    <r>
      <t xml:space="preserve">kibis ujredis perimetrze liTonis gisosis montaJi da Rirebuleba (liTonis mili d=30mm </t>
    </r>
    <r>
      <rPr>
        <sz val="10"/>
        <color indexed="8"/>
        <rFont val="Arial"/>
        <family val="2"/>
      </rPr>
      <t>L</t>
    </r>
    <r>
      <rPr>
        <sz val="10"/>
        <color indexed="8"/>
        <rFont val="AcadNusx"/>
        <family val="0"/>
      </rPr>
      <t>=2505 m)</t>
    </r>
  </si>
  <si>
    <r>
      <t xml:space="preserve">xis rafis mowyoba, damuSaveba da SeRebva-laqiT </t>
    </r>
    <r>
      <rPr>
        <sz val="10"/>
        <color indexed="8"/>
        <rFont val="AcadNusx"/>
        <family val="0"/>
      </rPr>
      <t>504.4m</t>
    </r>
  </si>
  <si>
    <r>
      <t>xanZarsawinaamdego da xanZargamZle karis montaJi da Rirebuleba (</t>
    </r>
    <r>
      <rPr>
        <sz val="10"/>
        <color indexed="8"/>
        <rFont val="Arial"/>
        <family val="2"/>
      </rPr>
      <t>NINZ</t>
    </r>
    <r>
      <rPr>
        <sz val="10"/>
        <color indexed="8"/>
        <rFont val="AcadNusx"/>
        <family val="0"/>
      </rPr>
      <t>-is firmis proeqtis mixedviT)</t>
    </r>
  </si>
  <si>
    <r>
      <t xml:space="preserve">qviSa-cementis gamasworebeli Sris mowyoba sisqiT </t>
    </r>
    <r>
      <rPr>
        <sz val="10"/>
        <color indexed="8"/>
        <rFont val="AcadNusx"/>
        <family val="0"/>
      </rPr>
      <t>10mm</t>
    </r>
  </si>
  <si>
    <r>
      <t xml:space="preserve">pemzobetonis moWimvis mowyoba sisqiT </t>
    </r>
    <r>
      <rPr>
        <sz val="10"/>
        <color indexed="8"/>
        <rFont val="AcadNusx"/>
        <family val="0"/>
      </rPr>
      <t>65mm</t>
    </r>
  </si>
  <si>
    <r>
      <t>vinilis safari 2mm iatakis mowyoba weboTi (იტ-3, it-4, it-5, it-6, it-7, it-8, it-9, it-10, it-11) კომპანია</t>
    </r>
    <r>
      <rPr>
        <sz val="10"/>
        <color indexed="8"/>
        <rFont val="Arial"/>
        <family val="2"/>
      </rPr>
      <t xml:space="preserve"> GERFLOR</t>
    </r>
    <r>
      <rPr>
        <sz val="10"/>
        <color indexed="8"/>
        <rFont val="AcadNusx"/>
        <family val="0"/>
      </rPr>
      <t>- ის ან ანალოგი</t>
    </r>
  </si>
  <si>
    <r>
      <t>vinilis antistatikuri safari 3mm iatakis mowyoba weboTi (იტ-12) კომპანია</t>
    </r>
    <r>
      <rPr>
        <sz val="10"/>
        <color indexed="8"/>
        <rFont val="Arial"/>
        <family val="2"/>
      </rPr>
      <t xml:space="preserve"> GERFLOR</t>
    </r>
    <r>
      <rPr>
        <sz val="10"/>
        <color indexed="8"/>
        <rFont val="AcadNusx"/>
        <family val="0"/>
      </rPr>
      <t>- ის ან ანალოგი</t>
    </r>
  </si>
  <si>
    <r>
      <t>vinilis sportuli safari 6mm iatakis mowyoba weboTi (იტ-13,იტ-14, იტ-15) კომპანია</t>
    </r>
    <r>
      <rPr>
        <sz val="10"/>
        <rFont val="Arial"/>
        <family val="2"/>
      </rPr>
      <t xml:space="preserve"> GERFLOR</t>
    </r>
    <r>
      <rPr>
        <sz val="10"/>
        <rFont val="AcadNusx"/>
        <family val="0"/>
      </rPr>
      <t>- ის ან ანალოგი</t>
    </r>
  </si>
  <si>
    <r>
      <t xml:space="preserve">plintusis xufis (an plintusis)  mowyoba kompania </t>
    </r>
    <r>
      <rPr>
        <sz val="10"/>
        <rFont val="Arial"/>
        <family val="2"/>
      </rPr>
      <t xml:space="preserve">GERFLOR  </t>
    </r>
    <r>
      <rPr>
        <sz val="10"/>
        <rFont val="AcadNusx"/>
        <family val="0"/>
      </rPr>
      <t>(safrangeTi) an analogi -proeqtis mixedviT</t>
    </r>
  </si>
  <si>
    <r>
      <t xml:space="preserve">iatakis ალუმინის </t>
    </r>
    <r>
      <rPr>
        <sz val="10"/>
        <rFont val="Arial"/>
        <family val="2"/>
      </rPr>
      <t xml:space="preserve">T </t>
    </r>
    <r>
      <rPr>
        <sz val="10"/>
        <rFont val="AcadNusx"/>
        <family val="0"/>
      </rPr>
      <t>tipis gadamyvanis mowyoba</t>
    </r>
  </si>
  <si>
    <r>
      <t xml:space="preserve">monoliTuri rk/betonis kibis marSis mkm-1 mowyoba </t>
    </r>
    <r>
      <rPr>
        <sz val="10"/>
        <rFont val="Arial"/>
        <family val="2"/>
      </rPr>
      <t>B25</t>
    </r>
    <r>
      <rPr>
        <sz val="10"/>
        <rFont val="AcadNusx"/>
        <family val="0"/>
      </rPr>
      <t xml:space="preserve"> betonisagan </t>
    </r>
  </si>
  <si>
    <r>
      <t xml:space="preserve">monoliTuri rk/betonis winafris filis wmf-1 mowyoba </t>
    </r>
    <r>
      <rPr>
        <sz val="10"/>
        <color indexed="8"/>
        <rFont val="Arial"/>
        <family val="2"/>
      </rPr>
      <t>B25</t>
    </r>
    <r>
      <rPr>
        <sz val="10"/>
        <color indexed="8"/>
        <rFont val="AcadNusx"/>
        <family val="0"/>
      </rPr>
      <t xml:space="preserve"> betonisagan sisqiT 200mm-mde</t>
    </r>
  </si>
  <si>
    <r>
      <t xml:space="preserve">monoliTuri rk/betonis pandusisa da kibis mowyoba </t>
    </r>
    <r>
      <rPr>
        <sz val="10"/>
        <rFont val="Arial"/>
        <family val="2"/>
      </rPr>
      <t>B25</t>
    </r>
    <r>
      <rPr>
        <sz val="10"/>
        <rFont val="AcadNusx"/>
        <family val="0"/>
      </rPr>
      <t xml:space="preserve"> betonisagan </t>
    </r>
  </si>
  <si>
    <r>
      <t xml:space="preserve">mosrialebis sawinaaRmdego aluminis gadamyvani profili pandusze </t>
    </r>
    <r>
      <rPr>
        <sz val="10"/>
        <rFont val="Arial"/>
        <family val="2"/>
      </rPr>
      <t>L=1.6 (9</t>
    </r>
    <r>
      <rPr>
        <sz val="10"/>
        <rFont val="AcadNusx"/>
        <family val="0"/>
      </rPr>
      <t>cali</t>
    </r>
    <r>
      <rPr>
        <sz val="10"/>
        <rFont val="Arial"/>
        <family val="2"/>
      </rPr>
      <t>)</t>
    </r>
  </si>
  <si>
    <r>
      <t xml:space="preserve">monoliTuri betonis wertilovani saZirkvlis mowyoba </t>
    </r>
    <r>
      <rPr>
        <sz val="10"/>
        <rFont val="Arial"/>
        <family val="2"/>
      </rPr>
      <t>B</t>
    </r>
    <r>
      <rPr>
        <sz val="10"/>
        <rFont val="AcadNusx"/>
        <family val="0"/>
      </rPr>
      <t>25 betonisagan moculobiT 3m3-mde</t>
    </r>
  </si>
  <si>
    <r>
      <t xml:space="preserve">gamwovi ventilatori </t>
    </r>
    <r>
      <rPr>
        <sz val="10"/>
        <rFont val="Arial"/>
        <family val="2"/>
      </rPr>
      <t>L</t>
    </r>
    <r>
      <rPr>
        <sz val="10"/>
        <rFont val="AcadNusx"/>
        <family val="0"/>
      </rPr>
      <t xml:space="preserve">=1600 m3/sT </t>
    </r>
    <r>
      <rPr>
        <sz val="10"/>
        <rFont val="Arial"/>
        <family val="2"/>
      </rPr>
      <t>dp</t>
    </r>
    <r>
      <rPr>
        <sz val="10"/>
        <rFont val="AcadNusx"/>
        <family val="0"/>
      </rPr>
      <t>-500pa., drekadi daerTebebiT</t>
    </r>
  </si>
  <si>
    <r>
      <t xml:space="preserve">gamwovi ventilatori </t>
    </r>
    <r>
      <rPr>
        <sz val="10"/>
        <rFont val="Arial"/>
        <family val="2"/>
      </rPr>
      <t>L</t>
    </r>
    <r>
      <rPr>
        <sz val="10"/>
        <rFont val="AcadNusx"/>
        <family val="0"/>
      </rPr>
      <t xml:space="preserve">=6000 m3/sT </t>
    </r>
    <r>
      <rPr>
        <sz val="10"/>
        <rFont val="Arial"/>
        <family val="2"/>
      </rPr>
      <t>dp</t>
    </r>
    <r>
      <rPr>
        <sz val="10"/>
        <rFont val="AcadNusx"/>
        <family val="0"/>
      </rPr>
      <t>-500pa. 1,7kv 400v, drekadi daerTebebiT</t>
    </r>
  </si>
  <si>
    <r>
      <t xml:space="preserve">samzareulos ventilatori </t>
    </r>
    <r>
      <rPr>
        <sz val="10"/>
        <rFont val="Arial"/>
        <family val="2"/>
      </rPr>
      <t>L</t>
    </r>
    <r>
      <rPr>
        <sz val="10"/>
        <rFont val="AcadNusx"/>
        <family val="0"/>
      </rPr>
      <t xml:space="preserve">=6000 m3/sT </t>
    </r>
    <r>
      <rPr>
        <sz val="10"/>
        <rFont val="Arial"/>
        <family val="2"/>
      </rPr>
      <t>dp</t>
    </r>
    <r>
      <rPr>
        <sz val="10"/>
        <rFont val="AcadNusx"/>
        <family val="0"/>
      </rPr>
      <t>-500pa. 1,7kv 400v, drekadi daerTebebiT</t>
    </r>
  </si>
  <si>
    <r>
      <t>Sesabamisi warmadobis gazis sawvavis sanTura</t>
    </r>
    <r>
      <rPr>
        <sz val="10"/>
        <color indexed="10"/>
        <rFont val="AcadNusx"/>
        <family val="0"/>
      </rPr>
      <t xml:space="preserve"> </t>
    </r>
    <r>
      <rPr>
        <sz val="10"/>
        <color indexed="8"/>
        <rFont val="AcadNusx"/>
        <family val="0"/>
      </rPr>
      <t>(195kvt.-idan zeviT)</t>
    </r>
  </si>
  <si>
    <r>
      <t xml:space="preserve">Semyvan-gamanawilebeli fari . Semyvanze 3-faza avtomaturi gamomrTveliT 400a-ze, jgufebSi 3 faza avtomatiT: 160a-ze -1c, 50a-ze-2c, 40a-ze-1c, 32a-4c, 25a-ze-3c, 16a-2c. </t>
    </r>
    <r>
      <rPr>
        <sz val="10"/>
        <color indexed="8"/>
        <rFont val="Arial"/>
        <family val="2"/>
      </rPr>
      <t xml:space="preserve">A.V.R.- </t>
    </r>
    <r>
      <rPr>
        <sz val="10"/>
        <color indexed="8"/>
        <rFont val="AcadNusx"/>
        <family val="0"/>
      </rPr>
      <t xml:space="preserve">iT </t>
    </r>
  </si>
  <si>
    <r>
      <t xml:space="preserve">proJeqtori </t>
    </r>
    <r>
      <rPr>
        <sz val="10"/>
        <color indexed="8"/>
        <rFont val="Arial"/>
        <family val="2"/>
      </rPr>
      <t>UMS-250-1P65</t>
    </r>
  </si>
  <si>
    <r>
      <t xml:space="preserve">paCpaneli 24 portiani </t>
    </r>
    <r>
      <rPr>
        <sz val="10"/>
        <rFont val="Arial"/>
        <family val="2"/>
      </rPr>
      <t>(P-panel)</t>
    </r>
  </si>
  <si>
    <r>
      <t>kompiuteris rozeti</t>
    </r>
    <r>
      <rPr>
        <sz val="10"/>
        <rFont val="Arial"/>
        <family val="2"/>
      </rPr>
      <t xml:space="preserve"> RJ</t>
    </r>
    <r>
      <rPr>
        <sz val="10"/>
        <rFont val="AcadNusx"/>
        <family val="0"/>
      </rPr>
      <t xml:space="preserve">45  (orbudiani) </t>
    </r>
  </si>
  <si>
    <r>
      <t xml:space="preserve">satelevizio rozeti </t>
    </r>
    <r>
      <rPr>
        <sz val="10"/>
        <rFont val="Arial"/>
        <family val="2"/>
      </rPr>
      <t>RJ-</t>
    </r>
    <r>
      <rPr>
        <sz val="10"/>
        <rFont val="AcadNusx"/>
        <family val="0"/>
      </rPr>
      <t>45  (orbudiani)</t>
    </r>
  </si>
  <si>
    <t>jami 2=(2.1+2.2+2.3+2.4+2.5+2.6+2.7+2.8+2.9)</t>
  </si>
  <si>
    <r>
      <t>sirena strob-sanaTiT 100</t>
    </r>
    <r>
      <rPr>
        <sz val="10"/>
        <rFont val="Arial"/>
        <family val="2"/>
      </rPr>
      <t>dB Sounder- 2460</t>
    </r>
  </si>
  <si>
    <r>
      <t xml:space="preserve">saxanZro kabeli 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cadNusx"/>
        <family val="0"/>
      </rPr>
      <t>2X0,75mm</t>
    </r>
  </si>
  <si>
    <t>jami 3=(3.1+3.2)</t>
  </si>
  <si>
    <t>jami 3.2</t>
  </si>
  <si>
    <t>jami 3.1</t>
  </si>
  <si>
    <r>
      <t xml:space="preserve">betonis momzadeba </t>
    </r>
    <r>
      <rPr>
        <sz val="10"/>
        <rFont val="Arial"/>
        <family val="2"/>
      </rPr>
      <t>B</t>
    </r>
    <r>
      <rPr>
        <sz val="10"/>
        <rFont val="AcadNusx"/>
        <family val="0"/>
      </rPr>
      <t xml:space="preserve">7.5 betonisagan </t>
    </r>
  </si>
  <si>
    <r>
      <t xml:space="preserve">monoliTuri rk/betonis sayrdeni kedlebisa da kibis mowyoba </t>
    </r>
    <r>
      <rPr>
        <sz val="10"/>
        <rFont val="Arial"/>
        <family val="2"/>
      </rPr>
      <t>B25</t>
    </r>
    <r>
      <rPr>
        <sz val="10"/>
        <rFont val="AcadNusx"/>
        <family val="0"/>
      </rPr>
      <t xml:space="preserve"> betonisagan </t>
    </r>
  </si>
  <si>
    <t>jami 10 = (10.1+10.2)</t>
  </si>
  <si>
    <t xml:space="preserve">samgzavro liftebi unarSezRudulTaTvis tvirTamweobiT 630kg 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</si>
</sst>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&quot;р.&quot;* #,##0.00_);_(&quot;р.&quot;* \(#,##0.00\);_(&quot;р.&quot;* &quot;-&quot;??_);_(@_)"/>
    <numFmt numFmtId="186" formatCode="0.0000"/>
    <numFmt numFmtId="187" formatCode="0.000"/>
    <numFmt numFmtId="188" formatCode="0.00000"/>
    <numFmt numFmtId="189" formatCode="0.0"/>
    <numFmt numFmtId="190" formatCode="0.000000"/>
    <numFmt numFmtId="191" formatCode="0.0000000"/>
    <numFmt numFmtId="192" formatCode="_-* #,##0.0_р_._-;\-* #,##0.0_р_._-;_-* &quot;-&quot;??_р_._-;_-@_-"/>
    <numFmt numFmtId="193" formatCode="_-* #,##0_р_._-;\-* #,##0_р_._-;_-* &quot;-&quot;??_р_._-;_-@_-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_-* #,##0.000000_р_._-;\-* #,##0.000000_р_._-;_-* &quot;-&quot;??_р_._-;_-@_-"/>
    <numFmt numFmtId="198" formatCode="_-* #,##0.0000000_р_._-;\-* #,##0.0000000_р_._-;_-* &quot;-&quot;??_р_._-;_-@_-"/>
    <numFmt numFmtId="199" formatCode="_-* #,##0.00000000_р_._-;\-* #,##0.00000000_р_._-;_-* &quot;-&quot;??_р_._-;_-@_-"/>
    <numFmt numFmtId="200" formatCode="_-* #,##0.000000000_р_._-;\-* #,##0.000000000_р_._-;_-* &quot;-&quot;??_р_._-;_-@_-"/>
    <numFmt numFmtId="201" formatCode="_-* #,##0.0000000000_р_._-;\-* #,##0.0000000000_р_._-;_-* &quot;-&quot;??_р_._-;_-@_-"/>
    <numFmt numFmtId="202" formatCode="_-* #,##0.00000000000_р_._-;\-* #,##0.00000000000_р_._-;_-* &quot;-&quot;??_р_._-;_-@_-"/>
    <numFmt numFmtId="203" formatCode="_-* #,##0.000000000000_р_._-;\-* #,##0.000000000000_р_._-;_-* &quot;-&quot;??_р_._-;_-@_-"/>
    <numFmt numFmtId="204" formatCode="_(* #,##0.000000000000_);_(* \(#,##0.000000000000\);_(* &quot;-&quot;????????????_);_(@_)"/>
    <numFmt numFmtId="205" formatCode="0.00000000"/>
    <numFmt numFmtId="206" formatCode="_-* #,##0.00_-;\-* #,##0.00_-;_-* &quot;-&quot;??_-;_-@_-"/>
    <numFmt numFmtId="207" formatCode="0.000000000"/>
    <numFmt numFmtId="208" formatCode="_-* #,##0_-;\-* #,##0_-;_-* &quot;-&quot;??_-;_-@_-"/>
    <numFmt numFmtId="209" formatCode="0.0000000000"/>
    <numFmt numFmtId="210" formatCode="[$-409]dddd\,\ mmmm\ dd\,\ yyyy"/>
    <numFmt numFmtId="211" formatCode="[$-409]h:mm:ss\ AM/PM"/>
    <numFmt numFmtId="212" formatCode="[$-437]yyyy\ &quot;წლის&quot;\ dd\ mm\,\ dddd"/>
    <numFmt numFmtId="213" formatCode="_-* #,##0.000\ _L_a_r_i_-;\-* #,##0.000\ _L_a_r_i_-;_-* &quot;-&quot;???\ _L_a_r_i_-;_-@_-"/>
    <numFmt numFmtId="214" formatCode="_-* #,##0.0_-;\-* #,##0.0_-;_-* &quot;-&quot;??_-;_-@_-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%"/>
    <numFmt numFmtId="220" formatCode="[$-409]dddd\,\ mmmm\ d\,\ yyyy"/>
  </numFmts>
  <fonts count="79">
    <font>
      <sz val="10"/>
      <name val="Arial Cyr"/>
      <family val="0"/>
    </font>
    <font>
      <sz val="10"/>
      <name val="AcadNusx"/>
      <family val="0"/>
    </font>
    <font>
      <sz val="10"/>
      <color indexed="8"/>
      <name val="AcadNusx"/>
      <family val="0"/>
    </font>
    <font>
      <b/>
      <sz val="12"/>
      <name val="AcadNusx"/>
      <family val="0"/>
    </font>
    <font>
      <sz val="12"/>
      <name val="AcadNusx"/>
      <family val="0"/>
    </font>
    <font>
      <sz val="10"/>
      <name val="Arial"/>
      <family val="2"/>
    </font>
    <font>
      <sz val="10"/>
      <name val="Times New Roman"/>
      <family val="1"/>
    </font>
    <font>
      <sz val="11"/>
      <name val="AcadNusx"/>
      <family val="0"/>
    </font>
    <font>
      <b/>
      <sz val="11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sz val="8"/>
      <name val="AcadNusx"/>
      <family val="0"/>
    </font>
    <font>
      <b/>
      <sz val="10"/>
      <name val="AcadNusx"/>
      <family val="0"/>
    </font>
    <font>
      <i/>
      <sz val="10"/>
      <name val="AcadNusx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name val="Helv"/>
      <family val="0"/>
    </font>
    <font>
      <b/>
      <sz val="11"/>
      <name val="Times New Roman"/>
      <family val="1"/>
    </font>
    <font>
      <sz val="10"/>
      <name val="Grigolia"/>
      <family val="0"/>
    </font>
    <font>
      <i/>
      <sz val="11"/>
      <name val="AcadNusx"/>
      <family val="0"/>
    </font>
    <font>
      <b/>
      <sz val="11"/>
      <name val="Arial"/>
      <family val="2"/>
    </font>
    <font>
      <vertAlign val="superscript"/>
      <sz val="10"/>
      <name val="AcadNusx"/>
      <family val="0"/>
    </font>
    <font>
      <sz val="11"/>
      <name val="Helv"/>
      <family val="0"/>
    </font>
    <font>
      <b/>
      <i/>
      <sz val="10"/>
      <name val="AcadNusx"/>
      <family val="0"/>
    </font>
    <font>
      <sz val="10"/>
      <color indexed="10"/>
      <name val="AcadNusx"/>
      <family val="0"/>
    </font>
    <font>
      <sz val="9.5"/>
      <name val="AcadNusx"/>
      <family val="0"/>
    </font>
    <font>
      <sz val="9.5"/>
      <name val="Arial"/>
      <family val="2"/>
    </font>
    <font>
      <b/>
      <sz val="10"/>
      <color indexed="8"/>
      <name val="AcadNusx"/>
      <family val="0"/>
    </font>
    <font>
      <b/>
      <sz val="11"/>
      <color indexed="8"/>
      <name val="AcadNusx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cadNusx"/>
      <family val="0"/>
    </font>
    <font>
      <sz val="11"/>
      <color indexed="8"/>
      <name val="AcadNusx"/>
      <family val="0"/>
    </font>
    <font>
      <sz val="10"/>
      <color indexed="56"/>
      <name val="AcadNusx"/>
      <family val="0"/>
    </font>
    <font>
      <sz val="9.5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b/>
      <sz val="9.5"/>
      <color theme="1"/>
      <name val="AcadNusx"/>
      <family val="0"/>
    </font>
    <font>
      <sz val="11"/>
      <color theme="1"/>
      <name val="AcadNusx"/>
      <family val="0"/>
    </font>
    <font>
      <sz val="10"/>
      <color theme="3"/>
      <name val="AcadNusx"/>
      <family val="0"/>
    </font>
    <font>
      <sz val="9.5"/>
      <color theme="1"/>
      <name val="AcadNusx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1" fontId="5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29" borderId="1" applyNumberFormat="0" applyAlignment="0" applyProtection="0"/>
    <xf numFmtId="0" fontId="67" fillId="0" borderId="6" applyNumberFormat="0" applyFill="0" applyAlignment="0" applyProtection="0"/>
    <xf numFmtId="0" fontId="68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1" borderId="7" applyNumberFormat="0" applyFont="0" applyAlignment="0" applyProtection="0"/>
    <xf numFmtId="0" fontId="69" fillId="26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1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11" xfId="0" applyFont="1" applyBorder="1" applyAlignment="1" quotePrefix="1">
      <alignment horizontal="center" vertical="top" wrapText="1"/>
    </xf>
    <xf numFmtId="0" fontId="6" fillId="0" borderId="11" xfId="0" applyNumberFormat="1" applyFont="1" applyBorder="1" applyAlignment="1" quotePrefix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1" fontId="6" fillId="0" borderId="11" xfId="0" applyNumberFormat="1" applyFont="1" applyBorder="1" applyAlignment="1" quotePrefix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12" fillId="0" borderId="0" xfId="0" applyFont="1" applyAlignment="1">
      <alignment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 quotePrefix="1">
      <alignment horizontal="center" vertical="center" wrapText="1"/>
    </xf>
    <xf numFmtId="0" fontId="6" fillId="0" borderId="11" xfId="0" applyFont="1" applyBorder="1" applyAlignment="1" quotePrefix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7" fillId="0" borderId="11" xfId="0" applyFont="1" applyBorder="1" applyAlignment="1" quotePrefix="1">
      <alignment horizontal="center" vertical="top" wrapText="1"/>
    </xf>
    <xf numFmtId="0" fontId="7" fillId="0" borderId="11" xfId="0" applyNumberFormat="1" applyFont="1" applyBorder="1" applyAlignment="1" quotePrefix="1">
      <alignment horizontal="center" vertical="top" wrapText="1"/>
    </xf>
    <xf numFmtId="1" fontId="7" fillId="0" borderId="11" xfId="0" applyNumberFormat="1" applyFont="1" applyBorder="1" applyAlignment="1" quotePrefix="1">
      <alignment horizontal="center" vertical="top"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Border="1" applyAlignment="1">
      <alignment wrapText="1"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17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32" borderId="0" xfId="59" applyFont="1" applyFill="1" applyAlignment="1" applyProtection="1">
      <alignment horizontal="center"/>
      <protection/>
    </xf>
    <xf numFmtId="206" fontId="1" fillId="0" borderId="0" xfId="42" applyNumberFormat="1" applyFont="1" applyFill="1" applyAlignment="1" applyProtection="1">
      <alignment/>
      <protection/>
    </xf>
    <xf numFmtId="206" fontId="1" fillId="0" borderId="0" xfId="42" applyNumberFormat="1" applyFont="1" applyFill="1" applyAlignment="1" applyProtection="1">
      <alignment horizontal="right"/>
      <protection/>
    </xf>
    <xf numFmtId="0" fontId="1" fillId="0" borderId="0" xfId="59" applyFont="1" applyAlignment="1" applyProtection="1">
      <alignment horizontal="center"/>
      <protection/>
    </xf>
    <xf numFmtId="0" fontId="1" fillId="32" borderId="0" xfId="59" applyFont="1" applyFill="1" applyBorder="1" applyAlignment="1" applyProtection="1">
      <alignment horizontal="center"/>
      <protection/>
    </xf>
    <xf numFmtId="206" fontId="1" fillId="0" borderId="0" xfId="42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1" fillId="0" borderId="13" xfId="0" applyFont="1" applyFill="1" applyBorder="1" applyAlignment="1">
      <alignment horizontal="left" vertical="top" wrapText="1"/>
    </xf>
    <xf numFmtId="0" fontId="20" fillId="0" borderId="0" xfId="0" applyFont="1" applyAlignment="1">
      <alignment/>
    </xf>
    <xf numFmtId="0" fontId="5" fillId="0" borderId="12" xfId="0" applyFont="1" applyBorder="1" applyAlignment="1">
      <alignment vertical="top"/>
    </xf>
    <xf numFmtId="1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1" xfId="0" applyNumberFormat="1" applyFont="1" applyFill="1" applyBorder="1" applyAlignment="1">
      <alignment horizontal="center" vertical="top" wrapText="1"/>
    </xf>
    <xf numFmtId="1" fontId="15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left" vertical="top" wrapText="1"/>
    </xf>
    <xf numFmtId="9" fontId="15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right" vertical="top" wrapText="1"/>
    </xf>
    <xf numFmtId="0" fontId="1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1" fontId="15" fillId="0" borderId="11" xfId="0" applyNumberFormat="1" applyFont="1" applyFill="1" applyBorder="1" applyAlignment="1">
      <alignment horizontal="center"/>
    </xf>
    <xf numFmtId="187" fontId="1" fillId="0" borderId="1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79" fontId="15" fillId="0" borderId="11" xfId="42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15" fillId="0" borderId="11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Alignment="1">
      <alignment horizontal="center"/>
    </xf>
    <xf numFmtId="0" fontId="15" fillId="0" borderId="11" xfId="0" applyFont="1" applyFill="1" applyBorder="1" applyAlignment="1">
      <alignment/>
    </xf>
    <xf numFmtId="0" fontId="19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9" fontId="15" fillId="0" borderId="11" xfId="0" applyNumberFormat="1" applyFont="1" applyFill="1" applyBorder="1" applyAlignment="1">
      <alignment horizontal="center" vertical="top" wrapText="1"/>
    </xf>
    <xf numFmtId="0" fontId="19" fillId="0" borderId="11" xfId="0" applyNumberFormat="1" applyFont="1" applyFill="1" applyBorder="1" applyAlignment="1">
      <alignment horizontal="center" vertical="top" wrapText="1"/>
    </xf>
    <xf numFmtId="0" fontId="6" fillId="0" borderId="0" xfId="0" applyFont="1" applyAlignment="1" applyProtection="1">
      <alignment/>
      <protection/>
    </xf>
    <xf numFmtId="0" fontId="19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/>
    </xf>
    <xf numFmtId="0" fontId="18" fillId="0" borderId="11" xfId="0" applyFont="1" applyBorder="1" applyAlignment="1">
      <alignment/>
    </xf>
    <xf numFmtId="1" fontId="15" fillId="0" borderId="11" xfId="0" applyNumberFormat="1" applyFont="1" applyBorder="1" applyAlignment="1">
      <alignment horizontal="center"/>
    </xf>
    <xf numFmtId="2" fontId="7" fillId="0" borderId="12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 vertical="top" wrapText="1"/>
    </xf>
    <xf numFmtId="9" fontId="18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top" wrapText="1"/>
    </xf>
    <xf numFmtId="9" fontId="18" fillId="0" borderId="11" xfId="0" applyNumberFormat="1" applyFont="1" applyFill="1" applyBorder="1" applyAlignment="1">
      <alignment horizontal="center" vertical="center"/>
    </xf>
    <xf numFmtId="0" fontId="1" fillId="0" borderId="0" xfId="61" applyFont="1" applyProtection="1">
      <alignment/>
      <protection/>
    </xf>
    <xf numFmtId="179" fontId="18" fillId="0" borderId="11" xfId="42" applyFont="1" applyBorder="1" applyAlignment="1">
      <alignment/>
    </xf>
    <xf numFmtId="179" fontId="18" fillId="0" borderId="11" xfId="42" applyFont="1" applyFill="1" applyBorder="1" applyAlignment="1">
      <alignment/>
    </xf>
    <xf numFmtId="2" fontId="23" fillId="0" borderId="12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right" vertical="top" wrapText="1"/>
    </xf>
    <xf numFmtId="179" fontId="15" fillId="0" borderId="11" xfId="42" applyFont="1" applyFill="1" applyBorder="1" applyAlignment="1">
      <alignment horizontal="center" vertical="center" wrapText="1"/>
    </xf>
    <xf numFmtId="179" fontId="1" fillId="0" borderId="11" xfId="42" applyFont="1" applyFill="1" applyBorder="1" applyAlignment="1">
      <alignment horizontal="center" vertical="center" wrapText="1"/>
    </xf>
    <xf numFmtId="179" fontId="1" fillId="0" borderId="11" xfId="42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7" fillId="0" borderId="11" xfId="0" applyFont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5" fillId="0" borderId="0" xfId="61" applyFont="1" applyProtection="1">
      <alignment/>
      <protection/>
    </xf>
    <xf numFmtId="0" fontId="6" fillId="0" borderId="0" xfId="61" applyFont="1" applyProtection="1">
      <alignment/>
      <protection/>
    </xf>
    <xf numFmtId="179" fontId="1" fillId="0" borderId="11" xfId="42" applyFont="1" applyFill="1" applyBorder="1" applyAlignment="1" applyProtection="1">
      <alignment vertical="center" wrapText="1"/>
      <protection/>
    </xf>
    <xf numFmtId="1" fontId="0" fillId="0" borderId="0" xfId="0" applyNumberFormat="1" applyFont="1" applyAlignment="1">
      <alignment/>
    </xf>
    <xf numFmtId="9" fontId="15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/>
      <protection/>
    </xf>
    <xf numFmtId="179" fontId="1" fillId="0" borderId="11" xfId="42" applyFont="1" applyFill="1" applyBorder="1" applyAlignment="1" applyProtection="1">
      <alignment vertical="top" wrapText="1"/>
      <protection/>
    </xf>
    <xf numFmtId="0" fontId="7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189" fontId="1" fillId="0" borderId="11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0" fontId="26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11" xfId="61" applyFont="1" applyFill="1" applyBorder="1" applyAlignment="1" applyProtection="1">
      <alignment horizontal="center" vertical="top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3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5" fillId="0" borderId="11" xfId="0" applyFont="1" applyBorder="1" applyAlignment="1">
      <alignment horizontal="right" vertical="top"/>
    </xf>
    <xf numFmtId="0" fontId="1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14" fillId="0" borderId="0" xfId="0" applyFont="1" applyBorder="1" applyAlignment="1" quotePrefix="1">
      <alignment horizontal="center" vertical="center" wrapText="1"/>
    </xf>
    <xf numFmtId="0" fontId="6" fillId="0" borderId="0" xfId="0" applyFont="1" applyBorder="1" applyAlignment="1" quotePrefix="1">
      <alignment horizontal="center" wrapText="1"/>
    </xf>
    <xf numFmtId="0" fontId="6" fillId="0" borderId="15" xfId="0" applyFont="1" applyBorder="1" applyAlignment="1" quotePrefix="1">
      <alignment horizontal="center" wrapText="1"/>
    </xf>
    <xf numFmtId="9" fontId="15" fillId="0" borderId="1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top" wrapText="1"/>
    </xf>
    <xf numFmtId="0" fontId="30" fillId="0" borderId="0" xfId="0" applyFont="1" applyAlignment="1">
      <alignment horizontal="center"/>
    </xf>
    <xf numFmtId="0" fontId="0" fillId="0" borderId="0" xfId="0" applyAlignment="1">
      <alignment/>
    </xf>
    <xf numFmtId="0" fontId="1" fillId="32" borderId="11" xfId="0" applyFont="1" applyFill="1" applyBorder="1" applyAlignment="1">
      <alignment horizontal="left" vertical="top" wrapText="1"/>
    </xf>
    <xf numFmtId="0" fontId="1" fillId="0" borderId="11" xfId="61" applyFont="1" applyFill="1" applyBorder="1" applyAlignment="1" applyProtection="1">
      <alignment horizontal="center" vertical="top" wrapText="1"/>
      <protection/>
    </xf>
    <xf numFmtId="0" fontId="1" fillId="0" borderId="11" xfId="61" applyFont="1" applyFill="1" applyBorder="1" applyAlignment="1" applyProtection="1">
      <alignment vertical="top" wrapText="1"/>
      <protection/>
    </xf>
    <xf numFmtId="0" fontId="73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 applyProtection="1">
      <alignment horizontal="left" vertical="top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61" applyFont="1" applyFill="1" applyBorder="1" applyAlignment="1" applyProtection="1">
      <alignment horizontal="left" vertical="top" wrapText="1"/>
      <protection/>
    </xf>
    <xf numFmtId="179" fontId="1" fillId="0" borderId="11" xfId="42" applyFont="1" applyFill="1" applyBorder="1" applyAlignment="1">
      <alignment vertical="top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1" xfId="0" applyNumberFormat="1" applyFont="1" applyFill="1" applyBorder="1" applyAlignment="1">
      <alignment horizontal="center" vertical="top" wrapText="1"/>
    </xf>
    <xf numFmtId="2" fontId="29" fillId="0" borderId="11" xfId="0" applyNumberFormat="1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left" vertical="top" wrapText="1"/>
    </xf>
    <xf numFmtId="179" fontId="1" fillId="0" borderId="11" xfId="42" applyFont="1" applyBorder="1" applyAlignment="1">
      <alignment horizontal="center" vertical="top" wrapText="1"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2" fillId="0" borderId="11" xfId="0" applyFont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2" fillId="0" borderId="11" xfId="0" applyFont="1" applyBorder="1" applyAlignment="1" applyProtection="1">
      <alignment vertical="top" wrapText="1"/>
      <protection/>
    </xf>
    <xf numFmtId="0" fontId="2" fillId="0" borderId="11" xfId="0" applyFont="1" applyFill="1" applyBorder="1" applyAlignment="1" applyProtection="1">
      <alignment vertical="top" wrapText="1"/>
      <protection/>
    </xf>
    <xf numFmtId="179" fontId="1" fillId="0" borderId="11" xfId="42" applyNumberFormat="1" applyFont="1" applyFill="1" applyBorder="1" applyAlignment="1" applyProtection="1">
      <alignment vertical="top" wrapText="1"/>
      <protection/>
    </xf>
    <xf numFmtId="0" fontId="2" fillId="0" borderId="11" xfId="0" applyFont="1" applyFill="1" applyBorder="1" applyAlignment="1">
      <alignment vertical="top" wrapText="1"/>
    </xf>
    <xf numFmtId="0" fontId="22" fillId="0" borderId="11" xfId="0" applyFont="1" applyBorder="1" applyAlignment="1">
      <alignment horizontal="centerContinuous" vertical="top" wrapText="1"/>
    </xf>
    <xf numFmtId="0" fontId="22" fillId="0" borderId="11" xfId="0" applyFont="1" applyBorder="1" applyAlignment="1">
      <alignment horizontal="center" vertical="top" wrapText="1"/>
    </xf>
    <xf numFmtId="2" fontId="22" fillId="0" borderId="11" xfId="0" applyNumberFormat="1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179" fontId="1" fillId="0" borderId="11" xfId="71" applyFont="1" applyFill="1" applyBorder="1" applyAlignment="1">
      <alignment horizontal="center" vertical="top" wrapText="1"/>
    </xf>
    <xf numFmtId="206" fontId="1" fillId="0" borderId="0" xfId="71" applyNumberFormat="1" applyFont="1" applyFill="1" applyAlignment="1" applyProtection="1">
      <alignment horizontal="right"/>
      <protection/>
    </xf>
    <xf numFmtId="179" fontId="15" fillId="0" borderId="11" xfId="71" applyFont="1" applyFill="1" applyBorder="1" applyAlignment="1">
      <alignment horizontal="center" vertical="center" wrapText="1"/>
    </xf>
    <xf numFmtId="179" fontId="15" fillId="0" borderId="11" xfId="71" applyFont="1" applyFill="1" applyBorder="1" applyAlignment="1">
      <alignment horizontal="center" vertical="top" wrapText="1"/>
    </xf>
    <xf numFmtId="171" fontId="1" fillId="0" borderId="0" xfId="0" applyNumberFormat="1" applyFont="1" applyBorder="1" applyAlignment="1">
      <alignment horizontal="left" vertical="top" wrapText="1"/>
    </xf>
    <xf numFmtId="179" fontId="1" fillId="0" borderId="11" xfId="71" applyFont="1" applyFill="1" applyBorder="1" applyAlignment="1">
      <alignment vertical="top" wrapText="1"/>
    </xf>
    <xf numFmtId="219" fontId="15" fillId="0" borderId="11" xfId="0" applyNumberFormat="1" applyFont="1" applyFill="1" applyBorder="1" applyAlignment="1">
      <alignment horizontal="center" vertical="top" wrapText="1"/>
    </xf>
    <xf numFmtId="43" fontId="12" fillId="0" borderId="0" xfId="0" applyNumberFormat="1" applyFont="1" applyAlignment="1">
      <alignment/>
    </xf>
    <xf numFmtId="10" fontId="15" fillId="0" borderId="11" xfId="0" applyNumberFormat="1" applyFont="1" applyFill="1" applyBorder="1" applyAlignment="1">
      <alignment horizontal="center" vertical="top" wrapText="1"/>
    </xf>
    <xf numFmtId="193" fontId="15" fillId="0" borderId="11" xfId="71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top" wrapText="1"/>
    </xf>
    <xf numFmtId="0" fontId="74" fillId="0" borderId="11" xfId="0" applyNumberFormat="1" applyFont="1" applyFill="1" applyBorder="1" applyAlignment="1">
      <alignment horizontal="center" vertical="top" wrapText="1"/>
    </xf>
    <xf numFmtId="179" fontId="5" fillId="0" borderId="0" xfId="42" applyFont="1" applyAlignment="1">
      <alignment horizontal="center"/>
    </xf>
    <xf numFmtId="179" fontId="6" fillId="0" borderId="0" xfId="42" applyFont="1" applyAlignment="1">
      <alignment/>
    </xf>
    <xf numFmtId="43" fontId="5" fillId="0" borderId="0" xfId="0" applyNumberFormat="1" applyFont="1" applyAlignment="1">
      <alignment horizontal="center"/>
    </xf>
    <xf numFmtId="187" fontId="74" fillId="0" borderId="11" xfId="0" applyNumberFormat="1" applyFont="1" applyFill="1" applyBorder="1" applyAlignment="1">
      <alignment horizontal="center" vertical="top" wrapText="1"/>
    </xf>
    <xf numFmtId="179" fontId="12" fillId="0" borderId="0" xfId="42" applyFont="1" applyAlignment="1">
      <alignment/>
    </xf>
    <xf numFmtId="179" fontId="12" fillId="0" borderId="0" xfId="0" applyNumberFormat="1" applyFont="1" applyAlignment="1">
      <alignment/>
    </xf>
    <xf numFmtId="186" fontId="74" fillId="0" borderId="11" xfId="0" applyNumberFormat="1" applyFont="1" applyFill="1" applyBorder="1" applyAlignment="1">
      <alignment horizontal="center" vertical="top" wrapText="1"/>
    </xf>
    <xf numFmtId="2" fontId="74" fillId="0" borderId="11" xfId="0" applyNumberFormat="1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2" fontId="1" fillId="0" borderId="16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74" fillId="0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189" fontId="12" fillId="0" borderId="0" xfId="0" applyNumberFormat="1" applyFont="1" applyAlignment="1">
      <alignment/>
    </xf>
    <xf numFmtId="0" fontId="15" fillId="0" borderId="16" xfId="0" applyFont="1" applyBorder="1" applyAlignment="1">
      <alignment vertical="top" wrapText="1"/>
    </xf>
    <xf numFmtId="0" fontId="33" fillId="0" borderId="0" xfId="0" applyFont="1" applyAlignment="1" applyProtection="1">
      <alignment/>
      <protection/>
    </xf>
    <xf numFmtId="2" fontId="15" fillId="0" borderId="10" xfId="0" applyNumberFormat="1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33" fillId="0" borderId="0" xfId="0" applyFont="1" applyFill="1" applyAlignment="1" applyProtection="1">
      <alignment/>
      <protection/>
    </xf>
    <xf numFmtId="179" fontId="1" fillId="0" borderId="11" xfId="45" applyFont="1" applyFill="1" applyBorder="1" applyAlignment="1">
      <alignment vertical="top" wrapText="1"/>
    </xf>
    <xf numFmtId="179" fontId="15" fillId="0" borderId="11" xfId="45" applyFont="1" applyFill="1" applyBorder="1" applyAlignment="1">
      <alignment vertical="top" wrapText="1"/>
    </xf>
    <xf numFmtId="1" fontId="15" fillId="0" borderId="11" xfId="0" applyNumberFormat="1" applyFont="1" applyFill="1" applyBorder="1" applyAlignment="1">
      <alignment horizontal="center" vertical="center" wrapText="1"/>
    </xf>
    <xf numFmtId="179" fontId="1" fillId="0" borderId="11" xfId="45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179" fontId="15" fillId="0" borderId="11" xfId="45" applyFont="1" applyFill="1" applyBorder="1" applyAlignment="1">
      <alignment horizontal="center" vertical="top" wrapText="1"/>
    </xf>
    <xf numFmtId="179" fontId="73" fillId="0" borderId="11" xfId="45" applyFont="1" applyFill="1" applyBorder="1" applyAlignment="1">
      <alignment horizontal="center" vertical="top" wrapText="1"/>
    </xf>
    <xf numFmtId="0" fontId="15" fillId="0" borderId="11" xfId="45" applyNumberFormat="1" applyFont="1" applyFill="1" applyBorder="1" applyAlignment="1" applyProtection="1">
      <alignment horizontal="center" vertical="center" wrapText="1"/>
      <protection/>
    </xf>
    <xf numFmtId="179" fontId="1" fillId="0" borderId="11" xfId="45" applyFont="1" applyFill="1" applyBorder="1" applyAlignment="1" applyProtection="1">
      <alignment vertical="top" wrapText="1"/>
      <protection/>
    </xf>
    <xf numFmtId="189" fontId="15" fillId="0" borderId="11" xfId="0" applyNumberFormat="1" applyFont="1" applyFill="1" applyBorder="1" applyAlignment="1">
      <alignment horizontal="center" vertical="top" wrapText="1"/>
    </xf>
    <xf numFmtId="199" fontId="1" fillId="0" borderId="11" xfId="45" applyNumberFormat="1" applyFont="1" applyFill="1" applyBorder="1" applyAlignment="1" applyProtection="1">
      <alignment vertical="top" wrapText="1"/>
      <protection/>
    </xf>
    <xf numFmtId="0" fontId="5" fillId="0" borderId="0" xfId="0" applyFont="1" applyFill="1" applyAlignment="1">
      <alignment horizontal="center" vertical="top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6" fillId="0" borderId="11" xfId="0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 quotePrefix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 quotePrefix="1">
      <alignment horizontal="center" vertical="center" wrapText="1"/>
    </xf>
    <xf numFmtId="0" fontId="13" fillId="0" borderId="0" xfId="0" applyFont="1" applyAlignment="1">
      <alignment vertical="center" wrapText="1"/>
    </xf>
    <xf numFmtId="0" fontId="5" fillId="0" borderId="12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1" fontId="15" fillId="0" borderId="11" xfId="45" applyNumberFormat="1" applyFont="1" applyFill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center"/>
    </xf>
    <xf numFmtId="43" fontId="5" fillId="0" borderId="12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1" fontId="12" fillId="0" borderId="12" xfId="0" applyNumberFormat="1" applyFont="1" applyBorder="1" applyAlignment="1">
      <alignment/>
    </xf>
    <xf numFmtId="179" fontId="1" fillId="0" borderId="11" xfId="45" applyFont="1" applyBorder="1" applyAlignment="1">
      <alignment/>
    </xf>
    <xf numFmtId="0" fontId="15" fillId="0" borderId="11" xfId="0" applyFont="1" applyFill="1" applyBorder="1" applyAlignment="1">
      <alignment horizontal="left" vertical="center" wrapText="1"/>
    </xf>
    <xf numFmtId="1" fontId="0" fillId="0" borderId="0" xfId="0" applyNumberFormat="1" applyFont="1" applyFill="1" applyAlignment="1">
      <alignment/>
    </xf>
    <xf numFmtId="0" fontId="6" fillId="0" borderId="17" xfId="0" applyFont="1" applyBorder="1" applyAlignment="1" quotePrefix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179" fontId="18" fillId="0" borderId="11" xfId="45" applyFont="1" applyBorder="1" applyAlignment="1">
      <alignment/>
    </xf>
    <xf numFmtId="179" fontId="18" fillId="0" borderId="11" xfId="45" applyFont="1" applyFill="1" applyBorder="1" applyAlignment="1">
      <alignment/>
    </xf>
    <xf numFmtId="0" fontId="74" fillId="0" borderId="11" xfId="55" applyNumberFormat="1" applyFont="1" applyFill="1" applyBorder="1" applyAlignment="1" applyProtection="1">
      <alignment horizontal="center" vertical="top" wrapText="1"/>
      <protection/>
    </xf>
    <xf numFmtId="0" fontId="74" fillId="0" borderId="11" xfId="0" applyNumberFormat="1" applyFont="1" applyFill="1" applyBorder="1" applyAlignment="1">
      <alignment horizontal="center" vertical="center" wrapText="1"/>
    </xf>
    <xf numFmtId="179" fontId="74" fillId="0" borderId="11" xfId="42" applyFont="1" applyFill="1" applyBorder="1" applyAlignment="1" applyProtection="1">
      <alignment vertical="top" wrapText="1"/>
      <protection/>
    </xf>
    <xf numFmtId="179" fontId="74" fillId="0" borderId="11" xfId="42" applyFont="1" applyFill="1" applyBorder="1" applyAlignment="1" applyProtection="1">
      <alignment vertical="center" wrapText="1"/>
      <protection/>
    </xf>
    <xf numFmtId="0" fontId="74" fillId="0" borderId="11" xfId="42" applyNumberFormat="1" applyFont="1" applyFill="1" applyBorder="1" applyAlignment="1">
      <alignment horizontal="center" vertical="top" wrapText="1"/>
    </xf>
    <xf numFmtId="0" fontId="74" fillId="0" borderId="11" xfId="0" applyFont="1" applyFill="1" applyBorder="1" applyAlignment="1">
      <alignment horizontal="left" vertical="center" wrapText="1"/>
    </xf>
    <xf numFmtId="189" fontId="74" fillId="0" borderId="11" xfId="0" applyNumberFormat="1" applyFont="1" applyFill="1" applyBorder="1" applyAlignment="1">
      <alignment horizontal="center" vertical="top" wrapText="1"/>
    </xf>
    <xf numFmtId="1" fontId="74" fillId="0" borderId="11" xfId="0" applyNumberFormat="1" applyFont="1" applyFill="1" applyBorder="1" applyAlignment="1">
      <alignment horizontal="center" vertical="top" wrapText="1"/>
    </xf>
    <xf numFmtId="0" fontId="75" fillId="0" borderId="11" xfId="0" applyNumberFormat="1" applyFont="1" applyFill="1" applyBorder="1" applyAlignment="1">
      <alignment horizontal="center" vertical="top" wrapText="1"/>
    </xf>
    <xf numFmtId="179" fontId="15" fillId="0" borderId="11" xfId="42" applyFont="1" applyFill="1" applyBorder="1" applyAlignment="1" applyProtection="1">
      <alignment vertical="center" wrapText="1"/>
      <protection/>
    </xf>
    <xf numFmtId="179" fontId="1" fillId="0" borderId="11" xfId="42" applyFont="1" applyFill="1" applyBorder="1" applyAlignment="1" applyProtection="1">
      <alignment horizontal="center" vertical="top" wrapText="1"/>
      <protection/>
    </xf>
    <xf numFmtId="179" fontId="74" fillId="0" borderId="11" xfId="42" applyNumberFormat="1" applyFont="1" applyFill="1" applyBorder="1" applyAlignment="1" applyProtection="1">
      <alignment vertical="center" wrapText="1"/>
      <protection/>
    </xf>
    <xf numFmtId="194" fontId="74" fillId="0" borderId="11" xfId="42" applyNumberFormat="1" applyFont="1" applyFill="1" applyBorder="1" applyAlignment="1" applyProtection="1">
      <alignment vertical="center" wrapText="1"/>
      <protection/>
    </xf>
    <xf numFmtId="194" fontId="74" fillId="0" borderId="11" xfId="42" applyNumberFormat="1" applyFont="1" applyFill="1" applyBorder="1" applyAlignment="1" applyProtection="1">
      <alignment horizontal="center" vertical="center" wrapText="1"/>
      <protection/>
    </xf>
    <xf numFmtId="179" fontId="74" fillId="0" borderId="11" xfId="42" applyNumberFormat="1" applyFont="1" applyFill="1" applyBorder="1" applyAlignment="1" applyProtection="1">
      <alignment vertical="top" wrapText="1"/>
      <protection/>
    </xf>
    <xf numFmtId="179" fontId="31" fillId="0" borderId="11" xfId="45" applyFont="1" applyFill="1" applyBorder="1" applyAlignment="1" applyProtection="1">
      <alignment vertical="top" wrapText="1"/>
      <protection/>
    </xf>
    <xf numFmtId="179" fontId="1" fillId="0" borderId="11" xfId="45" applyFont="1" applyFill="1" applyBorder="1" applyAlignment="1" applyProtection="1">
      <alignment horizontal="center" vertical="center" wrapText="1"/>
      <protection/>
    </xf>
    <xf numFmtId="193" fontId="1" fillId="0" borderId="11" xfId="45" applyNumberFormat="1" applyFont="1" applyFill="1" applyBorder="1" applyAlignment="1" applyProtection="1">
      <alignment horizontal="center" vertical="center" wrapText="1"/>
      <protection/>
    </xf>
    <xf numFmtId="179" fontId="1" fillId="0" borderId="11" xfId="45" applyFont="1" applyFill="1" applyBorder="1" applyAlignment="1" applyProtection="1">
      <alignment vertical="center" wrapText="1"/>
      <protection/>
    </xf>
    <xf numFmtId="0" fontId="74" fillId="34" borderId="11" xfId="0" applyFont="1" applyFill="1" applyBorder="1" applyAlignment="1">
      <alignment horizontal="center" vertical="top" wrapText="1"/>
    </xf>
    <xf numFmtId="0" fontId="76" fillId="0" borderId="11" xfId="0" applyNumberFormat="1" applyFont="1" applyFill="1" applyBorder="1" applyAlignment="1" quotePrefix="1">
      <alignment horizontal="center" vertical="top" wrapText="1"/>
    </xf>
    <xf numFmtId="0" fontId="15" fillId="0" borderId="11" xfId="45" applyNumberFormat="1" applyFont="1" applyFill="1" applyBorder="1" applyAlignment="1">
      <alignment horizontal="center" vertical="center" wrapText="1"/>
    </xf>
    <xf numFmtId="0" fontId="73" fillId="0" borderId="11" xfId="45" applyNumberFormat="1" applyFont="1" applyFill="1" applyBorder="1" applyAlignment="1">
      <alignment horizontal="center" vertical="center" wrapText="1"/>
    </xf>
    <xf numFmtId="0" fontId="1" fillId="0" borderId="11" xfId="45" applyNumberFormat="1" applyFont="1" applyFill="1" applyBorder="1" applyAlignment="1">
      <alignment horizontal="center" vertical="center" wrapText="1"/>
    </xf>
    <xf numFmtId="0" fontId="16" fillId="0" borderId="11" xfId="45" applyNumberFormat="1" applyFont="1" applyFill="1" applyBorder="1" applyAlignment="1">
      <alignment horizontal="center" vertical="center" wrapText="1"/>
    </xf>
    <xf numFmtId="0" fontId="73" fillId="0" borderId="11" xfId="45" applyNumberFormat="1" applyFont="1" applyFill="1" applyBorder="1" applyAlignment="1" applyProtection="1">
      <alignment horizontal="center" vertical="center" wrapText="1"/>
      <protection/>
    </xf>
    <xf numFmtId="0" fontId="1" fillId="0" borderId="11" xfId="45" applyNumberFormat="1" applyFont="1" applyFill="1" applyBorder="1" applyAlignment="1" applyProtection="1">
      <alignment horizontal="center" vertical="center" wrapText="1"/>
      <protection/>
    </xf>
    <xf numFmtId="179" fontId="16" fillId="0" borderId="11" xfId="45" applyFont="1" applyFill="1" applyBorder="1" applyAlignment="1">
      <alignment horizontal="center" vertical="top" wrapText="1"/>
    </xf>
    <xf numFmtId="0" fontId="73" fillId="0" borderId="11" xfId="0" applyFont="1" applyFill="1" applyBorder="1" applyAlignment="1">
      <alignment horizontal="center" vertical="top" wrapText="1"/>
    </xf>
    <xf numFmtId="193" fontId="15" fillId="0" borderId="11" xfId="45" applyNumberFormat="1" applyFont="1" applyFill="1" applyBorder="1" applyAlignment="1" applyProtection="1">
      <alignment horizontal="left" vertical="top" wrapText="1"/>
      <protection/>
    </xf>
    <xf numFmtId="179" fontId="15" fillId="0" borderId="11" xfId="45" applyFont="1" applyFill="1" applyBorder="1" applyAlignment="1" applyProtection="1">
      <alignment vertical="center" wrapText="1"/>
      <protection/>
    </xf>
    <xf numFmtId="179" fontId="16" fillId="0" borderId="11" xfId="45" applyFont="1" applyFill="1" applyBorder="1" applyAlignment="1" applyProtection="1">
      <alignment vertical="center" wrapText="1"/>
      <protection/>
    </xf>
    <xf numFmtId="179" fontId="16" fillId="0" borderId="11" xfId="45" applyFont="1" applyFill="1" applyBorder="1" applyAlignment="1" applyProtection="1">
      <alignment vertical="top" wrapText="1"/>
      <protection/>
    </xf>
    <xf numFmtId="0" fontId="13" fillId="0" borderId="11" xfId="0" applyFont="1" applyFill="1" applyBorder="1" applyAlignment="1">
      <alignment/>
    </xf>
    <xf numFmtId="194" fontId="1" fillId="0" borderId="11" xfId="45" applyNumberFormat="1" applyFont="1" applyFill="1" applyBorder="1" applyAlignment="1" applyProtection="1">
      <alignment vertical="top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192" fontId="1" fillId="0" borderId="11" xfId="45" applyNumberFormat="1" applyFont="1" applyFill="1" applyBorder="1" applyAlignment="1" applyProtection="1">
      <alignment wrapText="1"/>
      <protection/>
    </xf>
    <xf numFmtId="192" fontId="1" fillId="0" borderId="11" xfId="45" applyNumberFormat="1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>
      <alignment vertical="top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2" fontId="77" fillId="0" borderId="11" xfId="0" applyNumberFormat="1" applyFont="1" applyFill="1" applyBorder="1" applyAlignment="1">
      <alignment horizontal="center" vertical="top" wrapText="1"/>
    </xf>
    <xf numFmtId="179" fontId="1" fillId="0" borderId="11" xfId="45" applyNumberFormat="1" applyFont="1" applyFill="1" applyBorder="1" applyAlignment="1" applyProtection="1">
      <alignment vertical="top" wrapText="1"/>
      <protection/>
    </xf>
    <xf numFmtId="0" fontId="74" fillId="32" borderId="11" xfId="55" applyNumberFormat="1" applyFont="1" applyFill="1" applyBorder="1" applyAlignment="1" applyProtection="1">
      <alignment horizontal="center" vertical="top" wrapText="1"/>
      <protection/>
    </xf>
    <xf numFmtId="0" fontId="74" fillId="0" borderId="11" xfId="45" applyNumberFormat="1" applyFont="1" applyFill="1" applyBorder="1" applyAlignment="1" applyProtection="1">
      <alignment horizontal="center" vertical="center" wrapText="1"/>
      <protection/>
    </xf>
    <xf numFmtId="0" fontId="31" fillId="0" borderId="11" xfId="45" applyNumberFormat="1" applyFont="1" applyFill="1" applyBorder="1" applyAlignment="1" applyProtection="1">
      <alignment horizontal="center" vertical="top" wrapText="1"/>
      <protection/>
    </xf>
    <xf numFmtId="0" fontId="31" fillId="0" borderId="11" xfId="45" applyNumberFormat="1" applyFont="1" applyFill="1" applyBorder="1" applyAlignment="1" applyProtection="1">
      <alignment horizontal="center" vertical="top"/>
      <protection/>
    </xf>
    <xf numFmtId="0" fontId="15" fillId="0" borderId="11" xfId="0" applyFont="1" applyFill="1" applyBorder="1" applyAlignment="1">
      <alignment vertical="justify" wrapText="1"/>
    </xf>
    <xf numFmtId="0" fontId="1" fillId="0" borderId="11" xfId="0" applyFont="1" applyFill="1" applyBorder="1" applyAlignment="1">
      <alignment horizontal="center" vertical="top"/>
    </xf>
    <xf numFmtId="0" fontId="15" fillId="0" borderId="11" xfId="0" applyNumberFormat="1" applyFont="1" applyFill="1" applyBorder="1" applyAlignment="1">
      <alignment horizontal="center" vertical="top"/>
    </xf>
    <xf numFmtId="187" fontId="15" fillId="0" borderId="11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7" fontId="74" fillId="34" borderId="11" xfId="0" applyNumberFormat="1" applyFont="1" applyFill="1" applyBorder="1" applyAlignment="1">
      <alignment horizontal="center" vertical="top" wrapText="1"/>
    </xf>
    <xf numFmtId="0" fontId="73" fillId="0" borderId="11" xfId="0" applyFont="1" applyFill="1" applyBorder="1" applyAlignment="1">
      <alignment vertical="top" wrapText="1"/>
    </xf>
    <xf numFmtId="0" fontId="73" fillId="0" borderId="11" xfId="0" applyFont="1" applyFill="1" applyBorder="1" applyAlignment="1" applyProtection="1">
      <alignment horizontal="left" vertical="top" wrapText="1"/>
      <protection/>
    </xf>
    <xf numFmtId="0" fontId="73" fillId="0" borderId="11" xfId="0" applyFont="1" applyBorder="1" applyAlignment="1">
      <alignment vertical="top" wrapText="1"/>
    </xf>
    <xf numFmtId="0" fontId="73" fillId="0" borderId="11" xfId="61" applyFont="1" applyFill="1" applyBorder="1" applyAlignment="1" applyProtection="1">
      <alignment vertical="top" wrapText="1"/>
      <protection/>
    </xf>
    <xf numFmtId="0" fontId="73" fillId="0" borderId="11" xfId="0" applyFont="1" applyFill="1" applyBorder="1" applyAlignment="1">
      <alignment horizontal="left" vertical="center" wrapText="1"/>
    </xf>
    <xf numFmtId="0" fontId="73" fillId="0" borderId="11" xfId="61" applyFont="1" applyFill="1" applyBorder="1" applyAlignment="1" applyProtection="1">
      <alignment horizontal="left" vertical="top" wrapText="1"/>
      <protection/>
    </xf>
    <xf numFmtId="0" fontId="73" fillId="0" borderId="11" xfId="0" applyFont="1" applyBorder="1" applyAlignment="1">
      <alignment horizontal="left" vertical="top" wrapText="1"/>
    </xf>
    <xf numFmtId="0" fontId="78" fillId="0" borderId="11" xfId="0" applyFont="1" applyFill="1" applyBorder="1" applyAlignment="1">
      <alignment horizontal="left" vertical="top" wrapText="1"/>
    </xf>
    <xf numFmtId="0" fontId="29" fillId="0" borderId="11" xfId="0" applyFont="1" applyBorder="1" applyAlignment="1">
      <alignment vertical="top" wrapText="1"/>
    </xf>
    <xf numFmtId="0" fontId="15" fillId="0" borderId="11" xfId="45" applyNumberFormat="1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left" vertical="top" wrapText="1"/>
    </xf>
    <xf numFmtId="179" fontId="74" fillId="0" borderId="11" xfId="45" applyFont="1" applyFill="1" applyBorder="1" applyAlignment="1" applyProtection="1">
      <alignment vertical="center" wrapText="1"/>
      <protection/>
    </xf>
    <xf numFmtId="0" fontId="15" fillId="0" borderId="11" xfId="0" applyNumberFormat="1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right" vertical="top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2" fontId="15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206" fontId="1" fillId="0" borderId="0" xfId="42" applyNumberFormat="1" applyFont="1" applyFill="1" applyAlignment="1" applyProtection="1">
      <alignment horizontal="right"/>
      <protection/>
    </xf>
    <xf numFmtId="206" fontId="1" fillId="0" borderId="0" xfId="42" applyNumberFormat="1" applyFont="1" applyFill="1" applyAlignment="1" applyProtection="1">
      <alignment horizontal="left"/>
      <protection/>
    </xf>
    <xf numFmtId="0" fontId="0" fillId="0" borderId="0" xfId="0" applyAlignment="1">
      <alignment horizontal="left"/>
    </xf>
    <xf numFmtId="206" fontId="1" fillId="0" borderId="20" xfId="42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1" fillId="0" borderId="0" xfId="62" applyFont="1" applyAlignment="1" applyProtection="1">
      <alignment horizontal="left"/>
      <protection/>
    </xf>
    <xf numFmtId="0" fontId="0" fillId="0" borderId="0" xfId="0" applyAlignment="1">
      <alignment/>
    </xf>
    <xf numFmtId="206" fontId="1" fillId="0" borderId="0" xfId="71" applyNumberFormat="1" applyFont="1" applyFill="1" applyAlignment="1" applyProtection="1">
      <alignment horizontal="right"/>
      <protection/>
    </xf>
    <xf numFmtId="206" fontId="15" fillId="0" borderId="0" xfId="71" applyNumberFormat="1" applyFont="1" applyFill="1" applyAlignment="1" applyProtection="1">
      <alignment horizontal="left"/>
      <protection/>
    </xf>
    <xf numFmtId="0" fontId="18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0" fontId="1" fillId="0" borderId="0" xfId="0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1" fillId="0" borderId="11" xfId="0" applyFont="1" applyBorder="1" applyAlignment="1" quotePrefix="1">
      <alignment horizontal="center" vertical="center" wrapText="1"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7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3" xfId="60"/>
    <cellStyle name="Normal 3 2" xfId="61"/>
    <cellStyle name="Normal_gare wyalsadfenigagarini 2_SMSH2008-IIkv ." xfId="62"/>
    <cellStyle name="Note" xfId="63"/>
    <cellStyle name="Output" xfId="64"/>
    <cellStyle name="Percent" xfId="65"/>
    <cellStyle name="Percent 3" xfId="66"/>
    <cellStyle name="Title" xfId="67"/>
    <cellStyle name="Total" xfId="68"/>
    <cellStyle name="Warning Text" xfId="69"/>
    <cellStyle name="Процентный 2" xfId="70"/>
    <cellStyle name="Финансовый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idashare\architeqtura\Documents%20and%20Settings\Zeinabi\My%20Documents\ZEINABI\ZIEN\VAJA\KSELIl-GUDAURI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"/>
      <sheetName val="gare wyalsaden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821"/>
  <sheetViews>
    <sheetView showZeros="0" tabSelected="1" zoomScalePageLayoutView="0" workbookViewId="0" topLeftCell="A1">
      <pane ySplit="8" topLeftCell="A608" activePane="bottomLeft" state="frozen"/>
      <selection pane="topLeft" activeCell="A1" sqref="A1"/>
      <selection pane="bottomLeft" activeCell="B618" sqref="B618"/>
    </sheetView>
  </sheetViews>
  <sheetFormatPr defaultColWidth="9.00390625" defaultRowHeight="12.75"/>
  <cols>
    <col min="1" max="1" width="4.75390625" style="13" customWidth="1"/>
    <col min="2" max="2" width="47.25390625" style="13" customWidth="1"/>
    <col min="3" max="3" width="7.75390625" style="13" customWidth="1"/>
    <col min="4" max="4" width="10.625" style="13" bestFit="1" customWidth="1"/>
    <col min="5" max="5" width="11.625" style="13" customWidth="1"/>
    <col min="6" max="6" width="12.375" style="13" bestFit="1" customWidth="1"/>
    <col min="7" max="7" width="8.00390625" style="13" customWidth="1"/>
    <col min="8" max="8" width="11.625" style="13" customWidth="1"/>
    <col min="9" max="9" width="8.75390625" style="13" bestFit="1" customWidth="1"/>
    <col min="10" max="10" width="9.75390625" style="13" bestFit="1" customWidth="1"/>
    <col min="11" max="11" width="12.375" style="13" bestFit="1" customWidth="1"/>
    <col min="12" max="12" width="11.75390625" style="13" customWidth="1"/>
    <col min="13" max="13" width="12.375" style="13" bestFit="1" customWidth="1"/>
    <col min="14" max="16384" width="9.125" style="13" customWidth="1"/>
  </cols>
  <sheetData>
    <row r="1" spans="1:11" s="14" customFormat="1" ht="18.75" customHeight="1">
      <c r="A1" s="373" t="s">
        <v>561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</row>
    <row r="2" spans="1:11" s="14" customFormat="1" ht="16.5" customHeight="1">
      <c r="A2" s="376"/>
      <c r="B2" s="377"/>
      <c r="C2" s="377"/>
      <c r="D2" s="377"/>
      <c r="E2" s="377"/>
      <c r="F2" s="377"/>
      <c r="G2" s="377"/>
      <c r="H2" s="377"/>
      <c r="I2" s="377"/>
      <c r="J2" s="377"/>
      <c r="K2" s="377"/>
    </row>
    <row r="3" spans="1:10" s="69" customFormat="1" ht="13.5">
      <c r="A3" s="66"/>
      <c r="B3" s="197"/>
      <c r="C3" s="67"/>
      <c r="D3" s="378" t="s">
        <v>79</v>
      </c>
      <c r="E3" s="378"/>
      <c r="F3" s="378"/>
      <c r="G3" s="378"/>
      <c r="H3" s="379">
        <f>K297</f>
        <v>0</v>
      </c>
      <c r="I3" s="380"/>
      <c r="J3" s="68" t="s">
        <v>11</v>
      </c>
    </row>
    <row r="4" spans="1:10" s="69" customFormat="1" ht="13.5">
      <c r="A4" s="70"/>
      <c r="B4" s="197"/>
      <c r="C4" s="71"/>
      <c r="D4" s="68"/>
      <c r="E4" s="381" t="s">
        <v>80</v>
      </c>
      <c r="F4" s="381"/>
      <c r="G4" s="381"/>
      <c r="H4" s="378">
        <f>H297</f>
        <v>0</v>
      </c>
      <c r="I4" s="382"/>
      <c r="J4" s="68" t="s">
        <v>11</v>
      </c>
    </row>
    <row r="5" spans="1:10" s="69" customFormat="1" ht="13.5">
      <c r="A5" s="66"/>
      <c r="B5" s="385" t="s">
        <v>390</v>
      </c>
      <c r="C5" s="386"/>
      <c r="D5" s="387"/>
      <c r="E5" s="387"/>
      <c r="F5" s="387"/>
      <c r="G5" s="387"/>
      <c r="H5" s="388"/>
      <c r="I5" s="389"/>
      <c r="J5" s="228"/>
    </row>
    <row r="6" spans="1:11" ht="43.5" customHeight="1">
      <c r="A6" s="392" t="s">
        <v>22</v>
      </c>
      <c r="B6" s="394" t="s">
        <v>23</v>
      </c>
      <c r="C6" s="396" t="s">
        <v>12</v>
      </c>
      <c r="D6" s="396" t="s">
        <v>383</v>
      </c>
      <c r="E6" s="399" t="s">
        <v>13</v>
      </c>
      <c r="F6" s="400"/>
      <c r="G6" s="374" t="s">
        <v>14</v>
      </c>
      <c r="H6" s="375"/>
      <c r="I6" s="374" t="s">
        <v>15</v>
      </c>
      <c r="J6" s="375"/>
      <c r="K6" s="383" t="s">
        <v>16</v>
      </c>
    </row>
    <row r="7" spans="1:11" ht="27">
      <c r="A7" s="393"/>
      <c r="B7" s="395"/>
      <c r="C7" s="397"/>
      <c r="D7" s="398"/>
      <c r="E7" s="12" t="s">
        <v>18</v>
      </c>
      <c r="F7" s="10" t="s">
        <v>16</v>
      </c>
      <c r="G7" s="11" t="s">
        <v>18</v>
      </c>
      <c r="H7" s="10" t="s">
        <v>16</v>
      </c>
      <c r="I7" s="11" t="s">
        <v>18</v>
      </c>
      <c r="J7" s="10" t="s">
        <v>16</v>
      </c>
      <c r="K7" s="384"/>
    </row>
    <row r="8" spans="1:11" s="18" customFormat="1" ht="15">
      <c r="A8" s="5" t="s">
        <v>19</v>
      </c>
      <c r="B8" s="5">
        <v>2</v>
      </c>
      <c r="C8" s="5">
        <v>3</v>
      </c>
      <c r="D8" s="6">
        <v>4</v>
      </c>
      <c r="E8" s="7" t="s">
        <v>31</v>
      </c>
      <c r="F8" s="8">
        <v>6</v>
      </c>
      <c r="G8" s="6">
        <v>7</v>
      </c>
      <c r="H8" s="8">
        <v>8</v>
      </c>
      <c r="I8" s="6">
        <v>9</v>
      </c>
      <c r="J8" s="8">
        <v>10</v>
      </c>
      <c r="K8" s="8">
        <v>11</v>
      </c>
    </row>
    <row r="9" spans="1:12" ht="20.25" customHeight="1">
      <c r="A9" s="5"/>
      <c r="B9" s="258" t="s">
        <v>567</v>
      </c>
      <c r="C9" s="296"/>
      <c r="D9" s="6"/>
      <c r="E9" s="297"/>
      <c r="F9" s="8"/>
      <c r="G9" s="6"/>
      <c r="H9" s="8"/>
      <c r="I9" s="6"/>
      <c r="J9" s="8"/>
      <c r="K9" s="8"/>
      <c r="L9" s="18"/>
    </row>
    <row r="10" spans="1:12" ht="15.75" customHeight="1">
      <c r="A10" s="85">
        <v>1</v>
      </c>
      <c r="B10" s="144" t="s">
        <v>562</v>
      </c>
      <c r="C10" s="85" t="s">
        <v>26</v>
      </c>
      <c r="D10" s="113">
        <f>9346.4+125.3+83.5+181.6</f>
        <v>9736.8</v>
      </c>
      <c r="E10" s="86"/>
      <c r="F10" s="209"/>
      <c r="G10" s="88"/>
      <c r="H10" s="89"/>
      <c r="I10" s="88"/>
      <c r="J10" s="89"/>
      <c r="K10" s="89"/>
      <c r="L10" s="41"/>
    </row>
    <row r="11" spans="1:12" s="15" customFormat="1" ht="18" customHeight="1">
      <c r="A11" s="85">
        <v>2</v>
      </c>
      <c r="B11" s="95" t="s">
        <v>563</v>
      </c>
      <c r="C11" s="87" t="s">
        <v>26</v>
      </c>
      <c r="D11" s="92">
        <v>178</v>
      </c>
      <c r="E11" s="87"/>
      <c r="F11" s="89"/>
      <c r="G11" s="88"/>
      <c r="H11" s="89"/>
      <c r="I11" s="88"/>
      <c r="J11" s="89"/>
      <c r="K11" s="89"/>
      <c r="L11" s="32"/>
    </row>
    <row r="12" spans="1:12" s="33" customFormat="1" ht="40.5" customHeight="1">
      <c r="A12" s="85">
        <v>3</v>
      </c>
      <c r="B12" s="144" t="s">
        <v>564</v>
      </c>
      <c r="C12" s="85" t="s">
        <v>26</v>
      </c>
      <c r="D12" s="113">
        <f>D10*0.328/1.9+D11</f>
        <v>1858.8791578947369</v>
      </c>
      <c r="E12" s="86"/>
      <c r="F12" s="209"/>
      <c r="G12" s="88"/>
      <c r="H12" s="89"/>
      <c r="I12" s="88"/>
      <c r="J12" s="89"/>
      <c r="K12" s="89"/>
      <c r="L12" s="41"/>
    </row>
    <row r="13" spans="1:12" s="33" customFormat="1" ht="14.25" customHeight="1">
      <c r="A13" s="249">
        <v>4</v>
      </c>
      <c r="B13" s="255" t="s">
        <v>565</v>
      </c>
      <c r="C13" s="298" t="s">
        <v>34</v>
      </c>
      <c r="D13" s="354">
        <f>D10*0.328+D11*2.4</f>
        <v>3620.8704</v>
      </c>
      <c r="E13" s="299"/>
      <c r="F13" s="250"/>
      <c r="G13" s="251"/>
      <c r="H13" s="250"/>
      <c r="I13" s="250"/>
      <c r="J13" s="250">
        <f>D13*I13</f>
        <v>0</v>
      </c>
      <c r="K13" s="250">
        <f>F13+H13+J13</f>
        <v>0</v>
      </c>
      <c r="L13" s="41"/>
    </row>
    <row r="14" spans="1:12" s="33" customFormat="1" ht="13.5" customHeight="1">
      <c r="A14" s="4">
        <v>5</v>
      </c>
      <c r="B14" s="239" t="s">
        <v>566</v>
      </c>
      <c r="C14" s="1" t="s">
        <v>26</v>
      </c>
      <c r="D14" s="257">
        <f>D12</f>
        <v>1858.8791578947369</v>
      </c>
      <c r="E14" s="1"/>
      <c r="F14" s="2"/>
      <c r="G14" s="3"/>
      <c r="H14" s="2"/>
      <c r="I14" s="3"/>
      <c r="J14" s="2"/>
      <c r="K14" s="2"/>
      <c r="L14" s="40"/>
    </row>
    <row r="15" spans="1:12" s="33" customFormat="1" ht="15" customHeight="1">
      <c r="A15" s="124"/>
      <c r="B15" s="97" t="s">
        <v>16</v>
      </c>
      <c r="C15" s="91"/>
      <c r="D15" s="125"/>
      <c r="E15" s="93"/>
      <c r="F15" s="93">
        <f>SUM(F10:F14)</f>
        <v>0</v>
      </c>
      <c r="G15" s="93"/>
      <c r="H15" s="93">
        <f>SUM(H10:H14)</f>
        <v>0</v>
      </c>
      <c r="I15" s="93"/>
      <c r="J15" s="93">
        <f>SUM(J10:J14)</f>
        <v>0</v>
      </c>
      <c r="K15" s="93">
        <f>SUM(K10:K14)</f>
        <v>0</v>
      </c>
      <c r="L15" s="34"/>
    </row>
    <row r="16" spans="1:11" ht="13.5">
      <c r="A16" s="127"/>
      <c r="B16" s="119" t="s">
        <v>97</v>
      </c>
      <c r="C16" s="120"/>
      <c r="D16" s="268"/>
      <c r="E16" s="93"/>
      <c r="F16" s="93">
        <f>F15*C16</f>
        <v>0</v>
      </c>
      <c r="G16" s="93"/>
      <c r="H16" s="93">
        <f>H15*C16</f>
        <v>0</v>
      </c>
      <c r="I16" s="93"/>
      <c r="J16" s="93">
        <f>J15*C16</f>
        <v>0</v>
      </c>
      <c r="K16" s="93">
        <f>K15*C16</f>
        <v>0</v>
      </c>
    </row>
    <row r="17" spans="1:11" ht="13.5">
      <c r="A17" s="127"/>
      <c r="B17" s="97" t="s">
        <v>16</v>
      </c>
      <c r="C17" s="128"/>
      <c r="D17" s="300"/>
      <c r="E17" s="128"/>
      <c r="F17" s="129">
        <f>F15+F16</f>
        <v>0</v>
      </c>
      <c r="G17" s="129"/>
      <c r="H17" s="129">
        <f>H15+H16</f>
        <v>0</v>
      </c>
      <c r="I17" s="129"/>
      <c r="J17" s="129">
        <f>J15+J16</f>
        <v>0</v>
      </c>
      <c r="K17" s="129">
        <f>K15+K16</f>
        <v>0</v>
      </c>
    </row>
    <row r="18" spans="1:11" s="61" customFormat="1" ht="13.5">
      <c r="A18" s="127"/>
      <c r="B18" s="119" t="s">
        <v>98</v>
      </c>
      <c r="C18" s="120"/>
      <c r="D18" s="300"/>
      <c r="E18" s="128"/>
      <c r="F18" s="129">
        <f>F17*C18</f>
        <v>0</v>
      </c>
      <c r="G18" s="129"/>
      <c r="H18" s="129">
        <f>H17*C18</f>
        <v>0</v>
      </c>
      <c r="I18" s="129"/>
      <c r="J18" s="129">
        <f>J17*C18</f>
        <v>0</v>
      </c>
      <c r="K18" s="129">
        <f>K17*C18</f>
        <v>0</v>
      </c>
    </row>
    <row r="19" spans="1:11" ht="13.5">
      <c r="A19" s="115"/>
      <c r="B19" s="97" t="s">
        <v>568</v>
      </c>
      <c r="C19" s="100"/>
      <c r="D19" s="301"/>
      <c r="E19" s="100"/>
      <c r="F19" s="101">
        <f>F17+F18</f>
        <v>0</v>
      </c>
      <c r="G19" s="101"/>
      <c r="H19" s="101">
        <f>H17+H18</f>
        <v>0</v>
      </c>
      <c r="I19" s="101"/>
      <c r="J19" s="101">
        <f>J17+J18</f>
        <v>0</v>
      </c>
      <c r="K19" s="101">
        <f>K17+K18</f>
        <v>0</v>
      </c>
    </row>
    <row r="20" spans="1:12" s="33" customFormat="1" ht="18" customHeight="1">
      <c r="A20" s="85"/>
      <c r="B20" s="258" t="s">
        <v>603</v>
      </c>
      <c r="C20" s="87"/>
      <c r="D20" s="227"/>
      <c r="E20" s="227"/>
      <c r="F20" s="227"/>
      <c r="G20" s="227"/>
      <c r="H20" s="227"/>
      <c r="I20" s="227"/>
      <c r="J20" s="227"/>
      <c r="K20" s="227"/>
      <c r="L20" s="42"/>
    </row>
    <row r="21" spans="1:12" s="33" customFormat="1" ht="18" customHeight="1">
      <c r="A21" s="85"/>
      <c r="B21" s="258" t="s">
        <v>569</v>
      </c>
      <c r="C21" s="87"/>
      <c r="D21" s="227"/>
      <c r="E21" s="227"/>
      <c r="F21" s="227"/>
      <c r="G21" s="227"/>
      <c r="H21" s="227"/>
      <c r="I21" s="227"/>
      <c r="J21" s="227"/>
      <c r="K21" s="227"/>
      <c r="L21" s="42"/>
    </row>
    <row r="22" spans="1:12" s="33" customFormat="1" ht="18" customHeight="1">
      <c r="A22" s="224"/>
      <c r="B22" s="238" t="s">
        <v>0</v>
      </c>
      <c r="C22" s="87"/>
      <c r="D22" s="88"/>
      <c r="E22" s="87"/>
      <c r="F22" s="89"/>
      <c r="G22" s="88"/>
      <c r="H22" s="89"/>
      <c r="I22" s="88"/>
      <c r="J22" s="89"/>
      <c r="K22" s="89"/>
      <c r="L22" s="42"/>
    </row>
    <row r="23" spans="1:12" s="15" customFormat="1" ht="28.5" customHeight="1">
      <c r="A23" s="87">
        <v>1</v>
      </c>
      <c r="B23" s="86" t="s">
        <v>403</v>
      </c>
      <c r="C23" s="87" t="s">
        <v>26</v>
      </c>
      <c r="D23" s="240">
        <f>7430+530</f>
        <v>7960</v>
      </c>
      <c r="E23" s="87"/>
      <c r="F23" s="89"/>
      <c r="G23" s="88"/>
      <c r="H23" s="89"/>
      <c r="I23" s="88"/>
      <c r="J23" s="89"/>
      <c r="K23" s="89"/>
      <c r="L23" s="32"/>
    </row>
    <row r="24" spans="1:12" s="15" customFormat="1" ht="18" customHeight="1">
      <c r="A24" s="87">
        <v>2</v>
      </c>
      <c r="B24" s="86" t="s">
        <v>404</v>
      </c>
      <c r="C24" s="87" t="s">
        <v>26</v>
      </c>
      <c r="D24" s="240">
        <f>7430+530</f>
        <v>7960</v>
      </c>
      <c r="E24" s="87"/>
      <c r="F24" s="89"/>
      <c r="G24" s="89"/>
      <c r="H24" s="89"/>
      <c r="I24" s="89"/>
      <c r="J24" s="89"/>
      <c r="K24" s="89">
        <f>F24+H24+J24</f>
        <v>0</v>
      </c>
      <c r="L24" s="43"/>
    </row>
    <row r="25" spans="1:12" s="15" customFormat="1" ht="13.5">
      <c r="A25" s="87">
        <v>3</v>
      </c>
      <c r="B25" s="86" t="s">
        <v>1</v>
      </c>
      <c r="C25" s="87" t="s">
        <v>26</v>
      </c>
      <c r="D25" s="240">
        <f>D23</f>
        <v>7960</v>
      </c>
      <c r="E25" s="87"/>
      <c r="F25" s="89"/>
      <c r="G25" s="88"/>
      <c r="H25" s="89"/>
      <c r="I25" s="88"/>
      <c r="J25" s="89"/>
      <c r="K25" s="89"/>
      <c r="L25" s="42"/>
    </row>
    <row r="26" spans="1:12" s="51" customFormat="1" ht="27">
      <c r="A26" s="87">
        <v>4</v>
      </c>
      <c r="B26" s="86" t="s">
        <v>103</v>
      </c>
      <c r="C26" s="87" t="s">
        <v>26</v>
      </c>
      <c r="D26" s="240">
        <v>3343</v>
      </c>
      <c r="E26" s="87"/>
      <c r="F26" s="89"/>
      <c r="G26" s="88"/>
      <c r="H26" s="89"/>
      <c r="I26" s="88"/>
      <c r="J26" s="89"/>
      <c r="K26" s="89"/>
      <c r="L26" s="42"/>
    </row>
    <row r="27" spans="1:12" s="15" customFormat="1" ht="27.75" customHeight="1">
      <c r="A27" s="87">
        <v>5</v>
      </c>
      <c r="B27" s="86" t="s">
        <v>405</v>
      </c>
      <c r="C27" s="87" t="s">
        <v>26</v>
      </c>
      <c r="D27" s="92">
        <v>585</v>
      </c>
      <c r="E27" s="87"/>
      <c r="F27" s="89"/>
      <c r="G27" s="88"/>
      <c r="H27" s="89"/>
      <c r="I27" s="88"/>
      <c r="J27" s="89"/>
      <c r="K27" s="89"/>
      <c r="L27" s="32"/>
    </row>
    <row r="28" spans="1:12" s="15" customFormat="1" ht="29.25" customHeight="1">
      <c r="A28" s="87">
        <v>6</v>
      </c>
      <c r="B28" s="86" t="s">
        <v>406</v>
      </c>
      <c r="C28" s="87" t="s">
        <v>26</v>
      </c>
      <c r="D28" s="92">
        <v>1932</v>
      </c>
      <c r="E28" s="87"/>
      <c r="F28" s="89"/>
      <c r="G28" s="88"/>
      <c r="H28" s="89"/>
      <c r="I28" s="88"/>
      <c r="J28" s="89"/>
      <c r="K28" s="89"/>
      <c r="L28" s="32"/>
    </row>
    <row r="29" spans="1:12" s="51" customFormat="1" ht="40.5">
      <c r="A29" s="87">
        <v>7</v>
      </c>
      <c r="B29" s="86" t="s">
        <v>407</v>
      </c>
      <c r="C29" s="87" t="s">
        <v>26</v>
      </c>
      <c r="D29" s="240">
        <v>780</v>
      </c>
      <c r="E29" s="87"/>
      <c r="F29" s="89"/>
      <c r="G29" s="88"/>
      <c r="H29" s="89"/>
      <c r="I29" s="88"/>
      <c r="J29" s="89"/>
      <c r="K29" s="89"/>
      <c r="L29" s="42"/>
    </row>
    <row r="30" spans="1:12" s="51" customFormat="1" ht="27.75" customHeight="1">
      <c r="A30" s="87">
        <v>8</v>
      </c>
      <c r="B30" s="133" t="s">
        <v>408</v>
      </c>
      <c r="C30" s="85" t="s">
        <v>26</v>
      </c>
      <c r="D30" s="302">
        <v>260</v>
      </c>
      <c r="E30" s="87"/>
      <c r="F30" s="89"/>
      <c r="G30" s="88"/>
      <c r="H30" s="89"/>
      <c r="I30" s="88"/>
      <c r="J30" s="89"/>
      <c r="K30" s="89">
        <f>F30+H30+J30</f>
        <v>0</v>
      </c>
      <c r="L30" s="42"/>
    </row>
    <row r="31" spans="1:12" s="15" customFormat="1" ht="13.5">
      <c r="A31" s="87">
        <v>9</v>
      </c>
      <c r="B31" s="86" t="s">
        <v>409</v>
      </c>
      <c r="C31" s="87" t="s">
        <v>26</v>
      </c>
      <c r="D31" s="92">
        <v>690</v>
      </c>
      <c r="E31" s="87"/>
      <c r="F31" s="89"/>
      <c r="G31" s="88"/>
      <c r="H31" s="89"/>
      <c r="I31" s="88"/>
      <c r="J31" s="89"/>
      <c r="K31" s="89"/>
      <c r="L31" s="32"/>
    </row>
    <row r="32" spans="1:12" s="15" customFormat="1" ht="13.5">
      <c r="A32" s="87">
        <v>10</v>
      </c>
      <c r="B32" s="86" t="s">
        <v>105</v>
      </c>
      <c r="C32" s="87" t="s">
        <v>26</v>
      </c>
      <c r="D32" s="92">
        <v>3343</v>
      </c>
      <c r="E32" s="87"/>
      <c r="F32" s="89"/>
      <c r="G32" s="88"/>
      <c r="H32" s="89"/>
      <c r="I32" s="88"/>
      <c r="J32" s="89"/>
      <c r="K32" s="89"/>
      <c r="L32" s="32"/>
    </row>
    <row r="33" spans="1:12" s="51" customFormat="1" ht="13.5">
      <c r="A33" s="87">
        <v>11</v>
      </c>
      <c r="B33" s="86" t="s">
        <v>139</v>
      </c>
      <c r="C33" s="87" t="s">
        <v>26</v>
      </c>
      <c r="D33" s="240">
        <v>585</v>
      </c>
      <c r="E33" s="87"/>
      <c r="F33" s="89"/>
      <c r="G33" s="88"/>
      <c r="H33" s="89"/>
      <c r="I33" s="88"/>
      <c r="J33" s="89"/>
      <c r="K33" s="89"/>
      <c r="L33" s="42"/>
    </row>
    <row r="34" spans="1:12" s="51" customFormat="1" ht="13.5">
      <c r="A34" s="87">
        <v>12</v>
      </c>
      <c r="B34" s="86" t="s">
        <v>410</v>
      </c>
      <c r="C34" s="87" t="s">
        <v>26</v>
      </c>
      <c r="D34" s="240">
        <v>2282</v>
      </c>
      <c r="E34" s="87"/>
      <c r="F34" s="89"/>
      <c r="G34" s="88"/>
      <c r="H34" s="89"/>
      <c r="I34" s="88"/>
      <c r="J34" s="89"/>
      <c r="K34" s="89"/>
      <c r="L34" s="42"/>
    </row>
    <row r="35" spans="1:12" s="51" customFormat="1" ht="16.5" customHeight="1">
      <c r="A35" s="87">
        <v>13</v>
      </c>
      <c r="B35" s="86" t="s">
        <v>101</v>
      </c>
      <c r="C35" s="87" t="s">
        <v>26</v>
      </c>
      <c r="D35" s="240">
        <f>D34+D33+D32</f>
        <v>6210</v>
      </c>
      <c r="E35" s="87"/>
      <c r="F35" s="89"/>
      <c r="G35" s="88"/>
      <c r="H35" s="89"/>
      <c r="I35" s="88"/>
      <c r="J35" s="89"/>
      <c r="K35" s="89"/>
      <c r="L35" s="42"/>
    </row>
    <row r="36" spans="1:13" s="15" customFormat="1" ht="13.5">
      <c r="A36" s="87"/>
      <c r="B36" s="145" t="s">
        <v>43</v>
      </c>
      <c r="C36" s="85"/>
      <c r="D36" s="89"/>
      <c r="E36" s="87"/>
      <c r="F36" s="113">
        <f>SUM(F23:F35)</f>
        <v>0</v>
      </c>
      <c r="G36" s="113"/>
      <c r="H36" s="113">
        <f>SUM(H23:H35)</f>
        <v>0</v>
      </c>
      <c r="I36" s="113"/>
      <c r="J36" s="113">
        <f>SUM(J23:J35)</f>
        <v>0</v>
      </c>
      <c r="K36" s="113">
        <f>SUM(K23:K35)</f>
        <v>0</v>
      </c>
      <c r="L36" s="42"/>
      <c r="M36" s="242"/>
    </row>
    <row r="37" spans="1:12" s="15" customFormat="1" ht="18.75" customHeight="1">
      <c r="A37" s="87"/>
      <c r="B37" s="238" t="s">
        <v>2</v>
      </c>
      <c r="C37" s="85"/>
      <c r="D37" s="89"/>
      <c r="E37" s="87"/>
      <c r="F37" s="89"/>
      <c r="G37" s="88"/>
      <c r="H37" s="89"/>
      <c r="I37" s="88"/>
      <c r="J37" s="89"/>
      <c r="K37" s="89"/>
      <c r="L37" s="42"/>
    </row>
    <row r="38" spans="1:12" s="15" customFormat="1" ht="13.5">
      <c r="A38" s="87">
        <v>14</v>
      </c>
      <c r="B38" s="201" t="s">
        <v>411</v>
      </c>
      <c r="C38" s="87" t="s">
        <v>26</v>
      </c>
      <c r="D38" s="240">
        <v>400</v>
      </c>
      <c r="E38" s="87"/>
      <c r="F38" s="89"/>
      <c r="G38" s="88"/>
      <c r="H38" s="89"/>
      <c r="I38" s="88"/>
      <c r="J38" s="89"/>
      <c r="K38" s="89"/>
      <c r="L38" s="42"/>
    </row>
    <row r="39" spans="1:12" s="51" customFormat="1" ht="13.5">
      <c r="A39" s="87">
        <v>15</v>
      </c>
      <c r="B39" s="198" t="s">
        <v>57</v>
      </c>
      <c r="C39" s="87" t="s">
        <v>26</v>
      </c>
      <c r="D39" s="240">
        <v>150</v>
      </c>
      <c r="E39" s="87"/>
      <c r="F39" s="89"/>
      <c r="G39" s="88"/>
      <c r="H39" s="89"/>
      <c r="I39" s="88"/>
      <c r="J39" s="89"/>
      <c r="K39" s="89"/>
      <c r="L39" s="42"/>
    </row>
    <row r="40" spans="1:12" s="15" customFormat="1" ht="27">
      <c r="A40" s="87">
        <v>16</v>
      </c>
      <c r="B40" s="86" t="s">
        <v>604</v>
      </c>
      <c r="C40" s="87" t="s">
        <v>26</v>
      </c>
      <c r="D40" s="240">
        <v>932</v>
      </c>
      <c r="E40" s="87"/>
      <c r="F40" s="89"/>
      <c r="G40" s="88"/>
      <c r="H40" s="89"/>
      <c r="I40" s="88"/>
      <c r="J40" s="89"/>
      <c r="K40" s="89"/>
      <c r="L40" s="42"/>
    </row>
    <row r="41" spans="1:12" s="33" customFormat="1" ht="14.25" customHeight="1">
      <c r="A41" s="87">
        <v>17</v>
      </c>
      <c r="B41" s="133" t="s">
        <v>77</v>
      </c>
      <c r="C41" s="85" t="s">
        <v>34</v>
      </c>
      <c r="D41" s="244">
        <v>9.24</v>
      </c>
      <c r="E41" s="87"/>
      <c r="F41" s="89"/>
      <c r="G41" s="88"/>
      <c r="H41" s="89"/>
      <c r="I41" s="88"/>
      <c r="J41" s="89"/>
      <c r="K41" s="89"/>
      <c r="L41" s="42"/>
    </row>
    <row r="42" spans="1:12" s="33" customFormat="1" ht="14.25" customHeight="1">
      <c r="A42" s="87">
        <v>18</v>
      </c>
      <c r="B42" s="133" t="s">
        <v>53</v>
      </c>
      <c r="C42" s="85" t="s">
        <v>34</v>
      </c>
      <c r="D42" s="248">
        <v>94.53</v>
      </c>
      <c r="E42" s="87"/>
      <c r="F42" s="89"/>
      <c r="G42" s="88"/>
      <c r="H42" s="89"/>
      <c r="I42" s="88"/>
      <c r="J42" s="89"/>
      <c r="K42" s="89"/>
      <c r="L42" s="42"/>
    </row>
    <row r="43" spans="1:12" s="15" customFormat="1" ht="29.25" customHeight="1">
      <c r="A43" s="87">
        <v>19</v>
      </c>
      <c r="B43" s="201" t="s">
        <v>329</v>
      </c>
      <c r="C43" s="87" t="s">
        <v>26</v>
      </c>
      <c r="D43" s="240">
        <v>85</v>
      </c>
      <c r="E43" s="87"/>
      <c r="F43" s="89"/>
      <c r="G43" s="88"/>
      <c r="H43" s="89"/>
      <c r="I43" s="88"/>
      <c r="J43" s="89"/>
      <c r="K43" s="89"/>
      <c r="L43" s="42"/>
    </row>
    <row r="44" spans="1:12" s="51" customFormat="1" ht="27">
      <c r="A44" s="87">
        <v>20</v>
      </c>
      <c r="B44" s="201" t="s">
        <v>605</v>
      </c>
      <c r="C44" s="87" t="s">
        <v>26</v>
      </c>
      <c r="D44" s="240">
        <v>14</v>
      </c>
      <c r="E44" s="87"/>
      <c r="F44" s="89"/>
      <c r="G44" s="88"/>
      <c r="H44" s="89"/>
      <c r="I44" s="88"/>
      <c r="J44" s="89"/>
      <c r="K44" s="89"/>
      <c r="L44" s="42"/>
    </row>
    <row r="45" spans="1:12" s="33" customFormat="1" ht="14.25" customHeight="1">
      <c r="A45" s="87">
        <v>21</v>
      </c>
      <c r="B45" s="358" t="s">
        <v>77</v>
      </c>
      <c r="C45" s="85" t="s">
        <v>34</v>
      </c>
      <c r="D45" s="244">
        <f>141/1000</f>
        <v>0.141</v>
      </c>
      <c r="E45" s="87"/>
      <c r="F45" s="89"/>
      <c r="G45" s="88"/>
      <c r="H45" s="89"/>
      <c r="I45" s="88"/>
      <c r="J45" s="89"/>
      <c r="K45" s="89"/>
      <c r="L45" s="42"/>
    </row>
    <row r="46" spans="1:12" s="33" customFormat="1" ht="14.25" customHeight="1">
      <c r="A46" s="87">
        <v>22</v>
      </c>
      <c r="B46" s="358" t="s">
        <v>53</v>
      </c>
      <c r="C46" s="85" t="s">
        <v>34</v>
      </c>
      <c r="D46" s="244">
        <f>937/1000</f>
        <v>0.937</v>
      </c>
      <c r="E46" s="87"/>
      <c r="F46" s="89"/>
      <c r="G46" s="88"/>
      <c r="H46" s="89"/>
      <c r="I46" s="88"/>
      <c r="J46" s="89"/>
      <c r="K46" s="89"/>
      <c r="L46" s="42"/>
    </row>
    <row r="47" spans="1:14" ht="13.5">
      <c r="A47" s="87"/>
      <c r="B47" s="145" t="s">
        <v>44</v>
      </c>
      <c r="C47" s="85"/>
      <c r="D47" s="89"/>
      <c r="E47" s="87"/>
      <c r="F47" s="113">
        <f>SUM(F38:F46)</f>
        <v>0</v>
      </c>
      <c r="G47" s="113"/>
      <c r="H47" s="113">
        <f>SUM(H38:H46)</f>
        <v>0</v>
      </c>
      <c r="I47" s="113"/>
      <c r="J47" s="113">
        <f>SUM(J38:J46)</f>
        <v>0</v>
      </c>
      <c r="K47" s="113">
        <f>SUM(K38:K46)</f>
        <v>0</v>
      </c>
      <c r="L47" s="241"/>
      <c r="M47" s="245"/>
      <c r="N47" s="246"/>
    </row>
    <row r="48" spans="1:12" ht="19.5" customHeight="1">
      <c r="A48" s="87"/>
      <c r="B48" s="238" t="s">
        <v>62</v>
      </c>
      <c r="C48" s="85"/>
      <c r="D48" s="89"/>
      <c r="E48" s="87"/>
      <c r="F48" s="89"/>
      <c r="G48" s="88"/>
      <c r="H48" s="89"/>
      <c r="I48" s="88"/>
      <c r="J48" s="89"/>
      <c r="K48" s="89"/>
      <c r="L48" s="243"/>
    </row>
    <row r="49" spans="1:12" s="51" customFormat="1" ht="28.5" customHeight="1">
      <c r="A49" s="87">
        <v>23</v>
      </c>
      <c r="B49" s="201" t="s">
        <v>606</v>
      </c>
      <c r="C49" s="87" t="s">
        <v>26</v>
      </c>
      <c r="D49" s="240">
        <f>285-14</f>
        <v>271</v>
      </c>
      <c r="E49" s="87"/>
      <c r="F49" s="89"/>
      <c r="G49" s="88"/>
      <c r="H49" s="89"/>
      <c r="I49" s="88"/>
      <c r="J49" s="89"/>
      <c r="K49" s="89"/>
      <c r="L49" s="42"/>
    </row>
    <row r="50" spans="1:12" s="51" customFormat="1" ht="28.5" customHeight="1">
      <c r="A50" s="87">
        <v>24</v>
      </c>
      <c r="B50" s="201" t="s">
        <v>607</v>
      </c>
      <c r="C50" s="87" t="s">
        <v>26</v>
      </c>
      <c r="D50" s="240">
        <v>14</v>
      </c>
      <c r="E50" s="87"/>
      <c r="F50" s="89"/>
      <c r="G50" s="88"/>
      <c r="H50" s="89"/>
      <c r="I50" s="88"/>
      <c r="J50" s="89"/>
      <c r="K50" s="89"/>
      <c r="L50" s="42"/>
    </row>
    <row r="51" spans="1:12" ht="13.5">
      <c r="A51" s="87">
        <v>25</v>
      </c>
      <c r="B51" s="133" t="s">
        <v>77</v>
      </c>
      <c r="C51" s="85" t="s">
        <v>34</v>
      </c>
      <c r="D51" s="244">
        <v>2.328</v>
      </c>
      <c r="E51" s="87"/>
      <c r="F51" s="89"/>
      <c r="G51" s="88"/>
      <c r="H51" s="89"/>
      <c r="I51" s="88"/>
      <c r="J51" s="89"/>
      <c r="K51" s="89"/>
      <c r="L51" s="42"/>
    </row>
    <row r="52" spans="1:12" ht="13.5">
      <c r="A52" s="87">
        <v>26</v>
      </c>
      <c r="B52" s="133" t="s">
        <v>53</v>
      </c>
      <c r="C52" s="85" t="s">
        <v>34</v>
      </c>
      <c r="D52" s="244">
        <v>62.557</v>
      </c>
      <c r="E52" s="87"/>
      <c r="F52" s="89"/>
      <c r="G52" s="88"/>
      <c r="H52" s="89"/>
      <c r="I52" s="88"/>
      <c r="J52" s="89"/>
      <c r="K52" s="89"/>
      <c r="L52" s="42"/>
    </row>
    <row r="53" spans="1:12" s="51" customFormat="1" ht="27">
      <c r="A53" s="87">
        <v>27</v>
      </c>
      <c r="B53" s="201" t="s">
        <v>608</v>
      </c>
      <c r="C53" s="105" t="s">
        <v>26</v>
      </c>
      <c r="D53" s="303">
        <v>5</v>
      </c>
      <c r="E53" s="87"/>
      <c r="F53" s="89"/>
      <c r="G53" s="88"/>
      <c r="H53" s="89"/>
      <c r="I53" s="88"/>
      <c r="J53" s="89"/>
      <c r="K53" s="89"/>
      <c r="L53" s="42"/>
    </row>
    <row r="54" spans="1:12" ht="13.5">
      <c r="A54" s="87">
        <v>28</v>
      </c>
      <c r="B54" s="133" t="s">
        <v>77</v>
      </c>
      <c r="C54" s="85" t="s">
        <v>34</v>
      </c>
      <c r="D54" s="244">
        <f>23/1000</f>
        <v>0.023</v>
      </c>
      <c r="E54" s="87"/>
      <c r="F54" s="89"/>
      <c r="G54" s="88"/>
      <c r="H54" s="89"/>
      <c r="I54" s="88"/>
      <c r="J54" s="89"/>
      <c r="K54" s="89"/>
      <c r="L54" s="42"/>
    </row>
    <row r="55" spans="1:12" ht="13.5">
      <c r="A55" s="87">
        <v>29</v>
      </c>
      <c r="B55" s="133" t="s">
        <v>53</v>
      </c>
      <c r="C55" s="85" t="s">
        <v>34</v>
      </c>
      <c r="D55" s="244">
        <f>309/1000</f>
        <v>0.309</v>
      </c>
      <c r="E55" s="87"/>
      <c r="F55" s="89"/>
      <c r="G55" s="88"/>
      <c r="H55" s="89"/>
      <c r="I55" s="88"/>
      <c r="J55" s="89"/>
      <c r="K55" s="89"/>
      <c r="L55" s="42"/>
    </row>
    <row r="56" spans="1:12" s="51" customFormat="1" ht="27.75" customHeight="1">
      <c r="A56" s="87">
        <v>30</v>
      </c>
      <c r="B56" s="201" t="s">
        <v>412</v>
      </c>
      <c r="C56" s="87" t="s">
        <v>24</v>
      </c>
      <c r="D56" s="240">
        <v>1115</v>
      </c>
      <c r="E56" s="87"/>
      <c r="F56" s="89"/>
      <c r="G56" s="88"/>
      <c r="H56" s="89"/>
      <c r="I56" s="88"/>
      <c r="J56" s="89"/>
      <c r="K56" s="89"/>
      <c r="L56" s="42"/>
    </row>
    <row r="57" spans="1:12" ht="27.75" customHeight="1">
      <c r="A57" s="87">
        <v>31</v>
      </c>
      <c r="B57" s="86" t="s">
        <v>312</v>
      </c>
      <c r="C57" s="87" t="s">
        <v>26</v>
      </c>
      <c r="D57" s="240">
        <f>2*0.5+6*1.2+18*1.8+375*2.7+12*3.1</f>
        <v>1090.3000000000002</v>
      </c>
      <c r="E57" s="87"/>
      <c r="F57" s="89"/>
      <c r="G57" s="88"/>
      <c r="H57" s="89"/>
      <c r="I57" s="88"/>
      <c r="J57" s="89"/>
      <c r="K57" s="89"/>
      <c r="L57" s="42"/>
    </row>
    <row r="58" spans="1:12" ht="13.5">
      <c r="A58" s="87">
        <v>32</v>
      </c>
      <c r="B58" s="133" t="s">
        <v>77</v>
      </c>
      <c r="C58" s="85" t="s">
        <v>34</v>
      </c>
      <c r="D58" s="370">
        <f>(2*14+6*33+18*49+371*75+4*75+12*87)/1000</f>
        <v>30.277</v>
      </c>
      <c r="E58" s="87"/>
      <c r="F58" s="89"/>
      <c r="G58" s="88"/>
      <c r="H58" s="89"/>
      <c r="I58" s="88"/>
      <c r="J58" s="89"/>
      <c r="K58" s="89"/>
      <c r="L58" s="42"/>
    </row>
    <row r="59" spans="1:12" ht="13.5">
      <c r="A59" s="87">
        <v>33</v>
      </c>
      <c r="B59" s="118" t="s">
        <v>53</v>
      </c>
      <c r="C59" s="85" t="s">
        <v>34</v>
      </c>
      <c r="D59" s="98">
        <f>(2*77+6*220+18*347+371*447+4*726+12*792)/1000</f>
        <v>185.965</v>
      </c>
      <c r="E59" s="87"/>
      <c r="F59" s="89"/>
      <c r="G59" s="88"/>
      <c r="H59" s="89"/>
      <c r="I59" s="88"/>
      <c r="J59" s="89"/>
      <c r="K59" s="89"/>
      <c r="L59" s="42"/>
    </row>
    <row r="60" spans="1:12" s="15" customFormat="1" ht="30" customHeight="1">
      <c r="A60" s="87">
        <v>34</v>
      </c>
      <c r="B60" s="201" t="s">
        <v>609</v>
      </c>
      <c r="C60" s="87" t="s">
        <v>26</v>
      </c>
      <c r="D60" s="240">
        <f>12*6.2+36*6.1+12*9.2</f>
        <v>404.4</v>
      </c>
      <c r="E60" s="87"/>
      <c r="F60" s="89"/>
      <c r="G60" s="88"/>
      <c r="H60" s="89"/>
      <c r="I60" s="88"/>
      <c r="J60" s="89"/>
      <c r="K60" s="89"/>
      <c r="L60" s="32"/>
    </row>
    <row r="61" spans="1:12" ht="13.5">
      <c r="A61" s="87">
        <v>35</v>
      </c>
      <c r="B61" s="133" t="s">
        <v>77</v>
      </c>
      <c r="C61" s="85" t="s">
        <v>34</v>
      </c>
      <c r="D61" s="244">
        <f>(1908+5616+3240)/1000</f>
        <v>10.764</v>
      </c>
      <c r="E61" s="87"/>
      <c r="F61" s="89"/>
      <c r="G61" s="88"/>
      <c r="H61" s="89"/>
      <c r="I61" s="88"/>
      <c r="J61" s="89"/>
      <c r="K61" s="89"/>
      <c r="L61" s="42"/>
    </row>
    <row r="62" spans="1:12" ht="13.5">
      <c r="A62" s="87">
        <v>36</v>
      </c>
      <c r="B62" s="118" t="s">
        <v>53</v>
      </c>
      <c r="C62" s="85" t="s">
        <v>34</v>
      </c>
      <c r="D62" s="371">
        <f>(12*687+36*665+12*898)/1000</f>
        <v>42.96</v>
      </c>
      <c r="E62" s="87"/>
      <c r="F62" s="89"/>
      <c r="G62" s="88"/>
      <c r="H62" s="89"/>
      <c r="I62" s="88"/>
      <c r="J62" s="89"/>
      <c r="K62" s="89"/>
      <c r="L62" s="42"/>
    </row>
    <row r="63" spans="1:12" s="51" customFormat="1" ht="27.75" customHeight="1">
      <c r="A63" s="87">
        <v>37</v>
      </c>
      <c r="B63" s="86" t="s">
        <v>311</v>
      </c>
      <c r="C63" s="87" t="s">
        <v>34</v>
      </c>
      <c r="D63" s="244">
        <f>(12*10+36*29+12*10)/1000</f>
        <v>1.284</v>
      </c>
      <c r="E63" s="87"/>
      <c r="F63" s="89"/>
      <c r="G63" s="88"/>
      <c r="H63" s="89"/>
      <c r="I63" s="88"/>
      <c r="J63" s="89"/>
      <c r="K63" s="89"/>
      <c r="L63" s="42"/>
    </row>
    <row r="64" spans="1:12" s="51" customFormat="1" ht="27">
      <c r="A64" s="87">
        <v>38</v>
      </c>
      <c r="B64" s="201" t="s">
        <v>610</v>
      </c>
      <c r="C64" s="87" t="s">
        <v>26</v>
      </c>
      <c r="D64" s="240">
        <f>214*1.16+172*1.16+11*1.16+9*1.16+90*0.56+55*0.4+20*0.4+55*1.24+5*1.24+22*1.36+10*0.6+10*0.72+5*1.24+3*0.88+3*0.8+9*0.8+10*0.8+10*0.7+10*0.36+10*0.36+9*0.38+10*0.38+0.38+2*0.42+0.42+0.74+0.66+3*2.41+3*1.12+10*0.73+10*0.73+4*1.28+2*0.56+0.32+2*0.32+1.16+1.16+1.28+1.28</f>
        <v>757.05</v>
      </c>
      <c r="E64" s="87"/>
      <c r="F64" s="89"/>
      <c r="G64" s="88"/>
      <c r="H64" s="89"/>
      <c r="I64" s="88"/>
      <c r="J64" s="89"/>
      <c r="K64" s="89"/>
      <c r="L64" s="42"/>
    </row>
    <row r="65" spans="1:12" ht="13.5">
      <c r="A65" s="87">
        <v>39</v>
      </c>
      <c r="B65" s="133" t="s">
        <v>77</v>
      </c>
      <c r="C65" s="85" t="s">
        <v>34</v>
      </c>
      <c r="D65" s="372">
        <f>(214*51+172*51+11*51+9*51+90*26+55*19+20*19+55*56+5*56+22*60+10*28+10*33+5*56+3*40+3*36+9*36+10*36+10*32+10*18+10*18+9*18+10*18+18+2*19+19+33+28.9+3*107.2+3*50.5+10*25.4+10*26+4*57+2*26+14+2*14+51+51+57+57)/1000</f>
        <v>33.637</v>
      </c>
      <c r="E65" s="87"/>
      <c r="F65" s="89"/>
      <c r="G65" s="88"/>
      <c r="H65" s="89"/>
      <c r="I65" s="88"/>
      <c r="J65" s="89"/>
      <c r="K65" s="89"/>
      <c r="L65" s="42"/>
    </row>
    <row r="66" spans="1:12" ht="13.5">
      <c r="A66" s="87">
        <v>40</v>
      </c>
      <c r="B66" s="133" t="s">
        <v>53</v>
      </c>
      <c r="C66" s="85" t="s">
        <v>34</v>
      </c>
      <c r="D66" s="372">
        <f>(214*174+172*182+11*166+9*182+90*110+55*91+20*83+55*191+5*191+22*206+10*115+10*129+5*193+3*149+3*139+9*140+10*139+10*127+10*86+10*71+9*89+10*73+81+2*94+77+133+122+3*404.8+3*227.6+10*68.5+10*69+4*198+2*94+40+2*35+182+182+198+198)/1000</f>
        <v>121.57419999999999</v>
      </c>
      <c r="E66" s="87"/>
      <c r="F66" s="89"/>
      <c r="G66" s="88"/>
      <c r="H66" s="89"/>
      <c r="I66" s="88"/>
      <c r="J66" s="89"/>
      <c r="K66" s="89"/>
      <c r="L66" s="42"/>
    </row>
    <row r="67" spans="1:12" s="51" customFormat="1" ht="27.75" customHeight="1">
      <c r="A67" s="87">
        <v>41</v>
      </c>
      <c r="B67" s="201" t="s">
        <v>311</v>
      </c>
      <c r="C67" s="87" t="s">
        <v>34</v>
      </c>
      <c r="D67" s="240">
        <f>(30+30+30+30+17+2*17)/1000</f>
        <v>0.171</v>
      </c>
      <c r="E67" s="87"/>
      <c r="F67" s="89"/>
      <c r="G67" s="88"/>
      <c r="H67" s="89"/>
      <c r="I67" s="88"/>
      <c r="J67" s="89"/>
      <c r="K67" s="89"/>
      <c r="L67" s="42"/>
    </row>
    <row r="68" spans="1:12" s="15" customFormat="1" ht="28.5" customHeight="1">
      <c r="A68" s="87">
        <v>42</v>
      </c>
      <c r="B68" s="201" t="s">
        <v>611</v>
      </c>
      <c r="C68" s="87" t="s">
        <v>26</v>
      </c>
      <c r="D68" s="240">
        <f>7*5+6.2*2+6.3+2.4</f>
        <v>56.099999999999994</v>
      </c>
      <c r="E68" s="87"/>
      <c r="F68" s="89"/>
      <c r="G68" s="88"/>
      <c r="H68" s="89"/>
      <c r="I68" s="88"/>
      <c r="J68" s="89"/>
      <c r="K68" s="89"/>
      <c r="L68" s="32"/>
    </row>
    <row r="69" spans="1:12" s="15" customFormat="1" ht="28.5" customHeight="1">
      <c r="A69" s="87">
        <v>43</v>
      </c>
      <c r="B69" s="201" t="s">
        <v>612</v>
      </c>
      <c r="C69" s="87" t="s">
        <v>26</v>
      </c>
      <c r="D69" s="240">
        <f>3.1*2+2.9*2</f>
        <v>12</v>
      </c>
      <c r="E69" s="87"/>
      <c r="F69" s="89"/>
      <c r="G69" s="88"/>
      <c r="H69" s="89"/>
      <c r="I69" s="88"/>
      <c r="J69" s="89"/>
      <c r="K69" s="89"/>
      <c r="L69" s="32"/>
    </row>
    <row r="70" spans="1:12" ht="13.5">
      <c r="A70" s="87">
        <v>44</v>
      </c>
      <c r="B70" s="133" t="s">
        <v>77</v>
      </c>
      <c r="C70" s="85" t="s">
        <v>34</v>
      </c>
      <c r="D70" s="244">
        <f>(5*31+2*29+30+11+2*15+2*15)/1000</f>
        <v>0.314</v>
      </c>
      <c r="E70" s="87"/>
      <c r="F70" s="89"/>
      <c r="G70" s="88"/>
      <c r="H70" s="89"/>
      <c r="I70" s="88"/>
      <c r="J70" s="89"/>
      <c r="K70" s="89"/>
      <c r="L70" s="42"/>
    </row>
    <row r="71" spans="1:12" ht="13.5">
      <c r="A71" s="87">
        <v>45</v>
      </c>
      <c r="B71" s="133" t="s">
        <v>53</v>
      </c>
      <c r="C71" s="85" t="s">
        <v>34</v>
      </c>
      <c r="D71" s="355">
        <f>(575*5+575*2+583+223+218*2+214*2)/1000</f>
        <v>5.695</v>
      </c>
      <c r="E71" s="87"/>
      <c r="F71" s="89"/>
      <c r="G71" s="88"/>
      <c r="H71" s="89"/>
      <c r="I71" s="88"/>
      <c r="J71" s="89"/>
      <c r="K71" s="89"/>
      <c r="L71" s="42"/>
    </row>
    <row r="72" spans="1:12" s="51" customFormat="1" ht="27">
      <c r="A72" s="87">
        <v>46</v>
      </c>
      <c r="B72" s="201" t="s">
        <v>613</v>
      </c>
      <c r="C72" s="87" t="s">
        <v>26</v>
      </c>
      <c r="D72" s="240">
        <f>232+244+239+200+201</f>
        <v>1116</v>
      </c>
      <c r="E72" s="87"/>
      <c r="F72" s="89"/>
      <c r="G72" s="88"/>
      <c r="H72" s="89"/>
      <c r="I72" s="88"/>
      <c r="J72" s="89"/>
      <c r="K72" s="89"/>
      <c r="L72" s="42"/>
    </row>
    <row r="73" spans="1:12" ht="13.5">
      <c r="A73" s="87">
        <v>47</v>
      </c>
      <c r="B73" s="133" t="s">
        <v>77</v>
      </c>
      <c r="C73" s="85" t="s">
        <v>34</v>
      </c>
      <c r="D73" s="244">
        <f>(719.5+756.6+741.6+622.2+624.9)/1000</f>
        <v>3.4648</v>
      </c>
      <c r="E73" s="87"/>
      <c r="F73" s="89"/>
      <c r="G73" s="88"/>
      <c r="H73" s="89"/>
      <c r="I73" s="88"/>
      <c r="J73" s="89"/>
      <c r="K73" s="89"/>
      <c r="L73" s="42"/>
    </row>
    <row r="74" spans="1:12" ht="13.5">
      <c r="A74" s="87">
        <v>48</v>
      </c>
      <c r="B74" s="133" t="s">
        <v>53</v>
      </c>
      <c r="C74" s="85" t="s">
        <v>34</v>
      </c>
      <c r="D74" s="244">
        <f>(31389.9+33122.7+32791.7+27511.9+27765.8)/1000</f>
        <v>152.58199999999997</v>
      </c>
      <c r="E74" s="87"/>
      <c r="F74" s="89"/>
      <c r="G74" s="88"/>
      <c r="H74" s="89"/>
      <c r="I74" s="88"/>
      <c r="J74" s="89"/>
      <c r="K74" s="89"/>
      <c r="L74" s="42"/>
    </row>
    <row r="75" spans="1:12" s="51" customFormat="1" ht="30.75" customHeight="1">
      <c r="A75" s="87">
        <v>49</v>
      </c>
      <c r="B75" s="86" t="s">
        <v>336</v>
      </c>
      <c r="C75" s="87" t="s">
        <v>26</v>
      </c>
      <c r="D75" s="248">
        <f>0.19*26+0.2*19+0.17*2+0.2+0.39+0.68+0.42+0.21*11+0.17*3+0.18+0.2+0.2+0.12*4</f>
        <v>14.649999999999999</v>
      </c>
      <c r="E75" s="87"/>
      <c r="F75" s="89"/>
      <c r="G75" s="88"/>
      <c r="H75" s="89"/>
      <c r="I75" s="88"/>
      <c r="J75" s="89"/>
      <c r="K75" s="89"/>
      <c r="L75" s="42"/>
    </row>
    <row r="76" spans="1:12" ht="13.5">
      <c r="A76" s="87">
        <v>50</v>
      </c>
      <c r="B76" s="133" t="s">
        <v>77</v>
      </c>
      <c r="C76" s="85" t="s">
        <v>34</v>
      </c>
      <c r="D76" s="244">
        <f>(7*26+8*19+7*2+8+13+22+14+8*11+7*3+7+8+8+4.3*4)/1000</f>
        <v>0.5542</v>
      </c>
      <c r="E76" s="87"/>
      <c r="F76" s="89"/>
      <c r="G76" s="88"/>
      <c r="H76" s="89"/>
      <c r="I76" s="88"/>
      <c r="J76" s="89"/>
      <c r="K76" s="89"/>
      <c r="L76" s="42"/>
    </row>
    <row r="77" spans="1:12" ht="13.5">
      <c r="A77" s="87">
        <v>51</v>
      </c>
      <c r="B77" s="133" t="s">
        <v>53</v>
      </c>
      <c r="C77" s="85" t="s">
        <v>34</v>
      </c>
      <c r="D77" s="244">
        <f>(17*26+21*19+18*2+21+31+54+30+21*11+15*3+19+18+20+12.7*4)/1000</f>
        <v>1.3968</v>
      </c>
      <c r="E77" s="87"/>
      <c r="F77" s="89"/>
      <c r="G77" s="88"/>
      <c r="H77" s="89"/>
      <c r="I77" s="88"/>
      <c r="J77" s="89"/>
      <c r="K77" s="89"/>
      <c r="L77" s="42"/>
    </row>
    <row r="78" spans="1:12" s="51" customFormat="1" ht="42.75" customHeight="1">
      <c r="A78" s="87">
        <v>52</v>
      </c>
      <c r="B78" s="201" t="s">
        <v>614</v>
      </c>
      <c r="C78" s="87" t="s">
        <v>26</v>
      </c>
      <c r="D78" s="240">
        <f>(16*0.19+12*0.18)*2</f>
        <v>10.4</v>
      </c>
      <c r="E78" s="87"/>
      <c r="F78" s="89"/>
      <c r="G78" s="88"/>
      <c r="H78" s="89"/>
      <c r="I78" s="88"/>
      <c r="J78" s="89"/>
      <c r="K78" s="89"/>
      <c r="L78" s="42"/>
    </row>
    <row r="79" spans="1:12" ht="13.5">
      <c r="A79" s="87">
        <v>53</v>
      </c>
      <c r="B79" s="133" t="s">
        <v>77</v>
      </c>
      <c r="C79" s="85" t="s">
        <v>34</v>
      </c>
      <c r="D79" s="247">
        <f>(5.2*16+5.2*12)*2/1000</f>
        <v>0.29120000000000007</v>
      </c>
      <c r="E79" s="87"/>
      <c r="F79" s="89"/>
      <c r="G79" s="88"/>
      <c r="H79" s="89"/>
      <c r="I79" s="88"/>
      <c r="J79" s="89"/>
      <c r="K79" s="89"/>
      <c r="L79" s="42"/>
    </row>
    <row r="80" spans="1:12" ht="13.5">
      <c r="A80" s="87">
        <v>54</v>
      </c>
      <c r="B80" s="133" t="s">
        <v>53</v>
      </c>
      <c r="C80" s="85" t="s">
        <v>34</v>
      </c>
      <c r="D80" s="244">
        <f>(16*14.4+12*13.8)*2/1000</f>
        <v>0.792</v>
      </c>
      <c r="E80" s="87"/>
      <c r="F80" s="89"/>
      <c r="G80" s="88"/>
      <c r="H80" s="89"/>
      <c r="I80" s="88"/>
      <c r="J80" s="89"/>
      <c r="K80" s="89"/>
      <c r="L80" s="42"/>
    </row>
    <row r="81" spans="1:12" s="51" customFormat="1" ht="40.5">
      <c r="A81" s="87">
        <v>55</v>
      </c>
      <c r="B81" s="86" t="s">
        <v>328</v>
      </c>
      <c r="C81" s="87" t="s">
        <v>26</v>
      </c>
      <c r="D81" s="240">
        <f>1.1*2</f>
        <v>2.2</v>
      </c>
      <c r="E81" s="87"/>
      <c r="F81" s="89"/>
      <c r="G81" s="88"/>
      <c r="H81" s="89"/>
      <c r="I81" s="88"/>
      <c r="J81" s="89"/>
      <c r="K81" s="89"/>
      <c r="L81" s="42"/>
    </row>
    <row r="82" spans="1:12" ht="13.5">
      <c r="A82" s="87">
        <v>56</v>
      </c>
      <c r="B82" s="133" t="s">
        <v>77</v>
      </c>
      <c r="C82" s="85" t="s">
        <v>34</v>
      </c>
      <c r="D82" s="244">
        <f>5.5*2/1000</f>
        <v>0.011</v>
      </c>
      <c r="E82" s="87"/>
      <c r="F82" s="89"/>
      <c r="G82" s="88"/>
      <c r="H82" s="89"/>
      <c r="I82" s="88"/>
      <c r="J82" s="89"/>
      <c r="K82" s="89"/>
      <c r="L82" s="42"/>
    </row>
    <row r="83" spans="1:12" ht="13.5">
      <c r="A83" s="87">
        <v>57</v>
      </c>
      <c r="B83" s="133" t="s">
        <v>53</v>
      </c>
      <c r="C83" s="85" t="s">
        <v>34</v>
      </c>
      <c r="D83" s="248">
        <f>(55.1+66.6+53+64.5)*2/1000</f>
        <v>0.4784</v>
      </c>
      <c r="E83" s="87"/>
      <c r="F83" s="89"/>
      <c r="G83" s="88"/>
      <c r="H83" s="89"/>
      <c r="I83" s="88"/>
      <c r="J83" s="89"/>
      <c r="K83" s="89"/>
      <c r="L83" s="42"/>
    </row>
    <row r="84" spans="1:12" ht="27">
      <c r="A84" s="87">
        <v>58</v>
      </c>
      <c r="B84" s="201" t="s">
        <v>615</v>
      </c>
      <c r="C84" s="87" t="s">
        <v>26</v>
      </c>
      <c r="D84" s="240">
        <f>0.43*5</f>
        <v>2.15</v>
      </c>
      <c r="E84" s="87"/>
      <c r="F84" s="89"/>
      <c r="G84" s="88"/>
      <c r="H84" s="89"/>
      <c r="I84" s="88"/>
      <c r="J84" s="89"/>
      <c r="K84" s="89"/>
      <c r="L84" s="42"/>
    </row>
    <row r="85" spans="1:12" ht="13.5">
      <c r="A85" s="87">
        <v>59</v>
      </c>
      <c r="B85" s="358" t="s">
        <v>77</v>
      </c>
      <c r="C85" s="85" t="s">
        <v>34</v>
      </c>
      <c r="D85" s="244">
        <f>15*5/1000</f>
        <v>0.075</v>
      </c>
      <c r="E85" s="87"/>
      <c r="F85" s="89"/>
      <c r="G85" s="88"/>
      <c r="H85" s="89"/>
      <c r="I85" s="88"/>
      <c r="J85" s="89"/>
      <c r="K85" s="89"/>
      <c r="L85" s="42"/>
    </row>
    <row r="86" spans="1:12" ht="13.5">
      <c r="A86" s="87">
        <v>60</v>
      </c>
      <c r="B86" s="133" t="s">
        <v>53</v>
      </c>
      <c r="C86" s="85" t="s">
        <v>34</v>
      </c>
      <c r="D86" s="244">
        <f>38*5/1000</f>
        <v>0.19</v>
      </c>
      <c r="E86" s="87"/>
      <c r="F86" s="89"/>
      <c r="G86" s="88"/>
      <c r="H86" s="89"/>
      <c r="I86" s="88"/>
      <c r="J86" s="89"/>
      <c r="K86" s="89"/>
      <c r="L86" s="42"/>
    </row>
    <row r="87" spans="1:12" s="51" customFormat="1" ht="40.5">
      <c r="A87" s="87">
        <v>61</v>
      </c>
      <c r="B87" s="201" t="s">
        <v>616</v>
      </c>
      <c r="C87" s="87" t="s">
        <v>26</v>
      </c>
      <c r="D87" s="240">
        <f>0.54*2+0.69*2</f>
        <v>2.46</v>
      </c>
      <c r="E87" s="87"/>
      <c r="F87" s="89"/>
      <c r="G87" s="88"/>
      <c r="H87" s="89"/>
      <c r="I87" s="88"/>
      <c r="J87" s="89"/>
      <c r="K87" s="89"/>
      <c r="L87" s="42"/>
    </row>
    <row r="88" spans="1:12" ht="13.5">
      <c r="A88" s="87">
        <v>62</v>
      </c>
      <c r="B88" s="133" t="s">
        <v>77</v>
      </c>
      <c r="C88" s="85" t="s">
        <v>34</v>
      </c>
      <c r="D88" s="244">
        <f>(2*18+2*21)/1000</f>
        <v>0.078</v>
      </c>
      <c r="E88" s="87"/>
      <c r="F88" s="89"/>
      <c r="G88" s="88"/>
      <c r="H88" s="89"/>
      <c r="I88" s="88"/>
      <c r="J88" s="89"/>
      <c r="K88" s="89"/>
      <c r="L88" s="42"/>
    </row>
    <row r="89" spans="1:12" ht="13.5">
      <c r="A89" s="87">
        <v>63</v>
      </c>
      <c r="B89" s="133" t="s">
        <v>53</v>
      </c>
      <c r="C89" s="85" t="s">
        <v>34</v>
      </c>
      <c r="D89" s="244">
        <f>(2*84+2*37)/1000</f>
        <v>0.242</v>
      </c>
      <c r="E89" s="87"/>
      <c r="F89" s="89"/>
      <c r="G89" s="88"/>
      <c r="H89" s="89"/>
      <c r="I89" s="88"/>
      <c r="J89" s="89"/>
      <c r="K89" s="89"/>
      <c r="L89" s="42"/>
    </row>
    <row r="90" spans="1:12" s="51" customFormat="1" ht="40.5">
      <c r="A90" s="87">
        <v>64</v>
      </c>
      <c r="B90" s="201" t="s">
        <v>617</v>
      </c>
      <c r="C90" s="87" t="s">
        <v>26</v>
      </c>
      <c r="D90" s="240">
        <v>2.7</v>
      </c>
      <c r="E90" s="87"/>
      <c r="F90" s="89"/>
      <c r="G90" s="88"/>
      <c r="H90" s="89"/>
      <c r="I90" s="88"/>
      <c r="J90" s="89"/>
      <c r="K90" s="89"/>
      <c r="L90" s="42"/>
    </row>
    <row r="91" spans="1:12" ht="13.5">
      <c r="A91" s="87">
        <v>65</v>
      </c>
      <c r="B91" s="133" t="s">
        <v>77</v>
      </c>
      <c r="C91" s="85" t="s">
        <v>34</v>
      </c>
      <c r="D91" s="244">
        <f>22/1000</f>
        <v>0.022</v>
      </c>
      <c r="E91" s="87"/>
      <c r="F91" s="89"/>
      <c r="G91" s="88"/>
      <c r="H91" s="89"/>
      <c r="I91" s="88"/>
      <c r="J91" s="89"/>
      <c r="K91" s="89"/>
      <c r="L91" s="42"/>
    </row>
    <row r="92" spans="1:12" ht="13.5">
      <c r="A92" s="87">
        <v>66</v>
      </c>
      <c r="B92" s="133" t="s">
        <v>53</v>
      </c>
      <c r="C92" s="85" t="s">
        <v>34</v>
      </c>
      <c r="D92" s="244">
        <f>256/1000</f>
        <v>0.256</v>
      </c>
      <c r="E92" s="87"/>
      <c r="F92" s="89"/>
      <c r="G92" s="88"/>
      <c r="H92" s="89"/>
      <c r="I92" s="88"/>
      <c r="J92" s="89"/>
      <c r="K92" s="89"/>
      <c r="L92" s="42"/>
    </row>
    <row r="93" spans="1:12" s="15" customFormat="1" ht="13.5">
      <c r="A93" s="87">
        <v>67</v>
      </c>
      <c r="B93" s="201" t="s">
        <v>354</v>
      </c>
      <c r="C93" s="87" t="s">
        <v>26</v>
      </c>
      <c r="D93" s="240">
        <v>1064</v>
      </c>
      <c r="E93" s="87"/>
      <c r="F93" s="89"/>
      <c r="G93" s="88"/>
      <c r="H93" s="89"/>
      <c r="I93" s="88"/>
      <c r="J93" s="89"/>
      <c r="K93" s="89"/>
      <c r="L93" s="32"/>
    </row>
    <row r="94" spans="1:12" s="15" customFormat="1" ht="13.5">
      <c r="A94" s="87">
        <v>68</v>
      </c>
      <c r="B94" s="201" t="s">
        <v>355</v>
      </c>
      <c r="C94" s="87" t="s">
        <v>26</v>
      </c>
      <c r="D94" s="240">
        <v>97.18</v>
      </c>
      <c r="E94" s="87"/>
      <c r="F94" s="89"/>
      <c r="G94" s="88"/>
      <c r="H94" s="89"/>
      <c r="I94" s="88"/>
      <c r="J94" s="89"/>
      <c r="K94" s="89"/>
      <c r="L94" s="32"/>
    </row>
    <row r="95" spans="1:12" s="15" customFormat="1" ht="13.5">
      <c r="A95" s="87">
        <v>69</v>
      </c>
      <c r="B95" s="201" t="s">
        <v>356</v>
      </c>
      <c r="C95" s="87" t="s">
        <v>24</v>
      </c>
      <c r="D95" s="240">
        <v>3102</v>
      </c>
      <c r="E95" s="87"/>
      <c r="F95" s="89"/>
      <c r="G95" s="88"/>
      <c r="H95" s="89"/>
      <c r="I95" s="88"/>
      <c r="J95" s="89"/>
      <c r="K95" s="89"/>
      <c r="L95" s="32"/>
    </row>
    <row r="96" spans="1:12" s="15" customFormat="1" ht="27">
      <c r="A96" s="87">
        <v>70</v>
      </c>
      <c r="B96" s="86" t="s">
        <v>618</v>
      </c>
      <c r="C96" s="87" t="s">
        <v>34</v>
      </c>
      <c r="D96" s="92">
        <v>2.168</v>
      </c>
      <c r="E96" s="87"/>
      <c r="F96" s="89"/>
      <c r="G96" s="88"/>
      <c r="H96" s="89"/>
      <c r="I96" s="88"/>
      <c r="J96" s="89"/>
      <c r="K96" s="89"/>
      <c r="L96" s="32"/>
    </row>
    <row r="97" spans="1:11" s="161" customFormat="1" ht="40.5">
      <c r="A97" s="199">
        <v>71</v>
      </c>
      <c r="B97" s="359" t="s">
        <v>370</v>
      </c>
      <c r="C97" s="199" t="s">
        <v>24</v>
      </c>
      <c r="D97" s="304">
        <v>300</v>
      </c>
      <c r="E97" s="162"/>
      <c r="F97" s="162"/>
      <c r="G97" s="162"/>
      <c r="H97" s="162"/>
      <c r="I97" s="162"/>
      <c r="J97" s="162"/>
      <c r="K97" s="162"/>
    </row>
    <row r="98" spans="1:11" s="161" customFormat="1" ht="27">
      <c r="A98" s="199">
        <v>72</v>
      </c>
      <c r="B98" s="359" t="s">
        <v>413</v>
      </c>
      <c r="C98" s="199" t="s">
        <v>24</v>
      </c>
      <c r="D98" s="304">
        <v>95</v>
      </c>
      <c r="E98" s="162"/>
      <c r="F98" s="162"/>
      <c r="G98" s="162"/>
      <c r="H98" s="162"/>
      <c r="I98" s="162"/>
      <c r="J98" s="162"/>
      <c r="K98" s="162"/>
    </row>
    <row r="99" spans="1:12" ht="13.5">
      <c r="A99" s="87"/>
      <c r="B99" s="145" t="s">
        <v>3</v>
      </c>
      <c r="C99" s="85"/>
      <c r="D99" s="89"/>
      <c r="E99" s="87"/>
      <c r="F99" s="113">
        <f>SUM(F50:F98)</f>
        <v>0</v>
      </c>
      <c r="G99" s="113"/>
      <c r="H99" s="113">
        <f>SUM(H50:H98)</f>
        <v>0</v>
      </c>
      <c r="I99" s="113"/>
      <c r="J99" s="113">
        <f>SUM(J50:J98)</f>
        <v>0</v>
      </c>
      <c r="K99" s="113">
        <f>SUM(K50:K98)</f>
        <v>0</v>
      </c>
      <c r="L99" s="161"/>
    </row>
    <row r="100" spans="1:12" ht="16.5">
      <c r="A100" s="87"/>
      <c r="B100" s="238" t="s">
        <v>4</v>
      </c>
      <c r="C100" s="85"/>
      <c r="D100" s="89"/>
      <c r="E100" s="87"/>
      <c r="F100" s="89"/>
      <c r="G100" s="88"/>
      <c r="H100" s="89"/>
      <c r="I100" s="88"/>
      <c r="J100" s="89"/>
      <c r="K100" s="89"/>
      <c r="L100" s="161"/>
    </row>
    <row r="101" spans="1:12" ht="16.5">
      <c r="A101" s="87"/>
      <c r="B101" s="238" t="s">
        <v>333</v>
      </c>
      <c r="C101" s="85"/>
      <c r="D101" s="89"/>
      <c r="E101" s="87"/>
      <c r="F101" s="89"/>
      <c r="G101" s="88"/>
      <c r="H101" s="89"/>
      <c r="I101" s="88"/>
      <c r="J101" s="89"/>
      <c r="K101" s="89"/>
      <c r="L101" s="161"/>
    </row>
    <row r="102" spans="1:12" s="51" customFormat="1" ht="20.25" customHeight="1">
      <c r="A102" s="87">
        <v>73</v>
      </c>
      <c r="B102" s="201" t="s">
        <v>414</v>
      </c>
      <c r="C102" s="87" t="s">
        <v>24</v>
      </c>
      <c r="D102" s="248">
        <v>1505</v>
      </c>
      <c r="E102" s="148"/>
      <c r="F102" s="148"/>
      <c r="G102" s="148"/>
      <c r="H102" s="148"/>
      <c r="I102" s="148"/>
      <c r="J102" s="148"/>
      <c r="K102" s="148"/>
      <c r="L102" s="161"/>
    </row>
    <row r="103" spans="1:12" s="51" customFormat="1" ht="13.5">
      <c r="A103" s="87">
        <v>74</v>
      </c>
      <c r="B103" s="201" t="s">
        <v>338</v>
      </c>
      <c r="C103" s="87" t="s">
        <v>24</v>
      </c>
      <c r="D103" s="248">
        <v>1505</v>
      </c>
      <c r="E103" s="87"/>
      <c r="F103" s="89"/>
      <c r="G103" s="88"/>
      <c r="H103" s="89"/>
      <c r="I103" s="88"/>
      <c r="J103" s="89"/>
      <c r="K103" s="89"/>
      <c r="L103" s="42"/>
    </row>
    <row r="104" spans="1:12" s="51" customFormat="1" ht="29.25" customHeight="1">
      <c r="A104" s="87">
        <v>75</v>
      </c>
      <c r="B104" s="86" t="s">
        <v>169</v>
      </c>
      <c r="C104" s="87" t="s">
        <v>24</v>
      </c>
      <c r="D104" s="248">
        <v>1505</v>
      </c>
      <c r="E104" s="148"/>
      <c r="F104" s="148"/>
      <c r="G104" s="148"/>
      <c r="H104" s="148"/>
      <c r="I104" s="148"/>
      <c r="J104" s="148"/>
      <c r="K104" s="148"/>
      <c r="L104" s="42"/>
    </row>
    <row r="105" spans="1:12" s="15" customFormat="1" ht="30.75" customHeight="1">
      <c r="A105" s="87">
        <v>76</v>
      </c>
      <c r="B105" s="118" t="s">
        <v>339</v>
      </c>
      <c r="C105" s="87" t="s">
        <v>24</v>
      </c>
      <c r="D105" s="248">
        <v>1505</v>
      </c>
      <c r="E105" s="148"/>
      <c r="F105" s="148"/>
      <c r="G105" s="148"/>
      <c r="H105" s="148"/>
      <c r="I105" s="148"/>
      <c r="J105" s="148"/>
      <c r="K105" s="148"/>
      <c r="L105" s="32"/>
    </row>
    <row r="106" spans="1:12" s="15" customFormat="1" ht="30.75" customHeight="1">
      <c r="A106" s="87">
        <v>77</v>
      </c>
      <c r="B106" s="356" t="s">
        <v>415</v>
      </c>
      <c r="C106" s="87" t="s">
        <v>24</v>
      </c>
      <c r="D106" s="248">
        <f>342*0.6</f>
        <v>205.2</v>
      </c>
      <c r="E106" s="148"/>
      <c r="F106" s="148"/>
      <c r="G106" s="148"/>
      <c r="H106" s="148"/>
      <c r="I106" s="148"/>
      <c r="J106" s="148"/>
      <c r="K106" s="148"/>
      <c r="L106" s="32"/>
    </row>
    <row r="107" spans="1:12" s="15" customFormat="1" ht="27">
      <c r="A107" s="87">
        <v>78</v>
      </c>
      <c r="B107" s="201" t="s">
        <v>371</v>
      </c>
      <c r="C107" s="87" t="s">
        <v>24</v>
      </c>
      <c r="D107" s="240">
        <f>175*0.65+167*0.49</f>
        <v>195.57999999999998</v>
      </c>
      <c r="E107" s="87"/>
      <c r="F107" s="89"/>
      <c r="G107" s="88"/>
      <c r="H107" s="89"/>
      <c r="I107" s="88"/>
      <c r="J107" s="89"/>
      <c r="K107" s="89"/>
      <c r="L107" s="32"/>
    </row>
    <row r="108" spans="1:11" s="122" customFormat="1" ht="13.5">
      <c r="A108" s="168">
        <v>79</v>
      </c>
      <c r="B108" s="357" t="s">
        <v>346</v>
      </c>
      <c r="C108" s="199" t="s">
        <v>47</v>
      </c>
      <c r="D108" s="305">
        <v>141</v>
      </c>
      <c r="E108" s="162"/>
      <c r="F108" s="162"/>
      <c r="G108" s="162"/>
      <c r="H108" s="162"/>
      <c r="I108" s="162"/>
      <c r="J108" s="162"/>
      <c r="K108" s="162"/>
    </row>
    <row r="109" spans="1:11" s="122" customFormat="1" ht="13.5">
      <c r="A109" s="168">
        <v>80</v>
      </c>
      <c r="B109" s="357" t="s">
        <v>347</v>
      </c>
      <c r="C109" s="168" t="s">
        <v>48</v>
      </c>
      <c r="D109" s="305">
        <v>11</v>
      </c>
      <c r="E109" s="162"/>
      <c r="F109" s="162"/>
      <c r="G109" s="162"/>
      <c r="H109" s="162"/>
      <c r="I109" s="162"/>
      <c r="J109" s="162"/>
      <c r="K109" s="162"/>
    </row>
    <row r="110" spans="1:11" s="122" customFormat="1" ht="13.5">
      <c r="A110" s="168">
        <v>81</v>
      </c>
      <c r="B110" s="357" t="s">
        <v>348</v>
      </c>
      <c r="C110" s="168" t="s">
        <v>48</v>
      </c>
      <c r="D110" s="305">
        <v>11</v>
      </c>
      <c r="E110" s="162"/>
      <c r="F110" s="162"/>
      <c r="G110" s="162"/>
      <c r="H110" s="89"/>
      <c r="I110" s="162"/>
      <c r="J110" s="162"/>
      <c r="K110" s="162"/>
    </row>
    <row r="111" spans="1:12" ht="16.5">
      <c r="A111" s="87"/>
      <c r="B111" s="238" t="s">
        <v>334</v>
      </c>
      <c r="C111" s="85"/>
      <c r="D111" s="89"/>
      <c r="E111" s="87"/>
      <c r="F111" s="89"/>
      <c r="G111" s="88"/>
      <c r="H111" s="89"/>
      <c r="I111" s="88"/>
      <c r="J111" s="89"/>
      <c r="K111" s="89"/>
      <c r="L111" s="42"/>
    </row>
    <row r="112" spans="1:12" ht="17.25" customHeight="1">
      <c r="A112" s="87">
        <v>82</v>
      </c>
      <c r="B112" s="86" t="s">
        <v>416</v>
      </c>
      <c r="C112" s="105" t="s">
        <v>34</v>
      </c>
      <c r="D112" s="125">
        <f>(1060*3+139*12+140*12)/1000</f>
        <v>6.528</v>
      </c>
      <c r="E112" s="87"/>
      <c r="F112" s="89"/>
      <c r="G112" s="88"/>
      <c r="H112" s="89"/>
      <c r="I112" s="88"/>
      <c r="J112" s="89"/>
      <c r="K112" s="89"/>
      <c r="L112" s="32"/>
    </row>
    <row r="113" spans="1:12" ht="27">
      <c r="A113" s="87">
        <v>83</v>
      </c>
      <c r="B113" s="86" t="s">
        <v>417</v>
      </c>
      <c r="C113" s="105" t="s">
        <v>34</v>
      </c>
      <c r="D113" s="125">
        <f>(48*2)/1000</f>
        <v>0.096</v>
      </c>
      <c r="E113" s="87"/>
      <c r="F113" s="89"/>
      <c r="G113" s="88"/>
      <c r="H113" s="89"/>
      <c r="I113" s="88"/>
      <c r="J113" s="89"/>
      <c r="K113" s="89"/>
      <c r="L113" s="32"/>
    </row>
    <row r="114" spans="1:12" ht="27.75" customHeight="1">
      <c r="A114" s="87">
        <v>84</v>
      </c>
      <c r="B114" s="86" t="s">
        <v>335</v>
      </c>
      <c r="C114" s="87" t="s">
        <v>34</v>
      </c>
      <c r="D114" s="244">
        <f>D112+D113</f>
        <v>6.624</v>
      </c>
      <c r="E114" s="87"/>
      <c r="F114" s="89"/>
      <c r="G114" s="88"/>
      <c r="H114" s="89"/>
      <c r="I114" s="88"/>
      <c r="J114" s="89"/>
      <c r="K114" s="89"/>
      <c r="L114" s="42"/>
    </row>
    <row r="115" spans="1:12" s="51" customFormat="1" ht="27">
      <c r="A115" s="87">
        <v>85</v>
      </c>
      <c r="B115" s="86" t="s">
        <v>619</v>
      </c>
      <c r="C115" s="87" t="s">
        <v>24</v>
      </c>
      <c r="D115" s="240">
        <v>350</v>
      </c>
      <c r="E115" s="87"/>
      <c r="F115" s="89"/>
      <c r="G115" s="88"/>
      <c r="H115" s="89"/>
      <c r="I115" s="88"/>
      <c r="J115" s="89"/>
      <c r="K115" s="89"/>
      <c r="L115" s="42"/>
    </row>
    <row r="116" spans="1:12" s="51" customFormat="1" ht="27">
      <c r="A116" s="87">
        <v>86</v>
      </c>
      <c r="B116" s="201" t="s">
        <v>337</v>
      </c>
      <c r="C116" s="87" t="s">
        <v>24</v>
      </c>
      <c r="D116" s="306">
        <f>D115</f>
        <v>350</v>
      </c>
      <c r="E116" s="148"/>
      <c r="F116" s="148"/>
      <c r="G116" s="148"/>
      <c r="H116" s="148"/>
      <c r="I116" s="148"/>
      <c r="J116" s="148"/>
      <c r="K116" s="148"/>
      <c r="L116" s="42"/>
    </row>
    <row r="117" spans="1:12" s="51" customFormat="1" ht="27">
      <c r="A117" s="87">
        <v>87</v>
      </c>
      <c r="B117" s="86" t="s">
        <v>602</v>
      </c>
      <c r="C117" s="87" t="s">
        <v>24</v>
      </c>
      <c r="D117" s="240">
        <f>D115</f>
        <v>350</v>
      </c>
      <c r="E117" s="87"/>
      <c r="F117" s="89"/>
      <c r="G117" s="88"/>
      <c r="H117" s="89"/>
      <c r="I117" s="88"/>
      <c r="J117" s="89"/>
      <c r="K117" s="89"/>
      <c r="L117" s="42"/>
    </row>
    <row r="118" spans="1:12" s="51" customFormat="1" ht="29.25" customHeight="1">
      <c r="A118" s="87">
        <v>88</v>
      </c>
      <c r="B118" s="73" t="s">
        <v>620</v>
      </c>
      <c r="C118" s="87" t="s">
        <v>24</v>
      </c>
      <c r="D118" s="306">
        <f>D115</f>
        <v>350</v>
      </c>
      <c r="E118" s="148"/>
      <c r="F118" s="148"/>
      <c r="G118" s="148"/>
      <c r="H118" s="148"/>
      <c r="I118" s="148"/>
      <c r="J118" s="148"/>
      <c r="K118" s="148"/>
      <c r="L118" s="42"/>
    </row>
    <row r="119" spans="1:12" s="15" customFormat="1" ht="30.75" customHeight="1">
      <c r="A119" s="87">
        <v>89</v>
      </c>
      <c r="B119" s="118" t="s">
        <v>339</v>
      </c>
      <c r="C119" s="87" t="s">
        <v>24</v>
      </c>
      <c r="D119" s="306">
        <f>D115</f>
        <v>350</v>
      </c>
      <c r="E119" s="148"/>
      <c r="F119" s="148"/>
      <c r="G119" s="148"/>
      <c r="H119" s="148"/>
      <c r="I119" s="148"/>
      <c r="J119" s="148"/>
      <c r="K119" s="148"/>
      <c r="L119" s="32"/>
    </row>
    <row r="120" spans="1:12" ht="13.5">
      <c r="A120" s="91"/>
      <c r="B120" s="145" t="s">
        <v>5</v>
      </c>
      <c r="C120" s="124"/>
      <c r="D120" s="113"/>
      <c r="E120" s="91"/>
      <c r="F120" s="113">
        <f>SUM(F102:F119)</f>
        <v>0</v>
      </c>
      <c r="G120" s="113"/>
      <c r="H120" s="113">
        <f>SUM(H102:H119)</f>
        <v>0</v>
      </c>
      <c r="I120" s="113"/>
      <c r="J120" s="113">
        <f>SUM(J102:J119)</f>
        <v>0</v>
      </c>
      <c r="K120" s="113">
        <f>SUM(K102:K119)</f>
        <v>0</v>
      </c>
      <c r="L120" s="43"/>
    </row>
    <row r="121" spans="1:12" ht="16.5">
      <c r="A121" s="91"/>
      <c r="B121" s="238" t="s">
        <v>63</v>
      </c>
      <c r="C121" s="124"/>
      <c r="D121" s="113"/>
      <c r="E121" s="91"/>
      <c r="F121" s="113"/>
      <c r="G121" s="113"/>
      <c r="H121" s="113"/>
      <c r="I121" s="113"/>
      <c r="J121" s="113"/>
      <c r="K121" s="113"/>
      <c r="L121" s="43"/>
    </row>
    <row r="122" spans="1:12" ht="16.5">
      <c r="A122" s="91"/>
      <c r="B122" s="238" t="s">
        <v>319</v>
      </c>
      <c r="C122" s="124"/>
      <c r="D122" s="113"/>
      <c r="E122" s="91"/>
      <c r="F122" s="113"/>
      <c r="G122" s="113"/>
      <c r="H122" s="113"/>
      <c r="I122" s="113"/>
      <c r="J122" s="113"/>
      <c r="K122" s="113"/>
      <c r="L122" s="43"/>
    </row>
    <row r="123" spans="1:12" s="51" customFormat="1" ht="27">
      <c r="A123" s="87">
        <v>90</v>
      </c>
      <c r="B123" s="201" t="s">
        <v>621</v>
      </c>
      <c r="C123" s="87" t="s">
        <v>26</v>
      </c>
      <c r="D123" s="240">
        <v>0.4</v>
      </c>
      <c r="E123" s="87"/>
      <c r="F123" s="89"/>
      <c r="G123" s="88"/>
      <c r="H123" s="89"/>
      <c r="I123" s="88"/>
      <c r="J123" s="89"/>
      <c r="K123" s="89"/>
      <c r="L123" s="42"/>
    </row>
    <row r="124" spans="1:12" ht="13.5">
      <c r="A124" s="87">
        <v>91</v>
      </c>
      <c r="B124" s="133" t="s">
        <v>77</v>
      </c>
      <c r="C124" s="85" t="s">
        <v>34</v>
      </c>
      <c r="D124" s="252">
        <f>122/100</f>
        <v>1.22</v>
      </c>
      <c r="E124" s="87"/>
      <c r="F124" s="89"/>
      <c r="G124" s="88"/>
      <c r="H124" s="89"/>
      <c r="I124" s="88"/>
      <c r="J124" s="89"/>
      <c r="K124" s="89"/>
      <c r="L124" s="42"/>
    </row>
    <row r="125" spans="1:12" ht="13.5">
      <c r="A125" s="87">
        <v>92</v>
      </c>
      <c r="B125" s="133" t="s">
        <v>53</v>
      </c>
      <c r="C125" s="85" t="s">
        <v>34</v>
      </c>
      <c r="D125" s="252">
        <f>19/1000</f>
        <v>0.019</v>
      </c>
      <c r="E125" s="87"/>
      <c r="F125" s="89"/>
      <c r="G125" s="88"/>
      <c r="H125" s="89"/>
      <c r="I125" s="88"/>
      <c r="J125" s="89"/>
      <c r="K125" s="89"/>
      <c r="L125" s="42"/>
    </row>
    <row r="126" spans="1:12" s="51" customFormat="1" ht="27">
      <c r="A126" s="87">
        <v>93</v>
      </c>
      <c r="B126" s="86" t="s">
        <v>622</v>
      </c>
      <c r="C126" s="87" t="s">
        <v>26</v>
      </c>
      <c r="D126" s="240">
        <f>0.8+0.7</f>
        <v>1.5</v>
      </c>
      <c r="E126" s="87"/>
      <c r="F126" s="89"/>
      <c r="G126" s="88"/>
      <c r="H126" s="89"/>
      <c r="I126" s="88"/>
      <c r="J126" s="89"/>
      <c r="K126" s="89"/>
      <c r="L126" s="42"/>
    </row>
    <row r="127" spans="1:12" ht="13.5">
      <c r="A127" s="87">
        <v>94</v>
      </c>
      <c r="B127" s="133" t="s">
        <v>77</v>
      </c>
      <c r="C127" s="85" t="s">
        <v>34</v>
      </c>
      <c r="D127" s="252">
        <f>(26.4+16.6)/1000</f>
        <v>0.043</v>
      </c>
      <c r="E127" s="87"/>
      <c r="F127" s="89"/>
      <c r="G127" s="88"/>
      <c r="H127" s="89"/>
      <c r="I127" s="88"/>
      <c r="J127" s="89"/>
      <c r="K127" s="89"/>
      <c r="L127" s="42"/>
    </row>
    <row r="128" spans="1:12" ht="13.5">
      <c r="A128" s="87">
        <v>95</v>
      </c>
      <c r="B128" s="133" t="s">
        <v>53</v>
      </c>
      <c r="C128" s="85" t="s">
        <v>34</v>
      </c>
      <c r="D128" s="252">
        <f>(200+115.1)/1000</f>
        <v>0.31510000000000005</v>
      </c>
      <c r="E128" s="87"/>
      <c r="F128" s="89"/>
      <c r="G128" s="88"/>
      <c r="H128" s="89"/>
      <c r="I128" s="88"/>
      <c r="J128" s="89"/>
      <c r="K128" s="89"/>
      <c r="L128" s="42"/>
    </row>
    <row r="129" spans="1:12" ht="27">
      <c r="A129" s="87">
        <v>96</v>
      </c>
      <c r="B129" s="201" t="s">
        <v>352</v>
      </c>
      <c r="C129" s="87" t="s">
        <v>24</v>
      </c>
      <c r="D129" s="252">
        <v>13</v>
      </c>
      <c r="E129" s="87"/>
      <c r="F129" s="89"/>
      <c r="G129" s="88"/>
      <c r="H129" s="89"/>
      <c r="I129" s="88"/>
      <c r="J129" s="89"/>
      <c r="K129" s="89"/>
      <c r="L129" s="42"/>
    </row>
    <row r="130" spans="1:12" s="51" customFormat="1" ht="27">
      <c r="A130" s="87">
        <v>97</v>
      </c>
      <c r="B130" s="360" t="s">
        <v>353</v>
      </c>
      <c r="C130" s="87" t="s">
        <v>24</v>
      </c>
      <c r="D130" s="308">
        <f>4+3</f>
        <v>7</v>
      </c>
      <c r="E130" s="87"/>
      <c r="F130" s="89"/>
      <c r="G130" s="88"/>
      <c r="H130" s="89"/>
      <c r="I130" s="88"/>
      <c r="J130" s="89"/>
      <c r="K130" s="89"/>
      <c r="L130" s="42"/>
    </row>
    <row r="131" spans="1:11" s="161" customFormat="1" ht="31.5" customHeight="1">
      <c r="A131" s="199">
        <v>98</v>
      </c>
      <c r="B131" s="361" t="s">
        <v>418</v>
      </c>
      <c r="C131" s="199" t="s">
        <v>47</v>
      </c>
      <c r="D131" s="304">
        <v>7.2</v>
      </c>
      <c r="E131" s="162"/>
      <c r="F131" s="162"/>
      <c r="G131" s="162"/>
      <c r="H131" s="162"/>
      <c r="I131" s="162"/>
      <c r="J131" s="162"/>
      <c r="K131" s="162"/>
    </row>
    <row r="132" spans="1:12" ht="13.5">
      <c r="A132" s="87">
        <v>99</v>
      </c>
      <c r="B132" s="360" t="s">
        <v>180</v>
      </c>
      <c r="C132" s="87" t="s">
        <v>42</v>
      </c>
      <c r="D132" s="240">
        <v>6</v>
      </c>
      <c r="E132" s="87"/>
      <c r="F132" s="89"/>
      <c r="G132" s="88"/>
      <c r="H132" s="89"/>
      <c r="I132" s="88"/>
      <c r="J132" s="89"/>
      <c r="K132" s="89"/>
      <c r="L132" s="32"/>
    </row>
    <row r="133" spans="1:12" s="51" customFormat="1" ht="27">
      <c r="A133" s="87">
        <v>100</v>
      </c>
      <c r="B133" s="201" t="s">
        <v>67</v>
      </c>
      <c r="C133" s="87" t="s">
        <v>24</v>
      </c>
      <c r="D133" s="240">
        <f>D132*0.9</f>
        <v>5.4</v>
      </c>
      <c r="E133" s="87"/>
      <c r="F133" s="89"/>
      <c r="G133" s="88"/>
      <c r="H133" s="89"/>
      <c r="I133" s="88"/>
      <c r="J133" s="89"/>
      <c r="K133" s="89"/>
      <c r="L133" s="42"/>
    </row>
    <row r="134" spans="1:12" s="15" customFormat="1" ht="13.5">
      <c r="A134" s="87">
        <v>101</v>
      </c>
      <c r="B134" s="201" t="s">
        <v>179</v>
      </c>
      <c r="C134" s="87" t="s">
        <v>24</v>
      </c>
      <c r="D134" s="248">
        <v>0.61</v>
      </c>
      <c r="E134" s="87"/>
      <c r="F134" s="89"/>
      <c r="G134" s="88"/>
      <c r="H134" s="89"/>
      <c r="I134" s="88"/>
      <c r="J134" s="89"/>
      <c r="K134" s="89"/>
      <c r="L134" s="32"/>
    </row>
    <row r="135" spans="1:12" s="15" customFormat="1" ht="27">
      <c r="A135" s="87">
        <v>102</v>
      </c>
      <c r="B135" s="86" t="s">
        <v>54</v>
      </c>
      <c r="C135" s="87" t="s">
        <v>24</v>
      </c>
      <c r="D135" s="240">
        <v>9</v>
      </c>
      <c r="E135" s="87"/>
      <c r="F135" s="89"/>
      <c r="G135" s="88"/>
      <c r="H135" s="89"/>
      <c r="I135" s="88"/>
      <c r="J135" s="89"/>
      <c r="K135" s="89"/>
      <c r="L135" s="32"/>
    </row>
    <row r="136" spans="1:12" s="15" customFormat="1" ht="27">
      <c r="A136" s="87">
        <v>103</v>
      </c>
      <c r="B136" s="86" t="s">
        <v>61</v>
      </c>
      <c r="C136" s="87" t="s">
        <v>24</v>
      </c>
      <c r="D136" s="240">
        <f>D135</f>
        <v>9</v>
      </c>
      <c r="E136" s="87"/>
      <c r="F136" s="89"/>
      <c r="G136" s="88"/>
      <c r="H136" s="89"/>
      <c r="I136" s="88"/>
      <c r="J136" s="89"/>
      <c r="K136" s="89"/>
      <c r="L136" s="32"/>
    </row>
    <row r="137" spans="1:12" ht="15.75">
      <c r="A137" s="91"/>
      <c r="B137" s="253" t="s">
        <v>320</v>
      </c>
      <c r="C137" s="124"/>
      <c r="D137" s="113"/>
      <c r="E137" s="91"/>
      <c r="F137" s="113"/>
      <c r="G137" s="113"/>
      <c r="H137" s="113"/>
      <c r="I137" s="113"/>
      <c r="J137" s="113"/>
      <c r="K137" s="113"/>
      <c r="L137" s="43"/>
    </row>
    <row r="138" spans="1:12" s="51" customFormat="1" ht="27.75" customHeight="1">
      <c r="A138" s="87">
        <v>104</v>
      </c>
      <c r="B138" s="86" t="s">
        <v>623</v>
      </c>
      <c r="C138" s="87" t="s">
        <v>26</v>
      </c>
      <c r="D138" s="92">
        <f>0.56*6</f>
        <v>3.3600000000000003</v>
      </c>
      <c r="E138" s="87"/>
      <c r="F138" s="89"/>
      <c r="G138" s="88"/>
      <c r="H138" s="89"/>
      <c r="I138" s="88"/>
      <c r="J138" s="89"/>
      <c r="K138" s="89"/>
      <c r="L138" s="42"/>
    </row>
    <row r="139" spans="1:12" ht="13.5">
      <c r="A139" s="87">
        <v>105</v>
      </c>
      <c r="B139" s="133" t="s">
        <v>77</v>
      </c>
      <c r="C139" s="85" t="s">
        <v>34</v>
      </c>
      <c r="D139" s="92">
        <f>0.149*6</f>
        <v>0.8939999999999999</v>
      </c>
      <c r="E139" s="87"/>
      <c r="F139" s="89"/>
      <c r="G139" s="88"/>
      <c r="H139" s="89"/>
      <c r="I139" s="88"/>
      <c r="J139" s="89"/>
      <c r="K139" s="89"/>
      <c r="L139" s="42"/>
    </row>
    <row r="140" spans="1:12" ht="13.5">
      <c r="A140" s="87">
        <v>106</v>
      </c>
      <c r="B140" s="133" t="s">
        <v>53</v>
      </c>
      <c r="C140" s="85" t="s">
        <v>34</v>
      </c>
      <c r="D140" s="92">
        <f>0.026*6</f>
        <v>0.156</v>
      </c>
      <c r="E140" s="87"/>
      <c r="F140" s="89"/>
      <c r="G140" s="88"/>
      <c r="H140" s="89"/>
      <c r="I140" s="88"/>
      <c r="J140" s="89"/>
      <c r="K140" s="89"/>
      <c r="L140" s="42"/>
    </row>
    <row r="141" spans="1:12" s="51" customFormat="1" ht="27">
      <c r="A141" s="87">
        <v>107</v>
      </c>
      <c r="B141" s="201" t="s">
        <v>624</v>
      </c>
      <c r="C141" s="87" t="s">
        <v>26</v>
      </c>
      <c r="D141" s="240">
        <f>1.1*2+2.1*4+2.1*4</f>
        <v>19</v>
      </c>
      <c r="E141" s="87"/>
      <c r="F141" s="89"/>
      <c r="G141" s="88"/>
      <c r="H141" s="89"/>
      <c r="I141" s="88"/>
      <c r="J141" s="89"/>
      <c r="K141" s="89"/>
      <c r="L141" s="42"/>
    </row>
    <row r="142" spans="1:12" ht="13.5">
      <c r="A142" s="87">
        <v>108</v>
      </c>
      <c r="B142" s="133" t="s">
        <v>77</v>
      </c>
      <c r="C142" s="85" t="s">
        <v>34</v>
      </c>
      <c r="D142" s="252">
        <f>(35*2+60*8)/1000</f>
        <v>0.55</v>
      </c>
      <c r="E142" s="87"/>
      <c r="F142" s="89"/>
      <c r="G142" s="88"/>
      <c r="H142" s="89"/>
      <c r="I142" s="88"/>
      <c r="J142" s="89"/>
      <c r="K142" s="89"/>
      <c r="L142" s="42"/>
    </row>
    <row r="143" spans="1:12" ht="13.5">
      <c r="A143" s="87">
        <v>108</v>
      </c>
      <c r="B143" s="133" t="s">
        <v>53</v>
      </c>
      <c r="C143" s="85" t="s">
        <v>34</v>
      </c>
      <c r="D143" s="252">
        <f>(239*2+444*4+444*4)/1000</f>
        <v>4.03</v>
      </c>
      <c r="E143" s="87"/>
      <c r="F143" s="89"/>
      <c r="G143" s="88"/>
      <c r="H143" s="89"/>
      <c r="I143" s="88"/>
      <c r="J143" s="89"/>
      <c r="K143" s="89"/>
      <c r="L143" s="42"/>
    </row>
    <row r="144" spans="1:12" ht="42" customHeight="1">
      <c r="A144" s="87">
        <v>109</v>
      </c>
      <c r="B144" s="201" t="s">
        <v>625</v>
      </c>
      <c r="C144" s="87" t="s">
        <v>24</v>
      </c>
      <c r="D144" s="252">
        <f>132+70</f>
        <v>202</v>
      </c>
      <c r="E144" s="87"/>
      <c r="F144" s="89"/>
      <c r="G144" s="88"/>
      <c r="H144" s="89"/>
      <c r="I144" s="88"/>
      <c r="J144" s="89"/>
      <c r="K144" s="89"/>
      <c r="L144" s="42"/>
    </row>
    <row r="145" spans="1:12" s="51" customFormat="1" ht="40.5">
      <c r="A145" s="87">
        <v>110</v>
      </c>
      <c r="B145" s="362" t="s">
        <v>626</v>
      </c>
      <c r="C145" s="85" t="s">
        <v>47</v>
      </c>
      <c r="D145" s="248">
        <v>292</v>
      </c>
      <c r="E145" s="87"/>
      <c r="F145" s="89"/>
      <c r="G145" s="88"/>
      <c r="H145" s="89"/>
      <c r="I145" s="88"/>
      <c r="J145" s="89"/>
      <c r="K145" s="89"/>
      <c r="L145" s="42"/>
    </row>
    <row r="146" spans="1:12" s="51" customFormat="1" ht="40.5">
      <c r="A146" s="87">
        <v>111</v>
      </c>
      <c r="B146" s="362" t="s">
        <v>627</v>
      </c>
      <c r="C146" s="85" t="s">
        <v>47</v>
      </c>
      <c r="D146" s="248">
        <v>340</v>
      </c>
      <c r="E146" s="87"/>
      <c r="F146" s="89"/>
      <c r="G146" s="88"/>
      <c r="H146" s="89"/>
      <c r="I146" s="88"/>
      <c r="J146" s="89"/>
      <c r="K146" s="89"/>
      <c r="L146" s="42"/>
    </row>
    <row r="147" spans="1:12" s="51" customFormat="1" ht="27">
      <c r="A147" s="87">
        <v>112</v>
      </c>
      <c r="B147" s="362" t="s">
        <v>362</v>
      </c>
      <c r="C147" s="85" t="s">
        <v>47</v>
      </c>
      <c r="D147" s="248">
        <v>50</v>
      </c>
      <c r="E147" s="87"/>
      <c r="F147" s="89"/>
      <c r="G147" s="88"/>
      <c r="H147" s="89"/>
      <c r="I147" s="88"/>
      <c r="J147" s="89"/>
      <c r="K147" s="89"/>
      <c r="L147" s="42"/>
    </row>
    <row r="148" spans="1:12" s="51" customFormat="1" ht="27">
      <c r="A148" s="87">
        <v>113</v>
      </c>
      <c r="B148" s="362" t="s">
        <v>628</v>
      </c>
      <c r="C148" s="85" t="s">
        <v>47</v>
      </c>
      <c r="D148" s="248">
        <v>36</v>
      </c>
      <c r="E148" s="87"/>
      <c r="F148" s="89"/>
      <c r="G148" s="88"/>
      <c r="H148" s="89"/>
      <c r="I148" s="88"/>
      <c r="J148" s="89"/>
      <c r="K148" s="89"/>
      <c r="L148" s="42"/>
    </row>
    <row r="149" spans="1:12" ht="13.5">
      <c r="A149" s="87">
        <v>114</v>
      </c>
      <c r="B149" s="203" t="s">
        <v>180</v>
      </c>
      <c r="C149" s="87" t="s">
        <v>42</v>
      </c>
      <c r="D149" s="240">
        <v>60</v>
      </c>
      <c r="E149" s="87"/>
      <c r="F149" s="89"/>
      <c r="G149" s="88"/>
      <c r="H149" s="89"/>
      <c r="I149" s="88"/>
      <c r="J149" s="89"/>
      <c r="K149" s="89"/>
      <c r="L149" s="32"/>
    </row>
    <row r="150" spans="1:12" s="51" customFormat="1" ht="27">
      <c r="A150" s="87">
        <v>115</v>
      </c>
      <c r="B150" s="86" t="s">
        <v>67</v>
      </c>
      <c r="C150" s="87" t="s">
        <v>24</v>
      </c>
      <c r="D150" s="240">
        <f>D149*0.9</f>
        <v>54</v>
      </c>
      <c r="E150" s="87"/>
      <c r="F150" s="89"/>
      <c r="G150" s="88"/>
      <c r="H150" s="89"/>
      <c r="I150" s="88"/>
      <c r="J150" s="89"/>
      <c r="K150" s="89"/>
      <c r="L150" s="42"/>
    </row>
    <row r="151" spans="1:12" s="15" customFormat="1" ht="18.75" customHeight="1">
      <c r="A151" s="87">
        <v>116</v>
      </c>
      <c r="B151" s="86" t="s">
        <v>179</v>
      </c>
      <c r="C151" s="87" t="s">
        <v>24</v>
      </c>
      <c r="D151" s="248">
        <v>6.12</v>
      </c>
      <c r="E151" s="87"/>
      <c r="F151" s="89"/>
      <c r="G151" s="88"/>
      <c r="H151" s="89"/>
      <c r="I151" s="88"/>
      <c r="J151" s="89"/>
      <c r="K151" s="89"/>
      <c r="L151" s="32"/>
    </row>
    <row r="152" spans="1:12" s="15" customFormat="1" ht="27">
      <c r="A152" s="87">
        <v>117</v>
      </c>
      <c r="B152" s="86" t="s">
        <v>54</v>
      </c>
      <c r="C152" s="87" t="s">
        <v>24</v>
      </c>
      <c r="D152" s="240">
        <v>210</v>
      </c>
      <c r="E152" s="87"/>
      <c r="F152" s="89"/>
      <c r="G152" s="88"/>
      <c r="H152" s="89"/>
      <c r="I152" s="88"/>
      <c r="J152" s="89"/>
      <c r="K152" s="89"/>
      <c r="L152" s="32"/>
    </row>
    <row r="153" spans="1:12" s="15" customFormat="1" ht="27">
      <c r="A153" s="87">
        <v>118</v>
      </c>
      <c r="B153" s="201" t="s">
        <v>61</v>
      </c>
      <c r="C153" s="87" t="s">
        <v>24</v>
      </c>
      <c r="D153" s="240">
        <f>D152</f>
        <v>210</v>
      </c>
      <c r="E153" s="87"/>
      <c r="F153" s="89"/>
      <c r="G153" s="88"/>
      <c r="H153" s="89"/>
      <c r="I153" s="88"/>
      <c r="J153" s="89"/>
      <c r="K153" s="89"/>
      <c r="L153" s="32"/>
    </row>
    <row r="154" spans="1:12" ht="27">
      <c r="A154" s="87">
        <v>119</v>
      </c>
      <c r="B154" s="201" t="s">
        <v>419</v>
      </c>
      <c r="C154" s="87" t="s">
        <v>34</v>
      </c>
      <c r="D154" s="244">
        <v>0.08</v>
      </c>
      <c r="E154" s="87"/>
      <c r="F154" s="89"/>
      <c r="G154" s="88"/>
      <c r="H154" s="89"/>
      <c r="I154" s="88"/>
      <c r="J154" s="89"/>
      <c r="K154" s="89"/>
      <c r="L154" s="42"/>
    </row>
    <row r="155" spans="1:12" ht="27.75" customHeight="1">
      <c r="A155" s="5">
        <v>120</v>
      </c>
      <c r="B155" s="201" t="s">
        <v>357</v>
      </c>
      <c r="C155" s="87" t="s">
        <v>34</v>
      </c>
      <c r="D155" s="244">
        <f>D154</f>
        <v>0.08</v>
      </c>
      <c r="E155" s="87"/>
      <c r="F155" s="89"/>
      <c r="G155" s="88"/>
      <c r="H155" s="89"/>
      <c r="I155" s="88"/>
      <c r="J155" s="89"/>
      <c r="K155" s="89"/>
      <c r="L155" s="42"/>
    </row>
    <row r="156" spans="1:12" ht="13.5">
      <c r="A156" s="87">
        <v>121</v>
      </c>
      <c r="B156" s="201" t="s">
        <v>420</v>
      </c>
      <c r="C156" s="87" t="s">
        <v>24</v>
      </c>
      <c r="D156" s="248">
        <v>2</v>
      </c>
      <c r="E156" s="87"/>
      <c r="F156" s="89"/>
      <c r="G156" s="88"/>
      <c r="H156" s="89"/>
      <c r="I156" s="88"/>
      <c r="J156" s="89"/>
      <c r="K156" s="89"/>
      <c r="L156" s="32"/>
    </row>
    <row r="157" spans="1:12" s="51" customFormat="1" ht="29.25" customHeight="1">
      <c r="A157" s="87">
        <v>122</v>
      </c>
      <c r="B157" s="86" t="s">
        <v>374</v>
      </c>
      <c r="C157" s="87" t="s">
        <v>24</v>
      </c>
      <c r="D157" s="248">
        <f>D156*2.4</f>
        <v>4.8</v>
      </c>
      <c r="E157" s="87"/>
      <c r="F157" s="89"/>
      <c r="G157" s="88"/>
      <c r="H157" s="89"/>
      <c r="I157" s="88"/>
      <c r="J157" s="89"/>
      <c r="K157" s="89"/>
      <c r="L157" s="42"/>
    </row>
    <row r="158" spans="1:12" ht="15.75">
      <c r="A158" s="91"/>
      <c r="B158" s="253" t="s">
        <v>321</v>
      </c>
      <c r="C158" s="124"/>
      <c r="D158" s="113"/>
      <c r="E158" s="91"/>
      <c r="F158" s="113"/>
      <c r="G158" s="113"/>
      <c r="H158" s="113"/>
      <c r="I158" s="113"/>
      <c r="J158" s="113"/>
      <c r="K158" s="113"/>
      <c r="L158" s="43"/>
    </row>
    <row r="159" spans="1:12" s="15" customFormat="1" ht="27">
      <c r="A159" s="87">
        <v>123</v>
      </c>
      <c r="B159" s="86" t="s">
        <v>629</v>
      </c>
      <c r="C159" s="87" t="s">
        <v>26</v>
      </c>
      <c r="D159" s="240">
        <f>(6.4+5.3+4.4+3.7)*2</f>
        <v>39.6</v>
      </c>
      <c r="E159" s="87"/>
      <c r="F159" s="89"/>
      <c r="G159" s="88"/>
      <c r="H159" s="89"/>
      <c r="I159" s="88"/>
      <c r="J159" s="89"/>
      <c r="K159" s="89"/>
      <c r="L159" s="32"/>
    </row>
    <row r="160" spans="1:12" s="33" customFormat="1" ht="14.25" customHeight="1">
      <c r="A160" s="87">
        <v>124</v>
      </c>
      <c r="B160" s="133" t="s">
        <v>53</v>
      </c>
      <c r="C160" s="85" t="s">
        <v>34</v>
      </c>
      <c r="D160" s="244">
        <f>(205+181+209+185)*2/1000</f>
        <v>1.56</v>
      </c>
      <c r="E160" s="87"/>
      <c r="F160" s="89"/>
      <c r="G160" s="88"/>
      <c r="H160" s="89"/>
      <c r="I160" s="88"/>
      <c r="J160" s="89"/>
      <c r="K160" s="89"/>
      <c r="L160" s="244"/>
    </row>
    <row r="161" spans="1:12" s="51" customFormat="1" ht="17.25" customHeight="1">
      <c r="A161" s="87">
        <v>125</v>
      </c>
      <c r="B161" s="86" t="s">
        <v>322</v>
      </c>
      <c r="C161" s="87" t="s">
        <v>34</v>
      </c>
      <c r="D161" s="240">
        <f>46*4*2/1000</f>
        <v>0.368</v>
      </c>
      <c r="E161" s="87"/>
      <c r="F161" s="89"/>
      <c r="G161" s="88"/>
      <c r="H161" s="89"/>
      <c r="I161" s="88"/>
      <c r="J161" s="89"/>
      <c r="K161" s="89"/>
      <c r="L161" s="42"/>
    </row>
    <row r="162" spans="1:12" s="51" customFormat="1" ht="27">
      <c r="A162" s="87">
        <v>126</v>
      </c>
      <c r="B162" s="201" t="s">
        <v>630</v>
      </c>
      <c r="C162" s="87" t="s">
        <v>26</v>
      </c>
      <c r="D162" s="244">
        <f>0.6*(2.35*0.8+1.95*0.8+2.35*0.6+1.95*0.6)*2+0.7*0.25*1.74*2</f>
        <v>7.833</v>
      </c>
      <c r="E162" s="87"/>
      <c r="F162" s="89"/>
      <c r="G162" s="88"/>
      <c r="H162" s="89"/>
      <c r="I162" s="88"/>
      <c r="J162" s="89"/>
      <c r="K162" s="89"/>
      <c r="L162" s="42"/>
    </row>
    <row r="163" spans="1:12" ht="32.25" customHeight="1">
      <c r="A163" s="87">
        <v>127</v>
      </c>
      <c r="B163" s="86" t="s">
        <v>323</v>
      </c>
      <c r="C163" s="87" t="s">
        <v>34</v>
      </c>
      <c r="D163" s="244">
        <f>(486.1*8+651.7*8)/1000</f>
        <v>9.102400000000001</v>
      </c>
      <c r="E163" s="87"/>
      <c r="F163" s="89"/>
      <c r="G163" s="88"/>
      <c r="H163" s="89"/>
      <c r="I163" s="88"/>
      <c r="J163" s="89"/>
      <c r="K163" s="89"/>
      <c r="L163" s="42"/>
    </row>
    <row r="164" spans="1:12" ht="27">
      <c r="A164" s="87">
        <v>128</v>
      </c>
      <c r="B164" s="86" t="s">
        <v>324</v>
      </c>
      <c r="C164" s="87" t="s">
        <v>34</v>
      </c>
      <c r="D164" s="248">
        <f>(1724.4+368+251.2+265.2+112+79.2+68+2107.6+460+314+265.2+140+118.8+69)/1000</f>
        <v>6.342599999999999</v>
      </c>
      <c r="E164" s="87"/>
      <c r="F164" s="89"/>
      <c r="G164" s="88"/>
      <c r="H164" s="89"/>
      <c r="I164" s="88"/>
      <c r="J164" s="89"/>
      <c r="K164" s="89"/>
      <c r="L164" s="42"/>
    </row>
    <row r="165" spans="1:12" ht="30" customHeight="1">
      <c r="A165" s="87">
        <v>129</v>
      </c>
      <c r="B165" s="86" t="s">
        <v>358</v>
      </c>
      <c r="C165" s="87" t="s">
        <v>34</v>
      </c>
      <c r="D165" s="248">
        <f>(2*35.1+8*67.3+2*35.1+14*67.3)/1000</f>
        <v>1.621</v>
      </c>
      <c r="E165" s="87"/>
      <c r="F165" s="89"/>
      <c r="G165" s="88"/>
      <c r="H165" s="89"/>
      <c r="I165" s="88"/>
      <c r="J165" s="89"/>
      <c r="K165" s="89"/>
      <c r="L165" s="42"/>
    </row>
    <row r="166" spans="1:12" ht="32.25" customHeight="1">
      <c r="A166" s="87">
        <v>130</v>
      </c>
      <c r="B166" s="86" t="s">
        <v>421</v>
      </c>
      <c r="C166" s="87" t="s">
        <v>34</v>
      </c>
      <c r="D166" s="248">
        <f>(53*17.8+2*195.8+1*181.8+2*136.5+1*735.7+1*48.1+89*17.8+3*195.8+1*181.8+4*136.5+1*735.7+1*48.1)/1000</f>
        <v>6.256800000000001</v>
      </c>
      <c r="E166" s="87"/>
      <c r="F166" s="89"/>
      <c r="G166" s="88"/>
      <c r="H166" s="89"/>
      <c r="I166" s="88"/>
      <c r="J166" s="89"/>
      <c r="K166" s="89"/>
      <c r="L166" s="42"/>
    </row>
    <row r="167" spans="1:12" ht="32.25" customHeight="1">
      <c r="A167" s="87">
        <v>131</v>
      </c>
      <c r="B167" s="86" t="s">
        <v>325</v>
      </c>
      <c r="C167" s="87" t="s">
        <v>34</v>
      </c>
      <c r="D167" s="248">
        <f>(4*53.4+4*119.6)/1000</f>
        <v>0.692</v>
      </c>
      <c r="E167" s="87"/>
      <c r="F167" s="89"/>
      <c r="G167" s="88"/>
      <c r="H167" s="89"/>
      <c r="I167" s="88"/>
      <c r="J167" s="89"/>
      <c r="K167" s="89"/>
      <c r="L167" s="42"/>
    </row>
    <row r="168" spans="1:12" ht="32.25" customHeight="1">
      <c r="A168" s="87">
        <v>132</v>
      </c>
      <c r="B168" s="86" t="s">
        <v>326</v>
      </c>
      <c r="C168" s="87" t="s">
        <v>34</v>
      </c>
      <c r="D168" s="248">
        <f>(68*0.7+84*0.7)/1000</f>
        <v>0.1064</v>
      </c>
      <c r="E168" s="87"/>
      <c r="F168" s="89"/>
      <c r="G168" s="88"/>
      <c r="H168" s="89"/>
      <c r="I168" s="88"/>
      <c r="J168" s="89"/>
      <c r="K168" s="89"/>
      <c r="L168" s="42"/>
    </row>
    <row r="169" spans="1:12" ht="27.75" customHeight="1">
      <c r="A169" s="87">
        <v>133</v>
      </c>
      <c r="B169" s="201" t="s">
        <v>327</v>
      </c>
      <c r="C169" s="87" t="s">
        <v>34</v>
      </c>
      <c r="D169" s="248">
        <f>D168+D167+D166+D165+D164+D163</f>
        <v>24.1212</v>
      </c>
      <c r="E169" s="87"/>
      <c r="F169" s="89"/>
      <c r="G169" s="88"/>
      <c r="H169" s="89"/>
      <c r="I169" s="88"/>
      <c r="J169" s="89"/>
      <c r="K169" s="89"/>
      <c r="L169" s="42"/>
    </row>
    <row r="170" spans="1:12" ht="27">
      <c r="A170" s="87">
        <v>134</v>
      </c>
      <c r="B170" s="86" t="s">
        <v>361</v>
      </c>
      <c r="C170" s="87" t="s">
        <v>42</v>
      </c>
      <c r="D170" s="240">
        <f>21+35</f>
        <v>56</v>
      </c>
      <c r="E170" s="87"/>
      <c r="F170" s="89"/>
      <c r="G170" s="88"/>
      <c r="H170" s="89"/>
      <c r="I170" s="88"/>
      <c r="J170" s="89"/>
      <c r="K170" s="89"/>
      <c r="L170" s="42"/>
    </row>
    <row r="171" spans="1:12" s="51" customFormat="1" ht="29.25" customHeight="1">
      <c r="A171" s="87">
        <v>135</v>
      </c>
      <c r="B171" s="201" t="s">
        <v>67</v>
      </c>
      <c r="C171" s="87" t="s">
        <v>24</v>
      </c>
      <c r="D171" s="240">
        <f>D170*0.9</f>
        <v>50.4</v>
      </c>
      <c r="E171" s="87"/>
      <c r="F171" s="89"/>
      <c r="G171" s="88"/>
      <c r="H171" s="89"/>
      <c r="I171" s="88"/>
      <c r="J171" s="89"/>
      <c r="K171" s="89"/>
      <c r="L171" s="42"/>
    </row>
    <row r="172" spans="1:12" ht="13.5">
      <c r="A172" s="87">
        <v>136</v>
      </c>
      <c r="B172" s="201" t="s">
        <v>359</v>
      </c>
      <c r="C172" s="87" t="s">
        <v>42</v>
      </c>
      <c r="D172" s="240">
        <f>40+69</f>
        <v>109</v>
      </c>
      <c r="E172" s="87"/>
      <c r="F172" s="89"/>
      <c r="G172" s="88"/>
      <c r="H172" s="89"/>
      <c r="I172" s="88"/>
      <c r="J172" s="89"/>
      <c r="K172" s="89"/>
      <c r="L172" s="42"/>
    </row>
    <row r="173" spans="1:12" ht="42.75" customHeight="1">
      <c r="A173" s="87">
        <v>137</v>
      </c>
      <c r="B173" s="201" t="s">
        <v>631</v>
      </c>
      <c r="C173" s="87" t="s">
        <v>34</v>
      </c>
      <c r="D173" s="248">
        <v>6.839</v>
      </c>
      <c r="E173" s="87"/>
      <c r="F173" s="89"/>
      <c r="G173" s="88"/>
      <c r="H173" s="89"/>
      <c r="I173" s="88"/>
      <c r="J173" s="89"/>
      <c r="K173" s="89"/>
      <c r="L173" s="42"/>
    </row>
    <row r="174" spans="1:12" ht="27.75" customHeight="1">
      <c r="A174" s="87">
        <v>138</v>
      </c>
      <c r="B174" s="201" t="s">
        <v>360</v>
      </c>
      <c r="C174" s="87" t="s">
        <v>34</v>
      </c>
      <c r="D174" s="248">
        <f>(2505*2.73+109*4.32+29*0.62)/1000</f>
        <v>7.327509999999999</v>
      </c>
      <c r="E174" s="87"/>
      <c r="F174" s="89"/>
      <c r="G174" s="88"/>
      <c r="H174" s="89"/>
      <c r="I174" s="88"/>
      <c r="J174" s="89"/>
      <c r="K174" s="89"/>
      <c r="L174" s="42"/>
    </row>
    <row r="175" spans="1:12" ht="13.5">
      <c r="A175" s="91"/>
      <c r="B175" s="145" t="s">
        <v>6</v>
      </c>
      <c r="C175" s="124"/>
      <c r="D175" s="113"/>
      <c r="E175" s="91"/>
      <c r="F175" s="113">
        <f>SUM(F123:F174)</f>
        <v>0</v>
      </c>
      <c r="G175" s="113"/>
      <c r="H175" s="113">
        <f>SUM(H123:H174)</f>
        <v>0</v>
      </c>
      <c r="I175" s="113"/>
      <c r="J175" s="113">
        <f>SUM(J123:J174)</f>
        <v>0</v>
      </c>
      <c r="K175" s="113">
        <f>SUM(K123:K174)</f>
        <v>0</v>
      </c>
      <c r="L175" s="43"/>
    </row>
    <row r="176" spans="1:12" ht="16.5">
      <c r="A176" s="91"/>
      <c r="B176" s="238" t="s">
        <v>64</v>
      </c>
      <c r="C176" s="124"/>
      <c r="D176" s="113"/>
      <c r="E176" s="91"/>
      <c r="F176" s="113"/>
      <c r="G176" s="113"/>
      <c r="H176" s="113"/>
      <c r="I176" s="113"/>
      <c r="J176" s="113"/>
      <c r="K176" s="113"/>
      <c r="L176" s="42"/>
    </row>
    <row r="177" spans="1:14" ht="27">
      <c r="A177" s="87">
        <v>139</v>
      </c>
      <c r="B177" s="86" t="s">
        <v>422</v>
      </c>
      <c r="C177" s="87" t="s">
        <v>24</v>
      </c>
      <c r="D177" s="240">
        <f>12.5+14.4+82.4</f>
        <v>109.30000000000001</v>
      </c>
      <c r="E177" s="87"/>
      <c r="F177" s="89"/>
      <c r="G177" s="88"/>
      <c r="H177" s="89"/>
      <c r="I177" s="88"/>
      <c r="J177" s="89"/>
      <c r="K177" s="89"/>
      <c r="L177" s="42"/>
      <c r="N177" s="254"/>
    </row>
    <row r="178" spans="1:12" ht="27">
      <c r="A178" s="87">
        <v>140</v>
      </c>
      <c r="B178" s="86" t="s">
        <v>423</v>
      </c>
      <c r="C178" s="87" t="s">
        <v>24</v>
      </c>
      <c r="D178" s="308">
        <f>33.6+4.6+5.3+5.5</f>
        <v>49</v>
      </c>
      <c r="E178" s="87"/>
      <c r="F178" s="89"/>
      <c r="G178" s="88"/>
      <c r="H178" s="89"/>
      <c r="I178" s="88"/>
      <c r="J178" s="89"/>
      <c r="K178" s="89"/>
      <c r="L178" s="42"/>
    </row>
    <row r="179" spans="1:12" ht="28.5" customHeight="1">
      <c r="A179" s="87">
        <v>141</v>
      </c>
      <c r="B179" s="201" t="s">
        <v>424</v>
      </c>
      <c r="C179" s="87" t="s">
        <v>24</v>
      </c>
      <c r="D179" s="240">
        <v>929</v>
      </c>
      <c r="E179" s="87"/>
      <c r="F179" s="89"/>
      <c r="G179" s="88"/>
      <c r="H179" s="89"/>
      <c r="I179" s="88"/>
      <c r="J179" s="89"/>
      <c r="K179" s="89"/>
      <c r="L179" s="42"/>
    </row>
    <row r="180" spans="1:12" ht="18.75" customHeight="1">
      <c r="A180" s="87">
        <v>142</v>
      </c>
      <c r="B180" s="201" t="s">
        <v>372</v>
      </c>
      <c r="C180" s="87" t="s">
        <v>24</v>
      </c>
      <c r="D180" s="240">
        <f>3.1*2</f>
        <v>6.2</v>
      </c>
      <c r="E180" s="87"/>
      <c r="F180" s="89"/>
      <c r="G180" s="88"/>
      <c r="H180" s="89"/>
      <c r="I180" s="88"/>
      <c r="J180" s="89"/>
      <c r="K180" s="89"/>
      <c r="L180" s="42"/>
    </row>
    <row r="181" spans="1:11" s="160" customFormat="1" ht="28.5" customHeight="1">
      <c r="A181" s="199">
        <v>143</v>
      </c>
      <c r="B181" s="204" t="s">
        <v>632</v>
      </c>
      <c r="C181" s="199" t="s">
        <v>24</v>
      </c>
      <c r="D181" s="304">
        <f>504.4*0.25</f>
        <v>126.1</v>
      </c>
      <c r="E181" s="162"/>
      <c r="F181" s="162"/>
      <c r="G181" s="162"/>
      <c r="H181" s="162"/>
      <c r="I181" s="162"/>
      <c r="J181" s="162"/>
      <c r="K181" s="162"/>
    </row>
    <row r="182" spans="1:12" ht="27.75" customHeight="1">
      <c r="A182" s="87">
        <v>144</v>
      </c>
      <c r="B182" s="201" t="s">
        <v>633</v>
      </c>
      <c r="C182" s="87" t="s">
        <v>24</v>
      </c>
      <c r="D182" s="248">
        <v>311.2</v>
      </c>
      <c r="E182" s="87"/>
      <c r="F182" s="89"/>
      <c r="G182" s="88"/>
      <c r="H182" s="89"/>
      <c r="I182" s="88"/>
      <c r="J182" s="89"/>
      <c r="K182" s="89"/>
      <c r="L182" s="32"/>
    </row>
    <row r="183" spans="1:12" ht="27">
      <c r="A183" s="87">
        <v>145</v>
      </c>
      <c r="B183" s="201" t="s">
        <v>425</v>
      </c>
      <c r="C183" s="87" t="s">
        <v>24</v>
      </c>
      <c r="D183" s="240">
        <v>25</v>
      </c>
      <c r="E183" s="87"/>
      <c r="F183" s="89"/>
      <c r="G183" s="88"/>
      <c r="H183" s="89"/>
      <c r="I183" s="88"/>
      <c r="J183" s="89"/>
      <c r="K183" s="89"/>
      <c r="L183" s="32"/>
    </row>
    <row r="184" spans="1:12" s="51" customFormat="1" ht="29.25" customHeight="1">
      <c r="A184" s="87">
        <v>146</v>
      </c>
      <c r="B184" s="86" t="s">
        <v>375</v>
      </c>
      <c r="C184" s="87" t="s">
        <v>24</v>
      </c>
      <c r="D184" s="248">
        <v>25</v>
      </c>
      <c r="E184" s="87"/>
      <c r="F184" s="89"/>
      <c r="G184" s="88"/>
      <c r="H184" s="89"/>
      <c r="I184" s="88"/>
      <c r="J184" s="89"/>
      <c r="K184" s="89"/>
      <c r="L184" s="42"/>
    </row>
    <row r="185" spans="1:12" ht="15.75" customHeight="1">
      <c r="A185" s="87"/>
      <c r="B185" s="145" t="s">
        <v>7</v>
      </c>
      <c r="C185" s="85"/>
      <c r="D185" s="89"/>
      <c r="E185" s="87"/>
      <c r="F185" s="113">
        <f>SUM(F177:F184)</f>
        <v>0</v>
      </c>
      <c r="G185" s="113"/>
      <c r="H185" s="113">
        <f>SUM(H177:H184)</f>
        <v>0</v>
      </c>
      <c r="I185" s="113"/>
      <c r="J185" s="113">
        <f>SUM(J177:J184)</f>
        <v>0</v>
      </c>
      <c r="K185" s="113">
        <f>SUM(K177:K184)</f>
        <v>0</v>
      </c>
      <c r="L185" s="43"/>
    </row>
    <row r="186" spans="1:12" ht="16.5">
      <c r="A186" s="87"/>
      <c r="B186" s="238" t="s">
        <v>65</v>
      </c>
      <c r="C186" s="85"/>
      <c r="D186" s="89"/>
      <c r="E186" s="87"/>
      <c r="F186" s="89"/>
      <c r="G186" s="89"/>
      <c r="H186" s="89"/>
      <c r="I186" s="89"/>
      <c r="J186" s="89"/>
      <c r="K186" s="89"/>
      <c r="L186" s="42"/>
    </row>
    <row r="187" spans="1:12" ht="31.5">
      <c r="A187" s="87"/>
      <c r="B187" s="253" t="s">
        <v>426</v>
      </c>
      <c r="C187" s="167"/>
      <c r="D187" s="89"/>
      <c r="E187" s="87"/>
      <c r="F187" s="89"/>
      <c r="G187" s="88"/>
      <c r="H187" s="89"/>
      <c r="I187" s="88"/>
      <c r="J187" s="89"/>
      <c r="K187" s="89"/>
      <c r="L187" s="42"/>
    </row>
    <row r="188" spans="1:12" s="51" customFormat="1" ht="15.75" customHeight="1">
      <c r="A188" s="87">
        <v>147</v>
      </c>
      <c r="B188" s="86" t="s">
        <v>340</v>
      </c>
      <c r="C188" s="87" t="s">
        <v>24</v>
      </c>
      <c r="D188" s="240">
        <v>1609</v>
      </c>
      <c r="E188" s="87"/>
      <c r="F188" s="89"/>
      <c r="G188" s="88"/>
      <c r="H188" s="89"/>
      <c r="I188" s="88"/>
      <c r="J188" s="89"/>
      <c r="K188" s="89"/>
      <c r="L188" s="42"/>
    </row>
    <row r="189" spans="1:12" s="51" customFormat="1" ht="13.5">
      <c r="A189" s="87">
        <v>148</v>
      </c>
      <c r="B189" s="86" t="s">
        <v>341</v>
      </c>
      <c r="C189" s="87" t="s">
        <v>26</v>
      </c>
      <c r="D189" s="248">
        <f>D188*0.1</f>
        <v>160.9</v>
      </c>
      <c r="E189" s="87"/>
      <c r="F189" s="89"/>
      <c r="G189" s="88"/>
      <c r="H189" s="89"/>
      <c r="I189" s="88"/>
      <c r="J189" s="89"/>
      <c r="K189" s="89"/>
      <c r="L189" s="42"/>
    </row>
    <row r="190" spans="1:12" s="51" customFormat="1" ht="27">
      <c r="A190" s="87">
        <v>149</v>
      </c>
      <c r="B190" s="86" t="s">
        <v>427</v>
      </c>
      <c r="C190" s="87" t="s">
        <v>26</v>
      </c>
      <c r="D190" s="248">
        <f>D188*0.15</f>
        <v>241.35</v>
      </c>
      <c r="E190" s="87"/>
      <c r="F190" s="89"/>
      <c r="G190" s="88"/>
      <c r="H190" s="89"/>
      <c r="I190" s="88"/>
      <c r="J190" s="89"/>
      <c r="K190" s="89"/>
      <c r="L190" s="42"/>
    </row>
    <row r="191" spans="1:12" ht="27">
      <c r="A191" s="87">
        <v>150</v>
      </c>
      <c r="B191" s="86" t="s">
        <v>634</v>
      </c>
      <c r="C191" s="87" t="s">
        <v>24</v>
      </c>
      <c r="D191" s="240">
        <f>D188</f>
        <v>1609</v>
      </c>
      <c r="E191" s="87"/>
      <c r="F191" s="89"/>
      <c r="G191" s="88"/>
      <c r="H191" s="89"/>
      <c r="I191" s="88"/>
      <c r="J191" s="89"/>
      <c r="K191" s="89"/>
      <c r="L191" s="32"/>
    </row>
    <row r="192" spans="1:12" s="15" customFormat="1" ht="20.25" customHeight="1">
      <c r="A192" s="87">
        <v>151</v>
      </c>
      <c r="B192" s="118" t="s">
        <v>428</v>
      </c>
      <c r="C192" s="87" t="s">
        <v>24</v>
      </c>
      <c r="D192" s="240">
        <f>D188</f>
        <v>1609</v>
      </c>
      <c r="E192" s="148"/>
      <c r="F192" s="148"/>
      <c r="G192" s="148"/>
      <c r="H192" s="148"/>
      <c r="I192" s="148"/>
      <c r="J192" s="148"/>
      <c r="K192" s="148"/>
      <c r="L192" s="32"/>
    </row>
    <row r="193" spans="1:12" s="51" customFormat="1" ht="13.5">
      <c r="A193" s="87">
        <v>152</v>
      </c>
      <c r="B193" s="86" t="s">
        <v>635</v>
      </c>
      <c r="C193" s="87" t="s">
        <v>24</v>
      </c>
      <c r="D193" s="240">
        <f>D188</f>
        <v>1609</v>
      </c>
      <c r="E193" s="87"/>
      <c r="F193" s="89"/>
      <c r="G193" s="88"/>
      <c r="H193" s="89"/>
      <c r="I193" s="88"/>
      <c r="J193" s="89"/>
      <c r="K193" s="89"/>
      <c r="L193" s="42"/>
    </row>
    <row r="194" spans="1:12" s="51" customFormat="1" ht="20.25" customHeight="1">
      <c r="A194" s="87">
        <v>153</v>
      </c>
      <c r="B194" s="86" t="s">
        <v>169</v>
      </c>
      <c r="C194" s="87" t="s">
        <v>24</v>
      </c>
      <c r="D194" s="240">
        <f>D188</f>
        <v>1609</v>
      </c>
      <c r="E194" s="148"/>
      <c r="F194" s="148"/>
      <c r="G194" s="148"/>
      <c r="H194" s="148"/>
      <c r="I194" s="148"/>
      <c r="J194" s="148"/>
      <c r="K194" s="148"/>
      <c r="L194" s="42"/>
    </row>
    <row r="195" spans="1:12" s="51" customFormat="1" ht="13.5">
      <c r="A195" s="87">
        <v>154</v>
      </c>
      <c r="B195" s="86" t="s">
        <v>342</v>
      </c>
      <c r="C195" s="87" t="s">
        <v>24</v>
      </c>
      <c r="D195" s="240">
        <f>D188</f>
        <v>1609</v>
      </c>
      <c r="E195" s="87"/>
      <c r="F195" s="89"/>
      <c r="G195" s="88"/>
      <c r="H195" s="89"/>
      <c r="I195" s="88"/>
      <c r="J195" s="89"/>
      <c r="K195" s="89"/>
      <c r="L195" s="42"/>
    </row>
    <row r="196" spans="1:12" ht="15.75">
      <c r="A196" s="87"/>
      <c r="B196" s="253" t="s">
        <v>429</v>
      </c>
      <c r="C196" s="167"/>
      <c r="D196" s="89"/>
      <c r="E196" s="87"/>
      <c r="F196" s="89"/>
      <c r="G196" s="88"/>
      <c r="H196" s="89"/>
      <c r="I196" s="88"/>
      <c r="J196" s="89"/>
      <c r="K196" s="89"/>
      <c r="L196" s="42"/>
    </row>
    <row r="197" spans="1:12" s="15" customFormat="1" ht="20.25" customHeight="1">
      <c r="A197" s="87">
        <v>155</v>
      </c>
      <c r="B197" s="118" t="s">
        <v>428</v>
      </c>
      <c r="C197" s="87" t="s">
        <v>24</v>
      </c>
      <c r="D197" s="240">
        <v>307</v>
      </c>
      <c r="E197" s="148"/>
      <c r="F197" s="148"/>
      <c r="G197" s="148"/>
      <c r="H197" s="148"/>
      <c r="I197" s="148"/>
      <c r="J197" s="148"/>
      <c r="K197" s="148"/>
      <c r="L197" s="32"/>
    </row>
    <row r="198" spans="1:12" s="51" customFormat="1" ht="13.5">
      <c r="A198" s="87">
        <v>156</v>
      </c>
      <c r="B198" s="86" t="s">
        <v>343</v>
      </c>
      <c r="C198" s="87" t="s">
        <v>24</v>
      </c>
      <c r="D198" s="240">
        <f>D197</f>
        <v>307</v>
      </c>
      <c r="E198" s="87"/>
      <c r="F198" s="89"/>
      <c r="G198" s="88"/>
      <c r="H198" s="89"/>
      <c r="I198" s="88"/>
      <c r="J198" s="89"/>
      <c r="K198" s="89"/>
      <c r="L198" s="42"/>
    </row>
    <row r="199" spans="1:12" s="51" customFormat="1" ht="20.25" customHeight="1">
      <c r="A199" s="87">
        <v>157</v>
      </c>
      <c r="B199" s="86" t="s">
        <v>169</v>
      </c>
      <c r="C199" s="87" t="s">
        <v>24</v>
      </c>
      <c r="D199" s="240">
        <f>D197</f>
        <v>307</v>
      </c>
      <c r="E199" s="148"/>
      <c r="F199" s="148"/>
      <c r="G199" s="148"/>
      <c r="H199" s="148"/>
      <c r="I199" s="148"/>
      <c r="J199" s="148"/>
      <c r="K199" s="148"/>
      <c r="L199" s="42"/>
    </row>
    <row r="200" spans="1:12" s="51" customFormat="1" ht="13.5">
      <c r="A200" s="87">
        <v>158</v>
      </c>
      <c r="B200" s="86" t="s">
        <v>342</v>
      </c>
      <c r="C200" s="87" t="s">
        <v>24</v>
      </c>
      <c r="D200" s="240">
        <f>D197</f>
        <v>307</v>
      </c>
      <c r="E200" s="87"/>
      <c r="F200" s="89"/>
      <c r="G200" s="88"/>
      <c r="H200" s="89"/>
      <c r="I200" s="88"/>
      <c r="J200" s="89"/>
      <c r="K200" s="89"/>
      <c r="L200" s="42"/>
    </row>
    <row r="201" spans="1:12" ht="31.5">
      <c r="A201" s="87"/>
      <c r="B201" s="253" t="s">
        <v>430</v>
      </c>
      <c r="C201" s="167"/>
      <c r="D201" s="89"/>
      <c r="E201" s="87"/>
      <c r="F201" s="89"/>
      <c r="G201" s="88"/>
      <c r="H201" s="89"/>
      <c r="I201" s="88"/>
      <c r="J201" s="89"/>
      <c r="K201" s="89"/>
      <c r="L201" s="42"/>
    </row>
    <row r="202" spans="1:12" s="51" customFormat="1" ht="13.5">
      <c r="A202" s="87">
        <v>159</v>
      </c>
      <c r="B202" s="86" t="s">
        <v>635</v>
      </c>
      <c r="C202" s="87" t="s">
        <v>24</v>
      </c>
      <c r="D202" s="240">
        <f>D205+D206+D207</f>
        <v>4800</v>
      </c>
      <c r="E202" s="87"/>
      <c r="F202" s="89"/>
      <c r="G202" s="88"/>
      <c r="H202" s="89"/>
      <c r="I202" s="88"/>
      <c r="J202" s="89"/>
      <c r="K202" s="89"/>
      <c r="L202" s="42"/>
    </row>
    <row r="203" spans="1:12" s="51" customFormat="1" ht="13.5">
      <c r="A203" s="87">
        <v>160</v>
      </c>
      <c r="B203" s="201" t="s">
        <v>344</v>
      </c>
      <c r="C203" s="87" t="s">
        <v>24</v>
      </c>
      <c r="D203" s="240">
        <f>D202</f>
        <v>4800</v>
      </c>
      <c r="E203" s="87"/>
      <c r="F203" s="89"/>
      <c r="G203" s="88"/>
      <c r="H203" s="89"/>
      <c r="I203" s="88"/>
      <c r="J203" s="89"/>
      <c r="K203" s="89"/>
      <c r="L203" s="42"/>
    </row>
    <row r="204" spans="1:11" s="161" customFormat="1" ht="13.5">
      <c r="A204" s="199">
        <v>161</v>
      </c>
      <c r="B204" s="361" t="s">
        <v>345</v>
      </c>
      <c r="C204" s="199" t="s">
        <v>24</v>
      </c>
      <c r="D204" s="240">
        <f>D202</f>
        <v>4800</v>
      </c>
      <c r="E204" s="162"/>
      <c r="F204" s="162"/>
      <c r="G204" s="162"/>
      <c r="H204" s="162"/>
      <c r="I204" s="162"/>
      <c r="J204" s="162"/>
      <c r="K204" s="162"/>
    </row>
    <row r="205" spans="1:12" s="15" customFormat="1" ht="40.5">
      <c r="A205" s="87">
        <v>162</v>
      </c>
      <c r="B205" s="201" t="s">
        <v>636</v>
      </c>
      <c r="C205" s="87" t="s">
        <v>24</v>
      </c>
      <c r="D205" s="240">
        <f>1164.6+833.4+222.7+73+165+698.6+851.9+134.8+140</f>
        <v>4284</v>
      </c>
      <c r="E205" s="205"/>
      <c r="F205" s="205"/>
      <c r="G205" s="205"/>
      <c r="H205" s="205"/>
      <c r="I205" s="205"/>
      <c r="J205" s="205"/>
      <c r="K205" s="205"/>
      <c r="L205" s="32"/>
    </row>
    <row r="206" spans="1:12" s="15" customFormat="1" ht="40.5">
      <c r="A206" s="87">
        <v>163</v>
      </c>
      <c r="B206" s="201" t="s">
        <v>637</v>
      </c>
      <c r="C206" s="87" t="s">
        <v>24</v>
      </c>
      <c r="D206" s="240">
        <v>158</v>
      </c>
      <c r="E206" s="205"/>
      <c r="F206" s="205"/>
      <c r="G206" s="205"/>
      <c r="H206" s="205"/>
      <c r="I206" s="205"/>
      <c r="J206" s="205"/>
      <c r="K206" s="205"/>
      <c r="L206" s="32"/>
    </row>
    <row r="207" spans="1:12" s="15" customFormat="1" ht="42" customHeight="1">
      <c r="A207" s="87">
        <v>164</v>
      </c>
      <c r="B207" s="86" t="s">
        <v>638</v>
      </c>
      <c r="C207" s="87" t="s">
        <v>24</v>
      </c>
      <c r="D207" s="240">
        <v>358</v>
      </c>
      <c r="E207" s="205"/>
      <c r="F207" s="205"/>
      <c r="G207" s="205"/>
      <c r="H207" s="205"/>
      <c r="I207" s="205"/>
      <c r="J207" s="205"/>
      <c r="K207" s="205"/>
      <c r="L207" s="32"/>
    </row>
    <row r="208" spans="1:12" s="15" customFormat="1" ht="40.5">
      <c r="A208" s="87">
        <v>165</v>
      </c>
      <c r="B208" s="142" t="s">
        <v>639</v>
      </c>
      <c r="C208" s="87" t="s">
        <v>47</v>
      </c>
      <c r="D208" s="309">
        <f>1023+123.8+80+393.5+488.3+98+86.6+81.2</f>
        <v>2374.3999999999996</v>
      </c>
      <c r="E208" s="87"/>
      <c r="F208" s="89"/>
      <c r="G208" s="88"/>
      <c r="H208" s="89"/>
      <c r="I208" s="88"/>
      <c r="J208" s="89"/>
      <c r="K208" s="89"/>
      <c r="L208" s="32"/>
    </row>
    <row r="209" spans="1:11" s="161" customFormat="1" ht="13.5">
      <c r="A209" s="199">
        <v>166</v>
      </c>
      <c r="B209" s="204" t="s">
        <v>640</v>
      </c>
      <c r="C209" s="199" t="s">
        <v>47</v>
      </c>
      <c r="D209" s="304">
        <v>25</v>
      </c>
      <c r="E209" s="162"/>
      <c r="F209" s="162"/>
      <c r="G209" s="162"/>
      <c r="H209" s="162"/>
      <c r="I209" s="162"/>
      <c r="J209" s="162"/>
      <c r="K209" s="162"/>
    </row>
    <row r="210" spans="1:12" ht="13.5">
      <c r="A210" s="91"/>
      <c r="B210" s="145" t="s">
        <v>8</v>
      </c>
      <c r="C210" s="124"/>
      <c r="D210" s="113"/>
      <c r="E210" s="91"/>
      <c r="F210" s="113">
        <f>SUM(F187:F209)</f>
        <v>0</v>
      </c>
      <c r="G210" s="113"/>
      <c r="H210" s="113">
        <f>SUM(H187:H209)</f>
        <v>0</v>
      </c>
      <c r="I210" s="113"/>
      <c r="J210" s="113">
        <f>SUM(J187:J209)</f>
        <v>0</v>
      </c>
      <c r="K210" s="113">
        <f>SUM(K187:K209)</f>
        <v>0</v>
      </c>
      <c r="L210" s="43"/>
    </row>
    <row r="211" spans="1:12" ht="16.5">
      <c r="A211" s="91"/>
      <c r="B211" s="238" t="s">
        <v>431</v>
      </c>
      <c r="C211" s="124"/>
      <c r="D211" s="113"/>
      <c r="E211" s="91"/>
      <c r="F211" s="113"/>
      <c r="G211" s="113"/>
      <c r="H211" s="113"/>
      <c r="I211" s="113"/>
      <c r="J211" s="113"/>
      <c r="K211" s="113"/>
      <c r="L211" s="42"/>
    </row>
    <row r="212" spans="1:12" ht="31.5" customHeight="1">
      <c r="A212" s="87">
        <v>167</v>
      </c>
      <c r="B212" s="86" t="s">
        <v>368</v>
      </c>
      <c r="C212" s="87" t="s">
        <v>24</v>
      </c>
      <c r="D212" s="240">
        <v>911</v>
      </c>
      <c r="E212" s="148"/>
      <c r="F212" s="89"/>
      <c r="G212" s="88"/>
      <c r="H212" s="89"/>
      <c r="I212" s="88"/>
      <c r="J212" s="89"/>
      <c r="K212" s="89"/>
      <c r="L212" s="42"/>
    </row>
    <row r="213" spans="1:12" s="15" customFormat="1" ht="27">
      <c r="A213" s="87">
        <v>168</v>
      </c>
      <c r="B213" s="86" t="s">
        <v>369</v>
      </c>
      <c r="C213" s="87" t="s">
        <v>24</v>
      </c>
      <c r="D213" s="240">
        <v>9537</v>
      </c>
      <c r="E213" s="87"/>
      <c r="F213" s="89"/>
      <c r="G213" s="88"/>
      <c r="H213" s="89"/>
      <c r="I213" s="88"/>
      <c r="J213" s="89"/>
      <c r="K213" s="89"/>
      <c r="L213" s="32"/>
    </row>
    <row r="214" spans="1:12" s="15" customFormat="1" ht="15.75" customHeight="1">
      <c r="A214" s="87">
        <v>169</v>
      </c>
      <c r="B214" s="86" t="s">
        <v>78</v>
      </c>
      <c r="C214" s="87" t="s">
        <v>24</v>
      </c>
      <c r="D214" s="240">
        <v>1954</v>
      </c>
      <c r="E214" s="87"/>
      <c r="F214" s="89"/>
      <c r="G214" s="88"/>
      <c r="H214" s="89"/>
      <c r="I214" s="88"/>
      <c r="J214" s="89"/>
      <c r="K214" s="89"/>
      <c r="L214" s="32"/>
    </row>
    <row r="215" spans="1:12" ht="31.5" customHeight="1">
      <c r="A215" s="87">
        <v>170</v>
      </c>
      <c r="B215" s="86" t="s">
        <v>171</v>
      </c>
      <c r="C215" s="87" t="s">
        <v>24</v>
      </c>
      <c r="D215" s="240">
        <f>D213</f>
        <v>9537</v>
      </c>
      <c r="E215" s="87"/>
      <c r="F215" s="89"/>
      <c r="G215" s="88"/>
      <c r="H215" s="89"/>
      <c r="I215" s="88"/>
      <c r="J215" s="89"/>
      <c r="K215" s="89"/>
      <c r="L215" s="42"/>
    </row>
    <row r="216" spans="1:12" s="51" customFormat="1" ht="13.5">
      <c r="A216" s="87">
        <v>171</v>
      </c>
      <c r="B216" s="86" t="s">
        <v>165</v>
      </c>
      <c r="C216" s="87" t="s">
        <v>24</v>
      </c>
      <c r="D216" s="240">
        <f>D212</f>
        <v>911</v>
      </c>
      <c r="E216" s="87"/>
      <c r="F216" s="89"/>
      <c r="G216" s="88"/>
      <c r="H216" s="89"/>
      <c r="I216" s="88"/>
      <c r="J216" s="89"/>
      <c r="K216" s="89"/>
      <c r="L216" s="42"/>
    </row>
    <row r="217" spans="1:12" ht="30" customHeight="1">
      <c r="A217" s="87">
        <v>172</v>
      </c>
      <c r="B217" s="86" t="s">
        <v>363</v>
      </c>
      <c r="C217" s="87" t="s">
        <v>24</v>
      </c>
      <c r="D217" s="240">
        <f>D214</f>
        <v>1954</v>
      </c>
      <c r="E217" s="87"/>
      <c r="F217" s="89"/>
      <c r="G217" s="88"/>
      <c r="H217" s="89"/>
      <c r="I217" s="88"/>
      <c r="J217" s="89"/>
      <c r="K217" s="89"/>
      <c r="L217" s="42"/>
    </row>
    <row r="218" spans="1:12" s="15" customFormat="1" ht="27">
      <c r="A218" s="87">
        <v>173</v>
      </c>
      <c r="B218" s="133" t="s">
        <v>432</v>
      </c>
      <c r="C218" s="85" t="s">
        <v>24</v>
      </c>
      <c r="D218" s="240">
        <v>4045</v>
      </c>
      <c r="E218" s="87"/>
      <c r="F218" s="89"/>
      <c r="G218" s="88"/>
      <c r="H218" s="89"/>
      <c r="I218" s="88"/>
      <c r="J218" s="89"/>
      <c r="K218" s="89"/>
      <c r="L218" s="32"/>
    </row>
    <row r="219" spans="1:12" s="15" customFormat="1" ht="27">
      <c r="A219" s="87">
        <v>174</v>
      </c>
      <c r="B219" s="133" t="s">
        <v>433</v>
      </c>
      <c r="C219" s="85" t="s">
        <v>24</v>
      </c>
      <c r="D219" s="248">
        <v>494</v>
      </c>
      <c r="E219" s="87"/>
      <c r="F219" s="89"/>
      <c r="G219" s="88"/>
      <c r="H219" s="89"/>
      <c r="I219" s="88"/>
      <c r="J219" s="89"/>
      <c r="K219" s="89"/>
      <c r="L219" s="32"/>
    </row>
    <row r="220" spans="1:12" ht="30" customHeight="1">
      <c r="A220" s="87">
        <v>175</v>
      </c>
      <c r="B220" s="86" t="s">
        <v>363</v>
      </c>
      <c r="C220" s="87" t="s">
        <v>24</v>
      </c>
      <c r="D220" s="240">
        <f>D218+D219</f>
        <v>4539</v>
      </c>
      <c r="E220" s="87"/>
      <c r="F220" s="89"/>
      <c r="G220" s="88"/>
      <c r="H220" s="89"/>
      <c r="I220" s="88"/>
      <c r="J220" s="89"/>
      <c r="K220" s="89"/>
      <c r="L220" s="42"/>
    </row>
    <row r="221" spans="1:12" ht="13.5">
      <c r="A221" s="87"/>
      <c r="B221" s="145" t="s">
        <v>9</v>
      </c>
      <c r="C221" s="124"/>
      <c r="D221" s="113"/>
      <c r="E221" s="91"/>
      <c r="F221" s="113">
        <f>SUM(F213:F220)</f>
        <v>0</v>
      </c>
      <c r="G221" s="113"/>
      <c r="H221" s="113">
        <f>SUM(H213:H220)</f>
        <v>0</v>
      </c>
      <c r="I221" s="113"/>
      <c r="J221" s="113">
        <f>SUM(J213:J220)</f>
        <v>0</v>
      </c>
      <c r="K221" s="113">
        <f>SUM(K213:K220)</f>
        <v>0</v>
      </c>
      <c r="L221" s="43"/>
    </row>
    <row r="222" spans="1:12" ht="16.5">
      <c r="A222" s="87"/>
      <c r="B222" s="238" t="s">
        <v>66</v>
      </c>
      <c r="C222" s="85"/>
      <c r="D222" s="89"/>
      <c r="E222" s="87"/>
      <c r="F222" s="89"/>
      <c r="G222" s="89"/>
      <c r="H222" s="89"/>
      <c r="I222" s="89"/>
      <c r="J222" s="89"/>
      <c r="K222" s="89"/>
      <c r="L222" s="42"/>
    </row>
    <row r="223" spans="1:12" ht="27" customHeight="1">
      <c r="A223" s="206">
        <v>176</v>
      </c>
      <c r="B223" s="363" t="s">
        <v>367</v>
      </c>
      <c r="C223" s="206" t="s">
        <v>24</v>
      </c>
      <c r="D223" s="310">
        <f>500+58</f>
        <v>558</v>
      </c>
      <c r="E223" s="206"/>
      <c r="F223" s="208"/>
      <c r="G223" s="207"/>
      <c r="H223" s="208"/>
      <c r="I223" s="207"/>
      <c r="J223" s="208"/>
      <c r="K223" s="208"/>
      <c r="L223" s="196"/>
    </row>
    <row r="224" spans="1:12" s="15" customFormat="1" ht="29.25" customHeight="1">
      <c r="A224" s="206">
        <v>177</v>
      </c>
      <c r="B224" s="363" t="s">
        <v>394</v>
      </c>
      <c r="C224" s="206" t="s">
        <v>24</v>
      </c>
      <c r="D224" s="310">
        <v>500</v>
      </c>
      <c r="E224" s="206"/>
      <c r="F224" s="208"/>
      <c r="G224" s="207"/>
      <c r="H224" s="208"/>
      <c r="I224" s="207"/>
      <c r="J224" s="208"/>
      <c r="K224" s="208"/>
      <c r="L224" s="196"/>
    </row>
    <row r="225" spans="1:12" s="15" customFormat="1" ht="28.5" customHeight="1">
      <c r="A225" s="206">
        <v>178</v>
      </c>
      <c r="B225" s="364" t="s">
        <v>434</v>
      </c>
      <c r="C225" s="206" t="s">
        <v>24</v>
      </c>
      <c r="D225" s="310">
        <f>290*0.2</f>
        <v>58</v>
      </c>
      <c r="E225" s="206"/>
      <c r="F225" s="208"/>
      <c r="G225" s="207"/>
      <c r="H225" s="208"/>
      <c r="I225" s="207"/>
      <c r="J225" s="208"/>
      <c r="K225" s="208"/>
      <c r="L225" s="196"/>
    </row>
    <row r="226" spans="1:12" s="15" customFormat="1" ht="29.25" customHeight="1">
      <c r="A226" s="87">
        <v>179</v>
      </c>
      <c r="B226" s="201" t="s">
        <v>364</v>
      </c>
      <c r="C226" s="87" t="s">
        <v>24</v>
      </c>
      <c r="D226" s="240">
        <v>2680</v>
      </c>
      <c r="E226" s="87"/>
      <c r="F226" s="89"/>
      <c r="G226" s="88"/>
      <c r="H226" s="89"/>
      <c r="I226" s="88"/>
      <c r="J226" s="89"/>
      <c r="K226" s="89"/>
      <c r="L226" s="32"/>
    </row>
    <row r="227" spans="1:12" s="15" customFormat="1" ht="45" customHeight="1">
      <c r="A227" s="87">
        <v>180</v>
      </c>
      <c r="B227" s="201" t="s">
        <v>365</v>
      </c>
      <c r="C227" s="87" t="s">
        <v>24</v>
      </c>
      <c r="D227" s="240">
        <f>D226</f>
        <v>2680</v>
      </c>
      <c r="E227" s="87"/>
      <c r="F227" s="89"/>
      <c r="G227" s="88"/>
      <c r="H227" s="89"/>
      <c r="I227" s="88"/>
      <c r="J227" s="89"/>
      <c r="K227" s="89"/>
      <c r="L227" s="32"/>
    </row>
    <row r="228" spans="1:12" s="51" customFormat="1" ht="29.25" customHeight="1">
      <c r="A228" s="87">
        <v>181</v>
      </c>
      <c r="B228" s="201" t="s">
        <v>366</v>
      </c>
      <c r="C228" s="87" t="s">
        <v>24</v>
      </c>
      <c r="D228" s="240">
        <f>D226</f>
        <v>2680</v>
      </c>
      <c r="E228" s="87"/>
      <c r="F228" s="89"/>
      <c r="G228" s="88"/>
      <c r="H228" s="89"/>
      <c r="I228" s="88"/>
      <c r="J228" s="89"/>
      <c r="K228" s="89"/>
      <c r="L228" s="42"/>
    </row>
    <row r="229" spans="1:12" s="15" customFormat="1" ht="42.75" customHeight="1">
      <c r="A229" s="87">
        <v>182</v>
      </c>
      <c r="B229" s="201" t="s">
        <v>395</v>
      </c>
      <c r="C229" s="87" t="s">
        <v>24</v>
      </c>
      <c r="D229" s="240">
        <f>630+195+199+191+600</f>
        <v>1815</v>
      </c>
      <c r="E229" s="87"/>
      <c r="F229" s="89"/>
      <c r="G229" s="88"/>
      <c r="H229" s="89"/>
      <c r="I229" s="88"/>
      <c r="J229" s="89"/>
      <c r="K229" s="89"/>
      <c r="L229" s="32"/>
    </row>
    <row r="230" spans="1:12" ht="40.5">
      <c r="A230" s="87">
        <v>183</v>
      </c>
      <c r="B230" s="360" t="s">
        <v>435</v>
      </c>
      <c r="C230" s="87" t="s">
        <v>24</v>
      </c>
      <c r="D230" s="240">
        <f>D229</f>
        <v>1815</v>
      </c>
      <c r="E230" s="87"/>
      <c r="F230" s="89"/>
      <c r="G230" s="88"/>
      <c r="H230" s="89"/>
      <c r="I230" s="88"/>
      <c r="J230" s="89"/>
      <c r="K230" s="89"/>
      <c r="L230" s="42"/>
    </row>
    <row r="231" spans="1:11" s="161" customFormat="1" ht="27">
      <c r="A231" s="199">
        <v>184</v>
      </c>
      <c r="B231" s="361" t="s">
        <v>436</v>
      </c>
      <c r="C231" s="199" t="s">
        <v>24</v>
      </c>
      <c r="D231" s="304">
        <f>(380-14)*0.25</f>
        <v>91.5</v>
      </c>
      <c r="E231" s="162"/>
      <c r="F231" s="162"/>
      <c r="G231" s="162"/>
      <c r="H231" s="162"/>
      <c r="I231" s="162"/>
      <c r="J231" s="162"/>
      <c r="K231" s="162"/>
    </row>
    <row r="232" spans="1:12" ht="14.25" customHeight="1">
      <c r="A232" s="87">
        <v>185</v>
      </c>
      <c r="B232" s="86" t="s">
        <v>172</v>
      </c>
      <c r="C232" s="87" t="s">
        <v>24</v>
      </c>
      <c r="D232" s="240">
        <v>6277</v>
      </c>
      <c r="E232" s="87"/>
      <c r="F232" s="89"/>
      <c r="G232" s="88"/>
      <c r="H232" s="89"/>
      <c r="I232" s="88"/>
      <c r="J232" s="89"/>
      <c r="K232" s="89"/>
      <c r="L232" s="42"/>
    </row>
    <row r="233" spans="1:12" ht="13.5">
      <c r="A233" s="91"/>
      <c r="B233" s="145" t="s">
        <v>10</v>
      </c>
      <c r="C233" s="124"/>
      <c r="D233" s="113"/>
      <c r="E233" s="91"/>
      <c r="F233" s="113">
        <f>SUM(F224:F232)</f>
        <v>0</v>
      </c>
      <c r="G233" s="113"/>
      <c r="H233" s="113">
        <f>SUM(H224:H232)</f>
        <v>0</v>
      </c>
      <c r="I233" s="113"/>
      <c r="J233" s="113">
        <f>SUM(J224:J232)</f>
        <v>0</v>
      </c>
      <c r="K233" s="113">
        <f>SUM(K224:K232)</f>
        <v>0</v>
      </c>
      <c r="L233" s="43"/>
    </row>
    <row r="234" spans="1:12" s="33" customFormat="1" ht="16.5">
      <c r="A234" s="87"/>
      <c r="B234" s="238" t="s">
        <v>166</v>
      </c>
      <c r="C234" s="85"/>
      <c r="D234" s="89"/>
      <c r="E234" s="87"/>
      <c r="F234" s="89"/>
      <c r="G234" s="89"/>
      <c r="H234" s="89"/>
      <c r="I234" s="89"/>
      <c r="J234" s="89"/>
      <c r="K234" s="89"/>
      <c r="L234" s="42"/>
    </row>
    <row r="235" spans="1:12" ht="16.5" customHeight="1">
      <c r="A235" s="87"/>
      <c r="B235" s="238" t="s">
        <v>314</v>
      </c>
      <c r="C235" s="85"/>
      <c r="D235" s="89"/>
      <c r="E235" s="87"/>
      <c r="F235" s="89"/>
      <c r="G235" s="88"/>
      <c r="H235" s="89"/>
      <c r="I235" s="88"/>
      <c r="J235" s="89"/>
      <c r="K235" s="89"/>
      <c r="L235" s="42"/>
    </row>
    <row r="236" spans="1:12" s="51" customFormat="1" ht="13.5">
      <c r="A236" s="87">
        <v>186</v>
      </c>
      <c r="B236" s="198" t="s">
        <v>57</v>
      </c>
      <c r="C236" s="87" t="s">
        <v>26</v>
      </c>
      <c r="D236" s="240">
        <v>1.3</v>
      </c>
      <c r="E236" s="87"/>
      <c r="F236" s="89"/>
      <c r="G236" s="88"/>
      <c r="H236" s="89"/>
      <c r="I236" s="88"/>
      <c r="J236" s="89"/>
      <c r="K236" s="89"/>
      <c r="L236" s="42"/>
    </row>
    <row r="237" spans="1:12" s="51" customFormat="1" ht="27">
      <c r="A237" s="87">
        <v>187</v>
      </c>
      <c r="B237" s="86" t="s">
        <v>315</v>
      </c>
      <c r="C237" s="87" t="s">
        <v>26</v>
      </c>
      <c r="D237" s="240">
        <v>2.7</v>
      </c>
      <c r="E237" s="87"/>
      <c r="F237" s="89"/>
      <c r="G237" s="88"/>
      <c r="H237" s="89"/>
      <c r="I237" s="88"/>
      <c r="J237" s="89"/>
      <c r="K237" s="89"/>
      <c r="L237" s="42"/>
    </row>
    <row r="238" spans="1:12" ht="13.5">
      <c r="A238" s="87">
        <v>188</v>
      </c>
      <c r="B238" s="133" t="s">
        <v>77</v>
      </c>
      <c r="C238" s="85" t="s">
        <v>34</v>
      </c>
      <c r="D238" s="247">
        <v>0.0254</v>
      </c>
      <c r="E238" s="87"/>
      <c r="F238" s="89"/>
      <c r="G238" s="88"/>
      <c r="H238" s="89"/>
      <c r="I238" s="88"/>
      <c r="J238" s="89"/>
      <c r="K238" s="89"/>
      <c r="L238" s="42"/>
    </row>
    <row r="239" spans="1:12" ht="13.5">
      <c r="A239" s="87">
        <v>189</v>
      </c>
      <c r="B239" s="133" t="s">
        <v>53</v>
      </c>
      <c r="C239" s="85" t="s">
        <v>34</v>
      </c>
      <c r="D239" s="247">
        <v>0.1346</v>
      </c>
      <c r="E239" s="87"/>
      <c r="F239" s="89"/>
      <c r="G239" s="88"/>
      <c r="H239" s="89"/>
      <c r="I239" s="88"/>
      <c r="J239" s="89"/>
      <c r="K239" s="89"/>
      <c r="L239" s="42"/>
    </row>
    <row r="240" spans="1:12" s="51" customFormat="1" ht="40.5">
      <c r="A240" s="87">
        <v>190</v>
      </c>
      <c r="B240" s="86" t="s">
        <v>437</v>
      </c>
      <c r="C240" s="87" t="s">
        <v>26</v>
      </c>
      <c r="D240" s="240">
        <v>7</v>
      </c>
      <c r="E240" s="87"/>
      <c r="F240" s="89"/>
      <c r="G240" s="88"/>
      <c r="H240" s="89"/>
      <c r="I240" s="88"/>
      <c r="J240" s="89"/>
      <c r="K240" s="89"/>
      <c r="L240" s="42"/>
    </row>
    <row r="241" spans="1:12" ht="13.5">
      <c r="A241" s="87">
        <v>191</v>
      </c>
      <c r="B241" s="358" t="s">
        <v>77</v>
      </c>
      <c r="C241" s="85" t="s">
        <v>34</v>
      </c>
      <c r="D241" s="247">
        <f>(47.4+35.9)/1000</f>
        <v>0.0833</v>
      </c>
      <c r="E241" s="87"/>
      <c r="F241" s="89"/>
      <c r="G241" s="88"/>
      <c r="H241" s="89"/>
      <c r="I241" s="88"/>
      <c r="J241" s="89"/>
      <c r="K241" s="89"/>
      <c r="L241" s="42"/>
    </row>
    <row r="242" spans="1:12" ht="13.5">
      <c r="A242" s="87">
        <v>192</v>
      </c>
      <c r="B242" s="133" t="s">
        <v>53</v>
      </c>
      <c r="C242" s="85" t="s">
        <v>34</v>
      </c>
      <c r="D242" s="247">
        <f>(51+519+75.6+211.9+102)/1000</f>
        <v>0.9595</v>
      </c>
      <c r="E242" s="87"/>
      <c r="F242" s="89"/>
      <c r="G242" s="88"/>
      <c r="H242" s="89"/>
      <c r="I242" s="88"/>
      <c r="J242" s="89"/>
      <c r="K242" s="89"/>
      <c r="L242" s="42"/>
    </row>
    <row r="243" spans="1:12" s="51" customFormat="1" ht="27">
      <c r="A243" s="87">
        <v>193</v>
      </c>
      <c r="B243" s="86" t="s">
        <v>316</v>
      </c>
      <c r="C243" s="87" t="s">
        <v>34</v>
      </c>
      <c r="D243" s="240">
        <v>0.051</v>
      </c>
      <c r="E243" s="87"/>
      <c r="F243" s="89"/>
      <c r="G243" s="88"/>
      <c r="H243" s="89"/>
      <c r="I243" s="88"/>
      <c r="J243" s="89"/>
      <c r="K243" s="89"/>
      <c r="L243" s="42"/>
    </row>
    <row r="244" spans="1:12" s="51" customFormat="1" ht="16.5" customHeight="1">
      <c r="A244" s="87">
        <v>194</v>
      </c>
      <c r="B244" s="86" t="s">
        <v>318</v>
      </c>
      <c r="C244" s="87" t="s">
        <v>26</v>
      </c>
      <c r="D244" s="240">
        <v>2.5</v>
      </c>
      <c r="E244" s="87"/>
      <c r="F244" s="89"/>
      <c r="G244" s="88"/>
      <c r="H244" s="89"/>
      <c r="I244" s="88"/>
      <c r="J244" s="89"/>
      <c r="K244" s="89"/>
      <c r="L244" s="42"/>
    </row>
    <row r="245" spans="1:12" s="51" customFormat="1" ht="30.75" customHeight="1">
      <c r="A245" s="87">
        <v>195</v>
      </c>
      <c r="B245" s="86" t="s">
        <v>641</v>
      </c>
      <c r="C245" s="87" t="s">
        <v>26</v>
      </c>
      <c r="D245" s="240">
        <v>1.4</v>
      </c>
      <c r="E245" s="87"/>
      <c r="F245" s="89"/>
      <c r="G245" s="88"/>
      <c r="H245" s="89"/>
      <c r="I245" s="88"/>
      <c r="J245" s="89"/>
      <c r="K245" s="89"/>
      <c r="L245" s="42"/>
    </row>
    <row r="246" spans="1:12" ht="13.5">
      <c r="A246" s="87">
        <v>196</v>
      </c>
      <c r="B246" s="133" t="s">
        <v>77</v>
      </c>
      <c r="C246" s="85" t="s">
        <v>34</v>
      </c>
      <c r="D246" s="244">
        <f>(6.7+31.7)/1000</f>
        <v>0.0384</v>
      </c>
      <c r="E246" s="87"/>
      <c r="F246" s="89"/>
      <c r="G246" s="88"/>
      <c r="H246" s="89"/>
      <c r="I246" s="88"/>
      <c r="J246" s="89"/>
      <c r="K246" s="89"/>
      <c r="L246" s="42"/>
    </row>
    <row r="247" spans="1:12" ht="13.5">
      <c r="A247" s="87">
        <v>197</v>
      </c>
      <c r="B247" s="133" t="s">
        <v>53</v>
      </c>
      <c r="C247" s="85" t="s">
        <v>34</v>
      </c>
      <c r="D247" s="247">
        <f>(37.3+34.7+107)/1000</f>
        <v>0.179</v>
      </c>
      <c r="E247" s="87"/>
      <c r="F247" s="89"/>
      <c r="G247" s="88"/>
      <c r="H247" s="89"/>
      <c r="I247" s="88"/>
      <c r="J247" s="89"/>
      <c r="K247" s="89"/>
      <c r="L247" s="42"/>
    </row>
    <row r="248" spans="1:12" s="51" customFormat="1" ht="27">
      <c r="A248" s="87">
        <v>198</v>
      </c>
      <c r="B248" s="201" t="s">
        <v>642</v>
      </c>
      <c r="C248" s="87" t="s">
        <v>26</v>
      </c>
      <c r="D248" s="240">
        <v>1.2</v>
      </c>
      <c r="E248" s="87"/>
      <c r="F248" s="89"/>
      <c r="G248" s="88"/>
      <c r="H248" s="89"/>
      <c r="I248" s="88"/>
      <c r="J248" s="89"/>
      <c r="K248" s="89"/>
      <c r="L248" s="42"/>
    </row>
    <row r="249" spans="1:12" ht="13.5">
      <c r="A249" s="87">
        <v>199</v>
      </c>
      <c r="B249" s="133" t="s">
        <v>77</v>
      </c>
      <c r="C249" s="85" t="s">
        <v>34</v>
      </c>
      <c r="D249" s="247">
        <v>0.0107</v>
      </c>
      <c r="E249" s="87"/>
      <c r="F249" s="89"/>
      <c r="G249" s="88"/>
      <c r="H249" s="89"/>
      <c r="I249" s="88"/>
      <c r="J249" s="89"/>
      <c r="K249" s="89"/>
      <c r="L249" s="42"/>
    </row>
    <row r="250" spans="1:12" ht="13.5">
      <c r="A250" s="87">
        <v>200</v>
      </c>
      <c r="B250" s="133" t="s">
        <v>53</v>
      </c>
      <c r="C250" s="85" t="s">
        <v>34</v>
      </c>
      <c r="D250" s="247">
        <v>0.1653</v>
      </c>
      <c r="E250" s="87"/>
      <c r="F250" s="89"/>
      <c r="G250" s="88"/>
      <c r="H250" s="89"/>
      <c r="I250" s="88"/>
      <c r="J250" s="89"/>
      <c r="K250" s="89"/>
      <c r="L250" s="42"/>
    </row>
    <row r="251" spans="1:12" ht="27">
      <c r="A251" s="87"/>
      <c r="B251" s="86" t="s">
        <v>438</v>
      </c>
      <c r="C251" s="105" t="s">
        <v>34</v>
      </c>
      <c r="D251" s="125">
        <f>(261+80+49)/1000</f>
        <v>0.39</v>
      </c>
      <c r="E251" s="87"/>
      <c r="F251" s="89"/>
      <c r="G251" s="88"/>
      <c r="H251" s="89"/>
      <c r="I251" s="88"/>
      <c r="J251" s="89"/>
      <c r="K251" s="89"/>
      <c r="L251" s="32"/>
    </row>
    <row r="252" spans="1:11" s="256" customFormat="1" ht="13.5">
      <c r="A252" s="168">
        <v>201</v>
      </c>
      <c r="B252" s="202" t="s">
        <v>439</v>
      </c>
      <c r="C252" s="168" t="s">
        <v>34</v>
      </c>
      <c r="D252" s="311">
        <f>D251</f>
        <v>0.39</v>
      </c>
      <c r="E252" s="166"/>
      <c r="F252" s="166"/>
      <c r="G252" s="166"/>
      <c r="H252" s="166"/>
      <c r="I252" s="166"/>
      <c r="J252" s="166"/>
      <c r="K252" s="166"/>
    </row>
    <row r="253" spans="1:11" s="161" customFormat="1" ht="29.25" customHeight="1">
      <c r="A253" s="199">
        <v>202</v>
      </c>
      <c r="B253" s="200" t="s">
        <v>317</v>
      </c>
      <c r="C253" s="199" t="s">
        <v>24</v>
      </c>
      <c r="D253" s="311">
        <v>21</v>
      </c>
      <c r="E253" s="162"/>
      <c r="F253" s="162"/>
      <c r="G253" s="162"/>
      <c r="H253" s="162"/>
      <c r="I253" s="162"/>
      <c r="J253" s="162"/>
      <c r="K253" s="162"/>
    </row>
    <row r="254" spans="1:12" s="15" customFormat="1" ht="27">
      <c r="A254" s="87">
        <v>203</v>
      </c>
      <c r="B254" s="201" t="s">
        <v>440</v>
      </c>
      <c r="C254" s="87" t="s">
        <v>24</v>
      </c>
      <c r="D254" s="248">
        <v>3</v>
      </c>
      <c r="E254" s="87"/>
      <c r="F254" s="89"/>
      <c r="G254" s="88"/>
      <c r="H254" s="89"/>
      <c r="I254" s="88"/>
      <c r="J254" s="89"/>
      <c r="K254" s="89"/>
      <c r="L254" s="32"/>
    </row>
    <row r="255" spans="1:12" s="51" customFormat="1" ht="30.75" customHeight="1">
      <c r="A255" s="87">
        <v>204</v>
      </c>
      <c r="B255" s="307" t="s">
        <v>441</v>
      </c>
      <c r="C255" s="87"/>
      <c r="D255" s="240"/>
      <c r="E255" s="87"/>
      <c r="F255" s="89"/>
      <c r="G255" s="88"/>
      <c r="H255" s="89"/>
      <c r="I255" s="88"/>
      <c r="J255" s="89"/>
      <c r="K255" s="89"/>
      <c r="L255" s="42"/>
    </row>
    <row r="256" spans="1:12" s="51" customFormat="1" ht="13.5">
      <c r="A256" s="224"/>
      <c r="B256" s="142" t="s">
        <v>442</v>
      </c>
      <c r="C256" s="85" t="s">
        <v>24</v>
      </c>
      <c r="D256" s="113">
        <v>3</v>
      </c>
      <c r="E256" s="87"/>
      <c r="F256" s="89">
        <f>D256*E256</f>
        <v>0</v>
      </c>
      <c r="G256" s="88"/>
      <c r="H256" s="89"/>
      <c r="I256" s="88"/>
      <c r="J256" s="89"/>
      <c r="K256" s="89">
        <f>F256+H256+J256</f>
        <v>0</v>
      </c>
      <c r="L256" s="111"/>
    </row>
    <row r="257" spans="1:12" s="51" customFormat="1" ht="13.5">
      <c r="A257" s="224"/>
      <c r="B257" s="362" t="s">
        <v>443</v>
      </c>
      <c r="C257" s="85" t="s">
        <v>24</v>
      </c>
      <c r="D257" s="248">
        <f>4.5</f>
        <v>4.5</v>
      </c>
      <c r="E257" s="87"/>
      <c r="F257" s="89">
        <f>D257*E257</f>
        <v>0</v>
      </c>
      <c r="G257" s="88"/>
      <c r="H257" s="89"/>
      <c r="I257" s="88"/>
      <c r="J257" s="89"/>
      <c r="K257" s="89">
        <f>F257+H257+J257</f>
        <v>0</v>
      </c>
      <c r="L257" s="111"/>
    </row>
    <row r="258" spans="1:12" s="51" customFormat="1" ht="16.5">
      <c r="A258" s="87"/>
      <c r="B258" s="238" t="s">
        <v>444</v>
      </c>
      <c r="C258" s="87"/>
      <c r="D258" s="148"/>
      <c r="E258" s="148"/>
      <c r="F258" s="148"/>
      <c r="G258" s="148"/>
      <c r="H258" s="148"/>
      <c r="I258" s="148"/>
      <c r="J258" s="148"/>
      <c r="K258" s="148"/>
      <c r="L258" s="42"/>
    </row>
    <row r="259" spans="1:12" s="51" customFormat="1" ht="13.5">
      <c r="A259" s="87">
        <v>205</v>
      </c>
      <c r="B259" s="198" t="s">
        <v>313</v>
      </c>
      <c r="C259" s="87" t="s">
        <v>26</v>
      </c>
      <c r="D259" s="248">
        <v>2</v>
      </c>
      <c r="E259" s="87"/>
      <c r="F259" s="89"/>
      <c r="G259" s="88"/>
      <c r="H259" s="89"/>
      <c r="I259" s="88"/>
      <c r="J259" s="89"/>
      <c r="K259" s="89"/>
      <c r="L259" s="42"/>
    </row>
    <row r="260" spans="1:12" s="15" customFormat="1" ht="27">
      <c r="A260" s="87">
        <v>206</v>
      </c>
      <c r="B260" s="86" t="s">
        <v>643</v>
      </c>
      <c r="C260" s="87" t="s">
        <v>26</v>
      </c>
      <c r="D260" s="240">
        <f>14+0.7</f>
        <v>14.7</v>
      </c>
      <c r="E260" s="87"/>
      <c r="F260" s="89"/>
      <c r="G260" s="88"/>
      <c r="H260" s="89"/>
      <c r="I260" s="88"/>
      <c r="J260" s="89"/>
      <c r="K260" s="89"/>
      <c r="L260" s="32"/>
    </row>
    <row r="261" spans="1:12" s="15" customFormat="1" ht="13.5">
      <c r="A261" s="87"/>
      <c r="B261" s="133" t="s">
        <v>53</v>
      </c>
      <c r="C261" s="85" t="s">
        <v>34</v>
      </c>
      <c r="D261" s="247">
        <v>0.26</v>
      </c>
      <c r="E261" s="87"/>
      <c r="F261" s="89"/>
      <c r="G261" s="88"/>
      <c r="H261" s="89"/>
      <c r="I261" s="88"/>
      <c r="J261" s="89"/>
      <c r="K261" s="89"/>
      <c r="L261" s="32"/>
    </row>
    <row r="262" spans="1:12" s="15" customFormat="1" ht="40.5">
      <c r="A262" s="87">
        <v>207</v>
      </c>
      <c r="B262" s="201" t="s">
        <v>445</v>
      </c>
      <c r="C262" s="87" t="s">
        <v>24</v>
      </c>
      <c r="D262" s="248">
        <f>22+7</f>
        <v>29</v>
      </c>
      <c r="E262" s="87"/>
      <c r="F262" s="89"/>
      <c r="G262" s="88"/>
      <c r="H262" s="89"/>
      <c r="I262" s="88"/>
      <c r="J262" s="89"/>
      <c r="K262" s="89"/>
      <c r="L262" s="32"/>
    </row>
    <row r="263" spans="1:12" s="51" customFormat="1" ht="35.25" customHeight="1">
      <c r="A263" s="87">
        <v>208</v>
      </c>
      <c r="B263" s="360" t="s">
        <v>446</v>
      </c>
      <c r="C263" s="87" t="s">
        <v>24</v>
      </c>
      <c r="D263" s="240">
        <v>6</v>
      </c>
      <c r="E263" s="87"/>
      <c r="F263" s="89"/>
      <c r="G263" s="88"/>
      <c r="H263" s="89"/>
      <c r="I263" s="88"/>
      <c r="J263" s="89"/>
      <c r="K263" s="89"/>
      <c r="L263" s="42"/>
    </row>
    <row r="264" spans="1:12" ht="13.5">
      <c r="A264" s="87">
        <v>209</v>
      </c>
      <c r="B264" s="201" t="s">
        <v>447</v>
      </c>
      <c r="C264" s="87" t="s">
        <v>47</v>
      </c>
      <c r="D264" s="240">
        <v>6</v>
      </c>
      <c r="E264" s="87"/>
      <c r="F264" s="89"/>
      <c r="G264" s="88"/>
      <c r="H264" s="89"/>
      <c r="I264" s="88"/>
      <c r="J264" s="89"/>
      <c r="K264" s="89"/>
      <c r="L264" s="42"/>
    </row>
    <row r="265" spans="1:12" ht="13.5">
      <c r="A265" s="87">
        <v>209</v>
      </c>
      <c r="B265" s="133" t="s">
        <v>448</v>
      </c>
      <c r="C265" s="85" t="s">
        <v>47</v>
      </c>
      <c r="D265" s="92">
        <v>6</v>
      </c>
      <c r="E265" s="87"/>
      <c r="F265" s="89"/>
      <c r="G265" s="88"/>
      <c r="H265" s="89"/>
      <c r="I265" s="88"/>
      <c r="J265" s="89"/>
      <c r="K265" s="89"/>
      <c r="L265" s="42"/>
    </row>
    <row r="266" spans="1:12" ht="27.75" customHeight="1">
      <c r="A266" s="87">
        <v>210</v>
      </c>
      <c r="B266" s="133" t="s">
        <v>644</v>
      </c>
      <c r="C266" s="85" t="s">
        <v>47</v>
      </c>
      <c r="D266" s="92">
        <v>14.4</v>
      </c>
      <c r="E266" s="87"/>
      <c r="F266" s="89"/>
      <c r="G266" s="88"/>
      <c r="H266" s="89"/>
      <c r="I266" s="88"/>
      <c r="J266" s="89"/>
      <c r="K266" s="89"/>
      <c r="L266" s="42"/>
    </row>
    <row r="267" spans="1:12" s="51" customFormat="1" ht="16.5">
      <c r="A267" s="87"/>
      <c r="B267" s="238" t="s">
        <v>332</v>
      </c>
      <c r="C267" s="87"/>
      <c r="D267" s="148"/>
      <c r="E267" s="148"/>
      <c r="F267" s="148"/>
      <c r="G267" s="148"/>
      <c r="H267" s="148"/>
      <c r="I267" s="148"/>
      <c r="J267" s="148"/>
      <c r="K267" s="148"/>
      <c r="L267" s="42"/>
    </row>
    <row r="268" spans="1:12" ht="32.25" customHeight="1">
      <c r="A268" s="87">
        <v>211</v>
      </c>
      <c r="B268" s="201" t="s">
        <v>330</v>
      </c>
      <c r="C268" s="87" t="s">
        <v>34</v>
      </c>
      <c r="D268" s="244">
        <f>953/1000</f>
        <v>0.953</v>
      </c>
      <c r="E268" s="87"/>
      <c r="F268" s="89"/>
      <c r="G268" s="88"/>
      <c r="H268" s="89"/>
      <c r="I268" s="88"/>
      <c r="J268" s="89"/>
      <c r="K268" s="89"/>
      <c r="L268" s="42"/>
    </row>
    <row r="269" spans="1:12" ht="27">
      <c r="A269" s="87">
        <v>212</v>
      </c>
      <c r="B269" s="201" t="s">
        <v>331</v>
      </c>
      <c r="C269" s="87" t="s">
        <v>34</v>
      </c>
      <c r="D269" s="244">
        <f>D268</f>
        <v>0.953</v>
      </c>
      <c r="E269" s="87"/>
      <c r="F269" s="89"/>
      <c r="G269" s="88"/>
      <c r="H269" s="89"/>
      <c r="I269" s="88"/>
      <c r="J269" s="89"/>
      <c r="K269" s="89"/>
      <c r="L269" s="42"/>
    </row>
    <row r="270" spans="1:12" ht="32.25" customHeight="1">
      <c r="A270" s="87">
        <v>213</v>
      </c>
      <c r="B270" s="201" t="s">
        <v>449</v>
      </c>
      <c r="C270" s="87" t="s">
        <v>34</v>
      </c>
      <c r="D270" s="244">
        <f>25.12*31.4/1000</f>
        <v>0.788768</v>
      </c>
      <c r="E270" s="87"/>
      <c r="F270" s="89"/>
      <c r="G270" s="88"/>
      <c r="H270" s="89"/>
      <c r="I270" s="88"/>
      <c r="J270" s="89"/>
      <c r="K270" s="89"/>
      <c r="L270" s="42"/>
    </row>
    <row r="271" spans="1:12" ht="32.25" customHeight="1">
      <c r="A271" s="87">
        <v>214</v>
      </c>
      <c r="B271" s="201" t="s">
        <v>450</v>
      </c>
      <c r="C271" s="87" t="s">
        <v>34</v>
      </c>
      <c r="D271" s="244">
        <f>6*3.14*0.25*31.4/1000</f>
        <v>0.147894</v>
      </c>
      <c r="E271" s="87"/>
      <c r="F271" s="89"/>
      <c r="G271" s="88"/>
      <c r="H271" s="89"/>
      <c r="I271" s="88"/>
      <c r="J271" s="89"/>
      <c r="K271" s="89"/>
      <c r="L271" s="42"/>
    </row>
    <row r="272" spans="1:11" s="80" customFormat="1" ht="27">
      <c r="A272" s="174">
        <v>215</v>
      </c>
      <c r="B272" s="202" t="s">
        <v>451</v>
      </c>
      <c r="C272" s="211" t="s">
        <v>48</v>
      </c>
      <c r="D272" s="311">
        <v>1</v>
      </c>
      <c r="E272" s="166"/>
      <c r="F272" s="166"/>
      <c r="G272" s="166"/>
      <c r="H272" s="166"/>
      <c r="I272" s="166"/>
      <c r="J272" s="166"/>
      <c r="K272" s="166"/>
    </row>
    <row r="273" spans="1:11" s="80" customFormat="1" ht="27">
      <c r="A273" s="174">
        <v>216</v>
      </c>
      <c r="B273" s="118" t="s">
        <v>452</v>
      </c>
      <c r="C273" s="211" t="s">
        <v>26</v>
      </c>
      <c r="D273" s="311">
        <f>60*0.05</f>
        <v>3</v>
      </c>
      <c r="E273" s="312"/>
      <c r="F273" s="312"/>
      <c r="G273" s="312"/>
      <c r="H273" s="312"/>
      <c r="I273" s="312"/>
      <c r="J273" s="312"/>
      <c r="K273" s="312"/>
    </row>
    <row r="274" spans="1:11" s="80" customFormat="1" ht="27">
      <c r="A274" s="174">
        <v>217</v>
      </c>
      <c r="B274" s="202" t="s">
        <v>453</v>
      </c>
      <c r="C274" s="211" t="s">
        <v>24</v>
      </c>
      <c r="D274" s="311">
        <v>38</v>
      </c>
      <c r="E274" s="312"/>
      <c r="F274" s="312"/>
      <c r="G274" s="312"/>
      <c r="H274" s="312"/>
      <c r="I274" s="312"/>
      <c r="J274" s="312"/>
      <c r="K274" s="312"/>
    </row>
    <row r="275" spans="1:12" ht="17.25" customHeight="1">
      <c r="A275" s="87"/>
      <c r="B275" s="238" t="s">
        <v>454</v>
      </c>
      <c r="C275" s="85"/>
      <c r="D275" s="89"/>
      <c r="E275" s="87"/>
      <c r="F275" s="89"/>
      <c r="G275" s="88"/>
      <c r="H275" s="89"/>
      <c r="I275" s="88"/>
      <c r="J275" s="89"/>
      <c r="K275" s="89"/>
      <c r="L275" s="42"/>
    </row>
    <row r="276" spans="1:11" s="259" customFormat="1" ht="13.5">
      <c r="A276" s="168">
        <v>218</v>
      </c>
      <c r="B276" s="175" t="s">
        <v>397</v>
      </c>
      <c r="C276" s="168" t="s">
        <v>48</v>
      </c>
      <c r="D276" s="313">
        <f>40-8</f>
        <v>32</v>
      </c>
      <c r="E276" s="219"/>
      <c r="F276" s="219"/>
      <c r="G276" s="219"/>
      <c r="H276" s="219"/>
      <c r="I276" s="219"/>
      <c r="J276" s="219"/>
      <c r="K276" s="219"/>
    </row>
    <row r="277" spans="1:11" s="260" customFormat="1" ht="13.5">
      <c r="A277" s="168">
        <v>219</v>
      </c>
      <c r="B277" s="202" t="s">
        <v>398</v>
      </c>
      <c r="C277" s="168" t="s">
        <v>34</v>
      </c>
      <c r="D277" s="314">
        <v>0.011</v>
      </c>
      <c r="E277" s="219"/>
      <c r="F277" s="219"/>
      <c r="G277" s="219"/>
      <c r="H277" s="219"/>
      <c r="I277" s="219"/>
      <c r="J277" s="219"/>
      <c r="K277" s="219"/>
    </row>
    <row r="278" spans="1:12" s="261" customFormat="1" ht="13.5">
      <c r="A278" s="87">
        <v>220</v>
      </c>
      <c r="B278" s="201" t="s">
        <v>399</v>
      </c>
      <c r="C278" s="87" t="s">
        <v>34</v>
      </c>
      <c r="D278" s="315">
        <v>0.023</v>
      </c>
      <c r="E278" s="87"/>
      <c r="F278" s="89"/>
      <c r="G278" s="88"/>
      <c r="H278" s="89"/>
      <c r="I278" s="88"/>
      <c r="J278" s="89"/>
      <c r="K278" s="219"/>
      <c r="L278" s="47"/>
    </row>
    <row r="279" spans="1:11" s="262" customFormat="1" ht="27">
      <c r="A279" s="168">
        <v>221</v>
      </c>
      <c r="B279" s="357" t="s">
        <v>400</v>
      </c>
      <c r="C279" s="168" t="s">
        <v>34</v>
      </c>
      <c r="D279" s="316">
        <v>0.49</v>
      </c>
      <c r="E279" s="219"/>
      <c r="F279" s="219"/>
      <c r="G279" s="219"/>
      <c r="H279" s="219"/>
      <c r="I279" s="219"/>
      <c r="J279" s="219"/>
      <c r="K279" s="219"/>
    </row>
    <row r="280" spans="1:11" s="262" customFormat="1" ht="27">
      <c r="A280" s="168">
        <v>222</v>
      </c>
      <c r="B280" s="357" t="s">
        <v>401</v>
      </c>
      <c r="C280" s="168" t="s">
        <v>34</v>
      </c>
      <c r="D280" s="313">
        <f>D279+D278+D277</f>
        <v>0.524</v>
      </c>
      <c r="E280" s="219"/>
      <c r="F280" s="219"/>
      <c r="G280" s="219"/>
      <c r="H280" s="219"/>
      <c r="I280" s="219"/>
      <c r="J280" s="219"/>
      <c r="K280" s="219"/>
    </row>
    <row r="281" spans="1:11" s="260" customFormat="1" ht="45.75" customHeight="1">
      <c r="A281" s="168">
        <v>223</v>
      </c>
      <c r="B281" s="357" t="s">
        <v>402</v>
      </c>
      <c r="C281" s="168" t="s">
        <v>24</v>
      </c>
      <c r="D281" s="316">
        <v>21</v>
      </c>
      <c r="E281" s="219"/>
      <c r="F281" s="219"/>
      <c r="G281" s="219"/>
      <c r="H281" s="219"/>
      <c r="I281" s="219"/>
      <c r="J281" s="219"/>
      <c r="K281" s="219"/>
    </row>
    <row r="282" spans="1:12" s="51" customFormat="1" ht="16.5">
      <c r="A282" s="85"/>
      <c r="B282" s="238" t="s">
        <v>455</v>
      </c>
      <c r="C282" s="87"/>
      <c r="D282" s="263"/>
      <c r="E282" s="263"/>
      <c r="F282" s="263"/>
      <c r="G282" s="263"/>
      <c r="H282" s="263"/>
      <c r="I282" s="263"/>
      <c r="J282" s="263"/>
      <c r="K282" s="263"/>
      <c r="L282" s="42"/>
    </row>
    <row r="283" spans="1:11" s="45" customFormat="1" ht="13.5">
      <c r="A283" s="87">
        <v>224</v>
      </c>
      <c r="B283" s="118" t="s">
        <v>456</v>
      </c>
      <c r="C283" s="87" t="s">
        <v>26</v>
      </c>
      <c r="D283" s="317">
        <v>1.6</v>
      </c>
      <c r="E283" s="263"/>
      <c r="F283" s="263"/>
      <c r="G283" s="263"/>
      <c r="H283" s="263"/>
      <c r="I283" s="263"/>
      <c r="J283" s="263"/>
      <c r="K283" s="263"/>
    </row>
    <row r="284" spans="1:11" s="45" customFormat="1" ht="13.5">
      <c r="A284" s="87">
        <v>225</v>
      </c>
      <c r="B284" s="118" t="s">
        <v>99</v>
      </c>
      <c r="C284" s="87" t="s">
        <v>26</v>
      </c>
      <c r="D284" s="317">
        <v>0.5</v>
      </c>
      <c r="E284" s="263"/>
      <c r="F284" s="263"/>
      <c r="G284" s="263"/>
      <c r="H284" s="263"/>
      <c r="I284" s="263"/>
      <c r="J284" s="263"/>
      <c r="K284" s="263"/>
    </row>
    <row r="285" spans="1:11" s="45" customFormat="1" ht="13.5">
      <c r="A285" s="87">
        <v>226</v>
      </c>
      <c r="B285" s="118" t="s">
        <v>457</v>
      </c>
      <c r="C285" s="87" t="s">
        <v>34</v>
      </c>
      <c r="D285" s="317">
        <f>1.1*1.95</f>
        <v>2.145</v>
      </c>
      <c r="E285" s="263"/>
      <c r="F285" s="263"/>
      <c r="G285" s="263"/>
      <c r="H285" s="263"/>
      <c r="I285" s="263"/>
      <c r="J285" s="263"/>
      <c r="K285" s="263"/>
    </row>
    <row r="286" spans="1:12" s="15" customFormat="1" ht="13.5">
      <c r="A286" s="85">
        <v>227</v>
      </c>
      <c r="B286" s="86" t="s">
        <v>458</v>
      </c>
      <c r="C286" s="87" t="s">
        <v>34</v>
      </c>
      <c r="D286" s="264">
        <f>D285</f>
        <v>2.145</v>
      </c>
      <c r="E286" s="263"/>
      <c r="F286" s="263"/>
      <c r="G286" s="263"/>
      <c r="H286" s="263"/>
      <c r="I286" s="263"/>
      <c r="J286" s="263"/>
      <c r="K286" s="263"/>
      <c r="L286" s="43"/>
    </row>
    <row r="287" spans="1:12" s="51" customFormat="1" ht="40.5">
      <c r="A287" s="85">
        <v>228</v>
      </c>
      <c r="B287" s="86" t="s">
        <v>645</v>
      </c>
      <c r="C287" s="87" t="s">
        <v>26</v>
      </c>
      <c r="D287" s="264">
        <v>1.3</v>
      </c>
      <c r="E287" s="263"/>
      <c r="F287" s="263"/>
      <c r="G287" s="263"/>
      <c r="H287" s="263"/>
      <c r="I287" s="263"/>
      <c r="J287" s="263"/>
      <c r="K287" s="263"/>
      <c r="L287" s="42"/>
    </row>
    <row r="288" spans="1:12" ht="27.75" customHeight="1">
      <c r="A288" s="85">
        <v>229</v>
      </c>
      <c r="B288" s="86" t="s">
        <v>459</v>
      </c>
      <c r="C288" s="87" t="s">
        <v>34</v>
      </c>
      <c r="D288" s="264">
        <v>0.5408</v>
      </c>
      <c r="E288" s="263"/>
      <c r="F288" s="263"/>
      <c r="G288" s="263"/>
      <c r="H288" s="263"/>
      <c r="I288" s="263"/>
      <c r="J288" s="263"/>
      <c r="K288" s="263"/>
      <c r="L288" s="42"/>
    </row>
    <row r="289" spans="1:12" ht="13.5">
      <c r="A289" s="85">
        <v>230</v>
      </c>
      <c r="B289" s="86" t="s">
        <v>460</v>
      </c>
      <c r="C289" s="87" t="s">
        <v>34</v>
      </c>
      <c r="D289" s="264">
        <f>D288</f>
        <v>0.5408</v>
      </c>
      <c r="E289" s="263"/>
      <c r="F289" s="263"/>
      <c r="G289" s="263"/>
      <c r="H289" s="263"/>
      <c r="I289" s="263"/>
      <c r="J289" s="263"/>
      <c r="K289" s="263"/>
      <c r="L289" s="42"/>
    </row>
    <row r="290" spans="1:12" s="51" customFormat="1" ht="16.5">
      <c r="A290" s="87"/>
      <c r="B290" s="238" t="s">
        <v>167</v>
      </c>
      <c r="C290" s="87"/>
      <c r="D290" s="148"/>
      <c r="E290" s="148"/>
      <c r="F290" s="148"/>
      <c r="G290" s="148"/>
      <c r="H290" s="148"/>
      <c r="I290" s="148"/>
      <c r="J290" s="148"/>
      <c r="K290" s="148"/>
      <c r="L290" s="42"/>
    </row>
    <row r="291" spans="1:12" s="51" customFormat="1" ht="13.5">
      <c r="A291" s="87">
        <v>231</v>
      </c>
      <c r="B291" s="95" t="s">
        <v>168</v>
      </c>
      <c r="C291" s="87" t="s">
        <v>138</v>
      </c>
      <c r="D291" s="108">
        <v>2</v>
      </c>
      <c r="E291" s="148"/>
      <c r="F291" s="148">
        <f>D291*E291</f>
        <v>0</v>
      </c>
      <c r="G291" s="148"/>
      <c r="H291" s="148"/>
      <c r="I291" s="148"/>
      <c r="J291" s="148"/>
      <c r="K291" s="148"/>
      <c r="L291" s="42"/>
    </row>
    <row r="292" spans="1:12" ht="13.5">
      <c r="A292" s="87"/>
      <c r="B292" s="145" t="s">
        <v>51</v>
      </c>
      <c r="C292" s="124"/>
      <c r="D292" s="113"/>
      <c r="E292" s="91"/>
      <c r="F292" s="113">
        <f>SUM(F235:F291)</f>
        <v>0</v>
      </c>
      <c r="G292" s="113"/>
      <c r="H292" s="113"/>
      <c r="I292" s="113"/>
      <c r="J292" s="113"/>
      <c r="K292" s="113"/>
      <c r="L292" s="43"/>
    </row>
    <row r="293" spans="1:12" ht="13.5">
      <c r="A293" s="85"/>
      <c r="B293" s="97" t="s">
        <v>56</v>
      </c>
      <c r="C293" s="91"/>
      <c r="D293" s="121"/>
      <c r="E293" s="91"/>
      <c r="F293" s="93"/>
      <c r="G293" s="93"/>
      <c r="H293" s="93"/>
      <c r="I293" s="93"/>
      <c r="J293" s="93"/>
      <c r="K293" s="93"/>
      <c r="L293" s="44"/>
    </row>
    <row r="294" spans="1:12" ht="13.5">
      <c r="A294" s="127"/>
      <c r="B294" s="95" t="s">
        <v>382</v>
      </c>
      <c r="C294" s="96" t="s">
        <v>381</v>
      </c>
      <c r="D294" s="91"/>
      <c r="E294" s="93"/>
      <c r="F294" s="93"/>
      <c r="G294" s="93"/>
      <c r="H294" s="93"/>
      <c r="I294" s="93"/>
      <c r="J294" s="93"/>
      <c r="K294" s="93"/>
      <c r="L294" s="33"/>
    </row>
    <row r="295" spans="1:12" ht="13.5">
      <c r="A295" s="127"/>
      <c r="B295" s="97" t="s">
        <v>16</v>
      </c>
      <c r="C295" s="98"/>
      <c r="D295" s="100"/>
      <c r="E295" s="128"/>
      <c r="F295" s="129"/>
      <c r="G295" s="129"/>
      <c r="H295" s="129"/>
      <c r="I295" s="129"/>
      <c r="J295" s="129"/>
      <c r="K295" s="129"/>
      <c r="L295" s="33"/>
    </row>
    <row r="296" spans="1:11" s="33" customFormat="1" ht="13.5">
      <c r="A296" s="127"/>
      <c r="B296" s="95" t="s">
        <v>98</v>
      </c>
      <c r="C296" s="136" t="s">
        <v>381</v>
      </c>
      <c r="D296" s="100"/>
      <c r="E296" s="128"/>
      <c r="F296" s="129"/>
      <c r="G296" s="129"/>
      <c r="H296" s="129"/>
      <c r="I296" s="129"/>
      <c r="J296" s="129"/>
      <c r="K296" s="129"/>
    </row>
    <row r="297" spans="1:12" ht="13.5">
      <c r="A297" s="127"/>
      <c r="B297" s="97" t="s">
        <v>570</v>
      </c>
      <c r="C297" s="128"/>
      <c r="D297" s="100"/>
      <c r="E297" s="128"/>
      <c r="F297" s="129"/>
      <c r="G297" s="129"/>
      <c r="H297" s="129"/>
      <c r="I297" s="129"/>
      <c r="J297" s="129"/>
      <c r="K297" s="129"/>
      <c r="L297" s="163"/>
    </row>
    <row r="298" spans="1:12" s="33" customFormat="1" ht="18" customHeight="1">
      <c r="A298" s="85"/>
      <c r="B298" s="238" t="s">
        <v>571</v>
      </c>
      <c r="C298" s="87"/>
      <c r="D298" s="227"/>
      <c r="E298" s="227"/>
      <c r="F298" s="227"/>
      <c r="G298" s="227"/>
      <c r="H298" s="227"/>
      <c r="I298" s="227"/>
      <c r="J298" s="227"/>
      <c r="K298" s="227"/>
      <c r="L298" s="42"/>
    </row>
    <row r="299" spans="1:11" s="17" customFormat="1" ht="27.75" customHeight="1">
      <c r="A299" s="85">
        <v>1</v>
      </c>
      <c r="B299" s="86" t="s">
        <v>150</v>
      </c>
      <c r="C299" s="85" t="s">
        <v>47</v>
      </c>
      <c r="D299" s="91">
        <v>650</v>
      </c>
      <c r="E299" s="86"/>
      <c r="F299" s="209"/>
      <c r="G299" s="88"/>
      <c r="H299" s="89"/>
      <c r="I299" s="88"/>
      <c r="J299" s="89"/>
      <c r="K299" s="89"/>
    </row>
    <row r="300" spans="1:12" s="17" customFormat="1" ht="15.75" customHeight="1">
      <c r="A300" s="85">
        <v>2</v>
      </c>
      <c r="B300" s="86" t="s">
        <v>81</v>
      </c>
      <c r="C300" s="85" t="s">
        <v>47</v>
      </c>
      <c r="D300" s="91">
        <v>180</v>
      </c>
      <c r="E300" s="86"/>
      <c r="F300" s="209"/>
      <c r="G300" s="88"/>
      <c r="H300" s="89"/>
      <c r="I300" s="88"/>
      <c r="J300" s="89"/>
      <c r="K300" s="89"/>
      <c r="L300" s="34"/>
    </row>
    <row r="301" spans="1:12" s="17" customFormat="1" ht="15.75" customHeight="1">
      <c r="A301" s="85">
        <v>3</v>
      </c>
      <c r="B301" s="86" t="s">
        <v>200</v>
      </c>
      <c r="C301" s="85" t="s">
        <v>47</v>
      </c>
      <c r="D301" s="91">
        <v>120</v>
      </c>
      <c r="E301" s="86"/>
      <c r="F301" s="209"/>
      <c r="G301" s="88"/>
      <c r="H301" s="89"/>
      <c r="I301" s="88"/>
      <c r="J301" s="89"/>
      <c r="K301" s="89"/>
      <c r="L301" s="34"/>
    </row>
    <row r="302" spans="1:12" s="17" customFormat="1" ht="20.25" customHeight="1">
      <c r="A302" s="85">
        <v>4</v>
      </c>
      <c r="B302" s="86" t="s">
        <v>82</v>
      </c>
      <c r="C302" s="85" t="s">
        <v>47</v>
      </c>
      <c r="D302" s="91">
        <v>75</v>
      </c>
      <c r="E302" s="86"/>
      <c r="F302" s="209"/>
      <c r="G302" s="88"/>
      <c r="H302" s="89"/>
      <c r="I302" s="88"/>
      <c r="J302" s="89"/>
      <c r="K302" s="89"/>
      <c r="L302" s="34"/>
    </row>
    <row r="303" spans="1:12" s="17" customFormat="1" ht="20.25" customHeight="1">
      <c r="A303" s="85">
        <v>5</v>
      </c>
      <c r="B303" s="86" t="s">
        <v>132</v>
      </c>
      <c r="C303" s="85" t="s">
        <v>47</v>
      </c>
      <c r="D303" s="91">
        <v>100</v>
      </c>
      <c r="E303" s="86"/>
      <c r="F303" s="209"/>
      <c r="G303" s="88"/>
      <c r="H303" s="89"/>
      <c r="I303" s="88"/>
      <c r="J303" s="89"/>
      <c r="K303" s="89"/>
      <c r="L303" s="34"/>
    </row>
    <row r="304" spans="1:12" s="17" customFormat="1" ht="20.25" customHeight="1">
      <c r="A304" s="85">
        <v>6</v>
      </c>
      <c r="B304" s="86" t="s">
        <v>201</v>
      </c>
      <c r="C304" s="85" t="s">
        <v>47</v>
      </c>
      <c r="D304" s="91">
        <v>25</v>
      </c>
      <c r="E304" s="86"/>
      <c r="F304" s="209"/>
      <c r="G304" s="88"/>
      <c r="H304" s="89"/>
      <c r="I304" s="88"/>
      <c r="J304" s="89"/>
      <c r="K304" s="89"/>
      <c r="L304" s="34"/>
    </row>
    <row r="305" spans="1:12" s="17" customFormat="1" ht="20.25" customHeight="1">
      <c r="A305" s="85">
        <v>7</v>
      </c>
      <c r="B305" s="86" t="s">
        <v>202</v>
      </c>
      <c r="C305" s="85" t="s">
        <v>47</v>
      </c>
      <c r="D305" s="91">
        <v>10</v>
      </c>
      <c r="E305" s="86"/>
      <c r="F305" s="209"/>
      <c r="G305" s="88"/>
      <c r="H305" s="89"/>
      <c r="I305" s="88"/>
      <c r="J305" s="89"/>
      <c r="K305" s="89"/>
      <c r="L305" s="34"/>
    </row>
    <row r="306" spans="1:12" s="17" customFormat="1" ht="17.25" customHeight="1">
      <c r="A306" s="85">
        <v>8</v>
      </c>
      <c r="B306" s="86" t="s">
        <v>135</v>
      </c>
      <c r="C306" s="85" t="s">
        <v>48</v>
      </c>
      <c r="D306" s="98">
        <v>4</v>
      </c>
      <c r="E306" s="86"/>
      <c r="F306" s="209"/>
      <c r="G306" s="88"/>
      <c r="H306" s="89"/>
      <c r="I306" s="88"/>
      <c r="J306" s="89"/>
      <c r="K306" s="89"/>
      <c r="L306" s="34"/>
    </row>
    <row r="307" spans="1:12" s="17" customFormat="1" ht="17.25" customHeight="1">
      <c r="A307" s="85">
        <v>9</v>
      </c>
      <c r="B307" s="86" t="s">
        <v>206</v>
      </c>
      <c r="C307" s="85" t="s">
        <v>48</v>
      </c>
      <c r="D307" s="98">
        <v>3</v>
      </c>
      <c r="E307" s="86"/>
      <c r="F307" s="209"/>
      <c r="G307" s="88"/>
      <c r="H307" s="89"/>
      <c r="I307" s="88"/>
      <c r="J307" s="89"/>
      <c r="K307" s="89"/>
      <c r="L307" s="34"/>
    </row>
    <row r="308" spans="1:12" s="17" customFormat="1" ht="17.25" customHeight="1">
      <c r="A308" s="85">
        <v>10</v>
      </c>
      <c r="B308" s="86" t="s">
        <v>207</v>
      </c>
      <c r="C308" s="85" t="s">
        <v>48</v>
      </c>
      <c r="D308" s="98">
        <v>1</v>
      </c>
      <c r="E308" s="86"/>
      <c r="F308" s="209"/>
      <c r="G308" s="88"/>
      <c r="H308" s="89"/>
      <c r="I308" s="88"/>
      <c r="J308" s="89"/>
      <c r="K308" s="89"/>
      <c r="L308" s="34"/>
    </row>
    <row r="309" spans="1:12" s="17" customFormat="1" ht="14.25" customHeight="1">
      <c r="A309" s="85">
        <v>11</v>
      </c>
      <c r="B309" s="133" t="s">
        <v>133</v>
      </c>
      <c r="C309" s="85" t="s">
        <v>48</v>
      </c>
      <c r="D309" s="98">
        <v>70</v>
      </c>
      <c r="E309" s="87"/>
      <c r="F309" s="89"/>
      <c r="G309" s="88"/>
      <c r="H309" s="89"/>
      <c r="I309" s="88"/>
      <c r="J309" s="89"/>
      <c r="K309" s="89">
        <f aca="true" t="shared" si="0" ref="K309:K322">F309+H309+J309</f>
        <v>0</v>
      </c>
      <c r="L309" s="34"/>
    </row>
    <row r="310" spans="1:12" s="17" customFormat="1" ht="14.25" customHeight="1">
      <c r="A310" s="85">
        <v>12</v>
      </c>
      <c r="B310" s="133" t="s">
        <v>83</v>
      </c>
      <c r="C310" s="85" t="s">
        <v>48</v>
      </c>
      <c r="D310" s="98">
        <v>18</v>
      </c>
      <c r="E310" s="87"/>
      <c r="F310" s="89"/>
      <c r="G310" s="88"/>
      <c r="H310" s="89"/>
      <c r="I310" s="88"/>
      <c r="J310" s="89"/>
      <c r="K310" s="89">
        <f t="shared" si="0"/>
        <v>0</v>
      </c>
      <c r="L310" s="34"/>
    </row>
    <row r="311" spans="1:12" s="17" customFormat="1" ht="14.25" customHeight="1">
      <c r="A311" s="85">
        <v>13</v>
      </c>
      <c r="B311" s="133" t="s">
        <v>461</v>
      </c>
      <c r="C311" s="85" t="s">
        <v>48</v>
      </c>
      <c r="D311" s="98">
        <v>14</v>
      </c>
      <c r="E311" s="87"/>
      <c r="F311" s="89"/>
      <c r="G311" s="88"/>
      <c r="H311" s="89"/>
      <c r="I311" s="88"/>
      <c r="J311" s="89"/>
      <c r="K311" s="89">
        <f t="shared" si="0"/>
        <v>0</v>
      </c>
      <c r="L311" s="34"/>
    </row>
    <row r="312" spans="1:12" s="17" customFormat="1" ht="14.25" customHeight="1">
      <c r="A312" s="85">
        <v>14</v>
      </c>
      <c r="B312" s="133" t="s">
        <v>50</v>
      </c>
      <c r="C312" s="85" t="s">
        <v>48</v>
      </c>
      <c r="D312" s="98">
        <v>8</v>
      </c>
      <c r="E312" s="87"/>
      <c r="F312" s="89"/>
      <c r="G312" s="88"/>
      <c r="H312" s="89"/>
      <c r="I312" s="88"/>
      <c r="J312" s="89"/>
      <c r="K312" s="89">
        <f>F312+H312+J312</f>
        <v>0</v>
      </c>
      <c r="L312" s="34"/>
    </row>
    <row r="313" spans="1:11" s="17" customFormat="1" ht="14.25" customHeight="1">
      <c r="A313" s="85">
        <v>15</v>
      </c>
      <c r="B313" s="133" t="s">
        <v>84</v>
      </c>
      <c r="C313" s="85" t="s">
        <v>48</v>
      </c>
      <c r="D313" s="98">
        <v>40</v>
      </c>
      <c r="E313" s="87"/>
      <c r="F313" s="89"/>
      <c r="G313" s="88"/>
      <c r="H313" s="89"/>
      <c r="I313" s="88"/>
      <c r="J313" s="89"/>
      <c r="K313" s="89">
        <f>F313+H313+J313</f>
        <v>0</v>
      </c>
    </row>
    <row r="314" spans="1:11" s="17" customFormat="1" ht="14.25" customHeight="1">
      <c r="A314" s="85">
        <v>16</v>
      </c>
      <c r="B314" s="133" t="s">
        <v>85</v>
      </c>
      <c r="C314" s="85" t="s">
        <v>48</v>
      </c>
      <c r="D314" s="98">
        <v>6</v>
      </c>
      <c r="E314" s="87"/>
      <c r="F314" s="89"/>
      <c r="G314" s="88"/>
      <c r="H314" s="89"/>
      <c r="I314" s="88"/>
      <c r="J314" s="89"/>
      <c r="K314" s="89">
        <f t="shared" si="0"/>
        <v>0</v>
      </c>
    </row>
    <row r="315" spans="1:11" s="17" customFormat="1" ht="14.25" customHeight="1">
      <c r="A315" s="85">
        <v>17</v>
      </c>
      <c r="B315" s="133" t="s">
        <v>204</v>
      </c>
      <c r="C315" s="85" t="s">
        <v>48</v>
      </c>
      <c r="D315" s="98">
        <v>5</v>
      </c>
      <c r="E315" s="87"/>
      <c r="F315" s="89"/>
      <c r="G315" s="88"/>
      <c r="H315" s="89"/>
      <c r="I315" s="88"/>
      <c r="J315" s="89"/>
      <c r="K315" s="89">
        <f t="shared" si="0"/>
        <v>0</v>
      </c>
    </row>
    <row r="316" spans="1:11" s="17" customFormat="1" ht="14.25" customHeight="1">
      <c r="A316" s="85">
        <v>18</v>
      </c>
      <c r="B316" s="133" t="s">
        <v>151</v>
      </c>
      <c r="C316" s="85" t="s">
        <v>48</v>
      </c>
      <c r="D316" s="98">
        <v>3</v>
      </c>
      <c r="E316" s="87"/>
      <c r="F316" s="89"/>
      <c r="G316" s="88"/>
      <c r="H316" s="89"/>
      <c r="I316" s="88"/>
      <c r="J316" s="89"/>
      <c r="K316" s="89">
        <f>F316+H316+J316</f>
        <v>0</v>
      </c>
    </row>
    <row r="317" spans="1:11" s="17" customFormat="1" ht="14.25" customHeight="1">
      <c r="A317" s="85">
        <v>19</v>
      </c>
      <c r="B317" s="133" t="s">
        <v>88</v>
      </c>
      <c r="C317" s="85" t="s">
        <v>48</v>
      </c>
      <c r="D317" s="98">
        <v>4</v>
      </c>
      <c r="E317" s="87"/>
      <c r="F317" s="89"/>
      <c r="G317" s="88"/>
      <c r="H317" s="89"/>
      <c r="I317" s="88"/>
      <c r="J317" s="89"/>
      <c r="K317" s="89">
        <f>F317+H317+J317</f>
        <v>0</v>
      </c>
    </row>
    <row r="318" spans="1:11" s="17" customFormat="1" ht="14.25" customHeight="1">
      <c r="A318" s="85">
        <v>20</v>
      </c>
      <c r="B318" s="133" t="s">
        <v>203</v>
      </c>
      <c r="C318" s="85" t="s">
        <v>48</v>
      </c>
      <c r="D318" s="98">
        <v>3</v>
      </c>
      <c r="E318" s="87"/>
      <c r="F318" s="89"/>
      <c r="G318" s="88"/>
      <c r="H318" s="89"/>
      <c r="I318" s="88"/>
      <c r="J318" s="89"/>
      <c r="K318" s="89">
        <f>F318+H318+J318</f>
        <v>0</v>
      </c>
    </row>
    <row r="319" spans="1:11" s="17" customFormat="1" ht="14.25" customHeight="1">
      <c r="A319" s="85">
        <v>21</v>
      </c>
      <c r="B319" s="133" t="s">
        <v>205</v>
      </c>
      <c r="C319" s="85" t="s">
        <v>48</v>
      </c>
      <c r="D319" s="98">
        <v>1</v>
      </c>
      <c r="E319" s="87"/>
      <c r="F319" s="89"/>
      <c r="G319" s="88"/>
      <c r="H319" s="89"/>
      <c r="I319" s="88"/>
      <c r="J319" s="89"/>
      <c r="K319" s="89">
        <f>F319+H319+J319</f>
        <v>0</v>
      </c>
    </row>
    <row r="320" spans="1:12" s="17" customFormat="1" ht="18" customHeight="1">
      <c r="A320" s="85">
        <v>22</v>
      </c>
      <c r="B320" s="133" t="s">
        <v>462</v>
      </c>
      <c r="C320" s="85" t="s">
        <v>48</v>
      </c>
      <c r="D320" s="91">
        <v>142</v>
      </c>
      <c r="E320" s="87"/>
      <c r="F320" s="89"/>
      <c r="G320" s="88"/>
      <c r="H320" s="89"/>
      <c r="I320" s="88"/>
      <c r="J320" s="89"/>
      <c r="K320" s="89">
        <f t="shared" si="0"/>
        <v>0</v>
      </c>
      <c r="L320" s="34"/>
    </row>
    <row r="321" spans="1:12" s="17" customFormat="1" ht="18" customHeight="1">
      <c r="A321" s="85">
        <v>23</v>
      </c>
      <c r="B321" s="133" t="s">
        <v>463</v>
      </c>
      <c r="C321" s="85" t="s">
        <v>48</v>
      </c>
      <c r="D321" s="91">
        <v>46</v>
      </c>
      <c r="E321" s="87"/>
      <c r="F321" s="89"/>
      <c r="G321" s="88"/>
      <c r="H321" s="89"/>
      <c r="I321" s="88"/>
      <c r="J321" s="89"/>
      <c r="K321" s="89">
        <f t="shared" si="0"/>
        <v>0</v>
      </c>
      <c r="L321" s="34"/>
    </row>
    <row r="322" spans="1:12" s="17" customFormat="1" ht="18" customHeight="1">
      <c r="A322" s="85">
        <v>24</v>
      </c>
      <c r="B322" s="133" t="s">
        <v>464</v>
      </c>
      <c r="C322" s="85" t="s">
        <v>48</v>
      </c>
      <c r="D322" s="91">
        <v>4</v>
      </c>
      <c r="E322" s="87"/>
      <c r="F322" s="89"/>
      <c r="G322" s="88"/>
      <c r="H322" s="89"/>
      <c r="I322" s="88"/>
      <c r="J322" s="89"/>
      <c r="K322" s="89">
        <f t="shared" si="0"/>
        <v>0</v>
      </c>
      <c r="L322" s="34"/>
    </row>
    <row r="323" spans="1:12" s="17" customFormat="1" ht="18" customHeight="1">
      <c r="A323" s="85">
        <v>25</v>
      </c>
      <c r="B323" s="133" t="s">
        <v>465</v>
      </c>
      <c r="C323" s="85" t="s">
        <v>48</v>
      </c>
      <c r="D323" s="91">
        <v>22</v>
      </c>
      <c r="E323" s="87"/>
      <c r="F323" s="89"/>
      <c r="G323" s="88"/>
      <c r="H323" s="89"/>
      <c r="I323" s="88"/>
      <c r="J323" s="89"/>
      <c r="K323" s="89">
        <f>F323+H323+J323</f>
        <v>0</v>
      </c>
      <c r="L323" s="34"/>
    </row>
    <row r="324" spans="1:12" s="17" customFormat="1" ht="18" customHeight="1">
      <c r="A324" s="85">
        <v>26</v>
      </c>
      <c r="B324" s="133" t="s">
        <v>466</v>
      </c>
      <c r="C324" s="85" t="s">
        <v>48</v>
      </c>
      <c r="D324" s="91">
        <v>5</v>
      </c>
      <c r="E324" s="87"/>
      <c r="F324" s="89"/>
      <c r="G324" s="88"/>
      <c r="H324" s="89"/>
      <c r="I324" s="88"/>
      <c r="J324" s="89"/>
      <c r="K324" s="89">
        <f>F324+H324+J324</f>
        <v>0</v>
      </c>
      <c r="L324" s="34"/>
    </row>
    <row r="325" spans="1:12" s="17" customFormat="1" ht="18" customHeight="1">
      <c r="A325" s="85">
        <v>27</v>
      </c>
      <c r="B325" s="133" t="s">
        <v>467</v>
      </c>
      <c r="C325" s="85" t="s">
        <v>48</v>
      </c>
      <c r="D325" s="91">
        <v>1</v>
      </c>
      <c r="E325" s="87"/>
      <c r="F325" s="89"/>
      <c r="G325" s="88"/>
      <c r="H325" s="89"/>
      <c r="I325" s="88"/>
      <c r="J325" s="89"/>
      <c r="K325" s="89">
        <f>F325+H325+J325</f>
        <v>0</v>
      </c>
      <c r="L325" s="34"/>
    </row>
    <row r="326" spans="1:12" ht="18" customHeight="1">
      <c r="A326" s="85">
        <v>28</v>
      </c>
      <c r="B326" s="86" t="s">
        <v>213</v>
      </c>
      <c r="C326" s="85" t="s">
        <v>47</v>
      </c>
      <c r="D326" s="93">
        <v>125</v>
      </c>
      <c r="E326" s="86"/>
      <c r="F326" s="209"/>
      <c r="G326" s="88"/>
      <c r="H326" s="89"/>
      <c r="I326" s="88"/>
      <c r="J326" s="89"/>
      <c r="K326" s="89"/>
      <c r="L326" s="34"/>
    </row>
    <row r="327" spans="1:11" ht="40.5">
      <c r="A327" s="85">
        <v>29</v>
      </c>
      <c r="B327" s="86" t="s">
        <v>396</v>
      </c>
      <c r="C327" s="85" t="s">
        <v>48</v>
      </c>
      <c r="D327" s="91">
        <v>8</v>
      </c>
      <c r="E327" s="86"/>
      <c r="F327" s="209"/>
      <c r="G327" s="88"/>
      <c r="H327" s="89"/>
      <c r="I327" s="88"/>
      <c r="J327" s="89"/>
      <c r="K327" s="89"/>
    </row>
    <row r="328" spans="1:11" s="17" customFormat="1" ht="18.75" customHeight="1">
      <c r="A328" s="85">
        <v>30</v>
      </c>
      <c r="B328" s="133" t="s">
        <v>153</v>
      </c>
      <c r="C328" s="85" t="s">
        <v>48</v>
      </c>
      <c r="D328" s="93">
        <v>51</v>
      </c>
      <c r="E328" s="87"/>
      <c r="F328" s="89"/>
      <c r="G328" s="88"/>
      <c r="H328" s="89"/>
      <c r="I328" s="88"/>
      <c r="J328" s="89"/>
      <c r="K328" s="89">
        <f>F328+H328+J328</f>
        <v>0</v>
      </c>
    </row>
    <row r="329" spans="1:11" s="17" customFormat="1" ht="18.75" customHeight="1">
      <c r="A329" s="85">
        <v>31</v>
      </c>
      <c r="B329" s="133" t="s">
        <v>212</v>
      </c>
      <c r="C329" s="85" t="s">
        <v>48</v>
      </c>
      <c r="D329" s="93">
        <v>8</v>
      </c>
      <c r="E329" s="87"/>
      <c r="F329" s="89"/>
      <c r="G329" s="88"/>
      <c r="H329" s="89"/>
      <c r="I329" s="88"/>
      <c r="J329" s="89"/>
      <c r="K329" s="89">
        <f>F329+H329+J329</f>
        <v>0</v>
      </c>
    </row>
    <row r="330" spans="1:11" s="17" customFormat="1" ht="18.75" customHeight="1">
      <c r="A330" s="85">
        <v>32</v>
      </c>
      <c r="B330" s="133" t="s">
        <v>208</v>
      </c>
      <c r="C330" s="85" t="s">
        <v>48</v>
      </c>
      <c r="D330" s="93">
        <v>5</v>
      </c>
      <c r="E330" s="87"/>
      <c r="F330" s="89"/>
      <c r="G330" s="88"/>
      <c r="H330" s="89"/>
      <c r="I330" s="88"/>
      <c r="J330" s="89"/>
      <c r="K330" s="89">
        <f>F330+H330+J330</f>
        <v>0</v>
      </c>
    </row>
    <row r="331" spans="1:11" s="17" customFormat="1" ht="18.75" customHeight="1">
      <c r="A331" s="85">
        <v>33</v>
      </c>
      <c r="B331" s="133" t="s">
        <v>209</v>
      </c>
      <c r="C331" s="85" t="s">
        <v>48</v>
      </c>
      <c r="D331" s="93">
        <v>14</v>
      </c>
      <c r="E331" s="87"/>
      <c r="F331" s="89"/>
      <c r="G331" s="88"/>
      <c r="H331" s="89"/>
      <c r="I331" s="88"/>
      <c r="J331" s="89"/>
      <c r="K331" s="89">
        <f>F331+H331+J331</f>
        <v>0</v>
      </c>
    </row>
    <row r="332" spans="1:11" s="17" customFormat="1" ht="13.5">
      <c r="A332" s="85">
        <v>34</v>
      </c>
      <c r="B332" s="133" t="s">
        <v>210</v>
      </c>
      <c r="C332" s="85" t="s">
        <v>48</v>
      </c>
      <c r="D332" s="93">
        <v>2</v>
      </c>
      <c r="E332" s="87"/>
      <c r="F332" s="89"/>
      <c r="G332" s="88"/>
      <c r="H332" s="89"/>
      <c r="I332" s="88"/>
      <c r="J332" s="89"/>
      <c r="K332" s="89">
        <f>F332+H332+J332</f>
        <v>0</v>
      </c>
    </row>
    <row r="333" spans="1:11" s="17" customFormat="1" ht="15" customHeight="1">
      <c r="A333" s="85">
        <v>35</v>
      </c>
      <c r="B333" s="133" t="s">
        <v>134</v>
      </c>
      <c r="C333" s="85" t="s">
        <v>48</v>
      </c>
      <c r="D333" s="93">
        <v>37</v>
      </c>
      <c r="E333" s="87"/>
      <c r="F333" s="89"/>
      <c r="G333" s="88"/>
      <c r="H333" s="89"/>
      <c r="I333" s="88"/>
      <c r="J333" s="89"/>
      <c r="K333" s="89"/>
    </row>
    <row r="334" spans="1:11" s="17" customFormat="1" ht="15" customHeight="1">
      <c r="A334" s="85">
        <v>36</v>
      </c>
      <c r="B334" s="133" t="s">
        <v>211</v>
      </c>
      <c r="C334" s="85" t="s">
        <v>48</v>
      </c>
      <c r="D334" s="93">
        <v>8</v>
      </c>
      <c r="E334" s="87"/>
      <c r="F334" s="89"/>
      <c r="G334" s="88"/>
      <c r="H334" s="89"/>
      <c r="I334" s="88"/>
      <c r="J334" s="89"/>
      <c r="K334" s="89"/>
    </row>
    <row r="335" spans="1:11" s="17" customFormat="1" ht="15" customHeight="1">
      <c r="A335" s="85">
        <v>37</v>
      </c>
      <c r="B335" s="133" t="s">
        <v>152</v>
      </c>
      <c r="C335" s="85" t="s">
        <v>48</v>
      </c>
      <c r="D335" s="93">
        <v>11</v>
      </c>
      <c r="E335" s="87"/>
      <c r="F335" s="89"/>
      <c r="G335" s="88"/>
      <c r="H335" s="89"/>
      <c r="I335" s="88"/>
      <c r="J335" s="89"/>
      <c r="K335" s="89"/>
    </row>
    <row r="336" spans="1:12" s="41" customFormat="1" ht="15" customHeight="1">
      <c r="A336" s="124"/>
      <c r="B336" s="97" t="s">
        <v>16</v>
      </c>
      <c r="C336" s="91"/>
      <c r="D336" s="125"/>
      <c r="E336" s="91"/>
      <c r="F336" s="93"/>
      <c r="G336" s="93"/>
      <c r="H336" s="93"/>
      <c r="I336" s="93"/>
      <c r="J336" s="93"/>
      <c r="K336" s="93"/>
      <c r="L336" s="54"/>
    </row>
    <row r="337" spans="1:12" s="17" customFormat="1" ht="15" customHeight="1">
      <c r="A337" s="135"/>
      <c r="B337" s="95" t="s">
        <v>86</v>
      </c>
      <c r="C337" s="96" t="s">
        <v>381</v>
      </c>
      <c r="D337" s="92"/>
      <c r="E337" s="91"/>
      <c r="F337" s="93"/>
      <c r="G337" s="93"/>
      <c r="H337" s="93"/>
      <c r="I337" s="93"/>
      <c r="J337" s="93"/>
      <c r="K337" s="93"/>
      <c r="L337" s="34"/>
    </row>
    <row r="338" spans="1:12" s="17" customFormat="1" ht="15" customHeight="1">
      <c r="A338" s="135"/>
      <c r="B338" s="97" t="s">
        <v>16</v>
      </c>
      <c r="C338" s="98"/>
      <c r="D338" s="92"/>
      <c r="E338" s="91"/>
      <c r="F338" s="93"/>
      <c r="G338" s="93"/>
      <c r="H338" s="93"/>
      <c r="I338" s="93"/>
      <c r="J338" s="93"/>
      <c r="K338" s="93"/>
      <c r="L338" s="34"/>
    </row>
    <row r="339" spans="1:11" s="33" customFormat="1" ht="13.5">
      <c r="A339" s="115"/>
      <c r="B339" s="95" t="s">
        <v>96</v>
      </c>
      <c r="C339" s="136" t="s">
        <v>381</v>
      </c>
      <c r="D339" s="100"/>
      <c r="E339" s="100"/>
      <c r="F339" s="101"/>
      <c r="G339" s="101"/>
      <c r="H339" s="101"/>
      <c r="I339" s="101"/>
      <c r="J339" s="101"/>
      <c r="K339" s="101"/>
    </row>
    <row r="340" spans="1:12" s="17" customFormat="1" ht="13.5">
      <c r="A340" s="91"/>
      <c r="B340" s="97" t="s">
        <v>572</v>
      </c>
      <c r="C340" s="91"/>
      <c r="D340" s="92"/>
      <c r="E340" s="91"/>
      <c r="F340" s="93"/>
      <c r="G340" s="93"/>
      <c r="H340" s="93"/>
      <c r="I340" s="93"/>
      <c r="J340" s="93"/>
      <c r="K340" s="93"/>
      <c r="L340" s="49"/>
    </row>
    <row r="341" spans="1:12" s="33" customFormat="1" ht="18" customHeight="1">
      <c r="A341" s="85"/>
      <c r="B341" s="238" t="s">
        <v>573</v>
      </c>
      <c r="C341" s="87"/>
      <c r="D341" s="227"/>
      <c r="E341" s="227"/>
      <c r="F341" s="227"/>
      <c r="G341" s="227"/>
      <c r="H341" s="227"/>
      <c r="I341" s="227"/>
      <c r="J341" s="227"/>
      <c r="K341" s="227"/>
      <c r="L341" s="42"/>
    </row>
    <row r="342" spans="1:11" s="17" customFormat="1" ht="13.5">
      <c r="A342" s="87">
        <v>1</v>
      </c>
      <c r="B342" s="118" t="s">
        <v>468</v>
      </c>
      <c r="C342" s="87" t="s">
        <v>47</v>
      </c>
      <c r="D342" s="272">
        <v>300</v>
      </c>
      <c r="E342" s="87"/>
      <c r="F342" s="89"/>
      <c r="G342" s="88"/>
      <c r="H342" s="89"/>
      <c r="I342" s="88"/>
      <c r="J342" s="89"/>
      <c r="K342" s="106"/>
    </row>
    <row r="343" spans="1:11" s="17" customFormat="1" ht="13.5">
      <c r="A343" s="87">
        <v>2</v>
      </c>
      <c r="B343" s="118" t="s">
        <v>469</v>
      </c>
      <c r="C343" s="87" t="s">
        <v>47</v>
      </c>
      <c r="D343" s="272">
        <v>340</v>
      </c>
      <c r="E343" s="87"/>
      <c r="F343" s="89"/>
      <c r="G343" s="88"/>
      <c r="H343" s="89"/>
      <c r="I343" s="88"/>
      <c r="J343" s="89"/>
      <c r="K343" s="106"/>
    </row>
    <row r="344" spans="1:11" s="17" customFormat="1" ht="14.25" customHeight="1">
      <c r="A344" s="87">
        <v>3</v>
      </c>
      <c r="B344" s="118" t="s">
        <v>88</v>
      </c>
      <c r="C344" s="87" t="s">
        <v>48</v>
      </c>
      <c r="D344" s="91">
        <v>56</v>
      </c>
      <c r="E344" s="87"/>
      <c r="F344" s="89"/>
      <c r="G344" s="88"/>
      <c r="H344" s="89"/>
      <c r="I344" s="88"/>
      <c r="J344" s="89"/>
      <c r="K344" s="106">
        <f aca="true" t="shared" si="1" ref="K344:K355">F344+H344+J344</f>
        <v>0</v>
      </c>
    </row>
    <row r="345" spans="1:11" s="17" customFormat="1" ht="14.25" customHeight="1">
      <c r="A345" s="87">
        <v>4</v>
      </c>
      <c r="B345" s="118" t="s">
        <v>89</v>
      </c>
      <c r="C345" s="87" t="s">
        <v>48</v>
      </c>
      <c r="D345" s="91">
        <v>16</v>
      </c>
      <c r="E345" s="87"/>
      <c r="F345" s="89"/>
      <c r="G345" s="88"/>
      <c r="H345" s="89"/>
      <c r="I345" s="88"/>
      <c r="J345" s="89"/>
      <c r="K345" s="106">
        <f t="shared" si="1"/>
        <v>0</v>
      </c>
    </row>
    <row r="346" spans="1:12" s="17" customFormat="1" ht="14.25" customHeight="1">
      <c r="A346" s="87">
        <v>5</v>
      </c>
      <c r="B346" s="118" t="s">
        <v>90</v>
      </c>
      <c r="C346" s="87" t="s">
        <v>48</v>
      </c>
      <c r="D346" s="91">
        <v>40</v>
      </c>
      <c r="E346" s="87"/>
      <c r="F346" s="89"/>
      <c r="G346" s="88"/>
      <c r="H346" s="89"/>
      <c r="I346" s="88"/>
      <c r="J346" s="89"/>
      <c r="K346" s="106">
        <f t="shared" si="1"/>
        <v>0</v>
      </c>
      <c r="L346" s="41"/>
    </row>
    <row r="347" spans="1:15" s="17" customFormat="1" ht="14.25" customHeight="1">
      <c r="A347" s="87">
        <v>6</v>
      </c>
      <c r="B347" s="118" t="s">
        <v>91</v>
      </c>
      <c r="C347" s="87" t="s">
        <v>48</v>
      </c>
      <c r="D347" s="265">
        <v>22</v>
      </c>
      <c r="E347" s="87"/>
      <c r="F347" s="89"/>
      <c r="G347" s="88"/>
      <c r="H347" s="89"/>
      <c r="I347" s="88"/>
      <c r="J347" s="89"/>
      <c r="K347" s="89">
        <f>F347+H347+J347</f>
        <v>0</v>
      </c>
      <c r="L347" s="72"/>
      <c r="O347" s="41"/>
    </row>
    <row r="348" spans="1:12" s="17" customFormat="1" ht="14.25" customHeight="1">
      <c r="A348" s="87">
        <v>7</v>
      </c>
      <c r="B348" s="118" t="s">
        <v>92</v>
      </c>
      <c r="C348" s="87" t="s">
        <v>48</v>
      </c>
      <c r="D348" s="265">
        <v>29</v>
      </c>
      <c r="E348" s="87"/>
      <c r="F348" s="89"/>
      <c r="G348" s="88"/>
      <c r="H348" s="89"/>
      <c r="I348" s="88"/>
      <c r="J348" s="89"/>
      <c r="K348" s="89">
        <f t="shared" si="1"/>
        <v>0</v>
      </c>
      <c r="L348" s="72"/>
    </row>
    <row r="349" spans="1:15" s="104" customFormat="1" ht="14.25" customHeight="1">
      <c r="A349" s="87">
        <v>8</v>
      </c>
      <c r="B349" s="118" t="s">
        <v>136</v>
      </c>
      <c r="C349" s="87" t="s">
        <v>48</v>
      </c>
      <c r="D349" s="265">
        <v>80</v>
      </c>
      <c r="E349" s="87"/>
      <c r="F349" s="89"/>
      <c r="G349" s="88"/>
      <c r="H349" s="89"/>
      <c r="I349" s="88"/>
      <c r="J349" s="89"/>
      <c r="K349" s="89">
        <f t="shared" si="1"/>
        <v>0</v>
      </c>
      <c r="L349" s="156"/>
      <c r="O349" s="84"/>
    </row>
    <row r="350" spans="1:12" s="17" customFormat="1" ht="14.25" customHeight="1">
      <c r="A350" s="87">
        <v>9</v>
      </c>
      <c r="B350" s="118" t="s">
        <v>93</v>
      </c>
      <c r="C350" s="87" t="s">
        <v>48</v>
      </c>
      <c r="D350" s="265">
        <v>85</v>
      </c>
      <c r="E350" s="87"/>
      <c r="F350" s="89"/>
      <c r="G350" s="88"/>
      <c r="H350" s="89"/>
      <c r="I350" s="88"/>
      <c r="J350" s="89"/>
      <c r="K350" s="89">
        <f t="shared" si="1"/>
        <v>0</v>
      </c>
      <c r="L350" s="34"/>
    </row>
    <row r="351" spans="1:12" s="17" customFormat="1" ht="14.25" customHeight="1">
      <c r="A351" s="87">
        <v>10</v>
      </c>
      <c r="B351" s="118" t="s">
        <v>158</v>
      </c>
      <c r="C351" s="87" t="s">
        <v>48</v>
      </c>
      <c r="D351" s="265">
        <v>12</v>
      </c>
      <c r="E351" s="87"/>
      <c r="F351" s="89"/>
      <c r="G351" s="88"/>
      <c r="H351" s="89"/>
      <c r="I351" s="88"/>
      <c r="J351" s="89"/>
      <c r="K351" s="89">
        <f t="shared" si="1"/>
        <v>0</v>
      </c>
      <c r="L351" s="34"/>
    </row>
    <row r="352" spans="1:12" s="17" customFormat="1" ht="14.25" customHeight="1">
      <c r="A352" s="87">
        <v>11</v>
      </c>
      <c r="B352" s="118" t="s">
        <v>156</v>
      </c>
      <c r="C352" s="87" t="s">
        <v>48</v>
      </c>
      <c r="D352" s="265">
        <v>5</v>
      </c>
      <c r="E352" s="87"/>
      <c r="F352" s="89"/>
      <c r="G352" s="88"/>
      <c r="H352" s="89"/>
      <c r="I352" s="88"/>
      <c r="J352" s="89"/>
      <c r="K352" s="89">
        <f t="shared" si="1"/>
        <v>0</v>
      </c>
      <c r="L352" s="34"/>
    </row>
    <row r="353" spans="1:12" s="17" customFormat="1" ht="14.25" customHeight="1">
      <c r="A353" s="87">
        <v>12</v>
      </c>
      <c r="B353" s="118" t="s">
        <v>214</v>
      </c>
      <c r="C353" s="87" t="s">
        <v>48</v>
      </c>
      <c r="D353" s="265">
        <v>2</v>
      </c>
      <c r="E353" s="87"/>
      <c r="F353" s="89"/>
      <c r="G353" s="88"/>
      <c r="H353" s="89"/>
      <c r="I353" s="88"/>
      <c r="J353" s="89"/>
      <c r="K353" s="89">
        <f t="shared" si="1"/>
        <v>0</v>
      </c>
      <c r="L353" s="34"/>
    </row>
    <row r="354" spans="1:12" s="17" customFormat="1" ht="14.25" customHeight="1">
      <c r="A354" s="87">
        <v>13</v>
      </c>
      <c r="B354" s="118" t="s">
        <v>215</v>
      </c>
      <c r="C354" s="87" t="s">
        <v>48</v>
      </c>
      <c r="D354" s="265">
        <v>12</v>
      </c>
      <c r="E354" s="87"/>
      <c r="F354" s="89"/>
      <c r="G354" s="88"/>
      <c r="H354" s="89"/>
      <c r="I354" s="88"/>
      <c r="J354" s="89"/>
      <c r="K354" s="89">
        <f t="shared" si="1"/>
        <v>0</v>
      </c>
      <c r="L354" s="34"/>
    </row>
    <row r="355" spans="1:12" s="17" customFormat="1" ht="14.25" customHeight="1">
      <c r="A355" s="87">
        <v>14</v>
      </c>
      <c r="B355" s="118" t="s">
        <v>159</v>
      </c>
      <c r="C355" s="87" t="s">
        <v>48</v>
      </c>
      <c r="D355" s="265">
        <v>9</v>
      </c>
      <c r="E355" s="87"/>
      <c r="F355" s="89"/>
      <c r="G355" s="88"/>
      <c r="H355" s="89"/>
      <c r="I355" s="88"/>
      <c r="J355" s="89"/>
      <c r="K355" s="89">
        <f t="shared" si="1"/>
        <v>0</v>
      </c>
      <c r="L355" s="34"/>
    </row>
    <row r="356" spans="1:11" s="17" customFormat="1" ht="13.5" customHeight="1">
      <c r="A356" s="87">
        <v>15</v>
      </c>
      <c r="B356" s="118" t="s">
        <v>220</v>
      </c>
      <c r="C356" s="87" t="s">
        <v>48</v>
      </c>
      <c r="D356" s="93">
        <v>54</v>
      </c>
      <c r="E356" s="87"/>
      <c r="F356" s="89"/>
      <c r="G356" s="88"/>
      <c r="H356" s="89"/>
      <c r="I356" s="88"/>
      <c r="J356" s="89"/>
      <c r="K356" s="106"/>
    </row>
    <row r="357" spans="1:11" s="17" customFormat="1" ht="14.25" customHeight="1">
      <c r="A357" s="87">
        <v>16</v>
      </c>
      <c r="B357" s="118" t="s">
        <v>94</v>
      </c>
      <c r="C357" s="199" t="s">
        <v>138</v>
      </c>
      <c r="D357" s="93">
        <v>51</v>
      </c>
      <c r="E357" s="87"/>
      <c r="F357" s="89"/>
      <c r="G357" s="88"/>
      <c r="H357" s="89"/>
      <c r="I357" s="88"/>
      <c r="J357" s="89"/>
      <c r="K357" s="106"/>
    </row>
    <row r="358" spans="1:11" s="137" customFormat="1" ht="29.25" customHeight="1">
      <c r="A358" s="199">
        <v>17</v>
      </c>
      <c r="B358" s="200" t="s">
        <v>154</v>
      </c>
      <c r="C358" s="199" t="s">
        <v>138</v>
      </c>
      <c r="D358" s="271">
        <v>8</v>
      </c>
      <c r="E358" s="318"/>
      <c r="F358" s="318"/>
      <c r="G358" s="319"/>
      <c r="H358" s="318"/>
      <c r="I358" s="318"/>
      <c r="J358" s="318"/>
      <c r="K358" s="318"/>
    </row>
    <row r="359" spans="1:11" s="17" customFormat="1" ht="15" customHeight="1">
      <c r="A359" s="87">
        <v>18</v>
      </c>
      <c r="B359" s="118" t="s">
        <v>216</v>
      </c>
      <c r="C359" s="199" t="s">
        <v>138</v>
      </c>
      <c r="D359" s="87">
        <v>30</v>
      </c>
      <c r="E359" s="87"/>
      <c r="F359" s="89"/>
      <c r="G359" s="88"/>
      <c r="H359" s="89"/>
      <c r="I359" s="88"/>
      <c r="J359" s="89"/>
      <c r="K359" s="106"/>
    </row>
    <row r="360" spans="1:11" s="137" customFormat="1" ht="40.5">
      <c r="A360" s="199">
        <v>19</v>
      </c>
      <c r="B360" s="200" t="s">
        <v>137</v>
      </c>
      <c r="C360" s="199" t="s">
        <v>138</v>
      </c>
      <c r="D360" s="320">
        <v>8</v>
      </c>
      <c r="E360" s="320"/>
      <c r="F360" s="320"/>
      <c r="G360" s="320"/>
      <c r="H360" s="320"/>
      <c r="I360" s="320"/>
      <c r="J360" s="320"/>
      <c r="K360" s="320"/>
    </row>
    <row r="361" spans="1:13" s="17" customFormat="1" ht="15" customHeight="1">
      <c r="A361" s="87">
        <v>20</v>
      </c>
      <c r="B361" s="118" t="s">
        <v>95</v>
      </c>
      <c r="C361" s="87" t="s">
        <v>49</v>
      </c>
      <c r="D361" s="87">
        <v>11</v>
      </c>
      <c r="E361" s="87"/>
      <c r="F361" s="89"/>
      <c r="G361" s="88"/>
      <c r="H361" s="89"/>
      <c r="I361" s="88"/>
      <c r="J361" s="89"/>
      <c r="K361" s="106"/>
      <c r="M361" s="41"/>
    </row>
    <row r="362" spans="1:11" ht="13.5">
      <c r="A362" s="85">
        <v>21</v>
      </c>
      <c r="B362" s="86" t="s">
        <v>217</v>
      </c>
      <c r="C362" s="87" t="s">
        <v>49</v>
      </c>
      <c r="D362" s="92">
        <v>3</v>
      </c>
      <c r="E362" s="87"/>
      <c r="F362" s="89"/>
      <c r="G362" s="88"/>
      <c r="H362" s="89"/>
      <c r="I362" s="88"/>
      <c r="J362" s="89"/>
      <c r="K362" s="89"/>
    </row>
    <row r="363" spans="1:11" ht="13.5">
      <c r="A363" s="85">
        <v>22</v>
      </c>
      <c r="B363" s="86" t="s">
        <v>157</v>
      </c>
      <c r="C363" s="87" t="s">
        <v>49</v>
      </c>
      <c r="D363" s="91">
        <v>5</v>
      </c>
      <c r="E363" s="87"/>
      <c r="F363" s="89"/>
      <c r="G363" s="88"/>
      <c r="H363" s="89"/>
      <c r="I363" s="88"/>
      <c r="J363" s="102"/>
      <c r="K363" s="106"/>
    </row>
    <row r="364" spans="1:11" ht="13.5">
      <c r="A364" s="85">
        <v>23</v>
      </c>
      <c r="B364" s="133" t="s">
        <v>218</v>
      </c>
      <c r="C364" s="85" t="s">
        <v>48</v>
      </c>
      <c r="D364" s="93">
        <f>38+18</f>
        <v>56</v>
      </c>
      <c r="E364" s="87"/>
      <c r="F364" s="89"/>
      <c r="G364" s="88"/>
      <c r="H364" s="89"/>
      <c r="I364" s="88"/>
      <c r="J364" s="89"/>
      <c r="K364" s="89"/>
    </row>
    <row r="365" spans="1:11" ht="27">
      <c r="A365" s="85">
        <v>24</v>
      </c>
      <c r="B365" s="86" t="s">
        <v>219</v>
      </c>
      <c r="C365" s="87" t="s">
        <v>24</v>
      </c>
      <c r="D365" s="92">
        <v>52.9</v>
      </c>
      <c r="E365" s="87"/>
      <c r="F365" s="89"/>
      <c r="G365" s="88"/>
      <c r="H365" s="89"/>
      <c r="I365" s="88"/>
      <c r="J365" s="89"/>
      <c r="K365" s="89"/>
    </row>
    <row r="366" spans="1:13" s="17" customFormat="1" ht="15" customHeight="1">
      <c r="A366" s="87">
        <v>25</v>
      </c>
      <c r="B366" s="95" t="s">
        <v>380</v>
      </c>
      <c r="C366" s="87"/>
      <c r="D366" s="91"/>
      <c r="E366" s="87"/>
      <c r="F366" s="89"/>
      <c r="G366" s="88"/>
      <c r="H366" s="89"/>
      <c r="I366" s="88"/>
      <c r="J366" s="89"/>
      <c r="K366" s="106"/>
      <c r="M366" s="41"/>
    </row>
    <row r="367" spans="1:11" s="17" customFormat="1" ht="14.25" customHeight="1">
      <c r="A367" s="87"/>
      <c r="B367" s="118" t="s">
        <v>376</v>
      </c>
      <c r="C367" s="87" t="s">
        <v>48</v>
      </c>
      <c r="D367" s="321">
        <v>36</v>
      </c>
      <c r="E367" s="87"/>
      <c r="F367" s="89"/>
      <c r="G367" s="88"/>
      <c r="H367" s="89"/>
      <c r="I367" s="88"/>
      <c r="J367" s="89"/>
      <c r="K367" s="106"/>
    </row>
    <row r="368" spans="1:11" s="17" customFormat="1" ht="14.25" customHeight="1">
      <c r="A368" s="87"/>
      <c r="B368" s="118" t="s">
        <v>377</v>
      </c>
      <c r="C368" s="87" t="s">
        <v>48</v>
      </c>
      <c r="D368" s="321">
        <v>38</v>
      </c>
      <c r="E368" s="87"/>
      <c r="F368" s="89"/>
      <c r="G368" s="88"/>
      <c r="H368" s="89"/>
      <c r="I368" s="88"/>
      <c r="J368" s="89"/>
      <c r="K368" s="106"/>
    </row>
    <row r="369" spans="1:11" s="17" customFormat="1" ht="14.25" customHeight="1">
      <c r="A369" s="87"/>
      <c r="B369" s="118" t="s">
        <v>378</v>
      </c>
      <c r="C369" s="87" t="s">
        <v>48</v>
      </c>
      <c r="D369" s="321">
        <v>27</v>
      </c>
      <c r="E369" s="87"/>
      <c r="F369" s="89"/>
      <c r="G369" s="88"/>
      <c r="H369" s="89"/>
      <c r="I369" s="88"/>
      <c r="J369" s="89"/>
      <c r="K369" s="106"/>
    </row>
    <row r="370" spans="1:11" s="17" customFormat="1" ht="14.25" customHeight="1">
      <c r="A370" s="87"/>
      <c r="B370" s="118" t="s">
        <v>181</v>
      </c>
      <c r="C370" s="87" t="s">
        <v>48</v>
      </c>
      <c r="D370" s="321">
        <v>60</v>
      </c>
      <c r="E370" s="87"/>
      <c r="F370" s="89"/>
      <c r="G370" s="88"/>
      <c r="H370" s="89"/>
      <c r="I370" s="88"/>
      <c r="J370" s="89"/>
      <c r="K370" s="106"/>
    </row>
    <row r="371" spans="1:11" s="17" customFormat="1" ht="14.25" customHeight="1">
      <c r="A371" s="87"/>
      <c r="B371" s="118" t="s">
        <v>182</v>
      </c>
      <c r="C371" s="87" t="s">
        <v>48</v>
      </c>
      <c r="D371" s="321">
        <v>27</v>
      </c>
      <c r="E371" s="87"/>
      <c r="F371" s="89"/>
      <c r="G371" s="88"/>
      <c r="H371" s="89"/>
      <c r="I371" s="88"/>
      <c r="J371" s="89"/>
      <c r="K371" s="106"/>
    </row>
    <row r="372" spans="1:12" s="41" customFormat="1" ht="15" customHeight="1">
      <c r="A372" s="91"/>
      <c r="B372" s="97" t="s">
        <v>16</v>
      </c>
      <c r="C372" s="91"/>
      <c r="D372" s="125"/>
      <c r="E372" s="91"/>
      <c r="F372" s="93"/>
      <c r="G372" s="93"/>
      <c r="H372" s="93"/>
      <c r="I372" s="93"/>
      <c r="J372" s="93"/>
      <c r="K372" s="93"/>
      <c r="L372" s="54"/>
    </row>
    <row r="373" spans="1:12" s="17" customFormat="1" ht="13.5">
      <c r="A373" s="135"/>
      <c r="B373" s="95" t="s">
        <v>86</v>
      </c>
      <c r="C373" s="96" t="s">
        <v>381</v>
      </c>
      <c r="D373" s="92"/>
      <c r="E373" s="91"/>
      <c r="F373" s="93"/>
      <c r="G373" s="93"/>
      <c r="H373" s="93"/>
      <c r="I373" s="93"/>
      <c r="J373" s="93"/>
      <c r="K373" s="93"/>
      <c r="L373" s="34"/>
    </row>
    <row r="374" spans="1:12" s="17" customFormat="1" ht="13.5">
      <c r="A374" s="135"/>
      <c r="B374" s="97" t="s">
        <v>16</v>
      </c>
      <c r="C374" s="98"/>
      <c r="D374" s="92"/>
      <c r="E374" s="91"/>
      <c r="F374" s="93"/>
      <c r="G374" s="93"/>
      <c r="H374" s="93"/>
      <c r="I374" s="93"/>
      <c r="J374" s="93"/>
      <c r="K374" s="93"/>
      <c r="L374" s="34"/>
    </row>
    <row r="375" spans="1:11" s="33" customFormat="1" ht="13.5">
      <c r="A375" s="115"/>
      <c r="B375" s="95" t="s">
        <v>96</v>
      </c>
      <c r="C375" s="136" t="s">
        <v>381</v>
      </c>
      <c r="D375" s="100"/>
      <c r="E375" s="100"/>
      <c r="F375" s="101"/>
      <c r="G375" s="101"/>
      <c r="H375" s="101"/>
      <c r="I375" s="101"/>
      <c r="J375" s="101"/>
      <c r="K375" s="101"/>
    </row>
    <row r="376" spans="1:12" s="17" customFormat="1" ht="13.5">
      <c r="A376" s="91"/>
      <c r="B376" s="97" t="s">
        <v>574</v>
      </c>
      <c r="C376" s="91"/>
      <c r="D376" s="92"/>
      <c r="E376" s="91"/>
      <c r="F376" s="93"/>
      <c r="G376" s="93"/>
      <c r="H376" s="93"/>
      <c r="I376" s="93"/>
      <c r="J376" s="93"/>
      <c r="K376" s="93"/>
      <c r="L376" s="49"/>
    </row>
    <row r="377" spans="1:12" s="33" customFormat="1" ht="18" customHeight="1">
      <c r="A377" s="85"/>
      <c r="B377" s="238" t="s">
        <v>575</v>
      </c>
      <c r="C377" s="87"/>
      <c r="D377" s="227"/>
      <c r="E377" s="227"/>
      <c r="F377" s="227"/>
      <c r="G377" s="227"/>
      <c r="H377" s="227"/>
      <c r="I377" s="227"/>
      <c r="J377" s="227"/>
      <c r="K377" s="227"/>
      <c r="L377" s="42"/>
    </row>
    <row r="378" spans="1:12" ht="15.75">
      <c r="A378" s="36"/>
      <c r="B378" s="253" t="s">
        <v>470</v>
      </c>
      <c r="C378" s="37"/>
      <c r="D378" s="38"/>
      <c r="E378" s="322"/>
      <c r="F378" s="38"/>
      <c r="G378" s="37"/>
      <c r="H378" s="38"/>
      <c r="I378" s="38"/>
      <c r="J378" s="36"/>
      <c r="K378" s="36"/>
      <c r="L378" s="35"/>
    </row>
    <row r="379" spans="1:12" s="84" customFormat="1" ht="33.75" customHeight="1">
      <c r="A379" s="87">
        <v>1</v>
      </c>
      <c r="B379" s="118" t="s">
        <v>646</v>
      </c>
      <c r="C379" s="87" t="s">
        <v>160</v>
      </c>
      <c r="D379" s="323">
        <v>1</v>
      </c>
      <c r="E379" s="324"/>
      <c r="F379" s="325"/>
      <c r="G379" s="325"/>
      <c r="H379" s="325"/>
      <c r="I379" s="325"/>
      <c r="J379" s="325"/>
      <c r="K379" s="325"/>
      <c r="L379" s="83"/>
    </row>
    <row r="380" spans="1:12" s="84" customFormat="1" ht="31.5" customHeight="1">
      <c r="A380" s="87">
        <v>2</v>
      </c>
      <c r="B380" s="118" t="s">
        <v>228</v>
      </c>
      <c r="C380" s="87" t="s">
        <v>160</v>
      </c>
      <c r="D380" s="323">
        <v>1</v>
      </c>
      <c r="E380" s="324"/>
      <c r="F380" s="325"/>
      <c r="G380" s="325"/>
      <c r="H380" s="325"/>
      <c r="I380" s="325"/>
      <c r="J380" s="325"/>
      <c r="K380" s="325"/>
      <c r="L380" s="83"/>
    </row>
    <row r="381" spans="1:12" s="17" customFormat="1" ht="27">
      <c r="A381" s="85">
        <v>3</v>
      </c>
      <c r="B381" s="86" t="s">
        <v>227</v>
      </c>
      <c r="C381" s="87" t="s">
        <v>24</v>
      </c>
      <c r="D381" s="323">
        <v>110</v>
      </c>
      <c r="E381" s="324"/>
      <c r="F381" s="326"/>
      <c r="G381" s="325"/>
      <c r="H381" s="325"/>
      <c r="I381" s="325"/>
      <c r="J381" s="325"/>
      <c r="K381" s="325"/>
      <c r="L381" s="34"/>
    </row>
    <row r="382" spans="1:11" s="80" customFormat="1" ht="13.5">
      <c r="A382" s="174">
        <v>4</v>
      </c>
      <c r="B382" s="202" t="s">
        <v>471</v>
      </c>
      <c r="C382" s="211" t="s">
        <v>26</v>
      </c>
      <c r="D382" s="270">
        <v>5.5</v>
      </c>
      <c r="E382" s="327"/>
      <c r="F382" s="328"/>
      <c r="G382" s="328"/>
      <c r="H382" s="328"/>
      <c r="I382" s="328"/>
      <c r="J382" s="328"/>
      <c r="K382" s="328"/>
    </row>
    <row r="383" spans="1:12" s="17" customFormat="1" ht="27">
      <c r="A383" s="85">
        <v>5</v>
      </c>
      <c r="B383" s="86" t="s">
        <v>235</v>
      </c>
      <c r="C383" s="87" t="s">
        <v>24</v>
      </c>
      <c r="D383" s="323">
        <v>24</v>
      </c>
      <c r="E383" s="324"/>
      <c r="F383" s="326"/>
      <c r="G383" s="325"/>
      <c r="H383" s="325"/>
      <c r="I383" s="325"/>
      <c r="J383" s="325"/>
      <c r="K383" s="325"/>
      <c r="L383" s="34"/>
    </row>
    <row r="384" spans="1:12" s="84" customFormat="1" ht="44.25" customHeight="1">
      <c r="A384" s="87">
        <v>6</v>
      </c>
      <c r="B384" s="118" t="s">
        <v>472</v>
      </c>
      <c r="C384" s="87" t="s">
        <v>160</v>
      </c>
      <c r="D384" s="323">
        <v>1</v>
      </c>
      <c r="E384" s="269"/>
      <c r="F384" s="266"/>
      <c r="G384" s="266"/>
      <c r="H384" s="266"/>
      <c r="I384" s="266"/>
      <c r="J384" s="266"/>
      <c r="K384" s="266">
        <f>F384+H384+J384</f>
        <v>0</v>
      </c>
      <c r="L384" s="83"/>
    </row>
    <row r="385" spans="1:12" s="158" customFormat="1" ht="30.75" customHeight="1">
      <c r="A385" s="87">
        <v>7</v>
      </c>
      <c r="B385" s="356" t="s">
        <v>473</v>
      </c>
      <c r="C385" s="87" t="s">
        <v>48</v>
      </c>
      <c r="D385" s="323">
        <v>26</v>
      </c>
      <c r="E385" s="269"/>
      <c r="F385" s="266"/>
      <c r="G385" s="266"/>
      <c r="H385" s="266"/>
      <c r="I385" s="266"/>
      <c r="J385" s="266"/>
      <c r="K385" s="266"/>
      <c r="L385" s="157"/>
    </row>
    <row r="386" spans="1:12" s="39" customFormat="1" ht="16.5">
      <c r="A386" s="85"/>
      <c r="B386" s="238" t="s">
        <v>474</v>
      </c>
      <c r="C386" s="87"/>
      <c r="D386" s="266"/>
      <c r="E386" s="269"/>
      <c r="F386" s="266"/>
      <c r="G386" s="266"/>
      <c r="H386" s="266"/>
      <c r="I386" s="266"/>
      <c r="J386" s="266"/>
      <c r="K386" s="266"/>
      <c r="L386" s="65"/>
    </row>
    <row r="387" spans="1:12" s="84" customFormat="1" ht="27">
      <c r="A387" s="87">
        <v>8</v>
      </c>
      <c r="B387" s="118" t="s">
        <v>647</v>
      </c>
      <c r="C387" s="87" t="s">
        <v>160</v>
      </c>
      <c r="D387" s="365">
        <v>1</v>
      </c>
      <c r="E387" s="269"/>
      <c r="F387" s="266"/>
      <c r="G387" s="266"/>
      <c r="H387" s="266"/>
      <c r="I387" s="266"/>
      <c r="J387" s="266"/>
      <c r="K387" s="266"/>
      <c r="L387" s="83"/>
    </row>
    <row r="388" spans="1:12" s="84" customFormat="1" ht="32.25" customHeight="1">
      <c r="A388" s="87">
        <v>9</v>
      </c>
      <c r="B388" s="118" t="s">
        <v>228</v>
      </c>
      <c r="C388" s="87" t="s">
        <v>160</v>
      </c>
      <c r="D388" s="365">
        <v>1</v>
      </c>
      <c r="E388" s="269"/>
      <c r="F388" s="266"/>
      <c r="G388" s="266"/>
      <c r="H388" s="266"/>
      <c r="I388" s="266"/>
      <c r="J388" s="266"/>
      <c r="K388" s="266"/>
      <c r="L388" s="83"/>
    </row>
    <row r="389" spans="1:12" s="84" customFormat="1" ht="16.5" customHeight="1">
      <c r="A389" s="87">
        <v>10</v>
      </c>
      <c r="B389" s="118" t="s">
        <v>229</v>
      </c>
      <c r="C389" s="87" t="s">
        <v>48</v>
      </c>
      <c r="D389" s="365">
        <v>1</v>
      </c>
      <c r="E389" s="269"/>
      <c r="F389" s="266"/>
      <c r="G389" s="266"/>
      <c r="H389" s="266"/>
      <c r="I389" s="266"/>
      <c r="J389" s="266"/>
      <c r="K389" s="266"/>
      <c r="L389" s="83"/>
    </row>
    <row r="390" spans="1:12" s="17" customFormat="1" ht="33.75" customHeight="1">
      <c r="A390" s="85">
        <v>11</v>
      </c>
      <c r="B390" s="86" t="s">
        <v>227</v>
      </c>
      <c r="C390" s="87" t="s">
        <v>24</v>
      </c>
      <c r="D390" s="365">
        <v>88</v>
      </c>
      <c r="E390" s="269"/>
      <c r="F390" s="329"/>
      <c r="G390" s="266"/>
      <c r="H390" s="266"/>
      <c r="I390" s="266"/>
      <c r="J390" s="266"/>
      <c r="K390" s="266"/>
      <c r="L390" s="34"/>
    </row>
    <row r="391" spans="1:12" s="84" customFormat="1" ht="27">
      <c r="A391" s="87">
        <v>12</v>
      </c>
      <c r="B391" s="118" t="s">
        <v>230</v>
      </c>
      <c r="C391" s="87" t="s">
        <v>48</v>
      </c>
      <c r="D391" s="365">
        <v>5</v>
      </c>
      <c r="E391" s="269"/>
      <c r="F391" s="266"/>
      <c r="G391" s="266"/>
      <c r="H391" s="266"/>
      <c r="I391" s="266"/>
      <c r="J391" s="266"/>
      <c r="K391" s="266">
        <f>F391+H391+J391</f>
        <v>0</v>
      </c>
      <c r="L391" s="83"/>
    </row>
    <row r="392" spans="1:12" s="84" customFormat="1" ht="27">
      <c r="A392" s="87">
        <v>13</v>
      </c>
      <c r="B392" s="118" t="s">
        <v>231</v>
      </c>
      <c r="C392" s="87" t="s">
        <v>48</v>
      </c>
      <c r="D392" s="365">
        <v>4</v>
      </c>
      <c r="E392" s="269"/>
      <c r="F392" s="266"/>
      <c r="G392" s="266"/>
      <c r="H392" s="266"/>
      <c r="I392" s="266"/>
      <c r="J392" s="266"/>
      <c r="K392" s="266">
        <f>F392+H392+J392</f>
        <v>0</v>
      </c>
      <c r="L392" s="83"/>
    </row>
    <row r="393" spans="1:12" s="39" customFormat="1" ht="20.25" customHeight="1">
      <c r="A393" s="85"/>
      <c r="B393" s="238" t="s">
        <v>475</v>
      </c>
      <c r="C393" s="87"/>
      <c r="D393" s="266"/>
      <c r="E393" s="269"/>
      <c r="F393" s="266"/>
      <c r="G393" s="266"/>
      <c r="H393" s="266"/>
      <c r="I393" s="266"/>
      <c r="J393" s="266"/>
      <c r="K393" s="266"/>
      <c r="L393" s="65"/>
    </row>
    <row r="394" spans="1:12" s="84" customFormat="1" ht="40.5">
      <c r="A394" s="87">
        <v>14</v>
      </c>
      <c r="B394" s="118" t="s">
        <v>476</v>
      </c>
      <c r="C394" s="87" t="s">
        <v>160</v>
      </c>
      <c r="D394" s="365">
        <v>14</v>
      </c>
      <c r="E394" s="269"/>
      <c r="F394" s="266"/>
      <c r="G394" s="266"/>
      <c r="H394" s="266"/>
      <c r="I394" s="266"/>
      <c r="J394" s="266"/>
      <c r="K394" s="266"/>
      <c r="L394" s="83"/>
    </row>
    <row r="395" spans="1:12" s="84" customFormat="1" ht="40.5">
      <c r="A395" s="87">
        <v>15</v>
      </c>
      <c r="B395" s="118" t="s">
        <v>477</v>
      </c>
      <c r="C395" s="87" t="s">
        <v>160</v>
      </c>
      <c r="D395" s="365">
        <v>4</v>
      </c>
      <c r="E395" s="269"/>
      <c r="F395" s="266"/>
      <c r="G395" s="266"/>
      <c r="H395" s="266"/>
      <c r="I395" s="266"/>
      <c r="J395" s="266"/>
      <c r="K395" s="266"/>
      <c r="L395" s="83"/>
    </row>
    <row r="396" spans="1:12" s="84" customFormat="1" ht="40.5">
      <c r="A396" s="87">
        <v>16</v>
      </c>
      <c r="B396" s="118" t="s">
        <v>478</v>
      </c>
      <c r="C396" s="87" t="s">
        <v>160</v>
      </c>
      <c r="D396" s="365">
        <v>5</v>
      </c>
      <c r="E396" s="269"/>
      <c r="F396" s="266"/>
      <c r="G396" s="266"/>
      <c r="H396" s="266"/>
      <c r="I396" s="266"/>
      <c r="J396" s="266"/>
      <c r="K396" s="266"/>
      <c r="L396" s="83"/>
    </row>
    <row r="397" spans="1:12" s="84" customFormat="1" ht="40.5">
      <c r="A397" s="87">
        <v>17</v>
      </c>
      <c r="B397" s="118" t="s">
        <v>479</v>
      </c>
      <c r="C397" s="87" t="s">
        <v>160</v>
      </c>
      <c r="D397" s="365">
        <v>2</v>
      </c>
      <c r="E397" s="269"/>
      <c r="F397" s="266"/>
      <c r="G397" s="266"/>
      <c r="H397" s="266"/>
      <c r="I397" s="266"/>
      <c r="J397" s="266"/>
      <c r="K397" s="266"/>
      <c r="L397" s="83"/>
    </row>
    <row r="398" spans="1:12" s="17" customFormat="1" ht="31.5" customHeight="1">
      <c r="A398" s="85">
        <v>18</v>
      </c>
      <c r="B398" s="86" t="s">
        <v>480</v>
      </c>
      <c r="C398" s="87" t="s">
        <v>24</v>
      </c>
      <c r="D398" s="365">
        <v>75</v>
      </c>
      <c r="E398" s="269"/>
      <c r="F398" s="329"/>
      <c r="G398" s="266"/>
      <c r="H398" s="266"/>
      <c r="I398" s="266"/>
      <c r="J398" s="266"/>
      <c r="K398" s="266"/>
      <c r="L398" s="34"/>
    </row>
    <row r="399" spans="1:11" s="17" customFormat="1" ht="13.5">
      <c r="A399" s="87">
        <v>19</v>
      </c>
      <c r="B399" s="118" t="s">
        <v>481</v>
      </c>
      <c r="C399" s="87" t="s">
        <v>47</v>
      </c>
      <c r="D399" s="92">
        <v>36</v>
      </c>
      <c r="E399" s="330"/>
      <c r="F399" s="89"/>
      <c r="G399" s="88"/>
      <c r="H399" s="89"/>
      <c r="I399" s="88"/>
      <c r="J399" s="89"/>
      <c r="K399" s="106"/>
    </row>
    <row r="400" spans="1:12" s="158" customFormat="1" ht="18.75" customHeight="1">
      <c r="A400" s="87">
        <v>20</v>
      </c>
      <c r="B400" s="118" t="s">
        <v>482</v>
      </c>
      <c r="C400" s="87" t="s">
        <v>48</v>
      </c>
      <c r="D400" s="365">
        <v>6</v>
      </c>
      <c r="E400" s="269"/>
      <c r="F400" s="266"/>
      <c r="G400" s="266"/>
      <c r="H400" s="266"/>
      <c r="I400" s="266"/>
      <c r="J400" s="266"/>
      <c r="K400" s="266"/>
      <c r="L400" s="157"/>
    </row>
    <row r="401" spans="1:12" s="158" customFormat="1" ht="18.75" customHeight="1">
      <c r="A401" s="87">
        <v>21</v>
      </c>
      <c r="B401" s="118" t="s">
        <v>483</v>
      </c>
      <c r="C401" s="87" t="s">
        <v>48</v>
      </c>
      <c r="D401" s="365">
        <v>4</v>
      </c>
      <c r="E401" s="269"/>
      <c r="F401" s="266"/>
      <c r="G401" s="266"/>
      <c r="H401" s="266"/>
      <c r="I401" s="266"/>
      <c r="J401" s="266"/>
      <c r="K401" s="266"/>
      <c r="L401" s="157"/>
    </row>
    <row r="402" spans="1:12" s="158" customFormat="1" ht="18.75" customHeight="1">
      <c r="A402" s="87">
        <v>22</v>
      </c>
      <c r="B402" s="118" t="s">
        <v>484</v>
      </c>
      <c r="C402" s="87" t="s">
        <v>48</v>
      </c>
      <c r="D402" s="365">
        <v>2</v>
      </c>
      <c r="E402" s="269"/>
      <c r="F402" s="266"/>
      <c r="G402" s="266"/>
      <c r="H402" s="266"/>
      <c r="I402" s="266"/>
      <c r="J402" s="266"/>
      <c r="K402" s="266"/>
      <c r="L402" s="157"/>
    </row>
    <row r="403" spans="1:12" s="39" customFormat="1" ht="33">
      <c r="A403" s="85"/>
      <c r="B403" s="238" t="s">
        <v>232</v>
      </c>
      <c r="C403" s="87"/>
      <c r="D403" s="266"/>
      <c r="E403" s="269"/>
      <c r="F403" s="266"/>
      <c r="G403" s="266"/>
      <c r="H403" s="266"/>
      <c r="I403" s="266"/>
      <c r="J403" s="266"/>
      <c r="K403" s="266"/>
      <c r="L403" s="65"/>
    </row>
    <row r="404" spans="1:12" s="84" customFormat="1" ht="40.5">
      <c r="A404" s="87">
        <v>23</v>
      </c>
      <c r="B404" s="118" t="s">
        <v>233</v>
      </c>
      <c r="C404" s="87" t="s">
        <v>160</v>
      </c>
      <c r="D404" s="365">
        <v>2</v>
      </c>
      <c r="E404" s="269"/>
      <c r="F404" s="266"/>
      <c r="G404" s="266"/>
      <c r="H404" s="266"/>
      <c r="I404" s="266"/>
      <c r="J404" s="266"/>
      <c r="K404" s="266"/>
      <c r="L404" s="83"/>
    </row>
    <row r="405" spans="1:12" s="84" customFormat="1" ht="27">
      <c r="A405" s="87">
        <v>24</v>
      </c>
      <c r="B405" s="118" t="s">
        <v>485</v>
      </c>
      <c r="C405" s="87" t="s">
        <v>160</v>
      </c>
      <c r="D405" s="365">
        <v>2</v>
      </c>
      <c r="E405" s="269"/>
      <c r="F405" s="266"/>
      <c r="G405" s="266"/>
      <c r="H405" s="266"/>
      <c r="I405" s="266"/>
      <c r="J405" s="266"/>
      <c r="K405" s="266"/>
      <c r="L405" s="83"/>
    </row>
    <row r="406" spans="1:12" s="84" customFormat="1" ht="34.5" customHeight="1">
      <c r="A406" s="87">
        <v>25</v>
      </c>
      <c r="B406" s="118" t="s">
        <v>234</v>
      </c>
      <c r="C406" s="87" t="s">
        <v>48</v>
      </c>
      <c r="D406" s="365">
        <v>2</v>
      </c>
      <c r="E406" s="269"/>
      <c r="F406" s="266"/>
      <c r="G406" s="266"/>
      <c r="H406" s="266"/>
      <c r="I406" s="266"/>
      <c r="J406" s="266"/>
      <c r="K406" s="266"/>
      <c r="L406" s="83"/>
    </row>
    <row r="407" spans="1:12" s="17" customFormat="1" ht="27">
      <c r="A407" s="85">
        <v>26</v>
      </c>
      <c r="B407" s="86" t="s">
        <v>227</v>
      </c>
      <c r="C407" s="87" t="s">
        <v>24</v>
      </c>
      <c r="D407" s="365">
        <v>22</v>
      </c>
      <c r="E407" s="269"/>
      <c r="F407" s="329"/>
      <c r="G407" s="266"/>
      <c r="H407" s="266"/>
      <c r="I407" s="266"/>
      <c r="J407" s="266"/>
      <c r="K407" s="266"/>
      <c r="L407" s="34"/>
    </row>
    <row r="408" spans="1:12" s="17" customFormat="1" ht="27">
      <c r="A408" s="85">
        <v>27</v>
      </c>
      <c r="B408" s="86" t="s">
        <v>235</v>
      </c>
      <c r="C408" s="87" t="s">
        <v>24</v>
      </c>
      <c r="D408" s="365">
        <v>10</v>
      </c>
      <c r="E408" s="269"/>
      <c r="F408" s="329"/>
      <c r="G408" s="266"/>
      <c r="H408" s="266"/>
      <c r="I408" s="266"/>
      <c r="J408" s="266"/>
      <c r="K408" s="266"/>
      <c r="L408" s="34"/>
    </row>
    <row r="409" spans="1:12" s="84" customFormat="1" ht="16.5" customHeight="1">
      <c r="A409" s="87">
        <v>28</v>
      </c>
      <c r="B409" s="118" t="s">
        <v>236</v>
      </c>
      <c r="C409" s="87" t="s">
        <v>48</v>
      </c>
      <c r="D409" s="365">
        <v>2</v>
      </c>
      <c r="E409" s="269"/>
      <c r="F409" s="266"/>
      <c r="G409" s="266"/>
      <c r="H409" s="266"/>
      <c r="I409" s="266"/>
      <c r="J409" s="266"/>
      <c r="K409" s="266"/>
      <c r="L409" s="83"/>
    </row>
    <row r="410" spans="1:12" s="158" customFormat="1" ht="30.75" customHeight="1">
      <c r="A410" s="87">
        <v>29</v>
      </c>
      <c r="B410" s="118" t="s">
        <v>486</v>
      </c>
      <c r="C410" s="87" t="s">
        <v>48</v>
      </c>
      <c r="D410" s="365">
        <v>4</v>
      </c>
      <c r="E410" s="269"/>
      <c r="F410" s="266"/>
      <c r="G410" s="266"/>
      <c r="H410" s="266"/>
      <c r="I410" s="266"/>
      <c r="J410" s="266"/>
      <c r="K410" s="266"/>
      <c r="L410" s="157"/>
    </row>
    <row r="411" spans="1:12" s="17" customFormat="1" ht="16.5">
      <c r="A411" s="85"/>
      <c r="B411" s="238" t="s">
        <v>237</v>
      </c>
      <c r="C411" s="87"/>
      <c r="D411" s="266"/>
      <c r="E411" s="269"/>
      <c r="F411" s="266"/>
      <c r="G411" s="266"/>
      <c r="H411" s="266"/>
      <c r="I411" s="266"/>
      <c r="J411" s="266"/>
      <c r="K411" s="266"/>
      <c r="L411" s="34"/>
    </row>
    <row r="412" spans="1:12" s="84" customFormat="1" ht="27">
      <c r="A412" s="87">
        <v>30</v>
      </c>
      <c r="B412" s="118" t="s">
        <v>648</v>
      </c>
      <c r="C412" s="87" t="s">
        <v>160</v>
      </c>
      <c r="D412" s="365">
        <v>1</v>
      </c>
      <c r="E412" s="269"/>
      <c r="F412" s="266"/>
      <c r="G412" s="266"/>
      <c r="H412" s="266"/>
      <c r="I412" s="266"/>
      <c r="J412" s="266"/>
      <c r="K412" s="266"/>
      <c r="L412" s="83"/>
    </row>
    <row r="413" spans="1:12" s="84" customFormat="1" ht="27">
      <c r="A413" s="87">
        <v>31</v>
      </c>
      <c r="B413" s="118" t="s">
        <v>487</v>
      </c>
      <c r="C413" s="87" t="s">
        <v>160</v>
      </c>
      <c r="D413" s="365">
        <v>1</v>
      </c>
      <c r="E413" s="269"/>
      <c r="F413" s="266"/>
      <c r="G413" s="266"/>
      <c r="H413" s="266"/>
      <c r="I413" s="266"/>
      <c r="J413" s="266"/>
      <c r="K413" s="266"/>
      <c r="L413" s="83"/>
    </row>
    <row r="414" spans="1:12" s="84" customFormat="1" ht="40.5">
      <c r="A414" s="87">
        <v>32</v>
      </c>
      <c r="B414" s="118" t="s">
        <v>238</v>
      </c>
      <c r="C414" s="87" t="s">
        <v>160</v>
      </c>
      <c r="D414" s="365">
        <v>1</v>
      </c>
      <c r="E414" s="269"/>
      <c r="F414" s="266"/>
      <c r="G414" s="266"/>
      <c r="H414" s="266"/>
      <c r="I414" s="266"/>
      <c r="J414" s="266"/>
      <c r="K414" s="266"/>
      <c r="L414" s="83"/>
    </row>
    <row r="415" spans="1:12" s="84" customFormat="1" ht="27">
      <c r="A415" s="87">
        <v>33</v>
      </c>
      <c r="B415" s="118" t="s">
        <v>239</v>
      </c>
      <c r="C415" s="87" t="s">
        <v>20</v>
      </c>
      <c r="D415" s="365">
        <v>1</v>
      </c>
      <c r="E415" s="269"/>
      <c r="F415" s="266"/>
      <c r="G415" s="266"/>
      <c r="H415" s="266"/>
      <c r="I415" s="266"/>
      <c r="J415" s="266"/>
      <c r="K415" s="266"/>
      <c r="L415" s="83"/>
    </row>
    <row r="416" spans="1:12" s="84" customFormat="1" ht="16.5" customHeight="1">
      <c r="A416" s="87">
        <v>34</v>
      </c>
      <c r="B416" s="118" t="s">
        <v>229</v>
      </c>
      <c r="C416" s="87" t="s">
        <v>20</v>
      </c>
      <c r="D416" s="365">
        <v>1</v>
      </c>
      <c r="E416" s="269"/>
      <c r="F416" s="266"/>
      <c r="G416" s="266"/>
      <c r="H416" s="266"/>
      <c r="I416" s="266"/>
      <c r="J416" s="266"/>
      <c r="K416" s="266"/>
      <c r="L416" s="83"/>
    </row>
    <row r="417" spans="1:12" s="17" customFormat="1" ht="27">
      <c r="A417" s="85">
        <v>35</v>
      </c>
      <c r="B417" s="86" t="s">
        <v>227</v>
      </c>
      <c r="C417" s="87" t="s">
        <v>24</v>
      </c>
      <c r="D417" s="365">
        <v>30</v>
      </c>
      <c r="E417" s="269"/>
      <c r="F417" s="329"/>
      <c r="G417" s="266"/>
      <c r="H417" s="266"/>
      <c r="I417" s="266"/>
      <c r="J417" s="266"/>
      <c r="K417" s="266"/>
      <c r="L417" s="34"/>
    </row>
    <row r="418" spans="1:12" s="158" customFormat="1" ht="16.5" customHeight="1">
      <c r="A418" s="87">
        <v>36</v>
      </c>
      <c r="B418" s="118" t="s">
        <v>243</v>
      </c>
      <c r="C418" s="87" t="s">
        <v>48</v>
      </c>
      <c r="D418" s="365">
        <v>1</v>
      </c>
      <c r="E418" s="269"/>
      <c r="F418" s="266"/>
      <c r="G418" s="266"/>
      <c r="H418" s="266"/>
      <c r="I418" s="266"/>
      <c r="J418" s="266"/>
      <c r="K418" s="266"/>
      <c r="L418" s="157"/>
    </row>
    <row r="419" spans="1:12" s="84" customFormat="1" ht="27">
      <c r="A419" s="87">
        <v>37</v>
      </c>
      <c r="B419" s="118" t="s">
        <v>244</v>
      </c>
      <c r="C419" s="87" t="s">
        <v>48</v>
      </c>
      <c r="D419" s="365">
        <v>6</v>
      </c>
      <c r="E419" s="269"/>
      <c r="F419" s="266"/>
      <c r="G419" s="266"/>
      <c r="H419" s="266"/>
      <c r="I419" s="266"/>
      <c r="J419" s="266"/>
      <c r="K419" s="266">
        <f>F419+H419+J419</f>
        <v>0</v>
      </c>
      <c r="L419" s="83"/>
    </row>
    <row r="420" spans="1:12" s="39" customFormat="1" ht="63">
      <c r="A420" s="85"/>
      <c r="B420" s="366" t="s">
        <v>488</v>
      </c>
      <c r="C420" s="87"/>
      <c r="D420" s="266"/>
      <c r="E420" s="269"/>
      <c r="F420" s="266"/>
      <c r="G420" s="266"/>
      <c r="H420" s="266"/>
      <c r="I420" s="266"/>
      <c r="J420" s="266"/>
      <c r="K420" s="266"/>
      <c r="L420" s="65"/>
    </row>
    <row r="421" spans="1:12" s="84" customFormat="1" ht="54">
      <c r="A421" s="87">
        <v>38</v>
      </c>
      <c r="B421" s="118" t="s">
        <v>489</v>
      </c>
      <c r="C421" s="87" t="s">
        <v>48</v>
      </c>
      <c r="D421" s="365">
        <v>1</v>
      </c>
      <c r="E421" s="269"/>
      <c r="F421" s="266"/>
      <c r="G421" s="266"/>
      <c r="H421" s="266"/>
      <c r="I421" s="266"/>
      <c r="J421" s="266"/>
      <c r="K421" s="266"/>
      <c r="L421" s="83"/>
    </row>
    <row r="422" spans="1:12" s="84" customFormat="1" ht="13.5">
      <c r="A422" s="87">
        <v>39</v>
      </c>
      <c r="B422" s="118" t="s">
        <v>240</v>
      </c>
      <c r="C422" s="87" t="s">
        <v>48</v>
      </c>
      <c r="D422" s="365">
        <v>1</v>
      </c>
      <c r="E422" s="269"/>
      <c r="F422" s="266"/>
      <c r="G422" s="266"/>
      <c r="H422" s="266"/>
      <c r="I422" s="266"/>
      <c r="J422" s="266"/>
      <c r="K422" s="266"/>
      <c r="L422" s="83"/>
    </row>
    <row r="423" spans="1:12" s="84" customFormat="1" ht="16.5" customHeight="1">
      <c r="A423" s="87">
        <v>40</v>
      </c>
      <c r="B423" s="118" t="s">
        <v>241</v>
      </c>
      <c r="C423" s="87" t="s">
        <v>48</v>
      </c>
      <c r="D423" s="365">
        <v>2</v>
      </c>
      <c r="E423" s="269"/>
      <c r="F423" s="266"/>
      <c r="G423" s="266"/>
      <c r="H423" s="266"/>
      <c r="I423" s="266"/>
      <c r="J423" s="266"/>
      <c r="K423" s="266"/>
      <c r="L423" s="83"/>
    </row>
    <row r="424" spans="1:12" s="17" customFormat="1" ht="31.5" customHeight="1">
      <c r="A424" s="85">
        <v>41</v>
      </c>
      <c r="B424" s="86" t="s">
        <v>242</v>
      </c>
      <c r="C424" s="87" t="s">
        <v>24</v>
      </c>
      <c r="D424" s="365">
        <v>60</v>
      </c>
      <c r="E424" s="269"/>
      <c r="F424" s="329"/>
      <c r="G424" s="266"/>
      <c r="H424" s="266"/>
      <c r="I424" s="266"/>
      <c r="J424" s="266"/>
      <c r="K424" s="266"/>
      <c r="L424" s="34"/>
    </row>
    <row r="425" spans="1:12" s="17" customFormat="1" ht="13.5" customHeight="1">
      <c r="A425" s="85">
        <v>42</v>
      </c>
      <c r="B425" s="118" t="s">
        <v>490</v>
      </c>
      <c r="C425" s="87" t="s">
        <v>24</v>
      </c>
      <c r="D425" s="365">
        <v>30</v>
      </c>
      <c r="E425" s="269"/>
      <c r="F425" s="266"/>
      <c r="G425" s="266"/>
      <c r="H425" s="266"/>
      <c r="I425" s="266"/>
      <c r="J425" s="266"/>
      <c r="K425" s="266"/>
      <c r="L425" s="34"/>
    </row>
    <row r="426" spans="1:12" s="158" customFormat="1" ht="16.5" customHeight="1">
      <c r="A426" s="87">
        <v>43</v>
      </c>
      <c r="B426" s="118" t="s">
        <v>245</v>
      </c>
      <c r="C426" s="87" t="s">
        <v>48</v>
      </c>
      <c r="D426" s="365">
        <v>1</v>
      </c>
      <c r="E426" s="269"/>
      <c r="F426" s="266"/>
      <c r="G426" s="266"/>
      <c r="H426" s="266"/>
      <c r="I426" s="266"/>
      <c r="J426" s="266"/>
      <c r="K426" s="266"/>
      <c r="L426" s="157"/>
    </row>
    <row r="427" spans="1:12" s="158" customFormat="1" ht="30.75" customHeight="1">
      <c r="A427" s="87">
        <v>44</v>
      </c>
      <c r="B427" s="118" t="s">
        <v>246</v>
      </c>
      <c r="C427" s="87" t="s">
        <v>48</v>
      </c>
      <c r="D427" s="365">
        <v>16</v>
      </c>
      <c r="E427" s="269"/>
      <c r="F427" s="266"/>
      <c r="G427" s="266"/>
      <c r="H427" s="266"/>
      <c r="I427" s="266"/>
      <c r="J427" s="266"/>
      <c r="K427" s="266"/>
      <c r="L427" s="157"/>
    </row>
    <row r="428" spans="1:12" s="39" customFormat="1" ht="15.75" customHeight="1">
      <c r="A428" s="85"/>
      <c r="B428" s="267" t="s">
        <v>247</v>
      </c>
      <c r="C428" s="87"/>
      <c r="D428" s="266"/>
      <c r="E428" s="269"/>
      <c r="F428" s="266"/>
      <c r="G428" s="266"/>
      <c r="H428" s="266"/>
      <c r="I428" s="266"/>
      <c r="J428" s="266"/>
      <c r="K428" s="266"/>
      <c r="L428" s="65"/>
    </row>
    <row r="429" spans="1:12" s="84" customFormat="1" ht="27">
      <c r="A429" s="87">
        <v>45</v>
      </c>
      <c r="B429" s="118" t="s">
        <v>491</v>
      </c>
      <c r="C429" s="87" t="s">
        <v>160</v>
      </c>
      <c r="D429" s="268">
        <v>4</v>
      </c>
      <c r="E429" s="269"/>
      <c r="F429" s="266"/>
      <c r="G429" s="266"/>
      <c r="H429" s="266"/>
      <c r="I429" s="266"/>
      <c r="J429" s="266"/>
      <c r="K429" s="266"/>
      <c r="L429" s="83"/>
    </row>
    <row r="430" spans="1:12" s="158" customFormat="1" ht="27">
      <c r="A430" s="87">
        <v>46</v>
      </c>
      <c r="B430" s="118" t="s">
        <v>492</v>
      </c>
      <c r="C430" s="87" t="s">
        <v>48</v>
      </c>
      <c r="D430" s="268">
        <v>4</v>
      </c>
      <c r="E430" s="269"/>
      <c r="F430" s="266"/>
      <c r="G430" s="266"/>
      <c r="H430" s="266"/>
      <c r="I430" s="266"/>
      <c r="J430" s="266"/>
      <c r="K430" s="266"/>
      <c r="L430" s="157"/>
    </row>
    <row r="431" spans="1:12" s="39" customFormat="1" ht="16.5">
      <c r="A431" s="85"/>
      <c r="B431" s="267" t="s">
        <v>493</v>
      </c>
      <c r="C431" s="87"/>
      <c r="D431" s="266"/>
      <c r="E431" s="269"/>
      <c r="F431" s="266"/>
      <c r="G431" s="266"/>
      <c r="H431" s="266"/>
      <c r="I431" s="266"/>
      <c r="J431" s="266"/>
      <c r="K431" s="266"/>
      <c r="L431" s="65"/>
    </row>
    <row r="432" spans="1:12" s="84" customFormat="1" ht="67.5">
      <c r="A432" s="87">
        <v>47</v>
      </c>
      <c r="B432" s="118" t="s">
        <v>494</v>
      </c>
      <c r="C432" s="87" t="s">
        <v>48</v>
      </c>
      <c r="D432" s="268">
        <v>2</v>
      </c>
      <c r="E432" s="269"/>
      <c r="F432" s="266"/>
      <c r="G432" s="266"/>
      <c r="H432" s="266"/>
      <c r="I432" s="266"/>
      <c r="J432" s="266"/>
      <c r="K432" s="266"/>
      <c r="L432" s="83"/>
    </row>
    <row r="433" spans="1:12" s="84" customFormat="1" ht="67.5">
      <c r="A433" s="87">
        <v>48</v>
      </c>
      <c r="B433" s="118" t="s">
        <v>495</v>
      </c>
      <c r="C433" s="87" t="s">
        <v>48</v>
      </c>
      <c r="D433" s="268">
        <v>1</v>
      </c>
      <c r="E433" s="269"/>
      <c r="F433" s="266"/>
      <c r="G433" s="266"/>
      <c r="H433" s="266"/>
      <c r="I433" s="266"/>
      <c r="J433" s="266"/>
      <c r="K433" s="266"/>
      <c r="L433" s="83"/>
    </row>
    <row r="434" spans="1:12" s="39" customFormat="1" ht="15" customHeight="1">
      <c r="A434" s="85">
        <v>49</v>
      </c>
      <c r="B434" s="118" t="s">
        <v>248</v>
      </c>
      <c r="C434" s="87" t="s">
        <v>25</v>
      </c>
      <c r="D434" s="268">
        <v>3</v>
      </c>
      <c r="E434" s="269"/>
      <c r="F434" s="266"/>
      <c r="G434" s="266"/>
      <c r="H434" s="266"/>
      <c r="I434" s="266"/>
      <c r="J434" s="266"/>
      <c r="K434" s="266"/>
      <c r="L434" s="65"/>
    </row>
    <row r="435" spans="1:12" s="39" customFormat="1" ht="15" customHeight="1">
      <c r="A435" s="85">
        <v>50</v>
      </c>
      <c r="B435" s="118" t="s">
        <v>249</v>
      </c>
      <c r="C435" s="87" t="s">
        <v>48</v>
      </c>
      <c r="D435" s="268">
        <v>6</v>
      </c>
      <c r="E435" s="269"/>
      <c r="F435" s="266"/>
      <c r="G435" s="266"/>
      <c r="H435" s="266"/>
      <c r="I435" s="266"/>
      <c r="J435" s="266"/>
      <c r="K435" s="266"/>
      <c r="L435" s="65"/>
    </row>
    <row r="436" spans="1:12" s="40" customFormat="1" ht="22.5" customHeight="1">
      <c r="A436" s="94"/>
      <c r="B436" s="97" t="s">
        <v>16</v>
      </c>
      <c r="C436" s="87"/>
      <c r="D436" s="147"/>
      <c r="E436" s="148"/>
      <c r="F436" s="108"/>
      <c r="G436" s="108"/>
      <c r="H436" s="108"/>
      <c r="I436" s="108"/>
      <c r="J436" s="108"/>
      <c r="K436" s="108"/>
      <c r="L436" s="44"/>
    </row>
    <row r="437" spans="1:12" s="40" customFormat="1" ht="15.75" customHeight="1">
      <c r="A437" s="94"/>
      <c r="B437" s="95" t="s">
        <v>161</v>
      </c>
      <c r="C437" s="87"/>
      <c r="D437" s="147"/>
      <c r="E437" s="148"/>
      <c r="F437" s="148"/>
      <c r="G437" s="148"/>
      <c r="H437" s="148"/>
      <c r="I437" s="148"/>
      <c r="J437" s="148"/>
      <c r="K437" s="148"/>
      <c r="L437" s="44"/>
    </row>
    <row r="438" spans="1:12" s="40" customFormat="1" ht="15.75" customHeight="1">
      <c r="A438" s="94"/>
      <c r="B438" s="95" t="s">
        <v>46</v>
      </c>
      <c r="C438" s="87"/>
      <c r="D438" s="147"/>
      <c r="E438" s="148"/>
      <c r="F438" s="148"/>
      <c r="G438" s="148"/>
      <c r="H438" s="148"/>
      <c r="I438" s="148"/>
      <c r="J438" s="148"/>
      <c r="K438" s="148"/>
      <c r="L438" s="44"/>
    </row>
    <row r="439" spans="1:12" s="40" customFormat="1" ht="15.75" customHeight="1">
      <c r="A439" s="94"/>
      <c r="B439" s="95" t="s">
        <v>100</v>
      </c>
      <c r="C439" s="87"/>
      <c r="D439" s="147"/>
      <c r="E439" s="148"/>
      <c r="F439" s="148"/>
      <c r="G439" s="148"/>
      <c r="H439" s="148"/>
      <c r="I439" s="148"/>
      <c r="J439" s="148"/>
      <c r="K439" s="148"/>
      <c r="L439" s="44"/>
    </row>
    <row r="440" spans="1:12" s="17" customFormat="1" ht="29.25" customHeight="1">
      <c r="A440" s="85"/>
      <c r="B440" s="95" t="s">
        <v>162</v>
      </c>
      <c r="C440" s="120" t="s">
        <v>381</v>
      </c>
      <c r="D440" s="147"/>
      <c r="E440" s="148"/>
      <c r="F440" s="148"/>
      <c r="G440" s="148"/>
      <c r="H440" s="148"/>
      <c r="I440" s="148"/>
      <c r="J440" s="148"/>
      <c r="K440" s="148"/>
      <c r="L440" s="34"/>
    </row>
    <row r="441" spans="1:12" s="17" customFormat="1" ht="27">
      <c r="A441" s="85"/>
      <c r="B441" s="95" t="s">
        <v>164</v>
      </c>
      <c r="C441" s="120" t="s">
        <v>381</v>
      </c>
      <c r="D441" s="147"/>
      <c r="E441" s="148"/>
      <c r="F441" s="148"/>
      <c r="G441" s="148"/>
      <c r="H441" s="148"/>
      <c r="I441" s="148"/>
      <c r="J441" s="148"/>
      <c r="K441" s="148"/>
      <c r="L441" s="34"/>
    </row>
    <row r="442" spans="1:12" s="17" customFormat="1" ht="15.75" customHeight="1">
      <c r="A442" s="85"/>
      <c r="B442" s="97" t="s">
        <v>16</v>
      </c>
      <c r="C442" s="87"/>
      <c r="D442" s="147"/>
      <c r="E442" s="148"/>
      <c r="F442" s="148"/>
      <c r="G442" s="148"/>
      <c r="H442" s="148"/>
      <c r="I442" s="148"/>
      <c r="J442" s="148"/>
      <c r="K442" s="148"/>
      <c r="L442" s="34"/>
    </row>
    <row r="443" spans="1:12" s="17" customFormat="1" ht="13.5">
      <c r="A443" s="85"/>
      <c r="B443" s="95" t="s">
        <v>163</v>
      </c>
      <c r="C443" s="120" t="s">
        <v>381</v>
      </c>
      <c r="D443" s="147"/>
      <c r="E443" s="148"/>
      <c r="F443" s="148"/>
      <c r="G443" s="148"/>
      <c r="H443" s="148"/>
      <c r="I443" s="148"/>
      <c r="J443" s="148"/>
      <c r="K443" s="148"/>
      <c r="L443" s="34"/>
    </row>
    <row r="444" spans="1:12" s="17" customFormat="1" ht="17.25" customHeight="1">
      <c r="A444" s="85"/>
      <c r="B444" s="97" t="s">
        <v>576</v>
      </c>
      <c r="C444" s="87"/>
      <c r="D444" s="147"/>
      <c r="E444" s="148"/>
      <c r="F444" s="210"/>
      <c r="G444" s="210"/>
      <c r="H444" s="210"/>
      <c r="I444" s="210"/>
      <c r="J444" s="210"/>
      <c r="K444" s="210"/>
      <c r="L444" s="49"/>
    </row>
    <row r="445" spans="1:12" s="40" customFormat="1" ht="15.75" customHeight="1">
      <c r="A445" s="94"/>
      <c r="B445" s="95" t="s">
        <v>161</v>
      </c>
      <c r="C445" s="87"/>
      <c r="D445" s="147"/>
      <c r="E445" s="148"/>
      <c r="F445" s="148"/>
      <c r="G445" s="148"/>
      <c r="H445" s="148"/>
      <c r="I445" s="148"/>
      <c r="J445" s="148"/>
      <c r="K445" s="148"/>
      <c r="L445" s="44"/>
    </row>
    <row r="446" spans="1:12" s="40" customFormat="1" ht="15.75" customHeight="1">
      <c r="A446" s="94"/>
      <c r="B446" s="95" t="s">
        <v>46</v>
      </c>
      <c r="C446" s="87"/>
      <c r="D446" s="147"/>
      <c r="E446" s="148"/>
      <c r="F446" s="148"/>
      <c r="G446" s="148"/>
      <c r="H446" s="148"/>
      <c r="I446" s="148"/>
      <c r="J446" s="148"/>
      <c r="K446" s="148"/>
      <c r="L446" s="44"/>
    </row>
    <row r="447" spans="1:12" s="40" customFormat="1" ht="15.75" customHeight="1">
      <c r="A447" s="94"/>
      <c r="B447" s="95" t="s">
        <v>100</v>
      </c>
      <c r="C447" s="87"/>
      <c r="D447" s="147"/>
      <c r="E447" s="148"/>
      <c r="F447" s="148"/>
      <c r="G447" s="148"/>
      <c r="H447" s="148"/>
      <c r="I447" s="148"/>
      <c r="J447" s="148"/>
      <c r="K447" s="148"/>
      <c r="L447" s="44"/>
    </row>
    <row r="448" spans="1:12" s="33" customFormat="1" ht="18" customHeight="1">
      <c r="A448" s="85"/>
      <c r="B448" s="267" t="s">
        <v>577</v>
      </c>
      <c r="C448" s="87"/>
      <c r="D448" s="227"/>
      <c r="E448" s="227"/>
      <c r="F448" s="227"/>
      <c r="G448" s="227"/>
      <c r="H448" s="227"/>
      <c r="I448" s="227"/>
      <c r="J448" s="227"/>
      <c r="K448" s="227"/>
      <c r="L448" s="42"/>
    </row>
    <row r="449" spans="1:12" s="15" customFormat="1" ht="30" customHeight="1">
      <c r="A449" s="85">
        <v>1</v>
      </c>
      <c r="B449" s="86" t="s">
        <v>267</v>
      </c>
      <c r="C449" s="85" t="s">
        <v>20</v>
      </c>
      <c r="D449" s="331">
        <v>8</v>
      </c>
      <c r="E449" s="87"/>
      <c r="F449" s="209"/>
      <c r="G449" s="88"/>
      <c r="H449" s="89"/>
      <c r="I449" s="88"/>
      <c r="J449" s="89"/>
      <c r="K449" s="89"/>
      <c r="L449" s="32"/>
    </row>
    <row r="450" spans="1:12" s="17" customFormat="1" ht="29.25" customHeight="1">
      <c r="A450" s="85">
        <v>2</v>
      </c>
      <c r="B450" s="86" t="s">
        <v>268</v>
      </c>
      <c r="C450" s="85" t="s">
        <v>20</v>
      </c>
      <c r="D450" s="91">
        <v>12</v>
      </c>
      <c r="E450" s="87"/>
      <c r="F450" s="209"/>
      <c r="G450" s="88"/>
      <c r="H450" s="89"/>
      <c r="I450" s="88"/>
      <c r="J450" s="89"/>
      <c r="K450" s="89"/>
      <c r="L450" s="34"/>
    </row>
    <row r="451" spans="1:12" s="17" customFormat="1" ht="15" customHeight="1">
      <c r="A451" s="85">
        <v>3</v>
      </c>
      <c r="B451" s="86" t="s">
        <v>269</v>
      </c>
      <c r="C451" s="85" t="s">
        <v>20</v>
      </c>
      <c r="D451" s="91">
        <v>5</v>
      </c>
      <c r="E451" s="87"/>
      <c r="F451" s="209"/>
      <c r="G451" s="88"/>
      <c r="H451" s="89"/>
      <c r="I451" s="88"/>
      <c r="J451" s="89"/>
      <c r="K451" s="89"/>
      <c r="L451" s="34"/>
    </row>
    <row r="452" spans="1:12" s="17" customFormat="1" ht="15" customHeight="1">
      <c r="A452" s="85">
        <v>4</v>
      </c>
      <c r="B452" s="86" t="s">
        <v>270</v>
      </c>
      <c r="C452" s="85" t="s">
        <v>20</v>
      </c>
      <c r="D452" s="91">
        <v>14</v>
      </c>
      <c r="E452" s="87"/>
      <c r="F452" s="209"/>
      <c r="G452" s="88"/>
      <c r="H452" s="89"/>
      <c r="I452" s="88"/>
      <c r="J452" s="89"/>
      <c r="K452" s="89"/>
      <c r="L452" s="34"/>
    </row>
    <row r="453" spans="1:12" s="17" customFormat="1" ht="29.25" customHeight="1">
      <c r="A453" s="85">
        <v>5</v>
      </c>
      <c r="B453" s="86" t="s">
        <v>271</v>
      </c>
      <c r="C453" s="85" t="s">
        <v>20</v>
      </c>
      <c r="D453" s="91">
        <v>28</v>
      </c>
      <c r="E453" s="87"/>
      <c r="F453" s="209"/>
      <c r="G453" s="88"/>
      <c r="H453" s="89"/>
      <c r="I453" s="88"/>
      <c r="J453" s="89"/>
      <c r="K453" s="89"/>
      <c r="L453" s="34"/>
    </row>
    <row r="454" spans="1:12" s="15" customFormat="1" ht="28.5" customHeight="1">
      <c r="A454" s="85">
        <v>6</v>
      </c>
      <c r="B454" s="86" t="s">
        <v>272</v>
      </c>
      <c r="C454" s="85" t="s">
        <v>20</v>
      </c>
      <c r="D454" s="91">
        <v>21</v>
      </c>
      <c r="E454" s="87"/>
      <c r="F454" s="209"/>
      <c r="G454" s="88"/>
      <c r="H454" s="89"/>
      <c r="I454" s="88"/>
      <c r="J454" s="89"/>
      <c r="K454" s="89"/>
      <c r="L454" s="50"/>
    </row>
    <row r="455" spans="1:12" s="15" customFormat="1" ht="28.5" customHeight="1">
      <c r="A455" s="85">
        <v>7</v>
      </c>
      <c r="B455" s="86" t="s">
        <v>273</v>
      </c>
      <c r="C455" s="85" t="s">
        <v>20</v>
      </c>
      <c r="D455" s="91">
        <v>71</v>
      </c>
      <c r="E455" s="87"/>
      <c r="F455" s="209"/>
      <c r="G455" s="88"/>
      <c r="H455" s="89"/>
      <c r="I455" s="88"/>
      <c r="J455" s="89"/>
      <c r="K455" s="89"/>
      <c r="L455" s="50"/>
    </row>
    <row r="456" spans="1:12" s="84" customFormat="1" ht="40.5">
      <c r="A456" s="87">
        <v>8</v>
      </c>
      <c r="B456" s="118" t="s">
        <v>496</v>
      </c>
      <c r="C456" s="87" t="s">
        <v>160</v>
      </c>
      <c r="D456" s="323">
        <v>4</v>
      </c>
      <c r="E456" s="266"/>
      <c r="F456" s="266"/>
      <c r="G456" s="266"/>
      <c r="H456" s="266"/>
      <c r="I456" s="266"/>
      <c r="J456" s="266"/>
      <c r="K456" s="266"/>
      <c r="L456" s="83"/>
    </row>
    <row r="457" spans="1:11" s="165" customFormat="1" ht="18" customHeight="1">
      <c r="A457" s="168">
        <v>9</v>
      </c>
      <c r="B457" s="202" t="s">
        <v>250</v>
      </c>
      <c r="C457" s="199" t="s">
        <v>251</v>
      </c>
      <c r="D457" s="270">
        <v>159</v>
      </c>
      <c r="E457" s="271"/>
      <c r="F457" s="271">
        <f>D457*E457</f>
        <v>0</v>
      </c>
      <c r="G457" s="271"/>
      <c r="H457" s="271"/>
      <c r="I457" s="271"/>
      <c r="J457" s="271"/>
      <c r="K457" s="271">
        <f>F457+H457+J457</f>
        <v>0</v>
      </c>
    </row>
    <row r="458" spans="1:11" s="165" customFormat="1" ht="13.5">
      <c r="A458" s="168">
        <v>10</v>
      </c>
      <c r="B458" s="169" t="s">
        <v>252</v>
      </c>
      <c r="C458" s="168" t="s">
        <v>48</v>
      </c>
      <c r="D458" s="270">
        <v>318</v>
      </c>
      <c r="E458" s="271"/>
      <c r="F458" s="271">
        <f>D458*E458</f>
        <v>0</v>
      </c>
      <c r="G458" s="271"/>
      <c r="H458" s="271"/>
      <c r="I458" s="271"/>
      <c r="J458" s="271"/>
      <c r="K458" s="271">
        <f>F458+H458+J458</f>
        <v>0</v>
      </c>
    </row>
    <row r="459" spans="1:11" ht="13.5">
      <c r="A459" s="85">
        <v>11</v>
      </c>
      <c r="B459" s="133" t="s">
        <v>173</v>
      </c>
      <c r="C459" s="85" t="s">
        <v>20</v>
      </c>
      <c r="D459" s="93">
        <v>40</v>
      </c>
      <c r="E459" s="87"/>
      <c r="F459" s="89"/>
      <c r="G459" s="88"/>
      <c r="H459" s="89"/>
      <c r="I459" s="88"/>
      <c r="J459" s="89"/>
      <c r="K459" s="89"/>
    </row>
    <row r="460" spans="1:11" ht="16.5" customHeight="1">
      <c r="A460" s="85">
        <v>12</v>
      </c>
      <c r="B460" s="86" t="s">
        <v>174</v>
      </c>
      <c r="C460" s="87" t="s">
        <v>26</v>
      </c>
      <c r="D460" s="92">
        <f>D459*0.003</f>
        <v>0.12</v>
      </c>
      <c r="E460" s="87"/>
      <c r="F460" s="89"/>
      <c r="G460" s="88"/>
      <c r="H460" s="89"/>
      <c r="I460" s="88"/>
      <c r="J460" s="89"/>
      <c r="K460" s="89"/>
    </row>
    <row r="461" spans="1:11" ht="15.75" customHeight="1">
      <c r="A461" s="85">
        <v>13</v>
      </c>
      <c r="B461" s="133" t="s">
        <v>253</v>
      </c>
      <c r="C461" s="85" t="s">
        <v>47</v>
      </c>
      <c r="D461" s="91">
        <v>500</v>
      </c>
      <c r="E461" s="86"/>
      <c r="F461" s="209"/>
      <c r="G461" s="88"/>
      <c r="H461" s="89"/>
      <c r="I461" s="88"/>
      <c r="J461" s="89"/>
      <c r="K461" s="89"/>
    </row>
    <row r="462" spans="1:11" ht="17.25" customHeight="1">
      <c r="A462" s="85">
        <v>14</v>
      </c>
      <c r="B462" s="133" t="s">
        <v>254</v>
      </c>
      <c r="C462" s="85" t="s">
        <v>47</v>
      </c>
      <c r="D462" s="91">
        <v>410</v>
      </c>
      <c r="E462" s="86"/>
      <c r="F462" s="89"/>
      <c r="G462" s="88"/>
      <c r="H462" s="89"/>
      <c r="I462" s="88"/>
      <c r="J462" s="89"/>
      <c r="K462" s="89"/>
    </row>
    <row r="463" spans="1:11" ht="13.5">
      <c r="A463" s="85">
        <v>15</v>
      </c>
      <c r="B463" s="86" t="s">
        <v>255</v>
      </c>
      <c r="C463" s="85" t="s">
        <v>47</v>
      </c>
      <c r="D463" s="91">
        <v>392</v>
      </c>
      <c r="E463" s="86"/>
      <c r="F463" s="209"/>
      <c r="G463" s="88"/>
      <c r="H463" s="89"/>
      <c r="I463" s="88"/>
      <c r="J463" s="89"/>
      <c r="K463" s="89"/>
    </row>
    <row r="464" spans="1:11" ht="17.25" customHeight="1">
      <c r="A464" s="85">
        <v>16</v>
      </c>
      <c r="B464" s="86" t="s">
        <v>256</v>
      </c>
      <c r="C464" s="85" t="s">
        <v>47</v>
      </c>
      <c r="D464" s="91">
        <v>120</v>
      </c>
      <c r="E464" s="86"/>
      <c r="F464" s="209"/>
      <c r="G464" s="88"/>
      <c r="H464" s="89"/>
      <c r="I464" s="88"/>
      <c r="J464" s="89"/>
      <c r="K464" s="89"/>
    </row>
    <row r="465" spans="1:11" ht="13.5">
      <c r="A465" s="85">
        <v>17</v>
      </c>
      <c r="B465" s="86" t="s">
        <v>257</v>
      </c>
      <c r="C465" s="85" t="s">
        <v>47</v>
      </c>
      <c r="D465" s="91">
        <v>145</v>
      </c>
      <c r="E465" s="86"/>
      <c r="F465" s="209"/>
      <c r="G465" s="88"/>
      <c r="H465" s="89"/>
      <c r="I465" s="88"/>
      <c r="J465" s="89"/>
      <c r="K465" s="89"/>
    </row>
    <row r="466" spans="1:11" ht="16.5" customHeight="1">
      <c r="A466" s="85">
        <v>18</v>
      </c>
      <c r="B466" s="86" t="s">
        <v>258</v>
      </c>
      <c r="C466" s="85" t="s">
        <v>47</v>
      </c>
      <c r="D466" s="91">
        <v>40</v>
      </c>
      <c r="E466" s="86"/>
      <c r="F466" s="209"/>
      <c r="G466" s="88"/>
      <c r="H466" s="89"/>
      <c r="I466" s="88"/>
      <c r="J466" s="89"/>
      <c r="K466" s="89"/>
    </row>
    <row r="467" spans="1:12" s="17" customFormat="1" ht="20.25" customHeight="1">
      <c r="A467" s="85">
        <v>19</v>
      </c>
      <c r="B467" s="86" t="s">
        <v>274</v>
      </c>
      <c r="C467" s="85" t="s">
        <v>47</v>
      </c>
      <c r="D467" s="91">
        <v>88</v>
      </c>
      <c r="E467" s="86"/>
      <c r="F467" s="209"/>
      <c r="G467" s="88"/>
      <c r="H467" s="89"/>
      <c r="I467" s="88"/>
      <c r="J467" s="89"/>
      <c r="K467" s="89"/>
      <c r="L467" s="34"/>
    </row>
    <row r="468" spans="1:12" s="17" customFormat="1" ht="20.25" customHeight="1">
      <c r="A468" s="85">
        <v>20</v>
      </c>
      <c r="B468" s="86" t="s">
        <v>275</v>
      </c>
      <c r="C468" s="85" t="s">
        <v>47</v>
      </c>
      <c r="D468" s="91">
        <v>54</v>
      </c>
      <c r="E468" s="86"/>
      <c r="F468" s="209"/>
      <c r="G468" s="88"/>
      <c r="H468" s="89"/>
      <c r="I468" s="88"/>
      <c r="J468" s="89"/>
      <c r="K468" s="89"/>
      <c r="L468" s="34"/>
    </row>
    <row r="469" spans="1:11" s="165" customFormat="1" ht="13.5">
      <c r="A469" s="85">
        <v>21</v>
      </c>
      <c r="B469" s="169" t="s">
        <v>259</v>
      </c>
      <c r="C469" s="168" t="s">
        <v>48</v>
      </c>
      <c r="D469" s="367">
        <v>7</v>
      </c>
      <c r="E469" s="318"/>
      <c r="F469" s="271">
        <f>D469*E469</f>
        <v>0</v>
      </c>
      <c r="G469" s="271"/>
      <c r="H469" s="271"/>
      <c r="I469" s="271"/>
      <c r="J469" s="271"/>
      <c r="K469" s="271">
        <f>F469+H469+J469</f>
        <v>0</v>
      </c>
    </row>
    <row r="470" spans="1:11" s="165" customFormat="1" ht="13.5">
      <c r="A470" s="85">
        <v>22</v>
      </c>
      <c r="B470" s="169" t="s">
        <v>260</v>
      </c>
      <c r="C470" s="168" t="s">
        <v>48</v>
      </c>
      <c r="D470" s="367">
        <v>2</v>
      </c>
      <c r="E470" s="318"/>
      <c r="F470" s="271">
        <f>D470*E470</f>
        <v>0</v>
      </c>
      <c r="G470" s="271"/>
      <c r="H470" s="271"/>
      <c r="I470" s="271"/>
      <c r="J470" s="271"/>
      <c r="K470" s="271">
        <f>F470+H470+J470</f>
        <v>0</v>
      </c>
    </row>
    <row r="471" spans="1:11" s="165" customFormat="1" ht="13.5">
      <c r="A471" s="85">
        <v>23</v>
      </c>
      <c r="B471" s="212" t="s">
        <v>261</v>
      </c>
      <c r="C471" s="168" t="s">
        <v>48</v>
      </c>
      <c r="D471" s="367">
        <v>16</v>
      </c>
      <c r="E471" s="318"/>
      <c r="F471" s="271">
        <f>D471*E471</f>
        <v>0</v>
      </c>
      <c r="G471" s="271"/>
      <c r="H471" s="271"/>
      <c r="I471" s="271"/>
      <c r="J471" s="271"/>
      <c r="K471" s="271">
        <f>F471+H471+J471</f>
        <v>0</v>
      </c>
    </row>
    <row r="472" spans="1:11" ht="17.25" customHeight="1">
      <c r="A472" s="85">
        <v>24</v>
      </c>
      <c r="B472" s="118" t="s">
        <v>262</v>
      </c>
      <c r="C472" s="85" t="s">
        <v>20</v>
      </c>
      <c r="D472" s="91">
        <v>2000</v>
      </c>
      <c r="E472" s="107"/>
      <c r="F472" s="89">
        <f>E472*D472</f>
        <v>0</v>
      </c>
      <c r="G472" s="88"/>
      <c r="H472" s="89"/>
      <c r="I472" s="88"/>
      <c r="J472" s="89"/>
      <c r="K472" s="89">
        <f>J472+H472+F472</f>
        <v>0</v>
      </c>
    </row>
    <row r="473" spans="1:11" ht="13.5">
      <c r="A473" s="85">
        <v>25</v>
      </c>
      <c r="B473" s="118" t="s">
        <v>263</v>
      </c>
      <c r="C473" s="85" t="s">
        <v>20</v>
      </c>
      <c r="D473" s="91">
        <v>250</v>
      </c>
      <c r="E473" s="107"/>
      <c r="F473" s="89">
        <f>E473*D473</f>
        <v>0</v>
      </c>
      <c r="G473" s="88"/>
      <c r="H473" s="89"/>
      <c r="I473" s="88"/>
      <c r="J473" s="89"/>
      <c r="K473" s="89">
        <f>J473+H473+F473</f>
        <v>0</v>
      </c>
    </row>
    <row r="474" spans="1:11" ht="13.5">
      <c r="A474" s="85">
        <v>26</v>
      </c>
      <c r="B474" s="118" t="s">
        <v>497</v>
      </c>
      <c r="C474" s="85" t="s">
        <v>20</v>
      </c>
      <c r="D474" s="91">
        <v>250</v>
      </c>
      <c r="E474" s="107"/>
      <c r="F474" s="89">
        <f>E474*D474</f>
        <v>0</v>
      </c>
      <c r="G474" s="88"/>
      <c r="H474" s="89"/>
      <c r="I474" s="88"/>
      <c r="J474" s="89"/>
      <c r="K474" s="89">
        <f>J474+H474+F474</f>
        <v>0</v>
      </c>
    </row>
    <row r="475" spans="1:11" s="80" customFormat="1" ht="27">
      <c r="A475" s="85">
        <v>27</v>
      </c>
      <c r="B475" s="202" t="s">
        <v>264</v>
      </c>
      <c r="C475" s="211" t="s">
        <v>26</v>
      </c>
      <c r="D475" s="270">
        <v>3</v>
      </c>
      <c r="E475" s="271"/>
      <c r="F475" s="271"/>
      <c r="G475" s="271"/>
      <c r="H475" s="271"/>
      <c r="I475" s="271"/>
      <c r="J475" s="271"/>
      <c r="K475" s="271"/>
    </row>
    <row r="476" spans="1:11" ht="15.75" customHeight="1">
      <c r="A476" s="85">
        <v>28</v>
      </c>
      <c r="B476" s="118" t="s">
        <v>276</v>
      </c>
      <c r="C476" s="87" t="s">
        <v>47</v>
      </c>
      <c r="D476" s="92">
        <v>1250</v>
      </c>
      <c r="E476" s="266"/>
      <c r="F476" s="89"/>
      <c r="G476" s="88"/>
      <c r="H476" s="89"/>
      <c r="I476" s="88"/>
      <c r="J476" s="89"/>
      <c r="K476" s="266">
        <f>J476+H476+F476</f>
        <v>0</v>
      </c>
    </row>
    <row r="477" spans="1:11" ht="15.75" customHeight="1">
      <c r="A477" s="85">
        <v>29</v>
      </c>
      <c r="B477" s="118" t="s">
        <v>277</v>
      </c>
      <c r="C477" s="87" t="s">
        <v>47</v>
      </c>
      <c r="D477" s="92">
        <v>256</v>
      </c>
      <c r="E477" s="266"/>
      <c r="F477" s="89"/>
      <c r="G477" s="88"/>
      <c r="H477" s="89"/>
      <c r="I477" s="88"/>
      <c r="J477" s="89"/>
      <c r="K477" s="266">
        <f>J477+H477+F477</f>
        <v>0</v>
      </c>
    </row>
    <row r="478" spans="1:11" ht="15" customHeight="1">
      <c r="A478" s="85">
        <v>30</v>
      </c>
      <c r="B478" s="118" t="s">
        <v>278</v>
      </c>
      <c r="C478" s="87" t="s">
        <v>47</v>
      </c>
      <c r="D478" s="92">
        <v>142</v>
      </c>
      <c r="E478" s="266"/>
      <c r="F478" s="89"/>
      <c r="G478" s="88"/>
      <c r="H478" s="89"/>
      <c r="I478" s="88"/>
      <c r="J478" s="89"/>
      <c r="K478" s="266">
        <f>J478+H478+F478</f>
        <v>0</v>
      </c>
    </row>
    <row r="479" spans="1:11" ht="18" customHeight="1">
      <c r="A479" s="85">
        <v>31</v>
      </c>
      <c r="B479" s="213" t="s">
        <v>265</v>
      </c>
      <c r="C479" s="85" t="s">
        <v>266</v>
      </c>
      <c r="D479" s="91">
        <v>1</v>
      </c>
      <c r="E479" s="86"/>
      <c r="F479" s="209"/>
      <c r="G479" s="88"/>
      <c r="H479" s="89"/>
      <c r="I479" s="88"/>
      <c r="J479" s="89"/>
      <c r="K479" s="89"/>
    </row>
    <row r="480" spans="1:11" ht="13.5">
      <c r="A480" s="135"/>
      <c r="B480" s="97" t="s">
        <v>16</v>
      </c>
      <c r="C480" s="91"/>
      <c r="D480" s="98"/>
      <c r="E480" s="91"/>
      <c r="F480" s="93"/>
      <c r="G480" s="93"/>
      <c r="H480" s="93"/>
      <c r="I480" s="93"/>
      <c r="J480" s="93"/>
      <c r="K480" s="93"/>
    </row>
    <row r="481" spans="1:11" ht="13.5">
      <c r="A481" s="127"/>
      <c r="B481" s="95" t="s">
        <v>385</v>
      </c>
      <c r="C481" s="120" t="s">
        <v>381</v>
      </c>
      <c r="D481" s="91"/>
      <c r="E481" s="93"/>
      <c r="F481" s="93"/>
      <c r="G481" s="93"/>
      <c r="H481" s="93"/>
      <c r="I481" s="93"/>
      <c r="J481" s="93"/>
      <c r="K481" s="93"/>
    </row>
    <row r="482" spans="1:11" ht="13.5">
      <c r="A482" s="127"/>
      <c r="B482" s="97" t="s">
        <v>16</v>
      </c>
      <c r="C482" s="87"/>
      <c r="D482" s="128"/>
      <c r="E482" s="128"/>
      <c r="F482" s="129"/>
      <c r="G482" s="129"/>
      <c r="H482" s="129"/>
      <c r="I482" s="129"/>
      <c r="J482" s="129"/>
      <c r="K482" s="129"/>
    </row>
    <row r="483" spans="1:11" ht="13.5">
      <c r="A483" s="127"/>
      <c r="B483" s="95" t="s">
        <v>307</v>
      </c>
      <c r="C483" s="120" t="s">
        <v>381</v>
      </c>
      <c r="D483" s="128"/>
      <c r="E483" s="128"/>
      <c r="F483" s="129"/>
      <c r="G483" s="129"/>
      <c r="H483" s="129"/>
      <c r="I483" s="129"/>
      <c r="J483" s="129"/>
      <c r="K483" s="129"/>
    </row>
    <row r="484" spans="1:11" ht="13.5">
      <c r="A484" s="127"/>
      <c r="B484" s="97" t="s">
        <v>578</v>
      </c>
      <c r="C484" s="128"/>
      <c r="D484" s="128"/>
      <c r="E484" s="128"/>
      <c r="F484" s="129"/>
      <c r="G484" s="129"/>
      <c r="H484" s="129"/>
      <c r="I484" s="129"/>
      <c r="J484" s="129"/>
      <c r="K484" s="129"/>
    </row>
    <row r="485" spans="1:12" s="33" customFormat="1" ht="18" customHeight="1">
      <c r="A485" s="85"/>
      <c r="B485" s="267" t="s">
        <v>579</v>
      </c>
      <c r="C485" s="87"/>
      <c r="D485" s="227"/>
      <c r="E485" s="227"/>
      <c r="F485" s="227"/>
      <c r="G485" s="227"/>
      <c r="H485" s="227"/>
      <c r="I485" s="227"/>
      <c r="J485" s="227"/>
      <c r="K485" s="227"/>
      <c r="L485" s="42"/>
    </row>
    <row r="486" spans="1:11" s="80" customFormat="1" ht="27">
      <c r="A486" s="174">
        <v>1</v>
      </c>
      <c r="B486" s="86" t="s">
        <v>285</v>
      </c>
      <c r="C486" s="199" t="s">
        <v>138</v>
      </c>
      <c r="D486" s="332">
        <v>2</v>
      </c>
      <c r="E486" s="320"/>
      <c r="F486" s="320"/>
      <c r="G486" s="320"/>
      <c r="H486" s="333"/>
      <c r="I486" s="320"/>
      <c r="J486" s="320"/>
      <c r="K486" s="320"/>
    </row>
    <row r="487" spans="1:11" s="159" customFormat="1" ht="27">
      <c r="A487" s="174">
        <v>2</v>
      </c>
      <c r="B487" s="202" t="s">
        <v>649</v>
      </c>
      <c r="C487" s="199" t="s">
        <v>138</v>
      </c>
      <c r="D487" s="332">
        <v>2</v>
      </c>
      <c r="E487" s="271"/>
      <c r="F487" s="271"/>
      <c r="G487" s="271"/>
      <c r="H487" s="271"/>
      <c r="I487" s="271"/>
      <c r="J487" s="271"/>
      <c r="K487" s="271"/>
    </row>
    <row r="488" spans="1:11" s="122" customFormat="1" ht="13.5">
      <c r="A488" s="168">
        <v>3</v>
      </c>
      <c r="B488" s="202" t="s">
        <v>299</v>
      </c>
      <c r="C488" s="168" t="s">
        <v>48</v>
      </c>
      <c r="D488" s="332">
        <v>2</v>
      </c>
      <c r="E488" s="271"/>
      <c r="F488" s="334"/>
      <c r="G488" s="271"/>
      <c r="H488" s="271"/>
      <c r="I488" s="271"/>
      <c r="J488" s="271"/>
      <c r="K488" s="271"/>
    </row>
    <row r="489" spans="1:12" s="74" customFormat="1" ht="27">
      <c r="A489" s="87">
        <v>4</v>
      </c>
      <c r="B489" s="86" t="s">
        <v>288</v>
      </c>
      <c r="C489" s="87" t="s">
        <v>49</v>
      </c>
      <c r="D489" s="93">
        <v>1</v>
      </c>
      <c r="E489" s="335"/>
      <c r="F489" s="335"/>
      <c r="G489" s="335"/>
      <c r="H489" s="88"/>
      <c r="I489" s="89"/>
      <c r="J489" s="88"/>
      <c r="K489" s="89"/>
      <c r="L489" s="171"/>
    </row>
    <row r="490" spans="1:12" s="74" customFormat="1" ht="27">
      <c r="A490" s="87">
        <v>5</v>
      </c>
      <c r="B490" s="86" t="s">
        <v>286</v>
      </c>
      <c r="C490" s="87" t="s">
        <v>49</v>
      </c>
      <c r="D490" s="93">
        <v>1</v>
      </c>
      <c r="E490" s="335"/>
      <c r="F490" s="335"/>
      <c r="G490" s="335"/>
      <c r="H490" s="88"/>
      <c r="I490" s="89"/>
      <c r="J490" s="88"/>
      <c r="K490" s="89"/>
      <c r="L490" s="171"/>
    </row>
    <row r="491" spans="1:12" s="74" customFormat="1" ht="27">
      <c r="A491" s="87">
        <v>6</v>
      </c>
      <c r="B491" s="86" t="s">
        <v>287</v>
      </c>
      <c r="C491" s="87" t="s">
        <v>49</v>
      </c>
      <c r="D491" s="93">
        <v>1</v>
      </c>
      <c r="E491" s="335"/>
      <c r="F491" s="335"/>
      <c r="G491" s="335"/>
      <c r="H491" s="88"/>
      <c r="I491" s="89"/>
      <c r="J491" s="88"/>
      <c r="K491" s="89"/>
      <c r="L491" s="171"/>
    </row>
    <row r="492" spans="1:12" s="74" customFormat="1" ht="27">
      <c r="A492" s="87">
        <v>7</v>
      </c>
      <c r="B492" s="86" t="s">
        <v>289</v>
      </c>
      <c r="C492" s="87" t="s">
        <v>49</v>
      </c>
      <c r="D492" s="93">
        <v>3</v>
      </c>
      <c r="E492" s="335"/>
      <c r="F492" s="335"/>
      <c r="G492" s="335"/>
      <c r="H492" s="88"/>
      <c r="I492" s="89"/>
      <c r="J492" s="88"/>
      <c r="K492" s="89"/>
      <c r="L492" s="171"/>
    </row>
    <row r="493" spans="1:11" s="122" customFormat="1" ht="13.5">
      <c r="A493" s="174">
        <v>8</v>
      </c>
      <c r="B493" s="202" t="s">
        <v>290</v>
      </c>
      <c r="C493" s="168" t="s">
        <v>48</v>
      </c>
      <c r="D493" s="270">
        <v>2</v>
      </c>
      <c r="E493" s="271"/>
      <c r="F493" s="334"/>
      <c r="G493" s="271"/>
      <c r="H493" s="271"/>
      <c r="I493" s="336"/>
      <c r="J493" s="271"/>
      <c r="K493" s="271"/>
    </row>
    <row r="494" spans="1:11" s="122" customFormat="1" ht="13.5">
      <c r="A494" s="174">
        <v>9</v>
      </c>
      <c r="B494" s="202" t="s">
        <v>281</v>
      </c>
      <c r="C494" s="168" t="s">
        <v>48</v>
      </c>
      <c r="D494" s="270">
        <v>1</v>
      </c>
      <c r="E494" s="271"/>
      <c r="F494" s="334"/>
      <c r="G494" s="271"/>
      <c r="H494" s="271"/>
      <c r="I494" s="336"/>
      <c r="J494" s="271"/>
      <c r="K494" s="271"/>
    </row>
    <row r="495" spans="1:11" s="80" customFormat="1" ht="27">
      <c r="A495" s="174">
        <v>10</v>
      </c>
      <c r="B495" s="202" t="s">
        <v>292</v>
      </c>
      <c r="C495" s="168" t="s">
        <v>48</v>
      </c>
      <c r="D495" s="337">
        <v>2</v>
      </c>
      <c r="E495" s="271"/>
      <c r="F495" s="334"/>
      <c r="G495" s="271"/>
      <c r="H495" s="271"/>
      <c r="I495" s="271"/>
      <c r="J495" s="271"/>
      <c r="K495" s="271"/>
    </row>
    <row r="496" spans="1:11" s="80" customFormat="1" ht="13.5">
      <c r="A496" s="174">
        <v>11</v>
      </c>
      <c r="B496" s="202" t="s">
        <v>280</v>
      </c>
      <c r="C496" s="168" t="s">
        <v>48</v>
      </c>
      <c r="D496" s="270">
        <v>1</v>
      </c>
      <c r="E496" s="271"/>
      <c r="F496" s="271"/>
      <c r="G496" s="271"/>
      <c r="H496" s="271"/>
      <c r="I496" s="271"/>
      <c r="J496" s="271"/>
      <c r="K496" s="271"/>
    </row>
    <row r="497" spans="1:11" s="80" customFormat="1" ht="13.5">
      <c r="A497" s="174">
        <v>12</v>
      </c>
      <c r="B497" s="202" t="s">
        <v>282</v>
      </c>
      <c r="C497" s="168" t="s">
        <v>48</v>
      </c>
      <c r="D497" s="270">
        <v>12</v>
      </c>
      <c r="E497" s="271"/>
      <c r="F497" s="334"/>
      <c r="G497" s="271"/>
      <c r="H497" s="271"/>
      <c r="I497" s="271"/>
      <c r="J497" s="271"/>
      <c r="K497" s="271"/>
    </row>
    <row r="498" spans="1:11" s="165" customFormat="1" ht="13.5">
      <c r="A498" s="168"/>
      <c r="B498" s="175" t="s">
        <v>283</v>
      </c>
      <c r="C498" s="168" t="s">
        <v>48</v>
      </c>
      <c r="D498" s="270">
        <v>4</v>
      </c>
      <c r="E498" s="338"/>
      <c r="F498" s="339"/>
      <c r="G498" s="271"/>
      <c r="H498" s="271"/>
      <c r="I498" s="271"/>
      <c r="J498" s="271"/>
      <c r="K498" s="271">
        <f>F498+H498+J498</f>
        <v>0</v>
      </c>
    </row>
    <row r="499" spans="1:11" s="165" customFormat="1" ht="13.5">
      <c r="A499" s="168"/>
      <c r="B499" s="175" t="s">
        <v>260</v>
      </c>
      <c r="C499" s="168" t="s">
        <v>48</v>
      </c>
      <c r="D499" s="270">
        <v>4</v>
      </c>
      <c r="E499" s="338"/>
      <c r="F499" s="339"/>
      <c r="G499" s="271"/>
      <c r="H499" s="271"/>
      <c r="I499" s="271"/>
      <c r="J499" s="271"/>
      <c r="K499" s="271">
        <f>F499+H499+J499</f>
        <v>0</v>
      </c>
    </row>
    <row r="500" spans="1:11" ht="13.5">
      <c r="A500" s="87">
        <v>14</v>
      </c>
      <c r="B500" s="86" t="s">
        <v>284</v>
      </c>
      <c r="C500" s="87" t="s">
        <v>20</v>
      </c>
      <c r="D500" s="91">
        <v>1</v>
      </c>
      <c r="E500" s="86"/>
      <c r="F500" s="209"/>
      <c r="G500" s="88"/>
      <c r="H500" s="89"/>
      <c r="I500" s="88"/>
      <c r="J500" s="89"/>
      <c r="K500" s="89"/>
    </row>
    <row r="501" spans="1:11" s="172" customFormat="1" ht="13.5">
      <c r="A501" s="87">
        <v>15</v>
      </c>
      <c r="B501" s="118" t="s">
        <v>279</v>
      </c>
      <c r="C501" s="87" t="s">
        <v>48</v>
      </c>
      <c r="D501" s="92">
        <v>80</v>
      </c>
      <c r="E501" s="87"/>
      <c r="F501" s="89">
        <f>D501*E501</f>
        <v>0</v>
      </c>
      <c r="G501" s="88"/>
      <c r="H501" s="89"/>
      <c r="I501" s="88"/>
      <c r="J501" s="89"/>
      <c r="K501" s="89">
        <f>F501+H501+J501</f>
        <v>0</v>
      </c>
    </row>
    <row r="502" spans="1:11" s="80" customFormat="1" ht="13.5">
      <c r="A502" s="174">
        <v>16</v>
      </c>
      <c r="B502" s="175" t="s">
        <v>291</v>
      </c>
      <c r="C502" s="168" t="s">
        <v>48</v>
      </c>
      <c r="D502" s="270">
        <v>12</v>
      </c>
      <c r="E502" s="87"/>
      <c r="F502" s="89">
        <f>D502*E502</f>
        <v>0</v>
      </c>
      <c r="G502" s="273"/>
      <c r="H502" s="273"/>
      <c r="I502" s="273"/>
      <c r="J502" s="273"/>
      <c r="K502" s="89">
        <f>F502+H502+J502</f>
        <v>0</v>
      </c>
    </row>
    <row r="503" spans="1:11" ht="13.5">
      <c r="A503" s="87">
        <v>17</v>
      </c>
      <c r="B503" s="118" t="s">
        <v>253</v>
      </c>
      <c r="C503" s="87" t="s">
        <v>47</v>
      </c>
      <c r="D503" s="91">
        <v>4</v>
      </c>
      <c r="E503" s="86"/>
      <c r="F503" s="209"/>
      <c r="G503" s="88"/>
      <c r="H503" s="89"/>
      <c r="I503" s="88"/>
      <c r="J503" s="89"/>
      <c r="K503" s="89"/>
    </row>
    <row r="504" spans="1:11" ht="16.5" customHeight="1">
      <c r="A504" s="87">
        <v>18</v>
      </c>
      <c r="B504" s="86" t="s">
        <v>498</v>
      </c>
      <c r="C504" s="87" t="s">
        <v>47</v>
      </c>
      <c r="D504" s="91">
        <v>8</v>
      </c>
      <c r="E504" s="86"/>
      <c r="F504" s="209"/>
      <c r="G504" s="88"/>
      <c r="H504" s="89"/>
      <c r="I504" s="88"/>
      <c r="J504" s="89"/>
      <c r="K504" s="89"/>
    </row>
    <row r="505" spans="1:11" ht="16.5" customHeight="1">
      <c r="A505" s="87">
        <v>19</v>
      </c>
      <c r="B505" s="86" t="s">
        <v>499</v>
      </c>
      <c r="C505" s="87" t="s">
        <v>47</v>
      </c>
      <c r="D505" s="91">
        <v>12</v>
      </c>
      <c r="E505" s="86"/>
      <c r="F505" s="209"/>
      <c r="G505" s="88"/>
      <c r="H505" s="89"/>
      <c r="I505" s="88"/>
      <c r="J505" s="89"/>
      <c r="K505" s="89"/>
    </row>
    <row r="506" spans="1:11" ht="16.5" customHeight="1">
      <c r="A506" s="87">
        <v>20</v>
      </c>
      <c r="B506" s="86" t="s">
        <v>500</v>
      </c>
      <c r="C506" s="87" t="s">
        <v>47</v>
      </c>
      <c r="D506" s="91">
        <v>12</v>
      </c>
      <c r="E506" s="86"/>
      <c r="F506" s="209"/>
      <c r="G506" s="88"/>
      <c r="H506" s="89"/>
      <c r="I506" s="88"/>
      <c r="J506" s="89"/>
      <c r="K506" s="89"/>
    </row>
    <row r="507" spans="1:12" ht="30" customHeight="1">
      <c r="A507" s="87">
        <v>21</v>
      </c>
      <c r="B507" s="86" t="s">
        <v>297</v>
      </c>
      <c r="C507" s="87" t="s">
        <v>47</v>
      </c>
      <c r="D507" s="93">
        <v>10</v>
      </c>
      <c r="E507" s="86"/>
      <c r="F507" s="209"/>
      <c r="G507" s="88"/>
      <c r="H507" s="89"/>
      <c r="I507" s="88"/>
      <c r="J507" s="89"/>
      <c r="K507" s="89"/>
      <c r="L507" s="34"/>
    </row>
    <row r="508" spans="1:12" ht="30" customHeight="1">
      <c r="A508" s="87">
        <v>22</v>
      </c>
      <c r="B508" s="86" t="s">
        <v>298</v>
      </c>
      <c r="C508" s="87" t="s">
        <v>47</v>
      </c>
      <c r="D508" s="93">
        <v>20</v>
      </c>
      <c r="E508" s="86"/>
      <c r="F508" s="209"/>
      <c r="G508" s="88"/>
      <c r="H508" s="89"/>
      <c r="I508" s="88"/>
      <c r="J508" s="89"/>
      <c r="K508" s="89"/>
      <c r="L508" s="34"/>
    </row>
    <row r="509" spans="1:12" s="61" customFormat="1" ht="27">
      <c r="A509" s="87">
        <v>23</v>
      </c>
      <c r="B509" s="86" t="s">
        <v>501</v>
      </c>
      <c r="C509" s="88" t="s">
        <v>24</v>
      </c>
      <c r="D509" s="92">
        <v>11.5</v>
      </c>
      <c r="E509" s="340"/>
      <c r="F509" s="340"/>
      <c r="G509" s="340"/>
      <c r="H509" s="88"/>
      <c r="I509" s="89"/>
      <c r="J509" s="88"/>
      <c r="K509" s="89"/>
      <c r="L509" s="274"/>
    </row>
    <row r="510" spans="1:12" s="17" customFormat="1" ht="33" customHeight="1">
      <c r="A510" s="87">
        <v>24</v>
      </c>
      <c r="B510" s="86" t="s">
        <v>293</v>
      </c>
      <c r="C510" s="87" t="s">
        <v>20</v>
      </c>
      <c r="D510" s="91">
        <v>7</v>
      </c>
      <c r="E510" s="86"/>
      <c r="F510" s="209"/>
      <c r="G510" s="88"/>
      <c r="H510" s="89"/>
      <c r="I510" s="88"/>
      <c r="J510" s="89"/>
      <c r="K510" s="89"/>
      <c r="L510" s="34"/>
    </row>
    <row r="511" spans="1:12" s="17" customFormat="1" ht="28.5" customHeight="1">
      <c r="A511" s="87">
        <v>25</v>
      </c>
      <c r="B511" s="86" t="s">
        <v>294</v>
      </c>
      <c r="C511" s="87" t="s">
        <v>20</v>
      </c>
      <c r="D511" s="91">
        <v>3</v>
      </c>
      <c r="E511" s="86"/>
      <c r="F511" s="209"/>
      <c r="G511" s="88"/>
      <c r="H511" s="89"/>
      <c r="I511" s="88"/>
      <c r="J511" s="89"/>
      <c r="K511" s="89"/>
      <c r="L511" s="34"/>
    </row>
    <row r="512" spans="1:12" s="17" customFormat="1" ht="30.75" customHeight="1">
      <c r="A512" s="87">
        <v>26</v>
      </c>
      <c r="B512" s="86" t="s">
        <v>295</v>
      </c>
      <c r="C512" s="87" t="s">
        <v>20</v>
      </c>
      <c r="D512" s="91">
        <v>12</v>
      </c>
      <c r="E512" s="86"/>
      <c r="F512" s="209"/>
      <c r="G512" s="88"/>
      <c r="H512" s="89"/>
      <c r="I512" s="88"/>
      <c r="J512" s="89"/>
      <c r="K512" s="89"/>
      <c r="L512" s="34"/>
    </row>
    <row r="513" spans="1:11" ht="27">
      <c r="A513" s="87">
        <v>27</v>
      </c>
      <c r="B513" s="86" t="s">
        <v>296</v>
      </c>
      <c r="C513" s="87" t="s">
        <v>26</v>
      </c>
      <c r="D513" s="91">
        <v>0.6</v>
      </c>
      <c r="E513" s="87"/>
      <c r="F513" s="89"/>
      <c r="G513" s="88"/>
      <c r="H513" s="102"/>
      <c r="I513" s="88"/>
      <c r="J513" s="89"/>
      <c r="K513" s="89"/>
    </row>
    <row r="514" spans="1:11" ht="13.5">
      <c r="A514" s="87"/>
      <c r="B514" s="97" t="s">
        <v>16</v>
      </c>
      <c r="C514" s="87"/>
      <c r="D514" s="214"/>
      <c r="E514" s="87"/>
      <c r="F514" s="134"/>
      <c r="G514" s="134"/>
      <c r="H514" s="134"/>
      <c r="I514" s="134"/>
      <c r="J514" s="134"/>
      <c r="K514" s="134"/>
    </row>
    <row r="515" spans="1:11" ht="13.5">
      <c r="A515" s="87"/>
      <c r="B515" s="95" t="s">
        <v>52</v>
      </c>
      <c r="C515" s="87"/>
      <c r="D515" s="214"/>
      <c r="E515" s="87"/>
      <c r="F515" s="134"/>
      <c r="G515" s="134"/>
      <c r="H515" s="134"/>
      <c r="I515" s="134"/>
      <c r="J515" s="134"/>
      <c r="K515" s="134"/>
    </row>
    <row r="516" spans="1:11" ht="13.5">
      <c r="A516" s="87"/>
      <c r="B516" s="95" t="s">
        <v>27</v>
      </c>
      <c r="C516" s="87"/>
      <c r="D516" s="214"/>
      <c r="E516" s="87"/>
      <c r="F516" s="134"/>
      <c r="G516" s="134"/>
      <c r="H516" s="134"/>
      <c r="I516" s="134"/>
      <c r="J516" s="134"/>
      <c r="K516" s="134"/>
    </row>
    <row r="517" spans="1:11" ht="16.5" customHeight="1">
      <c r="A517" s="87"/>
      <c r="B517" s="95" t="s">
        <v>46</v>
      </c>
      <c r="C517" s="87"/>
      <c r="D517" s="214"/>
      <c r="E517" s="87"/>
      <c r="F517" s="134"/>
      <c r="G517" s="134"/>
      <c r="H517" s="134"/>
      <c r="I517" s="134"/>
      <c r="J517" s="134"/>
      <c r="K517" s="134"/>
    </row>
    <row r="518" spans="1:11" ht="13.5">
      <c r="A518" s="215"/>
      <c r="B518" s="95" t="s">
        <v>385</v>
      </c>
      <c r="C518" s="120" t="s">
        <v>381</v>
      </c>
      <c r="D518" s="87"/>
      <c r="E518" s="134"/>
      <c r="F518" s="134"/>
      <c r="G518" s="134"/>
      <c r="H518" s="134"/>
      <c r="I518" s="134"/>
      <c r="J518" s="134"/>
      <c r="K518" s="134"/>
    </row>
    <row r="519" spans="1:11" ht="27">
      <c r="A519" s="216"/>
      <c r="B519" s="95" t="s">
        <v>306</v>
      </c>
      <c r="C519" s="120" t="s">
        <v>381</v>
      </c>
      <c r="D519" s="87"/>
      <c r="E519" s="134"/>
      <c r="F519" s="134"/>
      <c r="G519" s="134"/>
      <c r="H519" s="134"/>
      <c r="I519" s="134"/>
      <c r="J519" s="134"/>
      <c r="K519" s="134"/>
    </row>
    <row r="520" spans="1:11" ht="13.5">
      <c r="A520" s="216"/>
      <c r="B520" s="97" t="s">
        <v>16</v>
      </c>
      <c r="C520" s="87"/>
      <c r="D520" s="87"/>
      <c r="E520" s="134"/>
      <c r="F520" s="134"/>
      <c r="G520" s="134"/>
      <c r="H520" s="134"/>
      <c r="I520" s="134"/>
      <c r="J520" s="134"/>
      <c r="K520" s="134"/>
    </row>
    <row r="521" spans="1:11" ht="13.5">
      <c r="A521" s="85"/>
      <c r="B521" s="95" t="s">
        <v>384</v>
      </c>
      <c r="C521" s="120" t="s">
        <v>381</v>
      </c>
      <c r="D521" s="88"/>
      <c r="E521" s="87"/>
      <c r="F521" s="134"/>
      <c r="G521" s="134"/>
      <c r="H521" s="134"/>
      <c r="I521" s="134"/>
      <c r="J521" s="134"/>
      <c r="K521" s="134"/>
    </row>
    <row r="522" spans="1:11" ht="13.5">
      <c r="A522" s="85"/>
      <c r="B522" s="97" t="s">
        <v>580</v>
      </c>
      <c r="C522" s="87"/>
      <c r="D522" s="88"/>
      <c r="E522" s="87"/>
      <c r="F522" s="134"/>
      <c r="G522" s="134"/>
      <c r="H522" s="134"/>
      <c r="I522" s="134"/>
      <c r="J522" s="134"/>
      <c r="K522" s="93"/>
    </row>
    <row r="523" spans="1:11" ht="13.5">
      <c r="A523" s="87"/>
      <c r="B523" s="95" t="s">
        <v>52</v>
      </c>
      <c r="C523" s="87"/>
      <c r="D523" s="214"/>
      <c r="E523" s="87"/>
      <c r="F523" s="134"/>
      <c r="G523" s="134"/>
      <c r="H523" s="134"/>
      <c r="I523" s="134"/>
      <c r="J523" s="134"/>
      <c r="K523" s="134"/>
    </row>
    <row r="524" spans="1:11" ht="13.5">
      <c r="A524" s="87"/>
      <c r="B524" s="95" t="s">
        <v>27</v>
      </c>
      <c r="C524" s="87"/>
      <c r="D524" s="214"/>
      <c r="E524" s="87"/>
      <c r="F524" s="134"/>
      <c r="G524" s="134"/>
      <c r="H524" s="134"/>
      <c r="I524" s="134"/>
      <c r="J524" s="134"/>
      <c r="K524" s="134"/>
    </row>
    <row r="525" spans="1:11" ht="13.5">
      <c r="A525" s="87"/>
      <c r="B525" s="95" t="s">
        <v>46</v>
      </c>
      <c r="C525" s="87"/>
      <c r="D525" s="214"/>
      <c r="E525" s="87"/>
      <c r="F525" s="134"/>
      <c r="G525" s="134"/>
      <c r="H525" s="134"/>
      <c r="I525" s="134"/>
      <c r="J525" s="134"/>
      <c r="K525" s="134"/>
    </row>
    <row r="526" spans="1:12" s="33" customFormat="1" ht="34.5" customHeight="1">
      <c r="A526" s="85"/>
      <c r="B526" s="267" t="s">
        <v>581</v>
      </c>
      <c r="C526" s="87"/>
      <c r="D526" s="227"/>
      <c r="E526" s="227"/>
      <c r="F526" s="227"/>
      <c r="G526" s="227"/>
      <c r="H526" s="227"/>
      <c r="I526" s="227"/>
      <c r="J526" s="227"/>
      <c r="K526" s="227"/>
      <c r="L526" s="42"/>
    </row>
    <row r="527" spans="1:12" ht="54">
      <c r="A527" s="85">
        <v>1</v>
      </c>
      <c r="B527" s="201" t="s">
        <v>650</v>
      </c>
      <c r="C527" s="341" t="s">
        <v>116</v>
      </c>
      <c r="D527" s="265">
        <v>1</v>
      </c>
      <c r="E527" s="88"/>
      <c r="F527" s="89"/>
      <c r="G527" s="87"/>
      <c r="H527" s="89"/>
      <c r="I527" s="88"/>
      <c r="J527" s="89"/>
      <c r="K527" s="89"/>
      <c r="L527" s="32"/>
    </row>
    <row r="528" spans="1:12" s="51" customFormat="1" ht="13.5">
      <c r="A528" s="85">
        <v>2</v>
      </c>
      <c r="B528" s="133" t="s">
        <v>502</v>
      </c>
      <c r="C528" s="85" t="s">
        <v>116</v>
      </c>
      <c r="D528" s="265">
        <v>1</v>
      </c>
      <c r="E528" s="88"/>
      <c r="F528" s="89"/>
      <c r="G528" s="87"/>
      <c r="H528" s="89"/>
      <c r="I528" s="88"/>
      <c r="J528" s="89"/>
      <c r="K528" s="89"/>
      <c r="L528" s="42"/>
    </row>
    <row r="529" spans="1:12" s="33" customFormat="1" ht="67.5">
      <c r="A529" s="85">
        <v>3</v>
      </c>
      <c r="B529" s="201" t="s">
        <v>503</v>
      </c>
      <c r="C529" s="341" t="s">
        <v>48</v>
      </c>
      <c r="D529" s="265">
        <v>1</v>
      </c>
      <c r="E529" s="88"/>
      <c r="F529" s="89"/>
      <c r="G529" s="87"/>
      <c r="H529" s="89"/>
      <c r="I529" s="88"/>
      <c r="J529" s="89"/>
      <c r="K529" s="89"/>
      <c r="L529" s="32"/>
    </row>
    <row r="530" spans="1:12" s="33" customFormat="1" ht="54">
      <c r="A530" s="85">
        <v>4</v>
      </c>
      <c r="B530" s="362" t="s">
        <v>504</v>
      </c>
      <c r="C530" s="341" t="s">
        <v>48</v>
      </c>
      <c r="D530" s="265">
        <v>1</v>
      </c>
      <c r="E530" s="88"/>
      <c r="F530" s="89"/>
      <c r="G530" s="87"/>
      <c r="H530" s="89"/>
      <c r="I530" s="88"/>
      <c r="J530" s="89"/>
      <c r="K530" s="89"/>
      <c r="L530" s="32"/>
    </row>
    <row r="531" spans="1:12" s="33" customFormat="1" ht="54">
      <c r="A531" s="85">
        <v>5</v>
      </c>
      <c r="B531" s="86" t="s">
        <v>505</v>
      </c>
      <c r="C531" s="342" t="s">
        <v>48</v>
      </c>
      <c r="D531" s="265">
        <v>1</v>
      </c>
      <c r="E531" s="88"/>
      <c r="F531" s="89"/>
      <c r="G531" s="87"/>
      <c r="H531" s="89"/>
      <c r="I531" s="88"/>
      <c r="J531" s="89"/>
      <c r="K531" s="89"/>
      <c r="L531" s="32"/>
    </row>
    <row r="532" spans="1:12" s="33" customFormat="1" ht="70.5" customHeight="1">
      <c r="A532" s="85">
        <v>6</v>
      </c>
      <c r="B532" s="86" t="s">
        <v>506</v>
      </c>
      <c r="C532" s="342" t="s">
        <v>48</v>
      </c>
      <c r="D532" s="265">
        <v>1</v>
      </c>
      <c r="E532" s="88"/>
      <c r="F532" s="89"/>
      <c r="G532" s="87"/>
      <c r="H532" s="89"/>
      <c r="I532" s="88"/>
      <c r="J532" s="89"/>
      <c r="K532" s="89"/>
      <c r="L532" s="32"/>
    </row>
    <row r="533" spans="1:12" s="33" customFormat="1" ht="54">
      <c r="A533" s="85">
        <v>7</v>
      </c>
      <c r="B533" s="86" t="s">
        <v>507</v>
      </c>
      <c r="C533" s="342" t="s">
        <v>48</v>
      </c>
      <c r="D533" s="265">
        <v>1</v>
      </c>
      <c r="E533" s="88"/>
      <c r="F533" s="89"/>
      <c r="G533" s="87"/>
      <c r="H533" s="89"/>
      <c r="I533" s="88"/>
      <c r="J533" s="89"/>
      <c r="K533" s="89"/>
      <c r="L533" s="32"/>
    </row>
    <row r="534" spans="1:12" s="276" customFormat="1" ht="54">
      <c r="A534" s="85">
        <v>8</v>
      </c>
      <c r="B534" s="86" t="s">
        <v>508</v>
      </c>
      <c r="C534" s="343" t="s">
        <v>48</v>
      </c>
      <c r="D534" s="265">
        <v>2</v>
      </c>
      <c r="E534" s="92"/>
      <c r="F534" s="113"/>
      <c r="G534" s="91"/>
      <c r="H534" s="113"/>
      <c r="I534" s="92"/>
      <c r="J534" s="113"/>
      <c r="K534" s="113"/>
      <c r="L534" s="275"/>
    </row>
    <row r="535" spans="1:12" s="33" customFormat="1" ht="40.5">
      <c r="A535" s="85">
        <v>9</v>
      </c>
      <c r="B535" s="86" t="s">
        <v>509</v>
      </c>
      <c r="C535" s="342" t="s">
        <v>48</v>
      </c>
      <c r="D535" s="265">
        <v>1</v>
      </c>
      <c r="E535" s="88"/>
      <c r="F535" s="89"/>
      <c r="G535" s="87"/>
      <c r="H535" s="89"/>
      <c r="I535" s="88"/>
      <c r="J535" s="89"/>
      <c r="K535" s="89"/>
      <c r="L535" s="32"/>
    </row>
    <row r="536" spans="1:12" s="33" customFormat="1" ht="54">
      <c r="A536" s="85">
        <v>10</v>
      </c>
      <c r="B536" s="86" t="s">
        <v>510</v>
      </c>
      <c r="C536" s="342" t="s">
        <v>48</v>
      </c>
      <c r="D536" s="265">
        <v>1</v>
      </c>
      <c r="E536" s="88"/>
      <c r="F536" s="89"/>
      <c r="G536" s="87"/>
      <c r="H536" s="89"/>
      <c r="I536" s="88"/>
      <c r="J536" s="89"/>
      <c r="K536" s="89"/>
      <c r="L536" s="32"/>
    </row>
    <row r="537" spans="1:12" s="33" customFormat="1" ht="44.25" customHeight="1">
      <c r="A537" s="85">
        <v>11</v>
      </c>
      <c r="B537" s="201" t="s">
        <v>183</v>
      </c>
      <c r="C537" s="226" t="s">
        <v>48</v>
      </c>
      <c r="D537" s="309">
        <v>1</v>
      </c>
      <c r="E537" s="88"/>
      <c r="F537" s="89"/>
      <c r="G537" s="87"/>
      <c r="H537" s="89"/>
      <c r="I537" s="88"/>
      <c r="J537" s="89"/>
      <c r="K537" s="89"/>
      <c r="L537" s="32"/>
    </row>
    <row r="538" spans="1:12" s="33" customFormat="1" ht="54">
      <c r="A538" s="85">
        <v>12</v>
      </c>
      <c r="B538" s="201" t="s">
        <v>184</v>
      </c>
      <c r="C538" s="226" t="s">
        <v>48</v>
      </c>
      <c r="D538" s="309">
        <v>2</v>
      </c>
      <c r="E538" s="88"/>
      <c r="F538" s="89"/>
      <c r="G538" s="87"/>
      <c r="H538" s="89"/>
      <c r="I538" s="88"/>
      <c r="J538" s="89"/>
      <c r="K538" s="89"/>
      <c r="L538" s="32"/>
    </row>
    <row r="539" spans="1:12" ht="13.5">
      <c r="A539" s="85">
        <v>13</v>
      </c>
      <c r="B539" s="220" t="s">
        <v>185</v>
      </c>
      <c r="C539" s="226" t="s">
        <v>48</v>
      </c>
      <c r="D539" s="93">
        <v>398</v>
      </c>
      <c r="E539" s="87"/>
      <c r="F539" s="89"/>
      <c r="G539" s="88"/>
      <c r="H539" s="89"/>
      <c r="I539" s="88"/>
      <c r="J539" s="89"/>
      <c r="K539" s="89"/>
      <c r="L539" s="32"/>
    </row>
    <row r="540" spans="1:12" ht="13.5">
      <c r="A540" s="85">
        <v>14</v>
      </c>
      <c r="B540" s="220" t="s">
        <v>72</v>
      </c>
      <c r="C540" s="226" t="s">
        <v>48</v>
      </c>
      <c r="D540" s="93">
        <v>284</v>
      </c>
      <c r="E540" s="87"/>
      <c r="F540" s="89"/>
      <c r="G540" s="88"/>
      <c r="H540" s="89"/>
      <c r="I540" s="88"/>
      <c r="J540" s="89"/>
      <c r="K540" s="89"/>
      <c r="L540" s="32"/>
    </row>
    <row r="541" spans="1:12" ht="27">
      <c r="A541" s="85">
        <v>14</v>
      </c>
      <c r="B541" s="220" t="s">
        <v>186</v>
      </c>
      <c r="C541" s="226" t="s">
        <v>48</v>
      </c>
      <c r="D541" s="93">
        <v>100</v>
      </c>
      <c r="E541" s="87"/>
      <c r="F541" s="89"/>
      <c r="G541" s="88"/>
      <c r="H541" s="89"/>
      <c r="I541" s="88"/>
      <c r="J541" s="89"/>
      <c r="K541" s="89"/>
      <c r="L541" s="32"/>
    </row>
    <row r="542" spans="1:12" ht="27">
      <c r="A542" s="85">
        <v>15</v>
      </c>
      <c r="B542" s="220" t="s">
        <v>117</v>
      </c>
      <c r="C542" s="226" t="s">
        <v>48</v>
      </c>
      <c r="D542" s="93">
        <v>60</v>
      </c>
      <c r="E542" s="87"/>
      <c r="F542" s="89"/>
      <c r="G542" s="88"/>
      <c r="H542" s="89"/>
      <c r="I542" s="88"/>
      <c r="J542" s="89"/>
      <c r="K542" s="89"/>
      <c r="L542" s="32"/>
    </row>
    <row r="543" spans="1:11" s="80" customFormat="1" ht="16.5" customHeight="1">
      <c r="A543" s="168">
        <v>16</v>
      </c>
      <c r="B543" s="217" t="s">
        <v>118</v>
      </c>
      <c r="C543" s="226" t="s">
        <v>48</v>
      </c>
      <c r="D543" s="270">
        <v>97</v>
      </c>
      <c r="E543" s="271"/>
      <c r="F543" s="271"/>
      <c r="G543" s="271"/>
      <c r="H543" s="271"/>
      <c r="I543" s="271"/>
      <c r="J543" s="271"/>
      <c r="K543" s="271"/>
    </row>
    <row r="544" spans="1:11" s="59" customFormat="1" ht="19.5" customHeight="1">
      <c r="A544" s="87">
        <v>17</v>
      </c>
      <c r="B544" s="201" t="s">
        <v>651</v>
      </c>
      <c r="C544" s="226" t="s">
        <v>48</v>
      </c>
      <c r="D544" s="252">
        <v>8</v>
      </c>
      <c r="E544" s="89"/>
      <c r="F544" s="88"/>
      <c r="G544" s="89"/>
      <c r="H544" s="88"/>
      <c r="I544" s="89"/>
      <c r="J544" s="89"/>
      <c r="K544" s="225"/>
    </row>
    <row r="545" spans="1:11" s="80" customFormat="1" ht="13.5">
      <c r="A545" s="168">
        <v>18</v>
      </c>
      <c r="B545" s="218" t="s">
        <v>192</v>
      </c>
      <c r="C545" s="226" t="s">
        <v>48</v>
      </c>
      <c r="D545" s="270">
        <v>13</v>
      </c>
      <c r="E545" s="271"/>
      <c r="F545" s="271"/>
      <c r="G545" s="271"/>
      <c r="H545" s="271"/>
      <c r="I545" s="271"/>
      <c r="J545" s="271"/>
      <c r="K545" s="271"/>
    </row>
    <row r="546" spans="1:12" ht="27">
      <c r="A546" s="85">
        <v>19</v>
      </c>
      <c r="B546" s="133" t="s">
        <v>191</v>
      </c>
      <c r="C546" s="226" t="s">
        <v>48</v>
      </c>
      <c r="D546" s="93">
        <f>1592+828</f>
        <v>2420</v>
      </c>
      <c r="E546" s="87"/>
      <c r="F546" s="89">
        <f>D546*E546</f>
        <v>0</v>
      </c>
      <c r="G546" s="88"/>
      <c r="H546" s="89"/>
      <c r="I546" s="88"/>
      <c r="J546" s="89"/>
      <c r="K546" s="89">
        <f>F546+H546+J546</f>
        <v>0</v>
      </c>
      <c r="L546" s="32"/>
    </row>
    <row r="547" spans="1:12" ht="13.5">
      <c r="A547" s="85">
        <v>20</v>
      </c>
      <c r="B547" s="133" t="s">
        <v>121</v>
      </c>
      <c r="C547" s="226" t="s">
        <v>48</v>
      </c>
      <c r="D547" s="93">
        <v>97</v>
      </c>
      <c r="E547" s="88"/>
      <c r="F547" s="89">
        <f>D547*E547</f>
        <v>0</v>
      </c>
      <c r="G547" s="87"/>
      <c r="H547" s="89"/>
      <c r="I547" s="88"/>
      <c r="J547" s="89"/>
      <c r="K547" s="89">
        <f>F547+H547+J547</f>
        <v>0</v>
      </c>
      <c r="L547" s="32"/>
    </row>
    <row r="548" spans="1:12" ht="27">
      <c r="A548" s="85">
        <v>21</v>
      </c>
      <c r="B548" s="86" t="s">
        <v>55</v>
      </c>
      <c r="C548" s="226" t="s">
        <v>48</v>
      </c>
      <c r="D548" s="92">
        <v>184</v>
      </c>
      <c r="E548" s="88"/>
      <c r="F548" s="89"/>
      <c r="G548" s="87"/>
      <c r="H548" s="89"/>
      <c r="I548" s="88"/>
      <c r="J548" s="89"/>
      <c r="K548" s="89"/>
      <c r="L548" s="32"/>
    </row>
    <row r="549" spans="1:12" ht="27">
      <c r="A549" s="85">
        <v>22</v>
      </c>
      <c r="B549" s="86" t="s">
        <v>511</v>
      </c>
      <c r="C549" s="226" t="s">
        <v>48</v>
      </c>
      <c r="D549" s="92">
        <v>56</v>
      </c>
      <c r="E549" s="88"/>
      <c r="F549" s="89"/>
      <c r="G549" s="87"/>
      <c r="H549" s="89"/>
      <c r="I549" s="88"/>
      <c r="J549" s="89"/>
      <c r="K549" s="89"/>
      <c r="L549" s="32"/>
    </row>
    <row r="550" spans="1:12" ht="13.5">
      <c r="A550" s="85">
        <v>23</v>
      </c>
      <c r="B550" s="86" t="s">
        <v>73</v>
      </c>
      <c r="C550" s="226" t="s">
        <v>48</v>
      </c>
      <c r="D550" s="93">
        <v>57</v>
      </c>
      <c r="E550" s="88"/>
      <c r="F550" s="89"/>
      <c r="G550" s="87"/>
      <c r="H550" s="89"/>
      <c r="I550" s="88"/>
      <c r="J550" s="89"/>
      <c r="K550" s="89"/>
      <c r="L550" s="32"/>
    </row>
    <row r="551" spans="1:12" ht="13.5">
      <c r="A551" s="85">
        <v>24</v>
      </c>
      <c r="B551" s="86" t="s">
        <v>74</v>
      </c>
      <c r="C551" s="226" t="s">
        <v>48</v>
      </c>
      <c r="D551" s="93">
        <v>67</v>
      </c>
      <c r="E551" s="88"/>
      <c r="F551" s="89"/>
      <c r="G551" s="87"/>
      <c r="H551" s="89"/>
      <c r="I551" s="88"/>
      <c r="J551" s="89"/>
      <c r="K551" s="89"/>
      <c r="L551" s="32"/>
    </row>
    <row r="552" spans="1:11" s="122" customFormat="1" ht="13.5">
      <c r="A552" s="168">
        <v>25</v>
      </c>
      <c r="B552" s="169" t="s">
        <v>512</v>
      </c>
      <c r="C552" s="226" t="s">
        <v>48</v>
      </c>
      <c r="D552" s="270">
        <v>87</v>
      </c>
      <c r="E552" s="271"/>
      <c r="F552" s="271">
        <f>E552*D552</f>
        <v>0</v>
      </c>
      <c r="G552" s="271"/>
      <c r="H552" s="271"/>
      <c r="I552" s="271"/>
      <c r="J552" s="271"/>
      <c r="K552" s="271">
        <f>F552+H552+J552</f>
        <v>0</v>
      </c>
    </row>
    <row r="553" spans="1:12" ht="27">
      <c r="A553" s="85">
        <v>26</v>
      </c>
      <c r="B553" s="95" t="s">
        <v>513</v>
      </c>
      <c r="C553" s="85"/>
      <c r="D553" s="92"/>
      <c r="E553" s="88"/>
      <c r="F553" s="89"/>
      <c r="G553" s="87"/>
      <c r="H553" s="89"/>
      <c r="I553" s="88"/>
      <c r="J553" s="89"/>
      <c r="K553" s="89"/>
      <c r="L553" s="32"/>
    </row>
    <row r="554" spans="1:12" ht="13.5">
      <c r="A554" s="85"/>
      <c r="B554" s="86" t="s">
        <v>76</v>
      </c>
      <c r="C554" s="85" t="s">
        <v>47</v>
      </c>
      <c r="D554" s="252">
        <v>5682</v>
      </c>
      <c r="E554" s="89"/>
      <c r="F554" s="89">
        <f>D554*E554</f>
        <v>0</v>
      </c>
      <c r="G554" s="87"/>
      <c r="H554" s="89"/>
      <c r="I554" s="88"/>
      <c r="J554" s="89"/>
      <c r="K554" s="89">
        <f>F554+H554+J554</f>
        <v>0</v>
      </c>
      <c r="L554" s="32"/>
    </row>
    <row r="555" spans="1:12" ht="13.5">
      <c r="A555" s="85"/>
      <c r="B555" s="86" t="s">
        <v>75</v>
      </c>
      <c r="C555" s="85" t="s">
        <v>47</v>
      </c>
      <c r="D555" s="252">
        <v>1680</v>
      </c>
      <c r="E555" s="89"/>
      <c r="F555" s="89">
        <f>D555*E555</f>
        <v>0</v>
      </c>
      <c r="G555" s="87"/>
      <c r="H555" s="89"/>
      <c r="I555" s="88"/>
      <c r="J555" s="89"/>
      <c r="K555" s="89">
        <f>F555+H555+J555</f>
        <v>0</v>
      </c>
      <c r="L555" s="32"/>
    </row>
    <row r="556" spans="1:12" ht="13.5">
      <c r="A556" s="85"/>
      <c r="B556" s="86" t="s">
        <v>514</v>
      </c>
      <c r="C556" s="85" t="s">
        <v>47</v>
      </c>
      <c r="D556" s="252">
        <v>55</v>
      </c>
      <c r="E556" s="344"/>
      <c r="F556" s="89">
        <f>D556*E556</f>
        <v>0</v>
      </c>
      <c r="G556" s="87"/>
      <c r="H556" s="89"/>
      <c r="I556" s="88"/>
      <c r="J556" s="89"/>
      <c r="K556" s="89">
        <f>F556+H556+J556</f>
        <v>0</v>
      </c>
      <c r="L556" s="32"/>
    </row>
    <row r="557" spans="1:12" ht="46.5" customHeight="1">
      <c r="A557" s="85">
        <v>27</v>
      </c>
      <c r="B557" s="86" t="s">
        <v>515</v>
      </c>
      <c r="C557" s="105"/>
      <c r="D557" s="125"/>
      <c r="E557" s="87"/>
      <c r="F557" s="89"/>
      <c r="G557" s="88"/>
      <c r="H557" s="89"/>
      <c r="I557" s="88"/>
      <c r="J557" s="89"/>
      <c r="K557" s="89"/>
      <c r="L557" s="42"/>
    </row>
    <row r="558" spans="1:12" s="51" customFormat="1" ht="13.5">
      <c r="A558" s="85"/>
      <c r="B558" s="118" t="s">
        <v>122</v>
      </c>
      <c r="C558" s="85" t="s">
        <v>47</v>
      </c>
      <c r="D558" s="240">
        <v>595</v>
      </c>
      <c r="E558" s="87"/>
      <c r="F558" s="89">
        <f>D558*E558</f>
        <v>0</v>
      </c>
      <c r="G558" s="88"/>
      <c r="H558" s="89"/>
      <c r="I558" s="88"/>
      <c r="J558" s="89"/>
      <c r="K558" s="89">
        <f>F558+H558+J558</f>
        <v>0</v>
      </c>
      <c r="L558" s="42"/>
    </row>
    <row r="559" spans="1:12" s="51" customFormat="1" ht="13.5">
      <c r="A559" s="85"/>
      <c r="B559" s="118" t="s">
        <v>187</v>
      </c>
      <c r="C559" s="85" t="s">
        <v>47</v>
      </c>
      <c r="D559" s="240">
        <v>250</v>
      </c>
      <c r="E559" s="87"/>
      <c r="F559" s="89">
        <f>D559*E559</f>
        <v>0</v>
      </c>
      <c r="G559" s="88"/>
      <c r="H559" s="89"/>
      <c r="I559" s="88"/>
      <c r="J559" s="89"/>
      <c r="K559" s="89">
        <f>F559+H559+J559</f>
        <v>0</v>
      </c>
      <c r="L559" s="42"/>
    </row>
    <row r="560" spans="1:12" s="51" customFormat="1" ht="13.5">
      <c r="A560" s="85"/>
      <c r="B560" s="118" t="s">
        <v>188</v>
      </c>
      <c r="C560" s="85" t="s">
        <v>47</v>
      </c>
      <c r="D560" s="240">
        <v>61</v>
      </c>
      <c r="E560" s="87"/>
      <c r="F560" s="89">
        <f>D560*E560</f>
        <v>0</v>
      </c>
      <c r="G560" s="88"/>
      <c r="H560" s="89"/>
      <c r="I560" s="88"/>
      <c r="J560" s="89"/>
      <c r="K560" s="89">
        <f>F560+H560+J560</f>
        <v>0</v>
      </c>
      <c r="L560" s="42"/>
    </row>
    <row r="561" spans="1:12" s="51" customFormat="1" ht="13.5">
      <c r="A561" s="85"/>
      <c r="B561" s="118" t="s">
        <v>516</v>
      </c>
      <c r="C561" s="85" t="s">
        <v>47</v>
      </c>
      <c r="D561" s="240">
        <v>80</v>
      </c>
      <c r="E561" s="87"/>
      <c r="F561" s="89">
        <f>D561*E561</f>
        <v>0</v>
      </c>
      <c r="G561" s="88"/>
      <c r="H561" s="89"/>
      <c r="I561" s="88"/>
      <c r="J561" s="89"/>
      <c r="K561" s="89">
        <f>F561+H561+J561</f>
        <v>0</v>
      </c>
      <c r="L561" s="42"/>
    </row>
    <row r="562" spans="1:12" ht="16.5" customHeight="1">
      <c r="A562" s="85">
        <v>28</v>
      </c>
      <c r="B562" s="86" t="s">
        <v>119</v>
      </c>
      <c r="C562" s="85" t="s">
        <v>47</v>
      </c>
      <c r="D562" s="240">
        <v>845</v>
      </c>
      <c r="E562" s="87"/>
      <c r="F562" s="89"/>
      <c r="G562" s="88"/>
      <c r="H562" s="89"/>
      <c r="I562" s="88"/>
      <c r="J562" s="89"/>
      <c r="K562" s="89"/>
      <c r="L562" s="42"/>
    </row>
    <row r="563" spans="1:12" ht="16.5" customHeight="1">
      <c r="A563" s="85">
        <v>29</v>
      </c>
      <c r="B563" s="86" t="s">
        <v>189</v>
      </c>
      <c r="C563" s="85" t="s">
        <v>47</v>
      </c>
      <c r="D563" s="240">
        <v>61</v>
      </c>
      <c r="E563" s="87"/>
      <c r="F563" s="89"/>
      <c r="G563" s="88"/>
      <c r="H563" s="89"/>
      <c r="I563" s="88"/>
      <c r="J563" s="89"/>
      <c r="K563" s="89"/>
      <c r="L563" s="42"/>
    </row>
    <row r="564" spans="1:12" ht="16.5" customHeight="1">
      <c r="A564" s="85">
        <v>30</v>
      </c>
      <c r="B564" s="86" t="s">
        <v>190</v>
      </c>
      <c r="C564" s="85" t="s">
        <v>47</v>
      </c>
      <c r="D564" s="92">
        <v>80</v>
      </c>
      <c r="E564" s="87"/>
      <c r="F564" s="89"/>
      <c r="G564" s="88"/>
      <c r="H564" s="89"/>
      <c r="I564" s="88"/>
      <c r="J564" s="89"/>
      <c r="K564" s="89"/>
      <c r="L564" s="42"/>
    </row>
    <row r="565" spans="1:11" s="80" customFormat="1" ht="13.5">
      <c r="A565" s="168">
        <v>31</v>
      </c>
      <c r="B565" s="202" t="s">
        <v>517</v>
      </c>
      <c r="C565" s="168" t="s">
        <v>48</v>
      </c>
      <c r="D565" s="270">
        <v>9</v>
      </c>
      <c r="E565" s="345"/>
      <c r="F565" s="345"/>
      <c r="G565" s="345"/>
      <c r="H565" s="345"/>
      <c r="I565" s="345"/>
      <c r="J565" s="345"/>
      <c r="K565" s="345"/>
    </row>
    <row r="566" spans="1:11" s="80" customFormat="1" ht="13.5">
      <c r="A566" s="168">
        <v>32</v>
      </c>
      <c r="B566" s="202" t="s">
        <v>120</v>
      </c>
      <c r="C566" s="199" t="s">
        <v>47</v>
      </c>
      <c r="D566" s="270">
        <v>242</v>
      </c>
      <c r="E566" s="345"/>
      <c r="F566" s="345"/>
      <c r="G566" s="345"/>
      <c r="H566" s="345"/>
      <c r="I566" s="345"/>
      <c r="J566" s="345"/>
      <c r="K566" s="345"/>
    </row>
    <row r="567" spans="1:12" ht="13.5">
      <c r="A567" s="123"/>
      <c r="B567" s="145" t="s">
        <v>45</v>
      </c>
      <c r="C567" s="124"/>
      <c r="D567" s="113"/>
      <c r="E567" s="93"/>
      <c r="F567" s="93"/>
      <c r="G567" s="93"/>
      <c r="H567" s="93"/>
      <c r="I567" s="93"/>
      <c r="J567" s="93"/>
      <c r="K567" s="93"/>
      <c r="L567" s="48"/>
    </row>
    <row r="568" spans="1:12" ht="13.5">
      <c r="A568" s="124"/>
      <c r="B568" s="144" t="s">
        <v>52</v>
      </c>
      <c r="C568" s="124"/>
      <c r="D568" s="113"/>
      <c r="E568" s="92"/>
      <c r="F568" s="93"/>
      <c r="G568" s="93"/>
      <c r="H568" s="93"/>
      <c r="I568" s="93"/>
      <c r="J568" s="93"/>
      <c r="K568" s="93"/>
      <c r="L568" s="32"/>
    </row>
    <row r="569" spans="1:12" ht="13.5">
      <c r="A569" s="124"/>
      <c r="B569" s="144" t="s">
        <v>386</v>
      </c>
      <c r="C569" s="124" t="s">
        <v>381</v>
      </c>
      <c r="D569" s="113"/>
      <c r="E569" s="92"/>
      <c r="F569" s="113"/>
      <c r="G569" s="91"/>
      <c r="H569" s="113"/>
      <c r="I569" s="92"/>
      <c r="J569" s="113"/>
      <c r="K569" s="93"/>
      <c r="L569" s="32"/>
    </row>
    <row r="570" spans="1:12" ht="13.5">
      <c r="A570" s="124"/>
      <c r="B570" s="145" t="s">
        <v>45</v>
      </c>
      <c r="C570" s="124"/>
      <c r="D570" s="113"/>
      <c r="E570" s="92"/>
      <c r="F570" s="93"/>
      <c r="G570" s="93"/>
      <c r="H570" s="93"/>
      <c r="I570" s="93"/>
      <c r="J570" s="93"/>
      <c r="K570" s="93"/>
      <c r="L570" s="32"/>
    </row>
    <row r="571" spans="1:12" ht="13.5">
      <c r="A571" s="124"/>
      <c r="B571" s="95" t="s">
        <v>384</v>
      </c>
      <c r="C571" s="91" t="s">
        <v>381</v>
      </c>
      <c r="D571" s="125"/>
      <c r="E571" s="92"/>
      <c r="F571" s="93"/>
      <c r="G571" s="93"/>
      <c r="H571" s="93"/>
      <c r="I571" s="93"/>
      <c r="J571" s="93"/>
      <c r="K571" s="93"/>
      <c r="L571" s="32"/>
    </row>
    <row r="572" spans="1:12" ht="13.5">
      <c r="A572" s="124"/>
      <c r="B572" s="97" t="s">
        <v>582</v>
      </c>
      <c r="C572" s="91"/>
      <c r="D572" s="125"/>
      <c r="E572" s="92"/>
      <c r="F572" s="93"/>
      <c r="G572" s="93"/>
      <c r="H572" s="93"/>
      <c r="I572" s="93"/>
      <c r="J572" s="93"/>
      <c r="K572" s="93"/>
      <c r="L572" s="46"/>
    </row>
    <row r="573" spans="1:12" s="33" customFormat="1" ht="34.5" customHeight="1">
      <c r="A573" s="85"/>
      <c r="B573" s="267" t="s">
        <v>583</v>
      </c>
      <c r="C573" s="87"/>
      <c r="D573" s="227"/>
      <c r="E573" s="227"/>
      <c r="F573" s="227"/>
      <c r="G573" s="227"/>
      <c r="H573" s="227"/>
      <c r="I573" s="227"/>
      <c r="J573" s="227"/>
      <c r="K573" s="227"/>
      <c r="L573" s="42"/>
    </row>
    <row r="574" spans="1:11" s="281" customFormat="1" ht="31.5">
      <c r="A574" s="277"/>
      <c r="B574" s="366" t="s">
        <v>70</v>
      </c>
      <c r="C574" s="277"/>
      <c r="D574" s="278"/>
      <c r="E574" s="279"/>
      <c r="F574" s="280"/>
      <c r="G574" s="278"/>
      <c r="H574" s="280"/>
      <c r="I574" s="278"/>
      <c r="J574" s="280"/>
      <c r="K574" s="280"/>
    </row>
    <row r="575" spans="1:13" s="15" customFormat="1" ht="15.75" customHeight="1">
      <c r="A575" s="85">
        <v>1</v>
      </c>
      <c r="B575" s="86" t="s">
        <v>149</v>
      </c>
      <c r="C575" s="87" t="s">
        <v>48</v>
      </c>
      <c r="D575" s="92">
        <v>2</v>
      </c>
      <c r="E575" s="88"/>
      <c r="F575" s="89"/>
      <c r="G575" s="87"/>
      <c r="H575" s="134"/>
      <c r="I575" s="88"/>
      <c r="J575" s="89"/>
      <c r="K575" s="89"/>
      <c r="L575" s="32"/>
      <c r="M575" s="55"/>
    </row>
    <row r="576" spans="1:13" s="15" customFormat="1" ht="15.75" customHeight="1">
      <c r="A576" s="85">
        <v>2</v>
      </c>
      <c r="B576" s="86" t="s">
        <v>107</v>
      </c>
      <c r="C576" s="87" t="s">
        <v>48</v>
      </c>
      <c r="D576" s="92">
        <v>1</v>
      </c>
      <c r="E576" s="88"/>
      <c r="F576" s="89"/>
      <c r="G576" s="87"/>
      <c r="H576" s="134"/>
      <c r="I576" s="88"/>
      <c r="J576" s="89"/>
      <c r="K576" s="89"/>
      <c r="L576" s="32"/>
      <c r="M576" s="55"/>
    </row>
    <row r="577" spans="1:13" s="15" customFormat="1" ht="15.75" customHeight="1">
      <c r="A577" s="85">
        <v>3</v>
      </c>
      <c r="B577" s="86" t="s">
        <v>144</v>
      </c>
      <c r="C577" s="87" t="s">
        <v>48</v>
      </c>
      <c r="D577" s="92">
        <v>2</v>
      </c>
      <c r="E577" s="88"/>
      <c r="F577" s="89"/>
      <c r="G577" s="87"/>
      <c r="H577" s="134"/>
      <c r="I577" s="88"/>
      <c r="J577" s="89"/>
      <c r="K577" s="89"/>
      <c r="L577" s="32"/>
      <c r="M577" s="55"/>
    </row>
    <row r="578" spans="1:12" ht="15.75" customHeight="1">
      <c r="A578" s="85">
        <v>4</v>
      </c>
      <c r="B578" s="86" t="s">
        <v>652</v>
      </c>
      <c r="C578" s="87" t="s">
        <v>48</v>
      </c>
      <c r="D578" s="323">
        <v>5</v>
      </c>
      <c r="E578" s="107"/>
      <c r="F578" s="107"/>
      <c r="G578" s="107"/>
      <c r="H578" s="107"/>
      <c r="I578" s="107"/>
      <c r="J578" s="107"/>
      <c r="K578" s="107"/>
      <c r="L578" s="32"/>
    </row>
    <row r="579" spans="1:12" ht="17.25" customHeight="1">
      <c r="A579" s="85">
        <v>5</v>
      </c>
      <c r="B579" s="86" t="s">
        <v>653</v>
      </c>
      <c r="C579" s="87" t="s">
        <v>48</v>
      </c>
      <c r="D579" s="92">
        <v>69</v>
      </c>
      <c r="E579" s="88"/>
      <c r="F579" s="89"/>
      <c r="G579" s="87"/>
      <c r="H579" s="134"/>
      <c r="I579" s="88"/>
      <c r="J579" s="89"/>
      <c r="K579" s="89"/>
      <c r="L579" s="32"/>
    </row>
    <row r="580" spans="1:12" ht="20.25" customHeight="1">
      <c r="A580" s="85">
        <v>6</v>
      </c>
      <c r="B580" s="86" t="s">
        <v>108</v>
      </c>
      <c r="C580" s="87" t="s">
        <v>48</v>
      </c>
      <c r="D580" s="92">
        <v>13</v>
      </c>
      <c r="E580" s="88"/>
      <c r="F580" s="89"/>
      <c r="G580" s="87"/>
      <c r="H580" s="134"/>
      <c r="I580" s="88"/>
      <c r="J580" s="89"/>
      <c r="K580" s="89"/>
      <c r="L580" s="32"/>
    </row>
    <row r="581" spans="1:12" s="33" customFormat="1" ht="13.5">
      <c r="A581" s="85">
        <v>7</v>
      </c>
      <c r="B581" s="86" t="s">
        <v>145</v>
      </c>
      <c r="C581" s="85" t="s">
        <v>47</v>
      </c>
      <c r="D581" s="92">
        <v>30</v>
      </c>
      <c r="E581" s="87"/>
      <c r="F581" s="89"/>
      <c r="G581" s="88"/>
      <c r="H581" s="89"/>
      <c r="I581" s="88"/>
      <c r="J581" s="89"/>
      <c r="K581" s="89"/>
      <c r="L581" s="32"/>
    </row>
    <row r="582" spans="1:12" ht="13.5">
      <c r="A582" s="85">
        <v>8</v>
      </c>
      <c r="B582" s="86" t="s">
        <v>193</v>
      </c>
      <c r="C582" s="85" t="s">
        <v>47</v>
      </c>
      <c r="D582" s="92">
        <v>30</v>
      </c>
      <c r="E582" s="266"/>
      <c r="F582" s="266"/>
      <c r="G582" s="266"/>
      <c r="H582" s="266"/>
      <c r="I582" s="266"/>
      <c r="J582" s="266"/>
      <c r="K582" s="266"/>
      <c r="L582" s="32"/>
    </row>
    <row r="583" spans="1:12" ht="16.5" customHeight="1">
      <c r="A583" s="85">
        <v>9</v>
      </c>
      <c r="B583" s="86" t="s">
        <v>69</v>
      </c>
      <c r="C583" s="85" t="s">
        <v>47</v>
      </c>
      <c r="D583" s="92">
        <v>1</v>
      </c>
      <c r="E583" s="87"/>
      <c r="F583" s="89"/>
      <c r="G583" s="88"/>
      <c r="H583" s="89"/>
      <c r="I583" s="88"/>
      <c r="J583" s="89"/>
      <c r="K583" s="89"/>
      <c r="L583" s="32"/>
    </row>
    <row r="584" spans="1:12" s="15" customFormat="1" ht="16.5">
      <c r="A584" s="85"/>
      <c r="B584" s="238" t="s">
        <v>146</v>
      </c>
      <c r="C584" s="85"/>
      <c r="D584" s="89"/>
      <c r="E584" s="88"/>
      <c r="F584" s="89"/>
      <c r="G584" s="88"/>
      <c r="H584" s="89"/>
      <c r="I584" s="88"/>
      <c r="J584" s="89"/>
      <c r="K584" s="89"/>
      <c r="L584" s="32"/>
    </row>
    <row r="585" spans="1:12" ht="27">
      <c r="A585" s="85">
        <v>11</v>
      </c>
      <c r="B585" s="86" t="s">
        <v>109</v>
      </c>
      <c r="C585" s="87" t="s">
        <v>48</v>
      </c>
      <c r="D585" s="92">
        <v>1</v>
      </c>
      <c r="E585" s="87"/>
      <c r="F585" s="89"/>
      <c r="G585" s="88"/>
      <c r="H585" s="89"/>
      <c r="I585" s="88"/>
      <c r="J585" s="89"/>
      <c r="K585" s="89"/>
      <c r="L585" s="32"/>
    </row>
    <row r="586" spans="1:12" ht="14.25" customHeight="1">
      <c r="A586" s="85">
        <v>12</v>
      </c>
      <c r="B586" s="86" t="s">
        <v>110</v>
      </c>
      <c r="C586" s="87" t="s">
        <v>48</v>
      </c>
      <c r="D586" s="92">
        <v>1</v>
      </c>
      <c r="E586" s="87"/>
      <c r="F586" s="89"/>
      <c r="G586" s="88"/>
      <c r="H586" s="89"/>
      <c r="I586" s="88"/>
      <c r="J586" s="89"/>
      <c r="K586" s="89"/>
      <c r="L586" s="32"/>
    </row>
    <row r="587" spans="1:12" ht="17.25" customHeight="1">
      <c r="A587" s="85">
        <v>13</v>
      </c>
      <c r="B587" s="86" t="s">
        <v>111</v>
      </c>
      <c r="C587" s="87" t="s">
        <v>48</v>
      </c>
      <c r="D587" s="92">
        <v>1</v>
      </c>
      <c r="E587" s="87"/>
      <c r="F587" s="89"/>
      <c r="G587" s="88"/>
      <c r="H587" s="89"/>
      <c r="I587" s="88"/>
      <c r="J587" s="89"/>
      <c r="K587" s="89"/>
      <c r="L587" s="32"/>
    </row>
    <row r="588" spans="1:12" ht="17.25" customHeight="1">
      <c r="A588" s="85">
        <v>14</v>
      </c>
      <c r="B588" s="86" t="s">
        <v>654</v>
      </c>
      <c r="C588" s="87" t="s">
        <v>48</v>
      </c>
      <c r="D588" s="92">
        <v>3</v>
      </c>
      <c r="E588" s="88"/>
      <c r="F588" s="89"/>
      <c r="G588" s="87"/>
      <c r="H588" s="134"/>
      <c r="I588" s="88"/>
      <c r="J588" s="89"/>
      <c r="K588" s="89"/>
      <c r="L588" s="32"/>
    </row>
    <row r="589" spans="1:12" ht="13.5" customHeight="1">
      <c r="A589" s="85">
        <v>15</v>
      </c>
      <c r="B589" s="86" t="s">
        <v>379</v>
      </c>
      <c r="C589" s="85" t="s">
        <v>47</v>
      </c>
      <c r="D589" s="92">
        <f>200+20</f>
        <v>220</v>
      </c>
      <c r="E589" s="87"/>
      <c r="F589" s="89"/>
      <c r="G589" s="88"/>
      <c r="H589" s="89"/>
      <c r="I589" s="88"/>
      <c r="J589" s="89"/>
      <c r="K589" s="89"/>
      <c r="L589" s="32"/>
    </row>
    <row r="590" spans="1:12" ht="13.5">
      <c r="A590" s="85">
        <v>16</v>
      </c>
      <c r="B590" s="118" t="s">
        <v>194</v>
      </c>
      <c r="C590" s="85" t="s">
        <v>48</v>
      </c>
      <c r="D590" s="92">
        <v>1</v>
      </c>
      <c r="E590" s="87"/>
      <c r="F590" s="89">
        <f>D590*E590</f>
        <v>0</v>
      </c>
      <c r="G590" s="87"/>
      <c r="H590" s="134"/>
      <c r="I590" s="88"/>
      <c r="J590" s="89"/>
      <c r="K590" s="89">
        <f>F590+H590+J590</f>
        <v>0</v>
      </c>
      <c r="L590" s="32"/>
    </row>
    <row r="591" spans="1:12" ht="16.5">
      <c r="A591" s="85"/>
      <c r="B591" s="238" t="s">
        <v>147</v>
      </c>
      <c r="C591" s="85"/>
      <c r="D591" s="89"/>
      <c r="E591" s="88"/>
      <c r="F591" s="89"/>
      <c r="G591" s="88"/>
      <c r="H591" s="89"/>
      <c r="I591" s="88"/>
      <c r="J591" s="89"/>
      <c r="K591" s="89"/>
      <c r="L591" s="32"/>
    </row>
    <row r="592" spans="1:13" ht="13.5" customHeight="1">
      <c r="A592" s="85">
        <v>17</v>
      </c>
      <c r="B592" s="86" t="s">
        <v>68</v>
      </c>
      <c r="C592" s="87" t="s">
        <v>48</v>
      </c>
      <c r="D592" s="92">
        <v>10</v>
      </c>
      <c r="E592" s="88"/>
      <c r="F592" s="89"/>
      <c r="G592" s="87"/>
      <c r="H592" s="89"/>
      <c r="I592" s="88"/>
      <c r="J592" s="89"/>
      <c r="K592" s="89">
        <f>H592+F592+J592</f>
        <v>0</v>
      </c>
      <c r="L592" s="32"/>
      <c r="M592" s="55"/>
    </row>
    <row r="593" spans="1:13" s="56" customFormat="1" ht="13.5" customHeight="1">
      <c r="A593" s="85">
        <v>18</v>
      </c>
      <c r="B593" s="86" t="s">
        <v>112</v>
      </c>
      <c r="C593" s="87" t="s">
        <v>48</v>
      </c>
      <c r="D593" s="92">
        <v>1</v>
      </c>
      <c r="E593" s="87"/>
      <c r="F593" s="89">
        <f>D593*E593</f>
        <v>0</v>
      </c>
      <c r="G593" s="170"/>
      <c r="H593" s="134"/>
      <c r="I593" s="88"/>
      <c r="J593" s="89"/>
      <c r="K593" s="89">
        <f>H593+F593+J593</f>
        <v>0</v>
      </c>
      <c r="L593" s="32"/>
      <c r="M593" s="103"/>
    </row>
    <row r="594" spans="1:12" ht="15" customHeight="1">
      <c r="A594" s="85">
        <v>19</v>
      </c>
      <c r="B594" s="86" t="s">
        <v>195</v>
      </c>
      <c r="C594" s="85" t="s">
        <v>47</v>
      </c>
      <c r="D594" s="92">
        <v>600</v>
      </c>
      <c r="E594" s="87"/>
      <c r="F594" s="89"/>
      <c r="G594" s="88"/>
      <c r="H594" s="89"/>
      <c r="I594" s="88"/>
      <c r="J594" s="89"/>
      <c r="K594" s="89"/>
      <c r="L594" s="32"/>
    </row>
    <row r="595" spans="1:12" s="15" customFormat="1" ht="16.5">
      <c r="A595" s="85"/>
      <c r="B595" s="238" t="s">
        <v>148</v>
      </c>
      <c r="C595" s="85"/>
      <c r="D595" s="89"/>
      <c r="E595" s="88"/>
      <c r="F595" s="89"/>
      <c r="G595" s="88"/>
      <c r="H595" s="89"/>
      <c r="I595" s="88"/>
      <c r="J595" s="89"/>
      <c r="K595" s="89"/>
      <c r="L595" s="32"/>
    </row>
    <row r="596" spans="1:12" ht="14.25" customHeight="1">
      <c r="A596" s="85">
        <v>20</v>
      </c>
      <c r="B596" s="86" t="s">
        <v>170</v>
      </c>
      <c r="C596" s="87" t="s">
        <v>48</v>
      </c>
      <c r="D596" s="92">
        <v>1</v>
      </c>
      <c r="E596" s="87"/>
      <c r="F596" s="89"/>
      <c r="G596" s="88"/>
      <c r="H596" s="89"/>
      <c r="I596" s="88"/>
      <c r="J596" s="89"/>
      <c r="K596" s="89"/>
      <c r="L596" s="42"/>
    </row>
    <row r="597" spans="1:12" ht="18.75" customHeight="1">
      <c r="A597" s="85">
        <v>21</v>
      </c>
      <c r="B597" s="86" t="s">
        <v>113</v>
      </c>
      <c r="C597" s="87" t="s">
        <v>48</v>
      </c>
      <c r="D597" s="92">
        <v>8</v>
      </c>
      <c r="E597" s="87"/>
      <c r="F597" s="89"/>
      <c r="G597" s="88"/>
      <c r="H597" s="89"/>
      <c r="I597" s="88"/>
      <c r="J597" s="89"/>
      <c r="K597" s="89"/>
      <c r="L597" s="42"/>
    </row>
    <row r="598" spans="1:12" ht="15" customHeight="1">
      <c r="A598" s="85">
        <v>22</v>
      </c>
      <c r="B598" s="86" t="s">
        <v>195</v>
      </c>
      <c r="C598" s="85" t="s">
        <v>47</v>
      </c>
      <c r="D598" s="92">
        <v>450</v>
      </c>
      <c r="E598" s="87"/>
      <c r="F598" s="89"/>
      <c r="G598" s="88"/>
      <c r="H598" s="89"/>
      <c r="I598" s="88"/>
      <c r="J598" s="89"/>
      <c r="K598" s="89"/>
      <c r="L598" s="32"/>
    </row>
    <row r="599" spans="1:13" s="56" customFormat="1" ht="17.25" customHeight="1">
      <c r="A599" s="124"/>
      <c r="B599" s="238" t="s">
        <v>71</v>
      </c>
      <c r="C599" s="87"/>
      <c r="D599" s="89"/>
      <c r="E599" s="87"/>
      <c r="F599" s="89"/>
      <c r="G599" s="170"/>
      <c r="H599" s="134"/>
      <c r="I599" s="88"/>
      <c r="J599" s="89"/>
      <c r="K599" s="89"/>
      <c r="L599" s="32"/>
      <c r="M599" s="103"/>
    </row>
    <row r="600" spans="1:12" ht="16.5" customHeight="1">
      <c r="A600" s="85">
        <v>23</v>
      </c>
      <c r="B600" s="86" t="s">
        <v>196</v>
      </c>
      <c r="C600" s="87" t="s">
        <v>48</v>
      </c>
      <c r="D600" s="92">
        <v>1</v>
      </c>
      <c r="E600" s="88"/>
      <c r="F600" s="89"/>
      <c r="G600" s="87"/>
      <c r="H600" s="89"/>
      <c r="I600" s="88"/>
      <c r="J600" s="89"/>
      <c r="K600" s="89"/>
      <c r="L600" s="32"/>
    </row>
    <row r="601" spans="1:12" ht="15.75" customHeight="1">
      <c r="A601" s="85">
        <v>24</v>
      </c>
      <c r="B601" s="86" t="s">
        <v>114</v>
      </c>
      <c r="C601" s="87" t="s">
        <v>48</v>
      </c>
      <c r="D601" s="98">
        <v>235</v>
      </c>
      <c r="E601" s="88"/>
      <c r="F601" s="89"/>
      <c r="G601" s="87"/>
      <c r="H601" s="89"/>
      <c r="I601" s="88"/>
      <c r="J601" s="89"/>
      <c r="K601" s="89"/>
      <c r="L601" s="42"/>
    </row>
    <row r="602" spans="1:12" ht="15.75" customHeight="1">
      <c r="A602" s="85">
        <v>25</v>
      </c>
      <c r="B602" s="86" t="s">
        <v>198</v>
      </c>
      <c r="C602" s="87" t="s">
        <v>48</v>
      </c>
      <c r="D602" s="98">
        <v>4</v>
      </c>
      <c r="E602" s="88"/>
      <c r="F602" s="89"/>
      <c r="G602" s="87"/>
      <c r="H602" s="89"/>
      <c r="I602" s="88"/>
      <c r="J602" s="89"/>
      <c r="K602" s="89"/>
      <c r="L602" s="42"/>
    </row>
    <row r="603" spans="1:12" ht="13.5">
      <c r="A603" s="85">
        <v>26</v>
      </c>
      <c r="B603" s="133" t="s">
        <v>115</v>
      </c>
      <c r="C603" s="87" t="s">
        <v>48</v>
      </c>
      <c r="D603" s="93">
        <v>239</v>
      </c>
      <c r="E603" s="170"/>
      <c r="F603" s="89">
        <f>D603*E603</f>
        <v>0</v>
      </c>
      <c r="G603" s="87"/>
      <c r="H603" s="89"/>
      <c r="I603" s="88"/>
      <c r="J603" s="89"/>
      <c r="K603" s="89">
        <f>F603+H603+J603</f>
        <v>0</v>
      </c>
      <c r="L603" s="32"/>
    </row>
    <row r="604" spans="1:12" ht="16.5" customHeight="1">
      <c r="A604" s="85">
        <v>27</v>
      </c>
      <c r="B604" s="86" t="s">
        <v>197</v>
      </c>
      <c r="C604" s="87" t="s">
        <v>48</v>
      </c>
      <c r="D604" s="92">
        <v>12</v>
      </c>
      <c r="E604" s="88"/>
      <c r="F604" s="89"/>
      <c r="G604" s="87"/>
      <c r="H604" s="89"/>
      <c r="I604" s="88"/>
      <c r="J604" s="89"/>
      <c r="K604" s="89"/>
      <c r="L604" s="32"/>
    </row>
    <row r="605" spans="1:12" ht="18" customHeight="1">
      <c r="A605" s="85">
        <v>28</v>
      </c>
      <c r="B605" s="86" t="s">
        <v>656</v>
      </c>
      <c r="C605" s="87" t="s">
        <v>48</v>
      </c>
      <c r="D605" s="92">
        <v>7</v>
      </c>
      <c r="E605" s="88"/>
      <c r="F605" s="89"/>
      <c r="G605" s="87"/>
      <c r="H605" s="89"/>
      <c r="I605" s="88"/>
      <c r="J605" s="89"/>
      <c r="K605" s="89"/>
      <c r="L605" s="32"/>
    </row>
    <row r="606" spans="1:12" ht="15" customHeight="1">
      <c r="A606" s="85">
        <v>29</v>
      </c>
      <c r="B606" s="201" t="s">
        <v>657</v>
      </c>
      <c r="C606" s="87" t="s">
        <v>47</v>
      </c>
      <c r="D606" s="92">
        <v>5000</v>
      </c>
      <c r="E606" s="266"/>
      <c r="F606" s="266"/>
      <c r="G606" s="266"/>
      <c r="H606" s="266"/>
      <c r="I606" s="266"/>
      <c r="J606" s="266"/>
      <c r="K606" s="266"/>
      <c r="L606" s="32"/>
    </row>
    <row r="607" spans="1:12" s="15" customFormat="1" ht="16.5">
      <c r="A607" s="85"/>
      <c r="B607" s="267" t="s">
        <v>518</v>
      </c>
      <c r="C607" s="85"/>
      <c r="D607" s="89"/>
      <c r="E607" s="266"/>
      <c r="F607" s="89"/>
      <c r="G607" s="266"/>
      <c r="H607" s="266"/>
      <c r="I607" s="266"/>
      <c r="J607" s="266"/>
      <c r="K607" s="89"/>
      <c r="L607" s="32"/>
    </row>
    <row r="608" spans="1:12" ht="28.5" customHeight="1">
      <c r="A608" s="85">
        <v>30</v>
      </c>
      <c r="B608" s="95" t="s">
        <v>519</v>
      </c>
      <c r="C608" s="85"/>
      <c r="D608" s="92"/>
      <c r="E608" s="87"/>
      <c r="F608" s="89"/>
      <c r="G608" s="88"/>
      <c r="H608" s="89"/>
      <c r="I608" s="88"/>
      <c r="J608" s="89"/>
      <c r="K608" s="89"/>
      <c r="L608" s="32"/>
    </row>
    <row r="609" spans="1:12" s="15" customFormat="1" ht="13.5" customHeight="1">
      <c r="A609" s="85"/>
      <c r="B609" s="86" t="s">
        <v>520</v>
      </c>
      <c r="C609" s="85" t="s">
        <v>47</v>
      </c>
      <c r="D609" s="92">
        <v>3000</v>
      </c>
      <c r="E609" s="170"/>
      <c r="F609" s="89">
        <f>D609*E609</f>
        <v>0</v>
      </c>
      <c r="G609" s="88"/>
      <c r="H609" s="89"/>
      <c r="I609" s="88"/>
      <c r="J609" s="89"/>
      <c r="K609" s="89">
        <f>F609+H609+J609</f>
        <v>0</v>
      </c>
      <c r="L609" s="32"/>
    </row>
    <row r="610" spans="1:12" s="15" customFormat="1" ht="13.5" customHeight="1">
      <c r="A610" s="85"/>
      <c r="B610" s="86" t="s">
        <v>199</v>
      </c>
      <c r="C610" s="85" t="s">
        <v>47</v>
      </c>
      <c r="D610" s="92">
        <v>2000</v>
      </c>
      <c r="E610" s="89"/>
      <c r="F610" s="89">
        <f>D610*E610</f>
        <v>0</v>
      </c>
      <c r="G610" s="88"/>
      <c r="H610" s="89"/>
      <c r="I610" s="88"/>
      <c r="J610" s="89"/>
      <c r="K610" s="89">
        <f>F610+H610+J610</f>
        <v>0</v>
      </c>
      <c r="L610" s="32"/>
    </row>
    <row r="611" spans="1:12" ht="15" customHeight="1">
      <c r="A611" s="124"/>
      <c r="B611" s="145" t="s">
        <v>45</v>
      </c>
      <c r="C611" s="124"/>
      <c r="D611" s="113"/>
      <c r="E611" s="93"/>
      <c r="F611" s="93"/>
      <c r="G611" s="93"/>
      <c r="H611" s="93"/>
      <c r="I611" s="93"/>
      <c r="J611" s="93"/>
      <c r="K611" s="93"/>
      <c r="L611" s="57"/>
    </row>
    <row r="612" spans="1:12" s="59" customFormat="1" ht="14.25" customHeight="1">
      <c r="A612" s="91"/>
      <c r="B612" s="95" t="s">
        <v>52</v>
      </c>
      <c r="C612" s="91"/>
      <c r="D612" s="116"/>
      <c r="E612" s="91"/>
      <c r="F612" s="93"/>
      <c r="G612" s="93"/>
      <c r="H612" s="93"/>
      <c r="I612" s="93"/>
      <c r="J612" s="93"/>
      <c r="K612" s="93"/>
      <c r="L612" s="58"/>
    </row>
    <row r="613" spans="1:12" s="61" customFormat="1" ht="15" customHeight="1">
      <c r="A613" s="91"/>
      <c r="B613" s="119" t="s">
        <v>387</v>
      </c>
      <c r="C613" s="91" t="s">
        <v>381</v>
      </c>
      <c r="D613" s="113"/>
      <c r="E613" s="93"/>
      <c r="F613" s="93"/>
      <c r="G613" s="93"/>
      <c r="H613" s="93"/>
      <c r="I613" s="93"/>
      <c r="J613" s="93"/>
      <c r="K613" s="93"/>
      <c r="L613" s="60"/>
    </row>
    <row r="614" spans="1:12" s="61" customFormat="1" ht="15.75" customHeight="1">
      <c r="A614" s="91"/>
      <c r="B614" s="97" t="s">
        <v>45</v>
      </c>
      <c r="C614" s="91"/>
      <c r="D614" s="113"/>
      <c r="E614" s="93"/>
      <c r="F614" s="93"/>
      <c r="G614" s="93"/>
      <c r="H614" s="93"/>
      <c r="I614" s="93"/>
      <c r="J614" s="93"/>
      <c r="K614" s="93"/>
      <c r="L614" s="60"/>
    </row>
    <row r="615" spans="1:12" s="63" customFormat="1" ht="13.5">
      <c r="A615" s="91"/>
      <c r="B615" s="119" t="s">
        <v>163</v>
      </c>
      <c r="C615" s="91" t="s">
        <v>381</v>
      </c>
      <c r="D615" s="125"/>
      <c r="E615" s="93"/>
      <c r="F615" s="93"/>
      <c r="G615" s="93"/>
      <c r="H615" s="93"/>
      <c r="I615" s="93"/>
      <c r="J615" s="93"/>
      <c r="K615" s="93"/>
      <c r="L615" s="62"/>
    </row>
    <row r="616" spans="1:12" s="63" customFormat="1" ht="13.5">
      <c r="A616" s="91"/>
      <c r="B616" s="97" t="s">
        <v>584</v>
      </c>
      <c r="C616" s="91"/>
      <c r="D616" s="125"/>
      <c r="E616" s="93"/>
      <c r="F616" s="93"/>
      <c r="G616" s="93"/>
      <c r="H616" s="93"/>
      <c r="I616" s="93"/>
      <c r="J616" s="93"/>
      <c r="K616" s="93"/>
      <c r="L616" s="64"/>
    </row>
    <row r="617" spans="1:12" s="33" customFormat="1" ht="70.5" customHeight="1">
      <c r="A617" s="85"/>
      <c r="B617" s="267" t="s">
        <v>585</v>
      </c>
      <c r="C617" s="87"/>
      <c r="D617" s="227"/>
      <c r="E617" s="227"/>
      <c r="F617" s="227"/>
      <c r="G617" s="227"/>
      <c r="H617" s="227"/>
      <c r="I617" s="227"/>
      <c r="J617" s="227"/>
      <c r="K617" s="227"/>
      <c r="L617" s="42"/>
    </row>
    <row r="618" spans="1:253" ht="45.75" customHeight="1">
      <c r="A618" s="85">
        <v>1</v>
      </c>
      <c r="B618" s="142" t="s">
        <v>664</v>
      </c>
      <c r="C618" s="85"/>
      <c r="D618" s="98">
        <v>1</v>
      </c>
      <c r="E618" s="86"/>
      <c r="F618" s="209"/>
      <c r="G618" s="88"/>
      <c r="H618" s="89"/>
      <c r="I618" s="88"/>
      <c r="J618" s="89"/>
      <c r="K618" s="89"/>
      <c r="L618" s="173"/>
      <c r="M618" s="178"/>
      <c r="N618" s="176"/>
      <c r="O618" s="176"/>
      <c r="P618" s="176"/>
      <c r="Q618" s="176"/>
      <c r="R618" s="176"/>
      <c r="S618" s="176"/>
      <c r="T618" s="176"/>
      <c r="U618" s="176"/>
      <c r="V618" s="176"/>
      <c r="W618" s="176"/>
      <c r="X618" s="176"/>
      <c r="Y618" s="176"/>
      <c r="Z618" s="176"/>
      <c r="AA618" s="176"/>
      <c r="AB618" s="176"/>
      <c r="AC618" s="176"/>
      <c r="AD618" s="176"/>
      <c r="AE618" s="176"/>
      <c r="AF618" s="176"/>
      <c r="AG618" s="176"/>
      <c r="AH618" s="176"/>
      <c r="AI618" s="176"/>
      <c r="AJ618" s="176"/>
      <c r="AK618" s="176"/>
      <c r="AL618" s="176"/>
      <c r="AM618" s="176"/>
      <c r="AN618" s="176"/>
      <c r="AO618" s="176"/>
      <c r="AP618" s="176"/>
      <c r="AQ618" s="176"/>
      <c r="AR618" s="176"/>
      <c r="AS618" s="176"/>
      <c r="AT618" s="176"/>
      <c r="AU618" s="176"/>
      <c r="AV618" s="176"/>
      <c r="AW618" s="176"/>
      <c r="AX618" s="176"/>
      <c r="AY618" s="176"/>
      <c r="AZ618" s="176"/>
      <c r="BA618" s="176"/>
      <c r="BB618" s="176"/>
      <c r="BC618" s="176"/>
      <c r="BD618" s="176"/>
      <c r="BE618" s="176"/>
      <c r="BF618" s="176"/>
      <c r="BG618" s="176"/>
      <c r="BH618" s="176"/>
      <c r="BI618" s="176"/>
      <c r="BJ618" s="176"/>
      <c r="BK618" s="176"/>
      <c r="BL618" s="176"/>
      <c r="BM618" s="176"/>
      <c r="BN618" s="176"/>
      <c r="BO618" s="176"/>
      <c r="BP618" s="176"/>
      <c r="BQ618" s="176"/>
      <c r="BR618" s="176"/>
      <c r="BS618" s="176"/>
      <c r="BT618" s="176"/>
      <c r="BU618" s="176"/>
      <c r="BV618" s="176"/>
      <c r="BW618" s="176"/>
      <c r="BX618" s="176"/>
      <c r="BY618" s="176"/>
      <c r="BZ618" s="176"/>
      <c r="CA618" s="176"/>
      <c r="CB618" s="176"/>
      <c r="CC618" s="176"/>
      <c r="CD618" s="176"/>
      <c r="CE618" s="176"/>
      <c r="CF618" s="176"/>
      <c r="CG618" s="176"/>
      <c r="CH618" s="176"/>
      <c r="CI618" s="176"/>
      <c r="CJ618" s="176"/>
      <c r="CK618" s="176"/>
      <c r="CL618" s="176"/>
      <c r="CM618" s="176"/>
      <c r="CN618" s="176"/>
      <c r="CO618" s="176"/>
      <c r="CP618" s="176"/>
      <c r="CQ618" s="176"/>
      <c r="CR618" s="176"/>
      <c r="CS618" s="176"/>
      <c r="CT618" s="176"/>
      <c r="CU618" s="176"/>
      <c r="CV618" s="176"/>
      <c r="CW618" s="176"/>
      <c r="CX618" s="176"/>
      <c r="CY618" s="176"/>
      <c r="CZ618" s="176"/>
      <c r="DA618" s="176"/>
      <c r="DB618" s="176"/>
      <c r="DC618" s="176"/>
      <c r="DD618" s="176"/>
      <c r="DE618" s="176"/>
      <c r="DF618" s="176"/>
      <c r="DG618" s="176"/>
      <c r="DH618" s="176"/>
      <c r="DI618" s="176"/>
      <c r="DJ618" s="176"/>
      <c r="DK618" s="176"/>
      <c r="DL618" s="176"/>
      <c r="DM618" s="176"/>
      <c r="DN618" s="176"/>
      <c r="DO618" s="176"/>
      <c r="DP618" s="176"/>
      <c r="DQ618" s="176"/>
      <c r="DR618" s="176"/>
      <c r="DS618" s="176"/>
      <c r="DT618" s="176"/>
      <c r="DU618" s="176"/>
      <c r="DV618" s="176"/>
      <c r="DW618" s="176"/>
      <c r="DX618" s="176"/>
      <c r="DY618" s="176"/>
      <c r="DZ618" s="176"/>
      <c r="EA618" s="176"/>
      <c r="EB618" s="176"/>
      <c r="EC618" s="176"/>
      <c r="ED618" s="176"/>
      <c r="EE618" s="176"/>
      <c r="EF618" s="176"/>
      <c r="EG618" s="176"/>
      <c r="EH618" s="176"/>
      <c r="EI618" s="176"/>
      <c r="EJ618" s="176"/>
      <c r="EK618" s="176"/>
      <c r="EL618" s="176"/>
      <c r="EM618" s="176"/>
      <c r="EN618" s="176"/>
      <c r="EO618" s="176"/>
      <c r="EP618" s="176"/>
      <c r="EQ618" s="176"/>
      <c r="ER618" s="176"/>
      <c r="ES618" s="176"/>
      <c r="ET618" s="176"/>
      <c r="EU618" s="176"/>
      <c r="EV618" s="176"/>
      <c r="EW618" s="176"/>
      <c r="EX618" s="176"/>
      <c r="EY618" s="176"/>
      <c r="EZ618" s="176"/>
      <c r="FA618" s="176"/>
      <c r="FB618" s="176"/>
      <c r="FC618" s="176"/>
      <c r="FD618" s="176"/>
      <c r="FE618" s="176"/>
      <c r="FF618" s="176"/>
      <c r="FG618" s="176"/>
      <c r="FH618" s="176"/>
      <c r="FI618" s="176"/>
      <c r="FJ618" s="176"/>
      <c r="FK618" s="176"/>
      <c r="FL618" s="176"/>
      <c r="FM618" s="176"/>
      <c r="FN618" s="176"/>
      <c r="FO618" s="176"/>
      <c r="FP618" s="176"/>
      <c r="FQ618" s="176"/>
      <c r="FR618" s="176"/>
      <c r="FS618" s="176"/>
      <c r="FT618" s="176"/>
      <c r="FU618" s="176"/>
      <c r="FV618" s="176"/>
      <c r="FW618" s="176"/>
      <c r="FX618" s="176"/>
      <c r="FY618" s="176"/>
      <c r="FZ618" s="176"/>
      <c r="GA618" s="176"/>
      <c r="GB618" s="176"/>
      <c r="GC618" s="176"/>
      <c r="GD618" s="176"/>
      <c r="GE618" s="176"/>
      <c r="GF618" s="176"/>
      <c r="GG618" s="176"/>
      <c r="GH618" s="176"/>
      <c r="GI618" s="176"/>
      <c r="GJ618" s="176"/>
      <c r="GK618" s="176"/>
      <c r="GL618" s="176"/>
      <c r="GM618" s="176"/>
      <c r="GN618" s="176"/>
      <c r="GO618" s="176"/>
      <c r="GP618" s="176"/>
      <c r="GQ618" s="176"/>
      <c r="GR618" s="176"/>
      <c r="GS618" s="176"/>
      <c r="GT618" s="176"/>
      <c r="GU618" s="176"/>
      <c r="GV618" s="176"/>
      <c r="GW618" s="176"/>
      <c r="GX618" s="176"/>
      <c r="GY618" s="176"/>
      <c r="GZ618" s="176"/>
      <c r="HA618" s="176"/>
      <c r="HB618" s="176"/>
      <c r="HC618" s="176"/>
      <c r="HD618" s="176"/>
      <c r="HE618" s="176"/>
      <c r="HF618" s="176"/>
      <c r="HG618" s="176"/>
      <c r="HH618" s="176"/>
      <c r="HI618" s="176"/>
      <c r="HJ618" s="176"/>
      <c r="HK618" s="176"/>
      <c r="HL618" s="176"/>
      <c r="HM618" s="176"/>
      <c r="HN618" s="176"/>
      <c r="HO618" s="176"/>
      <c r="HP618" s="176"/>
      <c r="HQ618" s="176"/>
      <c r="HR618" s="176"/>
      <c r="HS618" s="176"/>
      <c r="HT618" s="176"/>
      <c r="HU618" s="176"/>
      <c r="HV618" s="176"/>
      <c r="HW618" s="176"/>
      <c r="HX618" s="176"/>
      <c r="HY618" s="176"/>
      <c r="HZ618" s="176"/>
      <c r="IA618" s="176"/>
      <c r="IB618" s="176"/>
      <c r="IC618" s="176"/>
      <c r="ID618" s="176"/>
      <c r="IE618" s="176"/>
      <c r="IF618" s="176"/>
      <c r="IG618" s="176"/>
      <c r="IH618" s="176"/>
      <c r="II618" s="176"/>
      <c r="IJ618" s="176"/>
      <c r="IK618" s="176"/>
      <c r="IL618" s="176"/>
      <c r="IM618" s="176"/>
      <c r="IN618" s="176"/>
      <c r="IO618" s="176"/>
      <c r="IP618" s="176"/>
      <c r="IQ618" s="176"/>
      <c r="IR618" s="176"/>
      <c r="IS618" s="176"/>
    </row>
    <row r="619" spans="1:253" ht="13.5" customHeight="1">
      <c r="A619" s="85"/>
      <c r="B619" s="179" t="s">
        <v>16</v>
      </c>
      <c r="C619" s="87"/>
      <c r="D619" s="88"/>
      <c r="E619" s="87"/>
      <c r="F619" s="93"/>
      <c r="G619" s="93"/>
      <c r="H619" s="93"/>
      <c r="I619" s="93"/>
      <c r="J619" s="93"/>
      <c r="K619" s="93"/>
      <c r="L619" s="173"/>
      <c r="M619" s="178"/>
      <c r="N619" s="390"/>
      <c r="O619" s="401"/>
      <c r="P619" s="390"/>
      <c r="Q619" s="402"/>
      <c r="R619" s="402"/>
      <c r="S619" s="402"/>
      <c r="T619" s="402"/>
      <c r="U619" s="403"/>
      <c r="V619" s="390"/>
      <c r="W619" s="401"/>
      <c r="X619" s="390"/>
      <c r="Y619" s="402"/>
      <c r="Z619" s="402"/>
      <c r="AA619" s="402"/>
      <c r="AB619" s="402"/>
      <c r="AC619" s="403"/>
      <c r="AD619" s="390"/>
      <c r="AE619" s="401"/>
      <c r="AF619" s="390"/>
      <c r="AG619" s="402"/>
      <c r="AH619" s="402"/>
      <c r="AI619" s="402"/>
      <c r="AJ619" s="402"/>
      <c r="AK619" s="403"/>
      <c r="AL619" s="390"/>
      <c r="AM619" s="401"/>
      <c r="AN619" s="390"/>
      <c r="AO619" s="402"/>
      <c r="AP619" s="402"/>
      <c r="AQ619" s="402"/>
      <c r="AR619" s="402"/>
      <c r="AS619" s="403"/>
      <c r="AT619" s="390"/>
      <c r="AU619" s="401"/>
      <c r="AV619" s="390"/>
      <c r="AW619" s="402"/>
      <c r="AX619" s="402"/>
      <c r="AY619" s="402"/>
      <c r="AZ619" s="402"/>
      <c r="BA619" s="403"/>
      <c r="BB619" s="390"/>
      <c r="BC619" s="401"/>
      <c r="BD619" s="390"/>
      <c r="BE619" s="402"/>
      <c r="BF619" s="402"/>
      <c r="BG619" s="402"/>
      <c r="BH619" s="402"/>
      <c r="BI619" s="403"/>
      <c r="BJ619" s="404" t="s">
        <v>35</v>
      </c>
      <c r="BK619" s="406" t="s">
        <v>36</v>
      </c>
      <c r="BL619" s="408" t="s">
        <v>37</v>
      </c>
      <c r="BM619" s="409" t="s">
        <v>300</v>
      </c>
      <c r="BN619" s="410"/>
      <c r="BO619" s="410"/>
      <c r="BP619" s="411"/>
      <c r="BQ619" s="412" t="s">
        <v>301</v>
      </c>
      <c r="BR619" s="408" t="s">
        <v>35</v>
      </c>
      <c r="BS619" s="406" t="s">
        <v>36</v>
      </c>
      <c r="BT619" s="408" t="s">
        <v>37</v>
      </c>
      <c r="BU619" s="409" t="s">
        <v>300</v>
      </c>
      <c r="BV619" s="410"/>
      <c r="BW619" s="410"/>
      <c r="BX619" s="411"/>
      <c r="BY619" s="412" t="s">
        <v>301</v>
      </c>
      <c r="BZ619" s="408" t="s">
        <v>35</v>
      </c>
      <c r="CA619" s="406" t="s">
        <v>36</v>
      </c>
      <c r="CB619" s="408" t="s">
        <v>37</v>
      </c>
      <c r="CC619" s="409" t="s">
        <v>300</v>
      </c>
      <c r="CD619" s="410"/>
      <c r="CE619" s="410"/>
      <c r="CF619" s="411"/>
      <c r="CG619" s="412" t="s">
        <v>301</v>
      </c>
      <c r="CH619" s="408" t="s">
        <v>35</v>
      </c>
      <c r="CI619" s="406" t="s">
        <v>36</v>
      </c>
      <c r="CJ619" s="408" t="s">
        <v>37</v>
      </c>
      <c r="CK619" s="409" t="s">
        <v>300</v>
      </c>
      <c r="CL619" s="410"/>
      <c r="CM619" s="410"/>
      <c r="CN619" s="411"/>
      <c r="CO619" s="412" t="s">
        <v>301</v>
      </c>
      <c r="CP619" s="408" t="s">
        <v>35</v>
      </c>
      <c r="CQ619" s="406" t="s">
        <v>36</v>
      </c>
      <c r="CR619" s="408" t="s">
        <v>37</v>
      </c>
      <c r="CS619" s="409" t="s">
        <v>300</v>
      </c>
      <c r="CT619" s="410"/>
      <c r="CU619" s="410"/>
      <c r="CV619" s="411"/>
      <c r="CW619" s="412" t="s">
        <v>301</v>
      </c>
      <c r="CX619" s="408" t="s">
        <v>35</v>
      </c>
      <c r="CY619" s="406" t="s">
        <v>36</v>
      </c>
      <c r="CZ619" s="408" t="s">
        <v>37</v>
      </c>
      <c r="DA619" s="409" t="s">
        <v>300</v>
      </c>
      <c r="DB619" s="410"/>
      <c r="DC619" s="410"/>
      <c r="DD619" s="411"/>
      <c r="DE619" s="412" t="s">
        <v>301</v>
      </c>
      <c r="DF619" s="408" t="s">
        <v>35</v>
      </c>
      <c r="DG619" s="406" t="s">
        <v>36</v>
      </c>
      <c r="DH619" s="408" t="s">
        <v>37</v>
      </c>
      <c r="DI619" s="409" t="s">
        <v>300</v>
      </c>
      <c r="DJ619" s="410"/>
      <c r="DK619" s="410"/>
      <c r="DL619" s="411"/>
      <c r="DM619" s="412" t="s">
        <v>301</v>
      </c>
      <c r="DN619" s="408" t="s">
        <v>35</v>
      </c>
      <c r="DO619" s="406" t="s">
        <v>36</v>
      </c>
      <c r="DP619" s="408" t="s">
        <v>37</v>
      </c>
      <c r="DQ619" s="409" t="s">
        <v>300</v>
      </c>
      <c r="DR619" s="410"/>
      <c r="DS619" s="410"/>
      <c r="DT619" s="411"/>
      <c r="DU619" s="412" t="s">
        <v>301</v>
      </c>
      <c r="DV619" s="408" t="s">
        <v>35</v>
      </c>
      <c r="DW619" s="406" t="s">
        <v>36</v>
      </c>
      <c r="DX619" s="408" t="s">
        <v>37</v>
      </c>
      <c r="DY619" s="409" t="s">
        <v>300</v>
      </c>
      <c r="DZ619" s="410"/>
      <c r="EA619" s="410"/>
      <c r="EB619" s="411"/>
      <c r="EC619" s="412" t="s">
        <v>301</v>
      </c>
      <c r="ED619" s="408" t="s">
        <v>35</v>
      </c>
      <c r="EE619" s="406" t="s">
        <v>36</v>
      </c>
      <c r="EF619" s="408" t="s">
        <v>37</v>
      </c>
      <c r="EG619" s="409" t="s">
        <v>300</v>
      </c>
      <c r="EH619" s="410"/>
      <c r="EI619" s="410"/>
      <c r="EJ619" s="411"/>
      <c r="EK619" s="412" t="s">
        <v>301</v>
      </c>
      <c r="EL619" s="408" t="s">
        <v>35</v>
      </c>
      <c r="EM619" s="406" t="s">
        <v>36</v>
      </c>
      <c r="EN619" s="408" t="s">
        <v>37</v>
      </c>
      <c r="EO619" s="409" t="s">
        <v>300</v>
      </c>
      <c r="EP619" s="410"/>
      <c r="EQ619" s="410"/>
      <c r="ER619" s="411"/>
      <c r="ES619" s="412" t="s">
        <v>301</v>
      </c>
      <c r="ET619" s="408" t="s">
        <v>35</v>
      </c>
      <c r="EU619" s="406" t="s">
        <v>36</v>
      </c>
      <c r="EV619" s="408" t="s">
        <v>37</v>
      </c>
      <c r="EW619" s="409" t="s">
        <v>300</v>
      </c>
      <c r="EX619" s="410"/>
      <c r="EY619" s="410"/>
      <c r="EZ619" s="411"/>
      <c r="FA619" s="412" t="s">
        <v>301</v>
      </c>
      <c r="FB619" s="408" t="s">
        <v>35</v>
      </c>
      <c r="FC619" s="406" t="s">
        <v>36</v>
      </c>
      <c r="FD619" s="408" t="s">
        <v>37</v>
      </c>
      <c r="FE619" s="409" t="s">
        <v>300</v>
      </c>
      <c r="FF619" s="410"/>
      <c r="FG619" s="410"/>
      <c r="FH619" s="411"/>
      <c r="FI619" s="412" t="s">
        <v>301</v>
      </c>
      <c r="FJ619" s="408" t="s">
        <v>35</v>
      </c>
      <c r="FK619" s="406" t="s">
        <v>36</v>
      </c>
      <c r="FL619" s="408" t="s">
        <v>37</v>
      </c>
      <c r="FM619" s="409" t="s">
        <v>300</v>
      </c>
      <c r="FN619" s="410"/>
      <c r="FO619" s="410"/>
      <c r="FP619" s="411"/>
      <c r="FQ619" s="412" t="s">
        <v>301</v>
      </c>
      <c r="FR619" s="408" t="s">
        <v>35</v>
      </c>
      <c r="FS619" s="406" t="s">
        <v>36</v>
      </c>
      <c r="FT619" s="408" t="s">
        <v>37</v>
      </c>
      <c r="FU619" s="409" t="s">
        <v>300</v>
      </c>
      <c r="FV619" s="410"/>
      <c r="FW619" s="410"/>
      <c r="FX619" s="411"/>
      <c r="FY619" s="412" t="s">
        <v>301</v>
      </c>
      <c r="FZ619" s="408" t="s">
        <v>35</v>
      </c>
      <c r="GA619" s="406" t="s">
        <v>36</v>
      </c>
      <c r="GB619" s="408" t="s">
        <v>37</v>
      </c>
      <c r="GC619" s="409" t="s">
        <v>300</v>
      </c>
      <c r="GD619" s="410"/>
      <c r="GE619" s="410"/>
      <c r="GF619" s="411"/>
      <c r="GG619" s="412" t="s">
        <v>301</v>
      </c>
      <c r="GH619" s="408" t="s">
        <v>35</v>
      </c>
      <c r="GI619" s="406" t="s">
        <v>36</v>
      </c>
      <c r="GJ619" s="408" t="s">
        <v>37</v>
      </c>
      <c r="GK619" s="409" t="s">
        <v>300</v>
      </c>
      <c r="GL619" s="410"/>
      <c r="GM619" s="410"/>
      <c r="GN619" s="411"/>
      <c r="GO619" s="412" t="s">
        <v>301</v>
      </c>
      <c r="GP619" s="408" t="s">
        <v>35</v>
      </c>
      <c r="GQ619" s="406" t="s">
        <v>36</v>
      </c>
      <c r="GR619" s="408" t="s">
        <v>37</v>
      </c>
      <c r="GS619" s="409" t="s">
        <v>300</v>
      </c>
      <c r="GT619" s="410"/>
      <c r="GU619" s="410"/>
      <c r="GV619" s="411"/>
      <c r="GW619" s="412" t="s">
        <v>301</v>
      </c>
      <c r="GX619" s="408" t="s">
        <v>35</v>
      </c>
      <c r="GY619" s="406" t="s">
        <v>36</v>
      </c>
      <c r="GZ619" s="408" t="s">
        <v>37</v>
      </c>
      <c r="HA619" s="409" t="s">
        <v>300</v>
      </c>
      <c r="HB619" s="410"/>
      <c r="HC619" s="410"/>
      <c r="HD619" s="411"/>
      <c r="HE619" s="412" t="s">
        <v>301</v>
      </c>
      <c r="HF619" s="408" t="s">
        <v>35</v>
      </c>
      <c r="HG619" s="406" t="s">
        <v>36</v>
      </c>
      <c r="HH619" s="408" t="s">
        <v>37</v>
      </c>
      <c r="HI619" s="409" t="s">
        <v>300</v>
      </c>
      <c r="HJ619" s="410"/>
      <c r="HK619" s="410"/>
      <c r="HL619" s="411"/>
      <c r="HM619" s="412" t="s">
        <v>301</v>
      </c>
      <c r="HN619" s="408" t="s">
        <v>35</v>
      </c>
      <c r="HO619" s="406" t="s">
        <v>36</v>
      </c>
      <c r="HP619" s="408" t="s">
        <v>37</v>
      </c>
      <c r="HQ619" s="409" t="s">
        <v>300</v>
      </c>
      <c r="HR619" s="410"/>
      <c r="HS619" s="410"/>
      <c r="HT619" s="411"/>
      <c r="HU619" s="412" t="s">
        <v>301</v>
      </c>
      <c r="HV619" s="408" t="s">
        <v>35</v>
      </c>
      <c r="HW619" s="406" t="s">
        <v>36</v>
      </c>
      <c r="HX619" s="408" t="s">
        <v>37</v>
      </c>
      <c r="HY619" s="409" t="s">
        <v>300</v>
      </c>
      <c r="HZ619" s="410"/>
      <c r="IA619" s="410"/>
      <c r="IB619" s="411"/>
      <c r="IC619" s="412" t="s">
        <v>301</v>
      </c>
      <c r="ID619" s="408" t="s">
        <v>35</v>
      </c>
      <c r="IE619" s="406" t="s">
        <v>36</v>
      </c>
      <c r="IF619" s="408" t="s">
        <v>37</v>
      </c>
      <c r="IG619" s="409" t="s">
        <v>300</v>
      </c>
      <c r="IH619" s="410"/>
      <c r="II619" s="410"/>
      <c r="IJ619" s="411"/>
      <c r="IK619" s="412" t="s">
        <v>301</v>
      </c>
      <c r="IL619" s="408" t="s">
        <v>35</v>
      </c>
      <c r="IM619" s="406" t="s">
        <v>36</v>
      </c>
      <c r="IN619" s="408" t="s">
        <v>37</v>
      </c>
      <c r="IO619" s="409" t="s">
        <v>300</v>
      </c>
      <c r="IP619" s="410"/>
      <c r="IQ619" s="410"/>
      <c r="IR619" s="411"/>
      <c r="IS619" s="412" t="s">
        <v>301</v>
      </c>
    </row>
    <row r="620" spans="1:253" ht="16.5" customHeight="1">
      <c r="A620" s="85"/>
      <c r="B620" s="182" t="s">
        <v>302</v>
      </c>
      <c r="C620" s="183"/>
      <c r="D620" s="87"/>
      <c r="E620" s="87"/>
      <c r="F620" s="113"/>
      <c r="G620" s="92"/>
      <c r="H620" s="113"/>
      <c r="I620" s="92"/>
      <c r="J620" s="113"/>
      <c r="K620" s="113"/>
      <c r="L620" s="173"/>
      <c r="M620" s="178"/>
      <c r="N620" s="391"/>
      <c r="O620" s="391"/>
      <c r="P620" s="391"/>
      <c r="Q620" s="181"/>
      <c r="R620" s="181"/>
      <c r="S620" s="184"/>
      <c r="T620" s="181"/>
      <c r="U620" s="391"/>
      <c r="V620" s="391"/>
      <c r="W620" s="391"/>
      <c r="X620" s="391"/>
      <c r="Y620" s="181"/>
      <c r="Z620" s="181"/>
      <c r="AA620" s="184"/>
      <c r="AB620" s="181"/>
      <c r="AC620" s="391"/>
      <c r="AD620" s="391"/>
      <c r="AE620" s="391"/>
      <c r="AF620" s="391"/>
      <c r="AG620" s="181"/>
      <c r="AH620" s="181"/>
      <c r="AI620" s="184"/>
      <c r="AJ620" s="181"/>
      <c r="AK620" s="391"/>
      <c r="AL620" s="391"/>
      <c r="AM620" s="391"/>
      <c r="AN620" s="391"/>
      <c r="AO620" s="181"/>
      <c r="AP620" s="181"/>
      <c r="AQ620" s="184"/>
      <c r="AR620" s="181"/>
      <c r="AS620" s="391"/>
      <c r="AT620" s="391"/>
      <c r="AU620" s="391"/>
      <c r="AV620" s="391"/>
      <c r="AW620" s="181"/>
      <c r="AX620" s="181"/>
      <c r="AY620" s="184"/>
      <c r="AZ620" s="181"/>
      <c r="BA620" s="391"/>
      <c r="BB620" s="391"/>
      <c r="BC620" s="391"/>
      <c r="BD620" s="391"/>
      <c r="BE620" s="181"/>
      <c r="BF620" s="181"/>
      <c r="BG620" s="184"/>
      <c r="BH620" s="181"/>
      <c r="BI620" s="391"/>
      <c r="BJ620" s="405"/>
      <c r="BK620" s="407"/>
      <c r="BL620" s="407"/>
      <c r="BM620" s="20" t="s">
        <v>27</v>
      </c>
      <c r="BN620" s="20" t="s">
        <v>303</v>
      </c>
      <c r="BO620" s="21" t="s">
        <v>304</v>
      </c>
      <c r="BP620" s="20" t="s">
        <v>305</v>
      </c>
      <c r="BQ620" s="407"/>
      <c r="BR620" s="407"/>
      <c r="BS620" s="407"/>
      <c r="BT620" s="407"/>
      <c r="BU620" s="20" t="s">
        <v>27</v>
      </c>
      <c r="BV620" s="20" t="s">
        <v>303</v>
      </c>
      <c r="BW620" s="21" t="s">
        <v>304</v>
      </c>
      <c r="BX620" s="20" t="s">
        <v>305</v>
      </c>
      <c r="BY620" s="407"/>
      <c r="BZ620" s="407"/>
      <c r="CA620" s="407"/>
      <c r="CB620" s="407"/>
      <c r="CC620" s="20" t="s">
        <v>27</v>
      </c>
      <c r="CD620" s="20" t="s">
        <v>303</v>
      </c>
      <c r="CE620" s="21" t="s">
        <v>304</v>
      </c>
      <c r="CF620" s="20" t="s">
        <v>305</v>
      </c>
      <c r="CG620" s="407"/>
      <c r="CH620" s="407"/>
      <c r="CI620" s="407"/>
      <c r="CJ620" s="407"/>
      <c r="CK620" s="20" t="s">
        <v>27</v>
      </c>
      <c r="CL620" s="20" t="s">
        <v>303</v>
      </c>
      <c r="CM620" s="21" t="s">
        <v>304</v>
      </c>
      <c r="CN620" s="20" t="s">
        <v>305</v>
      </c>
      <c r="CO620" s="407"/>
      <c r="CP620" s="407"/>
      <c r="CQ620" s="407"/>
      <c r="CR620" s="407"/>
      <c r="CS620" s="20" t="s">
        <v>27</v>
      </c>
      <c r="CT620" s="20" t="s">
        <v>303</v>
      </c>
      <c r="CU620" s="21" t="s">
        <v>304</v>
      </c>
      <c r="CV620" s="20" t="s">
        <v>305</v>
      </c>
      <c r="CW620" s="407"/>
      <c r="CX620" s="407"/>
      <c r="CY620" s="407"/>
      <c r="CZ620" s="407"/>
      <c r="DA620" s="20" t="s">
        <v>27</v>
      </c>
      <c r="DB620" s="20" t="s">
        <v>303</v>
      </c>
      <c r="DC620" s="21" t="s">
        <v>304</v>
      </c>
      <c r="DD620" s="20" t="s">
        <v>305</v>
      </c>
      <c r="DE620" s="407"/>
      <c r="DF620" s="407"/>
      <c r="DG620" s="407"/>
      <c r="DH620" s="407"/>
      <c r="DI620" s="20" t="s">
        <v>27</v>
      </c>
      <c r="DJ620" s="20" t="s">
        <v>303</v>
      </c>
      <c r="DK620" s="21" t="s">
        <v>304</v>
      </c>
      <c r="DL620" s="20" t="s">
        <v>305</v>
      </c>
      <c r="DM620" s="407"/>
      <c r="DN620" s="407"/>
      <c r="DO620" s="407"/>
      <c r="DP620" s="407"/>
      <c r="DQ620" s="20" t="s">
        <v>27</v>
      </c>
      <c r="DR620" s="20" t="s">
        <v>303</v>
      </c>
      <c r="DS620" s="21" t="s">
        <v>304</v>
      </c>
      <c r="DT620" s="20" t="s">
        <v>305</v>
      </c>
      <c r="DU620" s="407"/>
      <c r="DV620" s="407"/>
      <c r="DW620" s="407"/>
      <c r="DX620" s="407"/>
      <c r="DY620" s="20" t="s">
        <v>27</v>
      </c>
      <c r="DZ620" s="20" t="s">
        <v>303</v>
      </c>
      <c r="EA620" s="21" t="s">
        <v>304</v>
      </c>
      <c r="EB620" s="20" t="s">
        <v>305</v>
      </c>
      <c r="EC620" s="407"/>
      <c r="ED620" s="407"/>
      <c r="EE620" s="407"/>
      <c r="EF620" s="407"/>
      <c r="EG620" s="20" t="s">
        <v>27</v>
      </c>
      <c r="EH620" s="20" t="s">
        <v>303</v>
      </c>
      <c r="EI620" s="21" t="s">
        <v>304</v>
      </c>
      <c r="EJ620" s="20" t="s">
        <v>305</v>
      </c>
      <c r="EK620" s="407"/>
      <c r="EL620" s="407"/>
      <c r="EM620" s="407"/>
      <c r="EN620" s="407"/>
      <c r="EO620" s="20" t="s">
        <v>27</v>
      </c>
      <c r="EP620" s="20" t="s">
        <v>303</v>
      </c>
      <c r="EQ620" s="21" t="s">
        <v>304</v>
      </c>
      <c r="ER620" s="20" t="s">
        <v>305</v>
      </c>
      <c r="ES620" s="407"/>
      <c r="ET620" s="407"/>
      <c r="EU620" s="407"/>
      <c r="EV620" s="407"/>
      <c r="EW620" s="20" t="s">
        <v>27</v>
      </c>
      <c r="EX620" s="20" t="s">
        <v>303</v>
      </c>
      <c r="EY620" s="21" t="s">
        <v>304</v>
      </c>
      <c r="EZ620" s="20" t="s">
        <v>305</v>
      </c>
      <c r="FA620" s="407"/>
      <c r="FB620" s="407"/>
      <c r="FC620" s="407"/>
      <c r="FD620" s="407"/>
      <c r="FE620" s="20" t="s">
        <v>27</v>
      </c>
      <c r="FF620" s="20" t="s">
        <v>303</v>
      </c>
      <c r="FG620" s="21" t="s">
        <v>304</v>
      </c>
      <c r="FH620" s="20" t="s">
        <v>305</v>
      </c>
      <c r="FI620" s="407"/>
      <c r="FJ620" s="407"/>
      <c r="FK620" s="407"/>
      <c r="FL620" s="407"/>
      <c r="FM620" s="20" t="s">
        <v>27</v>
      </c>
      <c r="FN620" s="20" t="s">
        <v>303</v>
      </c>
      <c r="FO620" s="21" t="s">
        <v>304</v>
      </c>
      <c r="FP620" s="20" t="s">
        <v>305</v>
      </c>
      <c r="FQ620" s="407"/>
      <c r="FR620" s="407"/>
      <c r="FS620" s="407"/>
      <c r="FT620" s="407"/>
      <c r="FU620" s="20" t="s">
        <v>27</v>
      </c>
      <c r="FV620" s="20" t="s">
        <v>303</v>
      </c>
      <c r="FW620" s="21" t="s">
        <v>304</v>
      </c>
      <c r="FX620" s="20" t="s">
        <v>305</v>
      </c>
      <c r="FY620" s="407"/>
      <c r="FZ620" s="407"/>
      <c r="GA620" s="407"/>
      <c r="GB620" s="407"/>
      <c r="GC620" s="20" t="s">
        <v>27</v>
      </c>
      <c r="GD620" s="20" t="s">
        <v>303</v>
      </c>
      <c r="GE620" s="21" t="s">
        <v>304</v>
      </c>
      <c r="GF620" s="20" t="s">
        <v>305</v>
      </c>
      <c r="GG620" s="407"/>
      <c r="GH620" s="407"/>
      <c r="GI620" s="407"/>
      <c r="GJ620" s="407"/>
      <c r="GK620" s="20" t="s">
        <v>27</v>
      </c>
      <c r="GL620" s="20" t="s">
        <v>303</v>
      </c>
      <c r="GM620" s="21" t="s">
        <v>304</v>
      </c>
      <c r="GN620" s="20" t="s">
        <v>305</v>
      </c>
      <c r="GO620" s="407"/>
      <c r="GP620" s="407"/>
      <c r="GQ620" s="407"/>
      <c r="GR620" s="407"/>
      <c r="GS620" s="20" t="s">
        <v>27</v>
      </c>
      <c r="GT620" s="20" t="s">
        <v>303</v>
      </c>
      <c r="GU620" s="21" t="s">
        <v>304</v>
      </c>
      <c r="GV620" s="20" t="s">
        <v>305</v>
      </c>
      <c r="GW620" s="407"/>
      <c r="GX620" s="407"/>
      <c r="GY620" s="407"/>
      <c r="GZ620" s="407"/>
      <c r="HA620" s="20" t="s">
        <v>27</v>
      </c>
      <c r="HB620" s="20" t="s">
        <v>303</v>
      </c>
      <c r="HC620" s="21" t="s">
        <v>304</v>
      </c>
      <c r="HD620" s="20" t="s">
        <v>305</v>
      </c>
      <c r="HE620" s="407"/>
      <c r="HF620" s="407"/>
      <c r="HG620" s="407"/>
      <c r="HH620" s="407"/>
      <c r="HI620" s="20" t="s">
        <v>27</v>
      </c>
      <c r="HJ620" s="20" t="s">
        <v>303</v>
      </c>
      <c r="HK620" s="21" t="s">
        <v>304</v>
      </c>
      <c r="HL620" s="20" t="s">
        <v>305</v>
      </c>
      <c r="HM620" s="407"/>
      <c r="HN620" s="407"/>
      <c r="HO620" s="407"/>
      <c r="HP620" s="407"/>
      <c r="HQ620" s="20" t="s">
        <v>27</v>
      </c>
      <c r="HR620" s="20" t="s">
        <v>303</v>
      </c>
      <c r="HS620" s="21" t="s">
        <v>304</v>
      </c>
      <c r="HT620" s="20" t="s">
        <v>305</v>
      </c>
      <c r="HU620" s="407"/>
      <c r="HV620" s="407"/>
      <c r="HW620" s="407"/>
      <c r="HX620" s="407"/>
      <c r="HY620" s="20" t="s">
        <v>27</v>
      </c>
      <c r="HZ620" s="20" t="s">
        <v>303</v>
      </c>
      <c r="IA620" s="21" t="s">
        <v>304</v>
      </c>
      <c r="IB620" s="20" t="s">
        <v>305</v>
      </c>
      <c r="IC620" s="407"/>
      <c r="ID620" s="407"/>
      <c r="IE620" s="407"/>
      <c r="IF620" s="407"/>
      <c r="IG620" s="20" t="s">
        <v>27</v>
      </c>
      <c r="IH620" s="20" t="s">
        <v>303</v>
      </c>
      <c r="II620" s="21" t="s">
        <v>304</v>
      </c>
      <c r="IJ620" s="20" t="s">
        <v>305</v>
      </c>
      <c r="IK620" s="407"/>
      <c r="IL620" s="407"/>
      <c r="IM620" s="407"/>
      <c r="IN620" s="407"/>
      <c r="IO620" s="20" t="s">
        <v>27</v>
      </c>
      <c r="IP620" s="20" t="s">
        <v>303</v>
      </c>
      <c r="IQ620" s="21" t="s">
        <v>304</v>
      </c>
      <c r="IR620" s="20" t="s">
        <v>305</v>
      </c>
      <c r="IS620" s="407"/>
    </row>
    <row r="621" spans="1:253" ht="16.5" customHeight="1">
      <c r="A621" s="85"/>
      <c r="B621" s="144" t="s">
        <v>100</v>
      </c>
      <c r="C621" s="183"/>
      <c r="D621" s="87"/>
      <c r="E621" s="87"/>
      <c r="F621" s="113"/>
      <c r="G621" s="92"/>
      <c r="H621" s="113"/>
      <c r="I621" s="92"/>
      <c r="J621" s="113"/>
      <c r="K621" s="93"/>
      <c r="L621" s="173"/>
      <c r="N621" s="185"/>
      <c r="O621" s="185"/>
      <c r="P621" s="185"/>
      <c r="Q621" s="185"/>
      <c r="R621" s="185"/>
      <c r="S621" s="185"/>
      <c r="T621" s="185"/>
      <c r="U621" s="185"/>
      <c r="V621" s="185"/>
      <c r="W621" s="185"/>
      <c r="X621" s="185"/>
      <c r="Y621" s="185"/>
      <c r="Z621" s="185"/>
      <c r="AA621" s="185"/>
      <c r="AB621" s="185"/>
      <c r="AC621" s="185"/>
      <c r="AD621" s="185"/>
      <c r="AE621" s="185"/>
      <c r="AF621" s="185"/>
      <c r="AG621" s="185"/>
      <c r="AH621" s="185"/>
      <c r="AI621" s="185"/>
      <c r="AJ621" s="185"/>
      <c r="AK621" s="185"/>
      <c r="AL621" s="185"/>
      <c r="AM621" s="185"/>
      <c r="AN621" s="185"/>
      <c r="AO621" s="185"/>
      <c r="AP621" s="185"/>
      <c r="AQ621" s="185"/>
      <c r="AR621" s="185"/>
      <c r="AS621" s="185"/>
      <c r="AT621" s="185"/>
      <c r="AU621" s="185"/>
      <c r="AV621" s="185"/>
      <c r="AW621" s="185"/>
      <c r="AX621" s="185"/>
      <c r="AY621" s="185"/>
      <c r="AZ621" s="185"/>
      <c r="BA621" s="185"/>
      <c r="BB621" s="185"/>
      <c r="BC621" s="185"/>
      <c r="BD621" s="185"/>
      <c r="BE621" s="185"/>
      <c r="BF621" s="185"/>
      <c r="BG621" s="185"/>
      <c r="BH621" s="185"/>
      <c r="BI621" s="185"/>
      <c r="BJ621" s="186" t="s">
        <v>19</v>
      </c>
      <c r="BK621" s="22" t="s">
        <v>28</v>
      </c>
      <c r="BL621" s="22" t="s">
        <v>29</v>
      </c>
      <c r="BM621" s="22" t="s">
        <v>30</v>
      </c>
      <c r="BN621" s="22" t="s">
        <v>31</v>
      </c>
      <c r="BO621" s="22" t="s">
        <v>32</v>
      </c>
      <c r="BP621" s="22" t="s">
        <v>21</v>
      </c>
      <c r="BQ621" s="22" t="s">
        <v>33</v>
      </c>
      <c r="BR621" s="22" t="s">
        <v>19</v>
      </c>
      <c r="BS621" s="22" t="s">
        <v>28</v>
      </c>
      <c r="BT621" s="22" t="s">
        <v>29</v>
      </c>
      <c r="BU621" s="22" t="s">
        <v>30</v>
      </c>
      <c r="BV621" s="22" t="s">
        <v>31</v>
      </c>
      <c r="BW621" s="22" t="s">
        <v>32</v>
      </c>
      <c r="BX621" s="22" t="s">
        <v>21</v>
      </c>
      <c r="BY621" s="22" t="s">
        <v>33</v>
      </c>
      <c r="BZ621" s="22" t="s">
        <v>19</v>
      </c>
      <c r="CA621" s="22" t="s">
        <v>28</v>
      </c>
      <c r="CB621" s="22" t="s">
        <v>29</v>
      </c>
      <c r="CC621" s="22" t="s">
        <v>30</v>
      </c>
      <c r="CD621" s="22" t="s">
        <v>31</v>
      </c>
      <c r="CE621" s="22" t="s">
        <v>32</v>
      </c>
      <c r="CF621" s="22" t="s">
        <v>21</v>
      </c>
      <c r="CG621" s="22" t="s">
        <v>33</v>
      </c>
      <c r="CH621" s="22" t="s">
        <v>19</v>
      </c>
      <c r="CI621" s="22" t="s">
        <v>28</v>
      </c>
      <c r="CJ621" s="22" t="s">
        <v>29</v>
      </c>
      <c r="CK621" s="22" t="s">
        <v>30</v>
      </c>
      <c r="CL621" s="22" t="s">
        <v>31</v>
      </c>
      <c r="CM621" s="22" t="s">
        <v>32</v>
      </c>
      <c r="CN621" s="22" t="s">
        <v>21</v>
      </c>
      <c r="CO621" s="22" t="s">
        <v>33</v>
      </c>
      <c r="CP621" s="22" t="s">
        <v>19</v>
      </c>
      <c r="CQ621" s="22" t="s">
        <v>28</v>
      </c>
      <c r="CR621" s="22" t="s">
        <v>29</v>
      </c>
      <c r="CS621" s="22" t="s">
        <v>30</v>
      </c>
      <c r="CT621" s="22" t="s">
        <v>31</v>
      </c>
      <c r="CU621" s="22" t="s">
        <v>32</v>
      </c>
      <c r="CV621" s="22" t="s">
        <v>21</v>
      </c>
      <c r="CW621" s="22" t="s">
        <v>33</v>
      </c>
      <c r="CX621" s="22" t="s">
        <v>19</v>
      </c>
      <c r="CY621" s="22" t="s">
        <v>28</v>
      </c>
      <c r="CZ621" s="22" t="s">
        <v>29</v>
      </c>
      <c r="DA621" s="22" t="s">
        <v>30</v>
      </c>
      <c r="DB621" s="22" t="s">
        <v>31</v>
      </c>
      <c r="DC621" s="22" t="s">
        <v>32</v>
      </c>
      <c r="DD621" s="22" t="s">
        <v>21</v>
      </c>
      <c r="DE621" s="22" t="s">
        <v>33</v>
      </c>
      <c r="DF621" s="22" t="s">
        <v>19</v>
      </c>
      <c r="DG621" s="22" t="s">
        <v>28</v>
      </c>
      <c r="DH621" s="22" t="s">
        <v>29</v>
      </c>
      <c r="DI621" s="22" t="s">
        <v>30</v>
      </c>
      <c r="DJ621" s="22" t="s">
        <v>31</v>
      </c>
      <c r="DK621" s="22" t="s">
        <v>32</v>
      </c>
      <c r="DL621" s="22" t="s">
        <v>21</v>
      </c>
      <c r="DM621" s="22" t="s">
        <v>33</v>
      </c>
      <c r="DN621" s="22" t="s">
        <v>19</v>
      </c>
      <c r="DO621" s="22" t="s">
        <v>28</v>
      </c>
      <c r="DP621" s="22" t="s">
        <v>29</v>
      </c>
      <c r="DQ621" s="22" t="s">
        <v>30</v>
      </c>
      <c r="DR621" s="22" t="s">
        <v>31</v>
      </c>
      <c r="DS621" s="22" t="s">
        <v>32</v>
      </c>
      <c r="DT621" s="22" t="s">
        <v>21</v>
      </c>
      <c r="DU621" s="22" t="s">
        <v>33</v>
      </c>
      <c r="DV621" s="22" t="s">
        <v>19</v>
      </c>
      <c r="DW621" s="22" t="s">
        <v>28</v>
      </c>
      <c r="DX621" s="22" t="s">
        <v>29</v>
      </c>
      <c r="DY621" s="22" t="s">
        <v>30</v>
      </c>
      <c r="DZ621" s="22" t="s">
        <v>31</v>
      </c>
      <c r="EA621" s="22" t="s">
        <v>32</v>
      </c>
      <c r="EB621" s="22" t="s">
        <v>21</v>
      </c>
      <c r="EC621" s="22" t="s">
        <v>33</v>
      </c>
      <c r="ED621" s="22" t="s">
        <v>19</v>
      </c>
      <c r="EE621" s="22" t="s">
        <v>28</v>
      </c>
      <c r="EF621" s="22" t="s">
        <v>29</v>
      </c>
      <c r="EG621" s="22" t="s">
        <v>30</v>
      </c>
      <c r="EH621" s="22" t="s">
        <v>31</v>
      </c>
      <c r="EI621" s="22" t="s">
        <v>32</v>
      </c>
      <c r="EJ621" s="22" t="s">
        <v>21</v>
      </c>
      <c r="EK621" s="22" t="s">
        <v>33</v>
      </c>
      <c r="EL621" s="22" t="s">
        <v>19</v>
      </c>
      <c r="EM621" s="22" t="s">
        <v>28</v>
      </c>
      <c r="EN621" s="22" t="s">
        <v>29</v>
      </c>
      <c r="EO621" s="22" t="s">
        <v>30</v>
      </c>
      <c r="EP621" s="22" t="s">
        <v>31</v>
      </c>
      <c r="EQ621" s="22" t="s">
        <v>32</v>
      </c>
      <c r="ER621" s="22" t="s">
        <v>21</v>
      </c>
      <c r="ES621" s="22" t="s">
        <v>33</v>
      </c>
      <c r="ET621" s="22" t="s">
        <v>19</v>
      </c>
      <c r="EU621" s="22" t="s">
        <v>28</v>
      </c>
      <c r="EV621" s="22" t="s">
        <v>29</v>
      </c>
      <c r="EW621" s="22" t="s">
        <v>30</v>
      </c>
      <c r="EX621" s="22" t="s">
        <v>31</v>
      </c>
      <c r="EY621" s="22" t="s">
        <v>32</v>
      </c>
      <c r="EZ621" s="22" t="s">
        <v>21</v>
      </c>
      <c r="FA621" s="22" t="s">
        <v>33</v>
      </c>
      <c r="FB621" s="22" t="s">
        <v>19</v>
      </c>
      <c r="FC621" s="22" t="s">
        <v>28</v>
      </c>
      <c r="FD621" s="22" t="s">
        <v>29</v>
      </c>
      <c r="FE621" s="22" t="s">
        <v>30</v>
      </c>
      <c r="FF621" s="22" t="s">
        <v>31</v>
      </c>
      <c r="FG621" s="22" t="s">
        <v>32</v>
      </c>
      <c r="FH621" s="22" t="s">
        <v>21</v>
      </c>
      <c r="FI621" s="22" t="s">
        <v>33</v>
      </c>
      <c r="FJ621" s="22" t="s">
        <v>19</v>
      </c>
      <c r="FK621" s="22" t="s">
        <v>28</v>
      </c>
      <c r="FL621" s="22" t="s">
        <v>29</v>
      </c>
      <c r="FM621" s="22" t="s">
        <v>30</v>
      </c>
      <c r="FN621" s="22" t="s">
        <v>31</v>
      </c>
      <c r="FO621" s="22" t="s">
        <v>32</v>
      </c>
      <c r="FP621" s="22" t="s">
        <v>21</v>
      </c>
      <c r="FQ621" s="22" t="s">
        <v>33</v>
      </c>
      <c r="FR621" s="22" t="s">
        <v>19</v>
      </c>
      <c r="FS621" s="22" t="s">
        <v>28</v>
      </c>
      <c r="FT621" s="22" t="s">
        <v>29</v>
      </c>
      <c r="FU621" s="22" t="s">
        <v>30</v>
      </c>
      <c r="FV621" s="22" t="s">
        <v>31</v>
      </c>
      <c r="FW621" s="22" t="s">
        <v>32</v>
      </c>
      <c r="FX621" s="22" t="s">
        <v>21</v>
      </c>
      <c r="FY621" s="22" t="s">
        <v>33</v>
      </c>
      <c r="FZ621" s="22" t="s">
        <v>19</v>
      </c>
      <c r="GA621" s="22" t="s">
        <v>28</v>
      </c>
      <c r="GB621" s="22" t="s">
        <v>29</v>
      </c>
      <c r="GC621" s="22" t="s">
        <v>30</v>
      </c>
      <c r="GD621" s="22" t="s">
        <v>31</v>
      </c>
      <c r="GE621" s="22" t="s">
        <v>32</v>
      </c>
      <c r="GF621" s="22" t="s">
        <v>21</v>
      </c>
      <c r="GG621" s="22" t="s">
        <v>33</v>
      </c>
      <c r="GH621" s="22" t="s">
        <v>19</v>
      </c>
      <c r="GI621" s="22" t="s">
        <v>28</v>
      </c>
      <c r="GJ621" s="22" t="s">
        <v>29</v>
      </c>
      <c r="GK621" s="22" t="s">
        <v>30</v>
      </c>
      <c r="GL621" s="22" t="s">
        <v>31</v>
      </c>
      <c r="GM621" s="22" t="s">
        <v>32</v>
      </c>
      <c r="GN621" s="22" t="s">
        <v>21</v>
      </c>
      <c r="GO621" s="22" t="s">
        <v>33</v>
      </c>
      <c r="GP621" s="22" t="s">
        <v>19</v>
      </c>
      <c r="GQ621" s="22" t="s">
        <v>28</v>
      </c>
      <c r="GR621" s="22" t="s">
        <v>29</v>
      </c>
      <c r="GS621" s="22" t="s">
        <v>30</v>
      </c>
      <c r="GT621" s="22" t="s">
        <v>31</v>
      </c>
      <c r="GU621" s="22" t="s">
        <v>32</v>
      </c>
      <c r="GV621" s="22" t="s">
        <v>21</v>
      </c>
      <c r="GW621" s="22" t="s">
        <v>33</v>
      </c>
      <c r="GX621" s="22" t="s">
        <v>19</v>
      </c>
      <c r="GY621" s="22" t="s">
        <v>28</v>
      </c>
      <c r="GZ621" s="22" t="s">
        <v>29</v>
      </c>
      <c r="HA621" s="22" t="s">
        <v>30</v>
      </c>
      <c r="HB621" s="22" t="s">
        <v>31</v>
      </c>
      <c r="HC621" s="22" t="s">
        <v>32</v>
      </c>
      <c r="HD621" s="22" t="s">
        <v>21</v>
      </c>
      <c r="HE621" s="22" t="s">
        <v>33</v>
      </c>
      <c r="HF621" s="22" t="s">
        <v>19</v>
      </c>
      <c r="HG621" s="22" t="s">
        <v>28</v>
      </c>
      <c r="HH621" s="22" t="s">
        <v>29</v>
      </c>
      <c r="HI621" s="22" t="s">
        <v>30</v>
      </c>
      <c r="HJ621" s="22" t="s">
        <v>31</v>
      </c>
      <c r="HK621" s="22" t="s">
        <v>32</v>
      </c>
      <c r="HL621" s="22" t="s">
        <v>21</v>
      </c>
      <c r="HM621" s="22" t="s">
        <v>33</v>
      </c>
      <c r="HN621" s="22" t="s">
        <v>19</v>
      </c>
      <c r="HO621" s="22" t="s">
        <v>28</v>
      </c>
      <c r="HP621" s="22" t="s">
        <v>29</v>
      </c>
      <c r="HQ621" s="22" t="s">
        <v>30</v>
      </c>
      <c r="HR621" s="22" t="s">
        <v>31</v>
      </c>
      <c r="HS621" s="22" t="s">
        <v>32</v>
      </c>
      <c r="HT621" s="22" t="s">
        <v>21</v>
      </c>
      <c r="HU621" s="22" t="s">
        <v>33</v>
      </c>
      <c r="HV621" s="22" t="s">
        <v>19</v>
      </c>
      <c r="HW621" s="22" t="s">
        <v>28</v>
      </c>
      <c r="HX621" s="22" t="s">
        <v>29</v>
      </c>
      <c r="HY621" s="22" t="s">
        <v>30</v>
      </c>
      <c r="HZ621" s="22" t="s">
        <v>31</v>
      </c>
      <c r="IA621" s="22" t="s">
        <v>32</v>
      </c>
      <c r="IB621" s="22" t="s">
        <v>21</v>
      </c>
      <c r="IC621" s="22" t="s">
        <v>33</v>
      </c>
      <c r="ID621" s="22" t="s">
        <v>19</v>
      </c>
      <c r="IE621" s="22" t="s">
        <v>28</v>
      </c>
      <c r="IF621" s="22" t="s">
        <v>29</v>
      </c>
      <c r="IG621" s="22" t="s">
        <v>30</v>
      </c>
      <c r="IH621" s="22" t="s">
        <v>31</v>
      </c>
      <c r="II621" s="22" t="s">
        <v>32</v>
      </c>
      <c r="IJ621" s="22" t="s">
        <v>21</v>
      </c>
      <c r="IK621" s="22" t="s">
        <v>33</v>
      </c>
      <c r="IL621" s="22" t="s">
        <v>19</v>
      </c>
      <c r="IM621" s="22" t="s">
        <v>28</v>
      </c>
      <c r="IN621" s="22" t="s">
        <v>29</v>
      </c>
      <c r="IO621" s="22" t="s">
        <v>30</v>
      </c>
      <c r="IP621" s="22" t="s">
        <v>31</v>
      </c>
      <c r="IQ621" s="22" t="s">
        <v>32</v>
      </c>
      <c r="IR621" s="22" t="s">
        <v>21</v>
      </c>
      <c r="IS621" s="22" t="s">
        <v>33</v>
      </c>
    </row>
    <row r="622" spans="1:253" ht="30.75" customHeight="1">
      <c r="A622" s="85"/>
      <c r="B622" s="95" t="s">
        <v>306</v>
      </c>
      <c r="C622" s="187" t="s">
        <v>381</v>
      </c>
      <c r="D622" s="87"/>
      <c r="E622" s="87"/>
      <c r="F622" s="113"/>
      <c r="G622" s="92"/>
      <c r="H622" s="113"/>
      <c r="I622" s="92"/>
      <c r="J622" s="113"/>
      <c r="K622" s="93"/>
      <c r="L622" s="173"/>
      <c r="M622" s="188"/>
      <c r="N622" s="180"/>
      <c r="O622" s="29"/>
      <c r="P622" s="189"/>
      <c r="Q622" s="180"/>
      <c r="R622" s="180"/>
      <c r="S622" s="180"/>
      <c r="T622" s="180"/>
      <c r="U622" s="180"/>
      <c r="V622" s="180"/>
      <c r="W622" s="29"/>
      <c r="X622" s="189"/>
      <c r="Y622" s="180"/>
      <c r="Z622" s="180"/>
      <c r="AA622" s="180"/>
      <c r="AB622" s="180"/>
      <c r="AC622" s="180"/>
      <c r="AD622" s="180"/>
      <c r="AE622" s="29"/>
      <c r="AF622" s="189"/>
      <c r="AG622" s="180"/>
      <c r="AH622" s="180"/>
      <c r="AI622" s="180"/>
      <c r="AJ622" s="180"/>
      <c r="AK622" s="180"/>
      <c r="AL622" s="180"/>
      <c r="AM622" s="29"/>
      <c r="AN622" s="189"/>
      <c r="AO622" s="180"/>
      <c r="AP622" s="180"/>
      <c r="AQ622" s="180"/>
      <c r="AR622" s="180"/>
      <c r="AS622" s="180"/>
      <c r="AT622" s="180"/>
      <c r="AU622" s="29"/>
      <c r="AV622" s="189"/>
      <c r="AW622" s="180"/>
      <c r="AX622" s="180"/>
      <c r="AY622" s="180"/>
      <c r="AZ622" s="180"/>
      <c r="BA622" s="180"/>
      <c r="BB622" s="180"/>
      <c r="BC622" s="29"/>
      <c r="BD622" s="189"/>
      <c r="BE622" s="180"/>
      <c r="BF622" s="180"/>
      <c r="BG622" s="180"/>
      <c r="BH622" s="180"/>
      <c r="BI622" s="180"/>
      <c r="BJ622" s="190"/>
      <c r="BK622" s="24"/>
      <c r="BL622" s="31" t="s">
        <v>38</v>
      </c>
      <c r="BM622" s="23"/>
      <c r="BN622" s="23"/>
      <c r="BO622" s="23"/>
      <c r="BP622" s="23"/>
      <c r="BQ622" s="23"/>
      <c r="BR622" s="23"/>
      <c r="BS622" s="24"/>
      <c r="BT622" s="31" t="s">
        <v>38</v>
      </c>
      <c r="BU622" s="23"/>
      <c r="BV622" s="23"/>
      <c r="BW622" s="23"/>
      <c r="BX622" s="23"/>
      <c r="BY622" s="23"/>
      <c r="BZ622" s="23"/>
      <c r="CA622" s="24"/>
      <c r="CB622" s="31" t="s">
        <v>38</v>
      </c>
      <c r="CC622" s="23"/>
      <c r="CD622" s="23"/>
      <c r="CE622" s="23"/>
      <c r="CF622" s="23"/>
      <c r="CG622" s="23"/>
      <c r="CH622" s="23"/>
      <c r="CI622" s="24"/>
      <c r="CJ622" s="31" t="s">
        <v>38</v>
      </c>
      <c r="CK622" s="23"/>
      <c r="CL622" s="23"/>
      <c r="CM622" s="23"/>
      <c r="CN622" s="23"/>
      <c r="CO622" s="23"/>
      <c r="CP622" s="23"/>
      <c r="CQ622" s="24"/>
      <c r="CR622" s="31" t="s">
        <v>38</v>
      </c>
      <c r="CS622" s="23"/>
      <c r="CT622" s="23"/>
      <c r="CU622" s="23"/>
      <c r="CV622" s="23"/>
      <c r="CW622" s="23"/>
      <c r="CX622" s="23"/>
      <c r="CY622" s="24"/>
      <c r="CZ622" s="31" t="s">
        <v>38</v>
      </c>
      <c r="DA622" s="23"/>
      <c r="DB622" s="23"/>
      <c r="DC622" s="23"/>
      <c r="DD622" s="23"/>
      <c r="DE622" s="23"/>
      <c r="DF622" s="23"/>
      <c r="DG622" s="24"/>
      <c r="DH622" s="31" t="s">
        <v>38</v>
      </c>
      <c r="DI622" s="23"/>
      <c r="DJ622" s="23"/>
      <c r="DK622" s="23"/>
      <c r="DL622" s="23"/>
      <c r="DM622" s="23"/>
      <c r="DN622" s="23"/>
      <c r="DO622" s="24"/>
      <c r="DP622" s="31" t="s">
        <v>38</v>
      </c>
      <c r="DQ622" s="23"/>
      <c r="DR622" s="23"/>
      <c r="DS622" s="23"/>
      <c r="DT622" s="23"/>
      <c r="DU622" s="23"/>
      <c r="DV622" s="23"/>
      <c r="DW622" s="24"/>
      <c r="DX622" s="31" t="s">
        <v>38</v>
      </c>
      <c r="DY622" s="23"/>
      <c r="DZ622" s="23"/>
      <c r="EA622" s="23"/>
      <c r="EB622" s="23"/>
      <c r="EC622" s="23"/>
      <c r="ED622" s="23"/>
      <c r="EE622" s="24"/>
      <c r="EF622" s="31" t="s">
        <v>38</v>
      </c>
      <c r="EG622" s="23"/>
      <c r="EH622" s="23"/>
      <c r="EI622" s="23"/>
      <c r="EJ622" s="23"/>
      <c r="EK622" s="23"/>
      <c r="EL622" s="23"/>
      <c r="EM622" s="24"/>
      <c r="EN622" s="31" t="s">
        <v>38</v>
      </c>
      <c r="EO622" s="23"/>
      <c r="EP622" s="23"/>
      <c r="EQ622" s="23"/>
      <c r="ER622" s="23"/>
      <c r="ES622" s="23"/>
      <c r="ET622" s="23"/>
      <c r="EU622" s="24"/>
      <c r="EV622" s="31" t="s">
        <v>38</v>
      </c>
      <c r="EW622" s="23"/>
      <c r="EX622" s="23"/>
      <c r="EY622" s="23"/>
      <c r="EZ622" s="23"/>
      <c r="FA622" s="23"/>
      <c r="FB622" s="23"/>
      <c r="FC622" s="24"/>
      <c r="FD622" s="31" t="s">
        <v>38</v>
      </c>
      <c r="FE622" s="23"/>
      <c r="FF622" s="23"/>
      <c r="FG622" s="23"/>
      <c r="FH622" s="23"/>
      <c r="FI622" s="23"/>
      <c r="FJ622" s="23"/>
      <c r="FK622" s="24"/>
      <c r="FL622" s="31" t="s">
        <v>38</v>
      </c>
      <c r="FM622" s="23"/>
      <c r="FN622" s="23"/>
      <c r="FO622" s="23"/>
      <c r="FP622" s="23"/>
      <c r="FQ622" s="23"/>
      <c r="FR622" s="23"/>
      <c r="FS622" s="24"/>
      <c r="FT622" s="31" t="s">
        <v>38</v>
      </c>
      <c r="FU622" s="23"/>
      <c r="FV622" s="23"/>
      <c r="FW622" s="23"/>
      <c r="FX622" s="23"/>
      <c r="FY622" s="23"/>
      <c r="FZ622" s="23"/>
      <c r="GA622" s="24"/>
      <c r="GB622" s="31" t="s">
        <v>38</v>
      </c>
      <c r="GC622" s="23"/>
      <c r="GD622" s="23"/>
      <c r="GE622" s="23"/>
      <c r="GF622" s="23"/>
      <c r="GG622" s="23"/>
      <c r="GH622" s="23"/>
      <c r="GI622" s="24"/>
      <c r="GJ622" s="31" t="s">
        <v>38</v>
      </c>
      <c r="GK622" s="23"/>
      <c r="GL622" s="23"/>
      <c r="GM622" s="23"/>
      <c r="GN622" s="23"/>
      <c r="GO622" s="23"/>
      <c r="GP622" s="23"/>
      <c r="GQ622" s="24"/>
      <c r="GR622" s="31" t="s">
        <v>38</v>
      </c>
      <c r="GS622" s="23"/>
      <c r="GT622" s="23"/>
      <c r="GU622" s="23"/>
      <c r="GV622" s="23"/>
      <c r="GW622" s="23"/>
      <c r="GX622" s="23"/>
      <c r="GY622" s="24"/>
      <c r="GZ622" s="31" t="s">
        <v>38</v>
      </c>
      <c r="HA622" s="23"/>
      <c r="HB622" s="23"/>
      <c r="HC622" s="23"/>
      <c r="HD622" s="23"/>
      <c r="HE622" s="23"/>
      <c r="HF622" s="23"/>
      <c r="HG622" s="24"/>
      <c r="HH622" s="31" t="s">
        <v>38</v>
      </c>
      <c r="HI622" s="23"/>
      <c r="HJ622" s="23"/>
      <c r="HK622" s="23"/>
      <c r="HL622" s="23"/>
      <c r="HM622" s="23"/>
      <c r="HN622" s="23"/>
      <c r="HO622" s="24"/>
      <c r="HP622" s="31" t="s">
        <v>38</v>
      </c>
      <c r="HQ622" s="23"/>
      <c r="HR622" s="23"/>
      <c r="HS622" s="23"/>
      <c r="HT622" s="23"/>
      <c r="HU622" s="23"/>
      <c r="HV622" s="23"/>
      <c r="HW622" s="24"/>
      <c r="HX622" s="31" t="s">
        <v>38</v>
      </c>
      <c r="HY622" s="23"/>
      <c r="HZ622" s="23"/>
      <c r="IA622" s="23"/>
      <c r="IB622" s="23"/>
      <c r="IC622" s="23"/>
      <c r="ID622" s="23"/>
      <c r="IE622" s="24"/>
      <c r="IF622" s="31" t="s">
        <v>38</v>
      </c>
      <c r="IG622" s="23"/>
      <c r="IH622" s="23"/>
      <c r="II622" s="23"/>
      <c r="IJ622" s="23"/>
      <c r="IK622" s="23"/>
      <c r="IL622" s="23"/>
      <c r="IM622" s="24"/>
      <c r="IN622" s="31" t="s">
        <v>38</v>
      </c>
      <c r="IO622" s="23"/>
      <c r="IP622" s="23"/>
      <c r="IQ622" s="23"/>
      <c r="IR622" s="23"/>
      <c r="IS622" s="23"/>
    </row>
    <row r="623" spans="1:253" ht="16.5" customHeight="1">
      <c r="A623" s="85"/>
      <c r="B623" s="179" t="s">
        <v>45</v>
      </c>
      <c r="C623" s="183"/>
      <c r="D623" s="87"/>
      <c r="E623" s="87"/>
      <c r="F623" s="93"/>
      <c r="G623" s="93"/>
      <c r="H623" s="93"/>
      <c r="I623" s="93"/>
      <c r="J623" s="93"/>
      <c r="K623" s="93"/>
      <c r="L623" s="32"/>
      <c r="M623" s="191"/>
      <c r="N623" s="180"/>
      <c r="O623" s="29"/>
      <c r="P623" s="192"/>
      <c r="Q623" s="180"/>
      <c r="R623" s="180"/>
      <c r="S623" s="180"/>
      <c r="T623" s="180"/>
      <c r="U623" s="180"/>
      <c r="V623" s="180"/>
      <c r="W623" s="29"/>
      <c r="X623" s="192"/>
      <c r="Y623" s="180"/>
      <c r="Z623" s="180"/>
      <c r="AA623" s="180"/>
      <c r="AB623" s="180"/>
      <c r="AC623" s="180"/>
      <c r="AD623" s="180"/>
      <c r="AE623" s="29"/>
      <c r="AF623" s="192"/>
      <c r="AG623" s="180"/>
      <c r="AH623" s="180"/>
      <c r="AI623" s="180"/>
      <c r="AJ623" s="180"/>
      <c r="AK623" s="180"/>
      <c r="AL623" s="180"/>
      <c r="AM623" s="29"/>
      <c r="AN623" s="192"/>
      <c r="AO623" s="180"/>
      <c r="AP623" s="180"/>
      <c r="AQ623" s="180"/>
      <c r="AR623" s="180"/>
      <c r="AS623" s="180"/>
      <c r="AT623" s="180"/>
      <c r="AU623" s="29"/>
      <c r="AV623" s="192"/>
      <c r="AW623" s="180"/>
      <c r="AX623" s="180"/>
      <c r="AY623" s="180"/>
      <c r="AZ623" s="180"/>
      <c r="BA623" s="180"/>
      <c r="BB623" s="180"/>
      <c r="BC623" s="29"/>
      <c r="BD623" s="192"/>
      <c r="BE623" s="180"/>
      <c r="BF623" s="180"/>
      <c r="BG623" s="180"/>
      <c r="BH623" s="180"/>
      <c r="BI623" s="180"/>
      <c r="BJ623" s="190"/>
      <c r="BK623" s="24"/>
      <c r="BL623" s="25" t="s">
        <v>39</v>
      </c>
      <c r="BM623" s="23"/>
      <c r="BN623" s="23"/>
      <c r="BO623" s="23"/>
      <c r="BP623" s="23"/>
      <c r="BQ623" s="23"/>
      <c r="BR623" s="23"/>
      <c r="BS623" s="24"/>
      <c r="BT623" s="25" t="s">
        <v>39</v>
      </c>
      <c r="BU623" s="23"/>
      <c r="BV623" s="23"/>
      <c r="BW623" s="23"/>
      <c r="BX623" s="23"/>
      <c r="BY623" s="23"/>
      <c r="BZ623" s="23"/>
      <c r="CA623" s="24"/>
      <c r="CB623" s="25" t="s">
        <v>39</v>
      </c>
      <c r="CC623" s="23"/>
      <c r="CD623" s="23"/>
      <c r="CE623" s="23"/>
      <c r="CF623" s="23"/>
      <c r="CG623" s="23"/>
      <c r="CH623" s="23"/>
      <c r="CI623" s="24"/>
      <c r="CJ623" s="25" t="s">
        <v>39</v>
      </c>
      <c r="CK623" s="23"/>
      <c r="CL623" s="23"/>
      <c r="CM623" s="23"/>
      <c r="CN623" s="23"/>
      <c r="CO623" s="23"/>
      <c r="CP623" s="23"/>
      <c r="CQ623" s="24"/>
      <c r="CR623" s="25" t="s">
        <v>39</v>
      </c>
      <c r="CS623" s="23"/>
      <c r="CT623" s="23"/>
      <c r="CU623" s="23"/>
      <c r="CV623" s="23"/>
      <c r="CW623" s="23"/>
      <c r="CX623" s="23"/>
      <c r="CY623" s="24"/>
      <c r="CZ623" s="25" t="s">
        <v>39</v>
      </c>
      <c r="DA623" s="23"/>
      <c r="DB623" s="23"/>
      <c r="DC623" s="23"/>
      <c r="DD623" s="23"/>
      <c r="DE623" s="23"/>
      <c r="DF623" s="23"/>
      <c r="DG623" s="24"/>
      <c r="DH623" s="25" t="s">
        <v>39</v>
      </c>
      <c r="DI623" s="23"/>
      <c r="DJ623" s="23"/>
      <c r="DK623" s="23"/>
      <c r="DL623" s="23"/>
      <c r="DM623" s="23"/>
      <c r="DN623" s="23"/>
      <c r="DO623" s="24"/>
      <c r="DP623" s="25" t="s">
        <v>39</v>
      </c>
      <c r="DQ623" s="23"/>
      <c r="DR623" s="23"/>
      <c r="DS623" s="23"/>
      <c r="DT623" s="23"/>
      <c r="DU623" s="23"/>
      <c r="DV623" s="23"/>
      <c r="DW623" s="24"/>
      <c r="DX623" s="25" t="s">
        <v>39</v>
      </c>
      <c r="DY623" s="23"/>
      <c r="DZ623" s="23"/>
      <c r="EA623" s="23"/>
      <c r="EB623" s="23"/>
      <c r="EC623" s="23"/>
      <c r="ED623" s="23"/>
      <c r="EE623" s="24"/>
      <c r="EF623" s="25" t="s">
        <v>39</v>
      </c>
      <c r="EG623" s="23"/>
      <c r="EH623" s="23"/>
      <c r="EI623" s="23"/>
      <c r="EJ623" s="23"/>
      <c r="EK623" s="23"/>
      <c r="EL623" s="23"/>
      <c r="EM623" s="24"/>
      <c r="EN623" s="25" t="s">
        <v>39</v>
      </c>
      <c r="EO623" s="23"/>
      <c r="EP623" s="23"/>
      <c r="EQ623" s="23"/>
      <c r="ER623" s="23"/>
      <c r="ES623" s="23"/>
      <c r="ET623" s="23"/>
      <c r="EU623" s="24"/>
      <c r="EV623" s="25" t="s">
        <v>39</v>
      </c>
      <c r="EW623" s="23"/>
      <c r="EX623" s="23"/>
      <c r="EY623" s="23"/>
      <c r="EZ623" s="23"/>
      <c r="FA623" s="23"/>
      <c r="FB623" s="23"/>
      <c r="FC623" s="24"/>
      <c r="FD623" s="25" t="s">
        <v>39</v>
      </c>
      <c r="FE623" s="23"/>
      <c r="FF623" s="23"/>
      <c r="FG623" s="23"/>
      <c r="FH623" s="23"/>
      <c r="FI623" s="23"/>
      <c r="FJ623" s="23"/>
      <c r="FK623" s="24"/>
      <c r="FL623" s="25" t="s">
        <v>39</v>
      </c>
      <c r="FM623" s="23"/>
      <c r="FN623" s="23"/>
      <c r="FO623" s="23"/>
      <c r="FP623" s="23"/>
      <c r="FQ623" s="23"/>
      <c r="FR623" s="23"/>
      <c r="FS623" s="24"/>
      <c r="FT623" s="25" t="s">
        <v>39</v>
      </c>
      <c r="FU623" s="23"/>
      <c r="FV623" s="23"/>
      <c r="FW623" s="23"/>
      <c r="FX623" s="23"/>
      <c r="FY623" s="23"/>
      <c r="FZ623" s="23"/>
      <c r="GA623" s="24"/>
      <c r="GB623" s="25" t="s">
        <v>39</v>
      </c>
      <c r="GC623" s="23"/>
      <c r="GD623" s="23"/>
      <c r="GE623" s="23"/>
      <c r="GF623" s="23"/>
      <c r="GG623" s="23"/>
      <c r="GH623" s="23"/>
      <c r="GI623" s="24"/>
      <c r="GJ623" s="25" t="s">
        <v>39</v>
      </c>
      <c r="GK623" s="23"/>
      <c r="GL623" s="23"/>
      <c r="GM623" s="23"/>
      <c r="GN623" s="23"/>
      <c r="GO623" s="23"/>
      <c r="GP623" s="23"/>
      <c r="GQ623" s="24"/>
      <c r="GR623" s="25" t="s">
        <v>39</v>
      </c>
      <c r="GS623" s="23"/>
      <c r="GT623" s="23"/>
      <c r="GU623" s="23"/>
      <c r="GV623" s="23"/>
      <c r="GW623" s="23"/>
      <c r="GX623" s="23"/>
      <c r="GY623" s="24"/>
      <c r="GZ623" s="25" t="s">
        <v>39</v>
      </c>
      <c r="HA623" s="23"/>
      <c r="HB623" s="23"/>
      <c r="HC623" s="23"/>
      <c r="HD623" s="23"/>
      <c r="HE623" s="23"/>
      <c r="HF623" s="23"/>
      <c r="HG623" s="24"/>
      <c r="HH623" s="25" t="s">
        <v>39</v>
      </c>
      <c r="HI623" s="23"/>
      <c r="HJ623" s="23"/>
      <c r="HK623" s="23"/>
      <c r="HL623" s="23"/>
      <c r="HM623" s="23"/>
      <c r="HN623" s="23"/>
      <c r="HO623" s="24"/>
      <c r="HP623" s="25" t="s">
        <v>39</v>
      </c>
      <c r="HQ623" s="23"/>
      <c r="HR623" s="23"/>
      <c r="HS623" s="23"/>
      <c r="HT623" s="23"/>
      <c r="HU623" s="23"/>
      <c r="HV623" s="23"/>
      <c r="HW623" s="24"/>
      <c r="HX623" s="25" t="s">
        <v>39</v>
      </c>
      <c r="HY623" s="23"/>
      <c r="HZ623" s="23"/>
      <c r="IA623" s="23"/>
      <c r="IB623" s="23"/>
      <c r="IC623" s="23"/>
      <c r="ID623" s="23"/>
      <c r="IE623" s="24"/>
      <c r="IF623" s="25" t="s">
        <v>39</v>
      </c>
      <c r="IG623" s="23"/>
      <c r="IH623" s="23"/>
      <c r="II623" s="23"/>
      <c r="IJ623" s="23"/>
      <c r="IK623" s="23"/>
      <c r="IL623" s="23"/>
      <c r="IM623" s="24"/>
      <c r="IN623" s="25" t="s">
        <v>39</v>
      </c>
      <c r="IO623" s="23"/>
      <c r="IP623" s="23"/>
      <c r="IQ623" s="23"/>
      <c r="IR623" s="23"/>
      <c r="IS623" s="23"/>
    </row>
    <row r="624" spans="1:253" ht="15.75" customHeight="1">
      <c r="A624" s="143"/>
      <c r="B624" s="144" t="s">
        <v>307</v>
      </c>
      <c r="C624" s="164" t="s">
        <v>381</v>
      </c>
      <c r="D624" s="89"/>
      <c r="E624" s="134"/>
      <c r="F624" s="93"/>
      <c r="G624" s="91"/>
      <c r="H624" s="93"/>
      <c r="I624" s="93"/>
      <c r="J624" s="93"/>
      <c r="K624" s="93"/>
      <c r="L624" s="32"/>
      <c r="M624" s="193"/>
      <c r="N624" s="28"/>
      <c r="O624" s="28"/>
      <c r="P624" s="29"/>
      <c r="Q624" s="30"/>
      <c r="R624" s="30"/>
      <c r="S624" s="30"/>
      <c r="T624" s="28"/>
      <c r="U624" s="30"/>
      <c r="V624" s="28"/>
      <c r="W624" s="28"/>
      <c r="X624" s="29"/>
      <c r="Y624" s="30"/>
      <c r="Z624" s="30"/>
      <c r="AA624" s="30"/>
      <c r="AB624" s="28"/>
      <c r="AC624" s="30"/>
      <c r="AD624" s="28"/>
      <c r="AE624" s="28"/>
      <c r="AF624" s="29"/>
      <c r="AG624" s="30"/>
      <c r="AH624" s="30"/>
      <c r="AI624" s="30"/>
      <c r="AJ624" s="28"/>
      <c r="AK624" s="30"/>
      <c r="AL624" s="28"/>
      <c r="AM624" s="28"/>
      <c r="AN624" s="29"/>
      <c r="AO624" s="30"/>
      <c r="AP624" s="30"/>
      <c r="AQ624" s="30"/>
      <c r="AR624" s="28"/>
      <c r="AS624" s="30"/>
      <c r="AT624" s="28"/>
      <c r="AU624" s="28"/>
      <c r="AV624" s="29"/>
      <c r="AW624" s="30"/>
      <c r="AX624" s="30"/>
      <c r="AY624" s="30"/>
      <c r="AZ624" s="28"/>
      <c r="BA624" s="30"/>
      <c r="BB624" s="28"/>
      <c r="BC624" s="28"/>
      <c r="BD624" s="29"/>
      <c r="BE624" s="30"/>
      <c r="BF624" s="30"/>
      <c r="BG624" s="30"/>
      <c r="BH624" s="28"/>
      <c r="BI624" s="30"/>
      <c r="BJ624" s="194">
        <v>1</v>
      </c>
      <c r="BK624" s="16" t="s">
        <v>308</v>
      </c>
      <c r="BL624" s="24" t="s">
        <v>309</v>
      </c>
      <c r="BM624" s="26" t="e">
        <f>'[1]gare wyalsadeni'!BY669/1000</f>
        <v>#REF!</v>
      </c>
      <c r="BN624" s="26"/>
      <c r="BO624" s="26"/>
      <c r="BP624" s="16"/>
      <c r="BQ624" s="26" t="e">
        <f>BM624+BN624+BO624+BP624</f>
        <v>#REF!</v>
      </c>
      <c r="BR624" s="16">
        <v>1</v>
      </c>
      <c r="BS624" s="16" t="s">
        <v>308</v>
      </c>
      <c r="BT624" s="24" t="s">
        <v>309</v>
      </c>
      <c r="BU624" s="26" t="e">
        <f>'[1]gare wyalsadeni'!CG669/1000</f>
        <v>#REF!</v>
      </c>
      <c r="BV624" s="26"/>
      <c r="BW624" s="26"/>
      <c r="BX624" s="16"/>
      <c r="BY624" s="26" t="e">
        <f>BU624+BV624+BW624+BX624</f>
        <v>#REF!</v>
      </c>
      <c r="BZ624" s="16">
        <v>1</v>
      </c>
      <c r="CA624" s="16" t="s">
        <v>308</v>
      </c>
      <c r="CB624" s="24" t="s">
        <v>309</v>
      </c>
      <c r="CC624" s="26" t="e">
        <f>'[1]gare wyalsadeni'!CO669/1000</f>
        <v>#REF!</v>
      </c>
      <c r="CD624" s="26"/>
      <c r="CE624" s="26"/>
      <c r="CF624" s="16"/>
      <c r="CG624" s="26" t="e">
        <f>CC624+CD624+CE624+CF624</f>
        <v>#REF!</v>
      </c>
      <c r="CH624" s="16">
        <v>1</v>
      </c>
      <c r="CI624" s="16" t="s">
        <v>308</v>
      </c>
      <c r="CJ624" s="24" t="s">
        <v>309</v>
      </c>
      <c r="CK624" s="26" t="e">
        <f>'[1]gare wyalsadeni'!CW669/1000</f>
        <v>#REF!</v>
      </c>
      <c r="CL624" s="26"/>
      <c r="CM624" s="26"/>
      <c r="CN624" s="16"/>
      <c r="CO624" s="26" t="e">
        <f>CK624+CL624+CM624+CN624</f>
        <v>#REF!</v>
      </c>
      <c r="CP624" s="16">
        <v>1</v>
      </c>
      <c r="CQ624" s="16" t="s">
        <v>308</v>
      </c>
      <c r="CR624" s="24" t="s">
        <v>309</v>
      </c>
      <c r="CS624" s="26" t="e">
        <f>'[1]gare wyalsadeni'!DE669/1000</f>
        <v>#REF!</v>
      </c>
      <c r="CT624" s="26"/>
      <c r="CU624" s="26"/>
      <c r="CV624" s="16"/>
      <c r="CW624" s="26" t="e">
        <f>CS624+CT624+CU624+CV624</f>
        <v>#REF!</v>
      </c>
      <c r="CX624" s="16">
        <v>1</v>
      </c>
      <c r="CY624" s="16" t="s">
        <v>308</v>
      </c>
      <c r="CZ624" s="24" t="s">
        <v>309</v>
      </c>
      <c r="DA624" s="26" t="e">
        <f>'[1]gare wyalsadeni'!DM669/1000</f>
        <v>#REF!</v>
      </c>
      <c r="DB624" s="26"/>
      <c r="DC624" s="26"/>
      <c r="DD624" s="16"/>
      <c r="DE624" s="26" t="e">
        <f>DA624+DB624+DC624+DD624</f>
        <v>#REF!</v>
      </c>
      <c r="DF624" s="16">
        <v>1</v>
      </c>
      <c r="DG624" s="16" t="s">
        <v>308</v>
      </c>
      <c r="DH624" s="24" t="s">
        <v>309</v>
      </c>
      <c r="DI624" s="26" t="e">
        <f>'[1]gare wyalsadeni'!DU669/1000</f>
        <v>#REF!</v>
      </c>
      <c r="DJ624" s="26"/>
      <c r="DK624" s="26"/>
      <c r="DL624" s="16"/>
      <c r="DM624" s="26" t="e">
        <f>DI624+DJ624+DK624+DL624</f>
        <v>#REF!</v>
      </c>
      <c r="DN624" s="16">
        <v>1</v>
      </c>
      <c r="DO624" s="16" t="s">
        <v>308</v>
      </c>
      <c r="DP624" s="24" t="s">
        <v>309</v>
      </c>
      <c r="DQ624" s="26" t="e">
        <f>'[1]gare wyalsadeni'!EC669/1000</f>
        <v>#REF!</v>
      </c>
      <c r="DR624" s="26"/>
      <c r="DS624" s="26"/>
      <c r="DT624" s="16"/>
      <c r="DU624" s="26" t="e">
        <f>DQ624+DR624+DS624+DT624</f>
        <v>#REF!</v>
      </c>
      <c r="DV624" s="16">
        <v>1</v>
      </c>
      <c r="DW624" s="16" t="s">
        <v>308</v>
      </c>
      <c r="DX624" s="24" t="s">
        <v>309</v>
      </c>
      <c r="DY624" s="26" t="e">
        <f>'[1]gare wyalsadeni'!EK669/1000</f>
        <v>#REF!</v>
      </c>
      <c r="DZ624" s="26"/>
      <c r="EA624" s="26"/>
      <c r="EB624" s="16"/>
      <c r="EC624" s="26" t="e">
        <f>DY624+DZ624+EA624+EB624</f>
        <v>#REF!</v>
      </c>
      <c r="ED624" s="16">
        <v>1</v>
      </c>
      <c r="EE624" s="16" t="s">
        <v>308</v>
      </c>
      <c r="EF624" s="24" t="s">
        <v>309</v>
      </c>
      <c r="EG624" s="26" t="e">
        <f>'[1]gare wyalsadeni'!ES669/1000</f>
        <v>#REF!</v>
      </c>
      <c r="EH624" s="26"/>
      <c r="EI624" s="26"/>
      <c r="EJ624" s="16"/>
      <c r="EK624" s="26" t="e">
        <f>EG624+EH624+EI624+EJ624</f>
        <v>#REF!</v>
      </c>
      <c r="EL624" s="16">
        <v>1</v>
      </c>
      <c r="EM624" s="16" t="s">
        <v>308</v>
      </c>
      <c r="EN624" s="24" t="s">
        <v>309</v>
      </c>
      <c r="EO624" s="26" t="e">
        <f>'[1]gare wyalsadeni'!FA669/1000</f>
        <v>#REF!</v>
      </c>
      <c r="EP624" s="26"/>
      <c r="EQ624" s="26"/>
      <c r="ER624" s="16"/>
      <c r="ES624" s="26" t="e">
        <f>EO624+EP624+EQ624+ER624</f>
        <v>#REF!</v>
      </c>
      <c r="ET624" s="16">
        <v>1</v>
      </c>
      <c r="EU624" s="16" t="s">
        <v>308</v>
      </c>
      <c r="EV624" s="24" t="s">
        <v>309</v>
      </c>
      <c r="EW624" s="26" t="e">
        <f>'[1]gare wyalsadeni'!FI669/1000</f>
        <v>#REF!</v>
      </c>
      <c r="EX624" s="26"/>
      <c r="EY624" s="26"/>
      <c r="EZ624" s="16"/>
      <c r="FA624" s="26" t="e">
        <f>EW624+EX624+EY624+EZ624</f>
        <v>#REF!</v>
      </c>
      <c r="FB624" s="16">
        <v>1</v>
      </c>
      <c r="FC624" s="16" t="s">
        <v>308</v>
      </c>
      <c r="FD624" s="24" t="s">
        <v>309</v>
      </c>
      <c r="FE624" s="26" t="e">
        <f>'[1]gare wyalsadeni'!FQ669/1000</f>
        <v>#REF!</v>
      </c>
      <c r="FF624" s="26"/>
      <c r="FG624" s="26"/>
      <c r="FH624" s="16"/>
      <c r="FI624" s="26" t="e">
        <f>FE624+FF624+FG624+FH624</f>
        <v>#REF!</v>
      </c>
      <c r="FJ624" s="16">
        <v>1</v>
      </c>
      <c r="FK624" s="16" t="s">
        <v>308</v>
      </c>
      <c r="FL624" s="24" t="s">
        <v>309</v>
      </c>
      <c r="FM624" s="26" t="e">
        <f>'[1]gare wyalsadeni'!FY669/1000</f>
        <v>#REF!</v>
      </c>
      <c r="FN624" s="26"/>
      <c r="FO624" s="26"/>
      <c r="FP624" s="16"/>
      <c r="FQ624" s="26" t="e">
        <f>FM624+FN624+FO624+FP624</f>
        <v>#REF!</v>
      </c>
      <c r="FR624" s="16">
        <v>1</v>
      </c>
      <c r="FS624" s="16" t="s">
        <v>308</v>
      </c>
      <c r="FT624" s="24" t="s">
        <v>309</v>
      </c>
      <c r="FU624" s="26" t="e">
        <f>'[1]gare wyalsadeni'!GG669/1000</f>
        <v>#REF!</v>
      </c>
      <c r="FV624" s="26"/>
      <c r="FW624" s="26"/>
      <c r="FX624" s="16"/>
      <c r="FY624" s="26" t="e">
        <f>FU624+FV624+FW624+FX624</f>
        <v>#REF!</v>
      </c>
      <c r="FZ624" s="16">
        <v>1</v>
      </c>
      <c r="GA624" s="16" t="s">
        <v>308</v>
      </c>
      <c r="GB624" s="24" t="s">
        <v>309</v>
      </c>
      <c r="GC624" s="26" t="e">
        <f>'[1]gare wyalsadeni'!GO669/1000</f>
        <v>#REF!</v>
      </c>
      <c r="GD624" s="26"/>
      <c r="GE624" s="26"/>
      <c r="GF624" s="16"/>
      <c r="GG624" s="26" t="e">
        <f>GC624+GD624+GE624+GF624</f>
        <v>#REF!</v>
      </c>
      <c r="GH624" s="16">
        <v>1</v>
      </c>
      <c r="GI624" s="16" t="s">
        <v>308</v>
      </c>
      <c r="GJ624" s="24" t="s">
        <v>309</v>
      </c>
      <c r="GK624" s="26" t="e">
        <f>'[1]gare wyalsadeni'!GW669/1000</f>
        <v>#REF!</v>
      </c>
      <c r="GL624" s="26"/>
      <c r="GM624" s="26"/>
      <c r="GN624" s="16"/>
      <c r="GO624" s="26" t="e">
        <f>GK624+GL624+GM624+GN624</f>
        <v>#REF!</v>
      </c>
      <c r="GP624" s="16">
        <v>1</v>
      </c>
      <c r="GQ624" s="16" t="s">
        <v>308</v>
      </c>
      <c r="GR624" s="24" t="s">
        <v>309</v>
      </c>
      <c r="GS624" s="26" t="e">
        <f>'[1]gare wyalsadeni'!HE669/1000</f>
        <v>#REF!</v>
      </c>
      <c r="GT624" s="26"/>
      <c r="GU624" s="26"/>
      <c r="GV624" s="16"/>
      <c r="GW624" s="26" t="e">
        <f>GS624+GT624+GU624+GV624</f>
        <v>#REF!</v>
      </c>
      <c r="GX624" s="16">
        <v>1</v>
      </c>
      <c r="GY624" s="16" t="s">
        <v>308</v>
      </c>
      <c r="GZ624" s="24" t="s">
        <v>309</v>
      </c>
      <c r="HA624" s="26" t="e">
        <f>'[1]gare wyalsadeni'!HM669/1000</f>
        <v>#REF!</v>
      </c>
      <c r="HB624" s="26"/>
      <c r="HC624" s="26"/>
      <c r="HD624" s="16"/>
      <c r="HE624" s="26" t="e">
        <f>HA624+HB624+HC624+HD624</f>
        <v>#REF!</v>
      </c>
      <c r="HF624" s="16">
        <v>1</v>
      </c>
      <c r="HG624" s="16" t="s">
        <v>308</v>
      </c>
      <c r="HH624" s="24" t="s">
        <v>309</v>
      </c>
      <c r="HI624" s="26" t="e">
        <f>'[1]gare wyalsadeni'!HU669/1000</f>
        <v>#REF!</v>
      </c>
      <c r="HJ624" s="26"/>
      <c r="HK624" s="26"/>
      <c r="HL624" s="16"/>
      <c r="HM624" s="26" t="e">
        <f>HI624+HJ624+HK624+HL624</f>
        <v>#REF!</v>
      </c>
      <c r="HN624" s="16">
        <v>1</v>
      </c>
      <c r="HO624" s="16" t="s">
        <v>308</v>
      </c>
      <c r="HP624" s="24" t="s">
        <v>309</v>
      </c>
      <c r="HQ624" s="26" t="e">
        <f>'[1]gare wyalsadeni'!IC669/1000</f>
        <v>#REF!</v>
      </c>
      <c r="HR624" s="26"/>
      <c r="HS624" s="26"/>
      <c r="HT624" s="16"/>
      <c r="HU624" s="26" t="e">
        <f>HQ624+HR624+HS624+HT624</f>
        <v>#REF!</v>
      </c>
      <c r="HV624" s="16">
        <v>1</v>
      </c>
      <c r="HW624" s="16" t="s">
        <v>308</v>
      </c>
      <c r="HX624" s="24" t="s">
        <v>309</v>
      </c>
      <c r="HY624" s="26" t="e">
        <f>'[1]gare wyalsadeni'!IK669/1000</f>
        <v>#REF!</v>
      </c>
      <c r="HZ624" s="26"/>
      <c r="IA624" s="26"/>
      <c r="IB624" s="16"/>
      <c r="IC624" s="26" t="e">
        <f>HY624+HZ624+IA624+IB624</f>
        <v>#REF!</v>
      </c>
      <c r="ID624" s="16">
        <v>1</v>
      </c>
      <c r="IE624" s="16" t="s">
        <v>308</v>
      </c>
      <c r="IF624" s="24" t="s">
        <v>309</v>
      </c>
      <c r="IG624" s="26" t="e">
        <f>'[1]gare wyalsadeni'!IS669/1000</f>
        <v>#REF!</v>
      </c>
      <c r="IH624" s="26"/>
      <c r="II624" s="26"/>
      <c r="IJ624" s="16"/>
      <c r="IK624" s="26" t="e">
        <f>IG624+IH624+II624+IJ624</f>
        <v>#REF!</v>
      </c>
      <c r="IL624" s="16">
        <v>1</v>
      </c>
      <c r="IM624" s="16" t="s">
        <v>308</v>
      </c>
      <c r="IN624" s="24" t="s">
        <v>309</v>
      </c>
      <c r="IO624" s="26" t="e">
        <f>'[1]gare wyalsadeni'!#REF!/1000</f>
        <v>#REF!</v>
      </c>
      <c r="IP624" s="26"/>
      <c r="IQ624" s="26"/>
      <c r="IR624" s="16"/>
      <c r="IS624" s="26" t="e">
        <f>IO624+IP624+IQ624+IR624</f>
        <v>#REF!</v>
      </c>
    </row>
    <row r="625" spans="1:253" ht="16.5" customHeight="1">
      <c r="A625" s="85"/>
      <c r="B625" s="145" t="s">
        <v>586</v>
      </c>
      <c r="C625" s="85"/>
      <c r="D625" s="89"/>
      <c r="E625" s="134"/>
      <c r="F625" s="113"/>
      <c r="G625" s="113"/>
      <c r="H625" s="113"/>
      <c r="I625" s="113"/>
      <c r="J625" s="113"/>
      <c r="K625" s="113"/>
      <c r="L625" s="173"/>
      <c r="M625" s="193"/>
      <c r="N625" s="28"/>
      <c r="O625" s="28"/>
      <c r="P625" s="29"/>
      <c r="Q625" s="30"/>
      <c r="R625" s="30"/>
      <c r="S625" s="30"/>
      <c r="T625" s="30"/>
      <c r="U625" s="30"/>
      <c r="V625" s="28"/>
      <c r="W625" s="28"/>
      <c r="X625" s="29"/>
      <c r="Y625" s="30"/>
      <c r="Z625" s="30"/>
      <c r="AA625" s="30"/>
      <c r="AB625" s="30"/>
      <c r="AC625" s="30"/>
      <c r="AD625" s="28"/>
      <c r="AE625" s="28"/>
      <c r="AF625" s="29"/>
      <c r="AG625" s="30"/>
      <c r="AH625" s="30"/>
      <c r="AI625" s="30"/>
      <c r="AJ625" s="30"/>
      <c r="AK625" s="30"/>
      <c r="AL625" s="28"/>
      <c r="AM625" s="28"/>
      <c r="AN625" s="29"/>
      <c r="AO625" s="30"/>
      <c r="AP625" s="30"/>
      <c r="AQ625" s="30"/>
      <c r="AR625" s="30"/>
      <c r="AS625" s="30"/>
      <c r="AT625" s="28"/>
      <c r="AU625" s="28"/>
      <c r="AV625" s="29"/>
      <c r="AW625" s="30"/>
      <c r="AX625" s="30"/>
      <c r="AY625" s="30"/>
      <c r="AZ625" s="30"/>
      <c r="BA625" s="30"/>
      <c r="BB625" s="28"/>
      <c r="BC625" s="28"/>
      <c r="BD625" s="29"/>
      <c r="BE625" s="30"/>
      <c r="BF625" s="30"/>
      <c r="BG625" s="30"/>
      <c r="BH625" s="30"/>
      <c r="BI625" s="30"/>
      <c r="BJ625" s="177">
        <v>2</v>
      </c>
      <c r="BK625" s="9"/>
      <c r="BL625" s="27" t="s">
        <v>40</v>
      </c>
      <c r="BM625" s="10" t="e">
        <f>#REF!</f>
        <v>#REF!</v>
      </c>
      <c r="BN625" s="10"/>
      <c r="BO625" s="10"/>
      <c r="BP625" s="10"/>
      <c r="BQ625" s="10" t="e">
        <f>#REF!</f>
        <v>#REF!</v>
      </c>
      <c r="BR625" s="9">
        <v>2</v>
      </c>
      <c r="BS625" s="9"/>
      <c r="BT625" s="27" t="s">
        <v>40</v>
      </c>
      <c r="BU625" s="10" t="e">
        <f>#REF!</f>
        <v>#REF!</v>
      </c>
      <c r="BV625" s="10"/>
      <c r="BW625" s="10"/>
      <c r="BX625" s="10"/>
      <c r="BY625" s="10" t="e">
        <f>#REF!</f>
        <v>#REF!</v>
      </c>
      <c r="BZ625" s="9">
        <v>2</v>
      </c>
      <c r="CA625" s="9"/>
      <c r="CB625" s="27" t="s">
        <v>40</v>
      </c>
      <c r="CC625" s="10" t="e">
        <f>#REF!</f>
        <v>#REF!</v>
      </c>
      <c r="CD625" s="10"/>
      <c r="CE625" s="10"/>
      <c r="CF625" s="10"/>
      <c r="CG625" s="10" t="e">
        <f>#REF!</f>
        <v>#REF!</v>
      </c>
      <c r="CH625" s="9">
        <v>2</v>
      </c>
      <c r="CI625" s="9"/>
      <c r="CJ625" s="27" t="s">
        <v>40</v>
      </c>
      <c r="CK625" s="10" t="e">
        <f>#REF!</f>
        <v>#REF!</v>
      </c>
      <c r="CL625" s="10"/>
      <c r="CM625" s="10"/>
      <c r="CN625" s="10"/>
      <c r="CO625" s="10" t="e">
        <f>#REF!</f>
        <v>#REF!</v>
      </c>
      <c r="CP625" s="9">
        <v>2</v>
      </c>
      <c r="CQ625" s="9"/>
      <c r="CR625" s="27" t="s">
        <v>40</v>
      </c>
      <c r="CS625" s="10" t="e">
        <f>#REF!</f>
        <v>#REF!</v>
      </c>
      <c r="CT625" s="10"/>
      <c r="CU625" s="10"/>
      <c r="CV625" s="10"/>
      <c r="CW625" s="10" t="e">
        <f>#REF!</f>
        <v>#REF!</v>
      </c>
      <c r="CX625" s="9">
        <v>2</v>
      </c>
      <c r="CY625" s="9"/>
      <c r="CZ625" s="27" t="s">
        <v>40</v>
      </c>
      <c r="DA625" s="10" t="e">
        <f>#REF!</f>
        <v>#REF!</v>
      </c>
      <c r="DB625" s="10"/>
      <c r="DC625" s="10"/>
      <c r="DD625" s="10"/>
      <c r="DE625" s="10" t="e">
        <f>#REF!</f>
        <v>#REF!</v>
      </c>
      <c r="DF625" s="9">
        <v>2</v>
      </c>
      <c r="DG625" s="9"/>
      <c r="DH625" s="27" t="s">
        <v>40</v>
      </c>
      <c r="DI625" s="10" t="e">
        <f>#REF!</f>
        <v>#REF!</v>
      </c>
      <c r="DJ625" s="10"/>
      <c r="DK625" s="10"/>
      <c r="DL625" s="10"/>
      <c r="DM625" s="10" t="e">
        <f>#REF!</f>
        <v>#REF!</v>
      </c>
      <c r="DN625" s="9">
        <v>2</v>
      </c>
      <c r="DO625" s="9"/>
      <c r="DP625" s="27" t="s">
        <v>40</v>
      </c>
      <c r="DQ625" s="10" t="e">
        <f>#REF!</f>
        <v>#REF!</v>
      </c>
      <c r="DR625" s="10"/>
      <c r="DS625" s="10"/>
      <c r="DT625" s="10"/>
      <c r="DU625" s="10" t="e">
        <f>#REF!</f>
        <v>#REF!</v>
      </c>
      <c r="DV625" s="9">
        <v>2</v>
      </c>
      <c r="DW625" s="9"/>
      <c r="DX625" s="27" t="s">
        <v>40</v>
      </c>
      <c r="DY625" s="10" t="e">
        <f>#REF!</f>
        <v>#REF!</v>
      </c>
      <c r="DZ625" s="10"/>
      <c r="EA625" s="10"/>
      <c r="EB625" s="10"/>
      <c r="EC625" s="10" t="e">
        <f>#REF!</f>
        <v>#REF!</v>
      </c>
      <c r="ED625" s="9">
        <v>2</v>
      </c>
      <c r="EE625" s="9"/>
      <c r="EF625" s="27" t="s">
        <v>40</v>
      </c>
      <c r="EG625" s="10" t="e">
        <f>#REF!</f>
        <v>#REF!</v>
      </c>
      <c r="EH625" s="10"/>
      <c r="EI625" s="10"/>
      <c r="EJ625" s="10"/>
      <c r="EK625" s="10" t="e">
        <f>#REF!</f>
        <v>#REF!</v>
      </c>
      <c r="EL625" s="9">
        <v>2</v>
      </c>
      <c r="EM625" s="9"/>
      <c r="EN625" s="27" t="s">
        <v>40</v>
      </c>
      <c r="EO625" s="10" t="e">
        <f>#REF!</f>
        <v>#REF!</v>
      </c>
      <c r="EP625" s="10"/>
      <c r="EQ625" s="10"/>
      <c r="ER625" s="10"/>
      <c r="ES625" s="10" t="e">
        <f>#REF!</f>
        <v>#REF!</v>
      </c>
      <c r="ET625" s="9">
        <v>2</v>
      </c>
      <c r="EU625" s="9"/>
      <c r="EV625" s="27" t="s">
        <v>40</v>
      </c>
      <c r="EW625" s="10" t="e">
        <f>#REF!</f>
        <v>#REF!</v>
      </c>
      <c r="EX625" s="10"/>
      <c r="EY625" s="10"/>
      <c r="EZ625" s="10"/>
      <c r="FA625" s="10" t="e">
        <f>#REF!</f>
        <v>#REF!</v>
      </c>
      <c r="FB625" s="9">
        <v>2</v>
      </c>
      <c r="FC625" s="9"/>
      <c r="FD625" s="27" t="s">
        <v>40</v>
      </c>
      <c r="FE625" s="10" t="e">
        <f>#REF!</f>
        <v>#REF!</v>
      </c>
      <c r="FF625" s="10"/>
      <c r="FG625" s="10"/>
      <c r="FH625" s="10"/>
      <c r="FI625" s="10" t="e">
        <f>#REF!</f>
        <v>#REF!</v>
      </c>
      <c r="FJ625" s="9">
        <v>2</v>
      </c>
      <c r="FK625" s="9"/>
      <c r="FL625" s="27" t="s">
        <v>40</v>
      </c>
      <c r="FM625" s="10" t="e">
        <f>#REF!</f>
        <v>#REF!</v>
      </c>
      <c r="FN625" s="10"/>
      <c r="FO625" s="10"/>
      <c r="FP625" s="10"/>
      <c r="FQ625" s="10" t="e">
        <f>#REF!</f>
        <v>#REF!</v>
      </c>
      <c r="FR625" s="9">
        <v>2</v>
      </c>
      <c r="FS625" s="9"/>
      <c r="FT625" s="27" t="s">
        <v>40</v>
      </c>
      <c r="FU625" s="10" t="e">
        <f>#REF!</f>
        <v>#REF!</v>
      </c>
      <c r="FV625" s="10"/>
      <c r="FW625" s="10"/>
      <c r="FX625" s="10"/>
      <c r="FY625" s="10" t="e">
        <f>#REF!</f>
        <v>#REF!</v>
      </c>
      <c r="FZ625" s="9">
        <v>2</v>
      </c>
      <c r="GA625" s="9"/>
      <c r="GB625" s="27" t="s">
        <v>40</v>
      </c>
      <c r="GC625" s="10" t="e">
        <f>#REF!</f>
        <v>#REF!</v>
      </c>
      <c r="GD625" s="10"/>
      <c r="GE625" s="10"/>
      <c r="GF625" s="10"/>
      <c r="GG625" s="10" t="e">
        <f>#REF!</f>
        <v>#REF!</v>
      </c>
      <c r="GH625" s="9">
        <v>2</v>
      </c>
      <c r="GI625" s="9"/>
      <c r="GJ625" s="27" t="s">
        <v>40</v>
      </c>
      <c r="GK625" s="10" t="e">
        <f>#REF!</f>
        <v>#REF!</v>
      </c>
      <c r="GL625" s="10"/>
      <c r="GM625" s="10"/>
      <c r="GN625" s="10"/>
      <c r="GO625" s="10" t="e">
        <f>#REF!</f>
        <v>#REF!</v>
      </c>
      <c r="GP625" s="9">
        <v>2</v>
      </c>
      <c r="GQ625" s="9"/>
      <c r="GR625" s="27" t="s">
        <v>40</v>
      </c>
      <c r="GS625" s="10" t="e">
        <f>#REF!</f>
        <v>#REF!</v>
      </c>
      <c r="GT625" s="10"/>
      <c r="GU625" s="10"/>
      <c r="GV625" s="10"/>
      <c r="GW625" s="10" t="e">
        <f>#REF!</f>
        <v>#REF!</v>
      </c>
      <c r="GX625" s="9">
        <v>2</v>
      </c>
      <c r="GY625" s="9"/>
      <c r="GZ625" s="27" t="s">
        <v>40</v>
      </c>
      <c r="HA625" s="10" t="e">
        <f>#REF!</f>
        <v>#REF!</v>
      </c>
      <c r="HB625" s="10"/>
      <c r="HC625" s="10"/>
      <c r="HD625" s="10"/>
      <c r="HE625" s="10" t="e">
        <f>#REF!</f>
        <v>#REF!</v>
      </c>
      <c r="HF625" s="9">
        <v>2</v>
      </c>
      <c r="HG625" s="9"/>
      <c r="HH625" s="27" t="s">
        <v>40</v>
      </c>
      <c r="HI625" s="10" t="e">
        <f>#REF!</f>
        <v>#REF!</v>
      </c>
      <c r="HJ625" s="10"/>
      <c r="HK625" s="10"/>
      <c r="HL625" s="10"/>
      <c r="HM625" s="10" t="e">
        <f>#REF!</f>
        <v>#REF!</v>
      </c>
      <c r="HN625" s="9">
        <v>2</v>
      </c>
      <c r="HO625" s="9"/>
      <c r="HP625" s="27" t="s">
        <v>40</v>
      </c>
      <c r="HQ625" s="10" t="e">
        <f>#REF!</f>
        <v>#REF!</v>
      </c>
      <c r="HR625" s="10"/>
      <c r="HS625" s="10"/>
      <c r="HT625" s="10"/>
      <c r="HU625" s="10" t="e">
        <f>#REF!</f>
        <v>#REF!</v>
      </c>
      <c r="HV625" s="9">
        <v>2</v>
      </c>
      <c r="HW625" s="9"/>
      <c r="HX625" s="27" t="s">
        <v>40</v>
      </c>
      <c r="HY625" s="10" t="e">
        <f>#REF!</f>
        <v>#REF!</v>
      </c>
      <c r="HZ625" s="10"/>
      <c r="IA625" s="10"/>
      <c r="IB625" s="10"/>
      <c r="IC625" s="10" t="e">
        <f>#REF!</f>
        <v>#REF!</v>
      </c>
      <c r="ID625" s="9">
        <v>2</v>
      </c>
      <c r="IE625" s="9"/>
      <c r="IF625" s="27" t="s">
        <v>40</v>
      </c>
      <c r="IG625" s="10" t="e">
        <f>#REF!</f>
        <v>#REF!</v>
      </c>
      <c r="IH625" s="10"/>
      <c r="II625" s="10"/>
      <c r="IJ625" s="10"/>
      <c r="IK625" s="10" t="e">
        <f>#REF!</f>
        <v>#REF!</v>
      </c>
      <c r="IL625" s="9">
        <v>2</v>
      </c>
      <c r="IM625" s="9"/>
      <c r="IN625" s="27" t="s">
        <v>40</v>
      </c>
      <c r="IO625" s="10" t="e">
        <f>#REF!</f>
        <v>#REF!</v>
      </c>
      <c r="IP625" s="10"/>
      <c r="IQ625" s="10"/>
      <c r="IR625" s="10"/>
      <c r="IS625" s="10" t="e">
        <f>#REF!</f>
        <v>#REF!</v>
      </c>
    </row>
    <row r="626" spans="1:24" s="19" customFormat="1" ht="15.75" customHeight="1">
      <c r="A626" s="85"/>
      <c r="B626" s="182" t="s">
        <v>302</v>
      </c>
      <c r="C626" s="183"/>
      <c r="D626" s="87"/>
      <c r="E626" s="87"/>
      <c r="F626" s="113"/>
      <c r="G626" s="92"/>
      <c r="H626" s="113"/>
      <c r="I626" s="92"/>
      <c r="J626" s="113"/>
      <c r="K626" s="93"/>
      <c r="L626" s="188"/>
      <c r="M626" s="81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</row>
    <row r="627" spans="1:24" s="19" customFormat="1" ht="17.25" customHeight="1">
      <c r="A627" s="85"/>
      <c r="B627" s="144" t="s">
        <v>100</v>
      </c>
      <c r="C627" s="183"/>
      <c r="D627" s="87"/>
      <c r="E627" s="87"/>
      <c r="F627" s="113"/>
      <c r="G627" s="92"/>
      <c r="H627" s="113"/>
      <c r="I627" s="92"/>
      <c r="J627" s="113"/>
      <c r="K627" s="93"/>
      <c r="L627" s="173"/>
      <c r="M627" s="81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</row>
    <row r="628" spans="1:24" s="19" customFormat="1" ht="18.75" customHeight="1">
      <c r="A628" s="85"/>
      <c r="B628" s="144" t="s">
        <v>310</v>
      </c>
      <c r="C628" s="183"/>
      <c r="D628" s="87"/>
      <c r="E628" s="86"/>
      <c r="F628" s="195"/>
      <c r="G628" s="92"/>
      <c r="H628" s="113"/>
      <c r="I628" s="92"/>
      <c r="J628" s="113"/>
      <c r="K628" s="93"/>
      <c r="L628" s="13"/>
      <c r="M628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</row>
    <row r="629" spans="1:12" s="104" customFormat="1" ht="17.25" customHeight="1">
      <c r="A629" s="87"/>
      <c r="B629" s="97" t="s">
        <v>655</v>
      </c>
      <c r="C629" s="91"/>
      <c r="D629" s="229"/>
      <c r="E629" s="230"/>
      <c r="F629" s="227"/>
      <c r="G629" s="227"/>
      <c r="H629" s="227"/>
      <c r="I629" s="227"/>
      <c r="J629" s="227"/>
      <c r="K629" s="227"/>
      <c r="L629" s="231"/>
    </row>
    <row r="630" spans="1:12" s="33" customFormat="1" ht="13.5">
      <c r="A630" s="90"/>
      <c r="B630" s="203" t="s">
        <v>302</v>
      </c>
      <c r="C630" s="91"/>
      <c r="D630" s="230"/>
      <c r="E630" s="230"/>
      <c r="F630" s="227"/>
      <c r="G630" s="227"/>
      <c r="H630" s="232"/>
      <c r="I630" s="227"/>
      <c r="J630" s="232"/>
      <c r="K630" s="227"/>
      <c r="L630" s="43"/>
    </row>
    <row r="631" spans="1:12" s="33" customFormat="1" ht="13.5">
      <c r="A631" s="90"/>
      <c r="B631" s="203" t="s">
        <v>27</v>
      </c>
      <c r="C631" s="91"/>
      <c r="D631" s="230"/>
      <c r="E631" s="230"/>
      <c r="F631" s="227"/>
      <c r="G631" s="227"/>
      <c r="H631" s="232"/>
      <c r="I631" s="227"/>
      <c r="J631" s="232"/>
      <c r="K631" s="227"/>
      <c r="L631" s="43"/>
    </row>
    <row r="632" spans="1:12" s="33" customFormat="1" ht="13.5">
      <c r="A632" s="90"/>
      <c r="B632" s="203" t="s">
        <v>46</v>
      </c>
      <c r="C632" s="91"/>
      <c r="D632" s="230"/>
      <c r="E632" s="230"/>
      <c r="F632" s="227"/>
      <c r="G632" s="227"/>
      <c r="H632" s="232"/>
      <c r="I632" s="227"/>
      <c r="J632" s="232"/>
      <c r="K632" s="227"/>
      <c r="L632" s="43"/>
    </row>
    <row r="633" spans="1:12" s="33" customFormat="1" ht="13.5">
      <c r="A633" s="90"/>
      <c r="B633" s="203" t="s">
        <v>100</v>
      </c>
      <c r="C633" s="91"/>
      <c r="D633" s="230"/>
      <c r="E633" s="230"/>
      <c r="F633" s="227"/>
      <c r="G633" s="227"/>
      <c r="H633" s="232"/>
      <c r="I633" s="227"/>
      <c r="J633" s="232"/>
      <c r="K633" s="227"/>
      <c r="L633" s="43"/>
    </row>
    <row r="634" spans="1:12" s="33" customFormat="1" ht="16.5">
      <c r="A634" s="85"/>
      <c r="B634" s="267" t="s">
        <v>587</v>
      </c>
      <c r="C634" s="87"/>
      <c r="D634" s="227"/>
      <c r="E634" s="227"/>
      <c r="F634" s="227"/>
      <c r="G634" s="227"/>
      <c r="H634" s="227"/>
      <c r="I634" s="227"/>
      <c r="J634" s="227"/>
      <c r="K634" s="227"/>
      <c r="L634" s="42"/>
    </row>
    <row r="635" spans="1:63" ht="15.75">
      <c r="A635" s="85"/>
      <c r="B635" s="366" t="s">
        <v>123</v>
      </c>
      <c r="C635" s="87"/>
      <c r="D635" s="88"/>
      <c r="E635" s="87"/>
      <c r="F635" s="89"/>
      <c r="G635" s="88"/>
      <c r="H635" s="89"/>
      <c r="I635" s="88"/>
      <c r="J635" s="89"/>
      <c r="K635" s="89"/>
      <c r="L635" s="282"/>
      <c r="M635" s="283"/>
      <c r="N635" s="283"/>
      <c r="O635" s="283"/>
      <c r="P635" s="283"/>
      <c r="Q635" s="283"/>
      <c r="R635" s="283"/>
      <c r="S635" s="283"/>
      <c r="T635" s="283"/>
      <c r="U635" s="283"/>
      <c r="V635" s="283"/>
      <c r="W635" s="283"/>
      <c r="X635" s="283"/>
      <c r="Y635" s="283"/>
      <c r="Z635" s="283"/>
      <c r="AA635" s="283"/>
      <c r="AB635" s="283"/>
      <c r="AC635" s="283"/>
      <c r="AD635" s="283"/>
      <c r="AE635" s="283"/>
      <c r="AF635" s="283"/>
      <c r="AG635" s="283"/>
      <c r="AH635" s="283"/>
      <c r="AI635" s="283"/>
      <c r="AJ635" s="283"/>
      <c r="AK635" s="283"/>
      <c r="AL635" s="283"/>
      <c r="AM635" s="283"/>
      <c r="AN635" s="283"/>
      <c r="AO635" s="283"/>
      <c r="AP635" s="283"/>
      <c r="AQ635" s="283"/>
      <c r="AR635" s="283"/>
      <c r="AS635" s="283"/>
      <c r="AT635" s="283"/>
      <c r="AU635" s="283"/>
      <c r="AV635" s="283"/>
      <c r="AW635" s="283"/>
      <c r="AX635" s="283"/>
      <c r="AY635" s="283"/>
      <c r="AZ635" s="283"/>
      <c r="BA635" s="283"/>
      <c r="BB635" s="283"/>
      <c r="BC635" s="283"/>
      <c r="BD635" s="283"/>
      <c r="BE635" s="283"/>
      <c r="BF635" s="283"/>
      <c r="BG635" s="283"/>
      <c r="BH635" s="283"/>
      <c r="BI635" s="283"/>
      <c r="BJ635" s="283"/>
      <c r="BK635" s="283"/>
    </row>
    <row r="636" spans="1:12" s="41" customFormat="1" ht="13.5">
      <c r="A636" s="85">
        <v>1</v>
      </c>
      <c r="B636" s="133" t="s">
        <v>521</v>
      </c>
      <c r="C636" s="85" t="s">
        <v>26</v>
      </c>
      <c r="D636" s="346">
        <f>100*0.5*0.7</f>
        <v>35</v>
      </c>
      <c r="E636" s="87"/>
      <c r="F636" s="89"/>
      <c r="G636" s="88"/>
      <c r="H636" s="89"/>
      <c r="I636" s="88"/>
      <c r="J636" s="89"/>
      <c r="K636" s="89"/>
      <c r="L636" s="284"/>
    </row>
    <row r="637" spans="1:12" s="41" customFormat="1" ht="15.75" customHeight="1">
      <c r="A637" s="85">
        <v>2</v>
      </c>
      <c r="B637" s="133" t="s">
        <v>99</v>
      </c>
      <c r="C637" s="85" t="s">
        <v>26</v>
      </c>
      <c r="D637" s="346">
        <f>D636</f>
        <v>35</v>
      </c>
      <c r="E637" s="87"/>
      <c r="F637" s="89"/>
      <c r="G637" s="88"/>
      <c r="H637" s="89"/>
      <c r="I637" s="88"/>
      <c r="J637" s="89"/>
      <c r="K637" s="89"/>
      <c r="L637" s="284"/>
    </row>
    <row r="638" spans="1:63" ht="15" customHeight="1">
      <c r="A638" s="85"/>
      <c r="B638" s="145" t="s">
        <v>45</v>
      </c>
      <c r="C638" s="124"/>
      <c r="D638" s="113"/>
      <c r="E638" s="91"/>
      <c r="F638" s="93"/>
      <c r="G638" s="93"/>
      <c r="H638" s="93"/>
      <c r="I638" s="93"/>
      <c r="J638" s="93"/>
      <c r="K638" s="93"/>
      <c r="L638" s="285"/>
      <c r="M638" s="283"/>
      <c r="N638" s="283"/>
      <c r="O638" s="283"/>
      <c r="P638" s="283"/>
      <c r="Q638" s="283"/>
      <c r="R638" s="283"/>
      <c r="S638" s="283"/>
      <c r="T638" s="283"/>
      <c r="U638" s="283"/>
      <c r="V638" s="283"/>
      <c r="W638" s="283"/>
      <c r="X638" s="283"/>
      <c r="Y638" s="283"/>
      <c r="Z638" s="283"/>
      <c r="AA638" s="283"/>
      <c r="AB638" s="283"/>
      <c r="AC638" s="283"/>
      <c r="AD638" s="283"/>
      <c r="AE638" s="283"/>
      <c r="AF638" s="283"/>
      <c r="AG638" s="283"/>
      <c r="AH638" s="283"/>
      <c r="AI638" s="283"/>
      <c r="AJ638" s="283"/>
      <c r="AK638" s="283"/>
      <c r="AL638" s="283"/>
      <c r="AM638" s="283"/>
      <c r="AN638" s="283"/>
      <c r="AO638" s="283"/>
      <c r="AP638" s="283"/>
      <c r="AQ638" s="283"/>
      <c r="AR638" s="283"/>
      <c r="AS638" s="283"/>
      <c r="AT638" s="283"/>
      <c r="AU638" s="283"/>
      <c r="AV638" s="283"/>
      <c r="AW638" s="283"/>
      <c r="AX638" s="283"/>
      <c r="AY638" s="283"/>
      <c r="AZ638" s="283"/>
      <c r="BA638" s="283"/>
      <c r="BB638" s="283"/>
      <c r="BC638" s="283"/>
      <c r="BD638" s="283"/>
      <c r="BE638" s="283"/>
      <c r="BF638" s="283"/>
      <c r="BG638" s="283"/>
      <c r="BH638" s="283"/>
      <c r="BI638" s="283"/>
      <c r="BJ638" s="283"/>
      <c r="BK638" s="283"/>
    </row>
    <row r="639" spans="1:63" s="17" customFormat="1" ht="13.5">
      <c r="A639" s="286"/>
      <c r="B639" s="95" t="s">
        <v>382</v>
      </c>
      <c r="C639" s="120" t="s">
        <v>381</v>
      </c>
      <c r="D639" s="92"/>
      <c r="E639" s="91"/>
      <c r="F639" s="93"/>
      <c r="G639" s="93"/>
      <c r="H639" s="93"/>
      <c r="I639" s="93"/>
      <c r="J639" s="93"/>
      <c r="K639" s="93"/>
      <c r="L639" s="50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F639" s="41"/>
      <c r="AG639" s="41"/>
      <c r="AH639" s="41"/>
      <c r="AI639" s="41"/>
      <c r="AJ639" s="41"/>
      <c r="AK639" s="41"/>
      <c r="AL639" s="41"/>
      <c r="AM639" s="41"/>
      <c r="AN639" s="41"/>
      <c r="AO639" s="41"/>
      <c r="AP639" s="41"/>
      <c r="AQ639" s="41"/>
      <c r="AR639" s="41"/>
      <c r="AS639" s="41"/>
      <c r="AT639" s="41"/>
      <c r="AU639" s="41"/>
      <c r="AV639" s="41"/>
      <c r="AW639" s="41"/>
      <c r="AX639" s="41"/>
      <c r="AY639" s="41"/>
      <c r="AZ639" s="41"/>
      <c r="BA639" s="41"/>
      <c r="BB639" s="41"/>
      <c r="BC639" s="41"/>
      <c r="BD639" s="41"/>
      <c r="BE639" s="41"/>
      <c r="BF639" s="41"/>
      <c r="BG639" s="41"/>
      <c r="BH639" s="41"/>
      <c r="BI639" s="41"/>
      <c r="BJ639" s="41"/>
      <c r="BK639" s="41"/>
    </row>
    <row r="640" spans="1:63" s="17" customFormat="1" ht="13.5">
      <c r="A640" s="286"/>
      <c r="B640" s="97" t="s">
        <v>16</v>
      </c>
      <c r="C640" s="91"/>
      <c r="D640" s="92"/>
      <c r="E640" s="91"/>
      <c r="F640" s="93"/>
      <c r="G640" s="93"/>
      <c r="H640" s="93"/>
      <c r="I640" s="93"/>
      <c r="J640" s="93"/>
      <c r="K640" s="93"/>
      <c r="L640" s="50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F640" s="41"/>
      <c r="AG640" s="41"/>
      <c r="AH640" s="41"/>
      <c r="AI640" s="41"/>
      <c r="AJ640" s="41"/>
      <c r="AK640" s="41"/>
      <c r="AL640" s="41"/>
      <c r="AM640" s="41"/>
      <c r="AN640" s="41"/>
      <c r="AO640" s="41"/>
      <c r="AP640" s="41"/>
      <c r="AQ640" s="41"/>
      <c r="AR640" s="41"/>
      <c r="AS640" s="41"/>
      <c r="AT640" s="41"/>
      <c r="AU640" s="41"/>
      <c r="AV640" s="41"/>
      <c r="AW640" s="41"/>
      <c r="AX640" s="41"/>
      <c r="AY640" s="41"/>
      <c r="AZ640" s="41"/>
      <c r="BA640" s="41"/>
      <c r="BB640" s="41"/>
      <c r="BC640" s="41"/>
      <c r="BD640" s="41"/>
      <c r="BE640" s="41"/>
      <c r="BF640" s="41"/>
      <c r="BG640" s="41"/>
      <c r="BH640" s="41"/>
      <c r="BI640" s="41"/>
      <c r="BJ640" s="41"/>
      <c r="BK640" s="41"/>
    </row>
    <row r="641" spans="1:63" s="17" customFormat="1" ht="13.5">
      <c r="A641" s="85"/>
      <c r="B641" s="95" t="s">
        <v>87</v>
      </c>
      <c r="C641" s="120" t="s">
        <v>381</v>
      </c>
      <c r="D641" s="92"/>
      <c r="E641" s="91"/>
      <c r="F641" s="93"/>
      <c r="G641" s="93"/>
      <c r="H641" s="93"/>
      <c r="I641" s="93"/>
      <c r="J641" s="93"/>
      <c r="K641" s="93"/>
      <c r="L641" s="50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F641" s="41"/>
      <c r="AG641" s="41"/>
      <c r="AH641" s="41"/>
      <c r="AI641" s="41"/>
      <c r="AJ641" s="41"/>
      <c r="AK641" s="41"/>
      <c r="AL641" s="41"/>
      <c r="AM641" s="41"/>
      <c r="AN641" s="41"/>
      <c r="AO641" s="41"/>
      <c r="AP641" s="41"/>
      <c r="AQ641" s="41"/>
      <c r="AR641" s="41"/>
      <c r="AS641" s="41"/>
      <c r="AT641" s="41"/>
      <c r="AU641" s="41"/>
      <c r="AV641" s="41"/>
      <c r="AW641" s="41"/>
      <c r="AX641" s="41"/>
      <c r="AY641" s="41"/>
      <c r="AZ641" s="41"/>
      <c r="BA641" s="41"/>
      <c r="BB641" s="41"/>
      <c r="BC641" s="41"/>
      <c r="BD641" s="41"/>
      <c r="BE641" s="41"/>
      <c r="BF641" s="41"/>
      <c r="BG641" s="41"/>
      <c r="BH641" s="41"/>
      <c r="BI641" s="41"/>
      <c r="BJ641" s="41"/>
      <c r="BK641" s="41"/>
    </row>
    <row r="642" spans="1:63" s="17" customFormat="1" ht="13.5">
      <c r="A642" s="85"/>
      <c r="B642" s="97" t="s">
        <v>660</v>
      </c>
      <c r="C642" s="91"/>
      <c r="D642" s="92"/>
      <c r="E642" s="91"/>
      <c r="F642" s="93"/>
      <c r="G642" s="93"/>
      <c r="H642" s="93"/>
      <c r="I642" s="93"/>
      <c r="J642" s="93"/>
      <c r="K642" s="93"/>
      <c r="L642" s="82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F642" s="41"/>
      <c r="AG642" s="41"/>
      <c r="AH642" s="41"/>
      <c r="AI642" s="41"/>
      <c r="AJ642" s="41"/>
      <c r="AK642" s="41"/>
      <c r="AL642" s="41"/>
      <c r="AM642" s="41"/>
      <c r="AN642" s="41"/>
      <c r="AO642" s="41"/>
      <c r="AP642" s="41"/>
      <c r="AQ642" s="41"/>
      <c r="AR642" s="41"/>
      <c r="AS642" s="41"/>
      <c r="AT642" s="41"/>
      <c r="AU642" s="41"/>
      <c r="AV642" s="41"/>
      <c r="AW642" s="41"/>
      <c r="AX642" s="41"/>
      <c r="AY642" s="41"/>
      <c r="AZ642" s="41"/>
      <c r="BA642" s="41"/>
      <c r="BB642" s="41"/>
      <c r="BC642" s="41"/>
      <c r="BD642" s="41"/>
      <c r="BE642" s="41"/>
      <c r="BF642" s="41"/>
      <c r="BG642" s="41"/>
      <c r="BH642" s="41"/>
      <c r="BI642" s="41"/>
      <c r="BJ642" s="41"/>
      <c r="BK642" s="41"/>
    </row>
    <row r="643" spans="1:63" ht="15.75">
      <c r="A643" s="85"/>
      <c r="B643" s="366" t="s">
        <v>125</v>
      </c>
      <c r="C643" s="87"/>
      <c r="D643" s="88"/>
      <c r="E643" s="87"/>
      <c r="F643" s="89"/>
      <c r="G643" s="88"/>
      <c r="H643" s="89"/>
      <c r="I643" s="88"/>
      <c r="J643" s="89"/>
      <c r="K643" s="89"/>
      <c r="L643" s="282"/>
      <c r="M643" s="283"/>
      <c r="N643" s="283"/>
      <c r="O643" s="283"/>
      <c r="P643" s="283"/>
      <c r="Q643" s="283"/>
      <c r="R643" s="283"/>
      <c r="S643" s="283"/>
      <c r="T643" s="283"/>
      <c r="U643" s="283"/>
      <c r="V643" s="283"/>
      <c r="W643" s="283"/>
      <c r="X643" s="283"/>
      <c r="Y643" s="283"/>
      <c r="Z643" s="283"/>
      <c r="AA643" s="283"/>
      <c r="AB643" s="283"/>
      <c r="AC643" s="283"/>
      <c r="AD643" s="283"/>
      <c r="AE643" s="283"/>
      <c r="AF643" s="283"/>
      <c r="AG643" s="283"/>
      <c r="AH643" s="283"/>
      <c r="AI643" s="283"/>
      <c r="AJ643" s="283"/>
      <c r="AK643" s="283"/>
      <c r="AL643" s="283"/>
      <c r="AM643" s="283"/>
      <c r="AN643" s="283"/>
      <c r="AO643" s="283"/>
      <c r="AP643" s="283"/>
      <c r="AQ643" s="283"/>
      <c r="AR643" s="283"/>
      <c r="AS643" s="283"/>
      <c r="AT643" s="283"/>
      <c r="AU643" s="283"/>
      <c r="AV643" s="283"/>
      <c r="AW643" s="283"/>
      <c r="AX643" s="283"/>
      <c r="AY643" s="283"/>
      <c r="AZ643" s="283"/>
      <c r="BA643" s="283"/>
      <c r="BB643" s="283"/>
      <c r="BC643" s="283"/>
      <c r="BD643" s="283"/>
      <c r="BE643" s="283"/>
      <c r="BF643" s="283"/>
      <c r="BG643" s="283"/>
      <c r="BH643" s="283"/>
      <c r="BI643" s="283"/>
      <c r="BJ643" s="283"/>
      <c r="BK643" s="283"/>
    </row>
    <row r="644" spans="1:63" ht="28.5" customHeight="1">
      <c r="A644" s="85">
        <v>3</v>
      </c>
      <c r="B644" s="86" t="s">
        <v>522</v>
      </c>
      <c r="C644" s="85" t="s">
        <v>47</v>
      </c>
      <c r="D644" s="240">
        <v>100</v>
      </c>
      <c r="E644" s="87"/>
      <c r="F644" s="89"/>
      <c r="G644" s="88"/>
      <c r="H644" s="89"/>
      <c r="I644" s="88"/>
      <c r="J644" s="89"/>
      <c r="K644" s="89"/>
      <c r="L644" s="282"/>
      <c r="M644" s="283"/>
      <c r="N644" s="283"/>
      <c r="O644" s="283"/>
      <c r="P644" s="283"/>
      <c r="Q644" s="283"/>
      <c r="R644" s="283"/>
      <c r="S644" s="283"/>
      <c r="T644" s="283"/>
      <c r="U644" s="283"/>
      <c r="V644" s="283"/>
      <c r="W644" s="283"/>
      <c r="X644" s="283"/>
      <c r="Y644" s="283"/>
      <c r="Z644" s="283"/>
      <c r="AA644" s="283"/>
      <c r="AB644" s="283"/>
      <c r="AC644" s="283"/>
      <c r="AD644" s="283"/>
      <c r="AE644" s="283"/>
      <c r="AF644" s="283"/>
      <c r="AG644" s="283"/>
      <c r="AH644" s="283"/>
      <c r="AI644" s="283"/>
      <c r="AJ644" s="283"/>
      <c r="AK644" s="283"/>
      <c r="AL644" s="283"/>
      <c r="AM644" s="283"/>
      <c r="AN644" s="283"/>
      <c r="AO644" s="283"/>
      <c r="AP644" s="283"/>
      <c r="AQ644" s="283"/>
      <c r="AR644" s="283"/>
      <c r="AS644" s="283"/>
      <c r="AT644" s="283"/>
      <c r="AU644" s="283"/>
      <c r="AV644" s="283"/>
      <c r="AW644" s="283"/>
      <c r="AX644" s="283"/>
      <c r="AY644" s="283"/>
      <c r="AZ644" s="283"/>
      <c r="BA644" s="283"/>
      <c r="BB644" s="283"/>
      <c r="BC644" s="283"/>
      <c r="BD644" s="283"/>
      <c r="BE644" s="283"/>
      <c r="BF644" s="283"/>
      <c r="BG644" s="283"/>
      <c r="BH644" s="283"/>
      <c r="BI644" s="283"/>
      <c r="BJ644" s="283"/>
      <c r="BK644" s="283"/>
    </row>
    <row r="645" spans="1:63" ht="34.5" customHeight="1">
      <c r="A645" s="85">
        <v>4</v>
      </c>
      <c r="B645" s="86" t="s">
        <v>523</v>
      </c>
      <c r="C645" s="85" t="s">
        <v>47</v>
      </c>
      <c r="D645" s="240">
        <v>100</v>
      </c>
      <c r="E645" s="87"/>
      <c r="F645" s="89"/>
      <c r="G645" s="88"/>
      <c r="H645" s="89"/>
      <c r="I645" s="88"/>
      <c r="J645" s="89"/>
      <c r="K645" s="89"/>
      <c r="L645" s="282"/>
      <c r="M645" s="283"/>
      <c r="N645" s="283"/>
      <c r="O645" s="283"/>
      <c r="P645" s="283"/>
      <c r="Q645" s="283"/>
      <c r="R645" s="283"/>
      <c r="S645" s="283"/>
      <c r="T645" s="283"/>
      <c r="U645" s="283"/>
      <c r="V645" s="283"/>
      <c r="W645" s="283"/>
      <c r="X645" s="283"/>
      <c r="Y645" s="283"/>
      <c r="Z645" s="283"/>
      <c r="AA645" s="283"/>
      <c r="AB645" s="283"/>
      <c r="AC645" s="283"/>
      <c r="AD645" s="283"/>
      <c r="AE645" s="283"/>
      <c r="AF645" s="283"/>
      <c r="AG645" s="283"/>
      <c r="AH645" s="283"/>
      <c r="AI645" s="283"/>
      <c r="AJ645" s="283"/>
      <c r="AK645" s="283"/>
      <c r="AL645" s="283"/>
      <c r="AM645" s="283"/>
      <c r="AN645" s="283"/>
      <c r="AO645" s="283"/>
      <c r="AP645" s="283"/>
      <c r="AQ645" s="283"/>
      <c r="AR645" s="283"/>
      <c r="AS645" s="283"/>
      <c r="AT645" s="283"/>
      <c r="AU645" s="283"/>
      <c r="AV645" s="283"/>
      <c r="AW645" s="283"/>
      <c r="AX645" s="283"/>
      <c r="AY645" s="283"/>
      <c r="AZ645" s="283"/>
      <c r="BA645" s="283"/>
      <c r="BB645" s="283"/>
      <c r="BC645" s="283"/>
      <c r="BD645" s="283"/>
      <c r="BE645" s="283"/>
      <c r="BF645" s="283"/>
      <c r="BG645" s="283"/>
      <c r="BH645" s="283"/>
      <c r="BI645" s="283"/>
      <c r="BJ645" s="283"/>
      <c r="BK645" s="283"/>
    </row>
    <row r="646" spans="1:12" s="261" customFormat="1" ht="13.5">
      <c r="A646" s="87">
        <v>6</v>
      </c>
      <c r="B646" s="202" t="s">
        <v>524</v>
      </c>
      <c r="C646" s="199" t="s">
        <v>47</v>
      </c>
      <c r="D646" s="347">
        <v>100</v>
      </c>
      <c r="E646" s="89"/>
      <c r="F646" s="89"/>
      <c r="G646" s="89"/>
      <c r="H646" s="89"/>
      <c r="I646" s="88"/>
      <c r="J646" s="89"/>
      <c r="K646" s="89"/>
      <c r="L646" s="47"/>
    </row>
    <row r="647" spans="1:63" ht="15" customHeight="1">
      <c r="A647" s="124"/>
      <c r="B647" s="145" t="s">
        <v>45</v>
      </c>
      <c r="C647" s="124"/>
      <c r="D647" s="113"/>
      <c r="E647" s="91"/>
      <c r="F647" s="287"/>
      <c r="G647" s="287"/>
      <c r="H647" s="287"/>
      <c r="I647" s="287"/>
      <c r="J647" s="287"/>
      <c r="K647" s="287"/>
      <c r="L647" s="288"/>
      <c r="M647" s="283"/>
      <c r="N647" s="283"/>
      <c r="O647" s="283"/>
      <c r="P647" s="283"/>
      <c r="Q647" s="283"/>
      <c r="R647" s="283"/>
      <c r="S647" s="283"/>
      <c r="T647" s="283"/>
      <c r="U647" s="283"/>
      <c r="V647" s="283"/>
      <c r="W647" s="283"/>
      <c r="X647" s="283"/>
      <c r="Y647" s="283"/>
      <c r="Z647" s="283"/>
      <c r="AA647" s="283"/>
      <c r="AB647" s="283"/>
      <c r="AC647" s="283"/>
      <c r="AD647" s="283"/>
      <c r="AE647" s="283"/>
      <c r="AF647" s="283"/>
      <c r="AG647" s="283"/>
      <c r="AH647" s="283"/>
      <c r="AI647" s="283"/>
      <c r="AJ647" s="283"/>
      <c r="AK647" s="283"/>
      <c r="AL647" s="283"/>
      <c r="AM647" s="283"/>
      <c r="AN647" s="283"/>
      <c r="AO647" s="283"/>
      <c r="AP647" s="283"/>
      <c r="AQ647" s="283"/>
      <c r="AR647" s="283"/>
      <c r="AS647" s="283"/>
      <c r="AT647" s="283"/>
      <c r="AU647" s="283"/>
      <c r="AV647" s="283"/>
      <c r="AW647" s="283"/>
      <c r="AX647" s="283"/>
      <c r="AY647" s="283"/>
      <c r="AZ647" s="283"/>
      <c r="BA647" s="283"/>
      <c r="BB647" s="283"/>
      <c r="BC647" s="283"/>
      <c r="BD647" s="283"/>
      <c r="BE647" s="283"/>
      <c r="BF647" s="283"/>
      <c r="BG647" s="283"/>
      <c r="BH647" s="283"/>
      <c r="BI647" s="283"/>
      <c r="BJ647" s="283"/>
      <c r="BK647" s="283"/>
    </row>
    <row r="648" spans="1:63" ht="14.25" customHeight="1">
      <c r="A648" s="124"/>
      <c r="B648" s="144" t="s">
        <v>525</v>
      </c>
      <c r="C648" s="120" t="s">
        <v>381</v>
      </c>
      <c r="D648" s="113"/>
      <c r="E648" s="91"/>
      <c r="F648" s="287"/>
      <c r="G648" s="287"/>
      <c r="H648" s="287"/>
      <c r="I648" s="287"/>
      <c r="J648" s="287"/>
      <c r="K648" s="287"/>
      <c r="L648" s="282"/>
      <c r="M648" s="283"/>
      <c r="N648" s="283"/>
      <c r="O648" s="283"/>
      <c r="P648" s="283"/>
      <c r="Q648" s="283"/>
      <c r="R648" s="283"/>
      <c r="S648" s="283"/>
      <c r="T648" s="283"/>
      <c r="U648" s="283"/>
      <c r="V648" s="283"/>
      <c r="W648" s="283"/>
      <c r="X648" s="283"/>
      <c r="Y648" s="283"/>
      <c r="Z648" s="283"/>
      <c r="AA648" s="283"/>
      <c r="AB648" s="283"/>
      <c r="AC648" s="283"/>
      <c r="AD648" s="283"/>
      <c r="AE648" s="283"/>
      <c r="AF648" s="283"/>
      <c r="AG648" s="283"/>
      <c r="AH648" s="283"/>
      <c r="AI648" s="283"/>
      <c r="AJ648" s="283"/>
      <c r="AK648" s="283"/>
      <c r="AL648" s="283"/>
      <c r="AM648" s="283"/>
      <c r="AN648" s="283"/>
      <c r="AO648" s="283"/>
      <c r="AP648" s="283"/>
      <c r="AQ648" s="283"/>
      <c r="AR648" s="283"/>
      <c r="AS648" s="283"/>
      <c r="AT648" s="283"/>
      <c r="AU648" s="283"/>
      <c r="AV648" s="283"/>
      <c r="AW648" s="283"/>
      <c r="AX648" s="283"/>
      <c r="AY648" s="283"/>
      <c r="AZ648" s="283"/>
      <c r="BA648" s="283"/>
      <c r="BB648" s="283"/>
      <c r="BC648" s="283"/>
      <c r="BD648" s="283"/>
      <c r="BE648" s="283"/>
      <c r="BF648" s="283"/>
      <c r="BG648" s="283"/>
      <c r="BH648" s="283"/>
      <c r="BI648" s="283"/>
      <c r="BJ648" s="283"/>
      <c r="BK648" s="283"/>
    </row>
    <row r="649" spans="1:63" ht="14.25" customHeight="1">
      <c r="A649" s="124"/>
      <c r="B649" s="145" t="s">
        <v>45</v>
      </c>
      <c r="C649" s="91"/>
      <c r="D649" s="113"/>
      <c r="E649" s="91"/>
      <c r="F649" s="287"/>
      <c r="G649" s="287"/>
      <c r="H649" s="287"/>
      <c r="I649" s="287"/>
      <c r="J649" s="287"/>
      <c r="K649" s="287"/>
      <c r="L649" s="288"/>
      <c r="M649" s="283"/>
      <c r="N649" s="283"/>
      <c r="O649" s="283"/>
      <c r="P649" s="283"/>
      <c r="Q649" s="283"/>
      <c r="R649" s="283"/>
      <c r="S649" s="283"/>
      <c r="T649" s="283"/>
      <c r="U649" s="283"/>
      <c r="V649" s="283"/>
      <c r="W649" s="283"/>
      <c r="X649" s="283"/>
      <c r="Y649" s="283"/>
      <c r="Z649" s="283"/>
      <c r="AA649" s="283"/>
      <c r="AB649" s="283"/>
      <c r="AC649" s="283"/>
      <c r="AD649" s="283"/>
      <c r="AE649" s="283"/>
      <c r="AF649" s="283"/>
      <c r="AG649" s="283"/>
      <c r="AH649" s="283"/>
      <c r="AI649" s="283"/>
      <c r="AJ649" s="283"/>
      <c r="AK649" s="283"/>
      <c r="AL649" s="283"/>
      <c r="AM649" s="283"/>
      <c r="AN649" s="283"/>
      <c r="AO649" s="283"/>
      <c r="AP649" s="283"/>
      <c r="AQ649" s="283"/>
      <c r="AR649" s="283"/>
      <c r="AS649" s="283"/>
      <c r="AT649" s="283"/>
      <c r="AU649" s="283"/>
      <c r="AV649" s="283"/>
      <c r="AW649" s="283"/>
      <c r="AX649" s="283"/>
      <c r="AY649" s="283"/>
      <c r="AZ649" s="283"/>
      <c r="BA649" s="283"/>
      <c r="BB649" s="283"/>
      <c r="BC649" s="283"/>
      <c r="BD649" s="283"/>
      <c r="BE649" s="283"/>
      <c r="BF649" s="283"/>
      <c r="BG649" s="283"/>
      <c r="BH649" s="283"/>
      <c r="BI649" s="283"/>
      <c r="BJ649" s="283"/>
      <c r="BK649" s="283"/>
    </row>
    <row r="650" spans="1:63" ht="15" customHeight="1">
      <c r="A650" s="124"/>
      <c r="B650" s="95" t="s">
        <v>87</v>
      </c>
      <c r="C650" s="120" t="s">
        <v>381</v>
      </c>
      <c r="D650" s="113"/>
      <c r="E650" s="91"/>
      <c r="F650" s="287"/>
      <c r="G650" s="287"/>
      <c r="H650" s="287"/>
      <c r="I650" s="287"/>
      <c r="J650" s="287"/>
      <c r="K650" s="287"/>
      <c r="L650" s="289"/>
      <c r="M650" s="283"/>
      <c r="N650" s="283"/>
      <c r="O650" s="283"/>
      <c r="P650" s="283"/>
      <c r="Q650" s="283"/>
      <c r="R650" s="283"/>
      <c r="S650" s="283"/>
      <c r="T650" s="283"/>
      <c r="U650" s="283"/>
      <c r="V650" s="283"/>
      <c r="W650" s="283"/>
      <c r="X650" s="283"/>
      <c r="Y650" s="283"/>
      <c r="Z650" s="283"/>
      <c r="AA650" s="283"/>
      <c r="AB650" s="283"/>
      <c r="AC650" s="283"/>
      <c r="AD650" s="283"/>
      <c r="AE650" s="283"/>
      <c r="AF650" s="283"/>
      <c r="AG650" s="283"/>
      <c r="AH650" s="283"/>
      <c r="AI650" s="283"/>
      <c r="AJ650" s="283"/>
      <c r="AK650" s="283"/>
      <c r="AL650" s="283"/>
      <c r="AM650" s="283"/>
      <c r="AN650" s="283"/>
      <c r="AO650" s="283"/>
      <c r="AP650" s="283"/>
      <c r="AQ650" s="283"/>
      <c r="AR650" s="283"/>
      <c r="AS650" s="283"/>
      <c r="AT650" s="283"/>
      <c r="AU650" s="283"/>
      <c r="AV650" s="283"/>
      <c r="AW650" s="283"/>
      <c r="AX650" s="283"/>
      <c r="AY650" s="283"/>
      <c r="AZ650" s="283"/>
      <c r="BA650" s="283"/>
      <c r="BB650" s="283"/>
      <c r="BC650" s="283"/>
      <c r="BD650" s="283"/>
      <c r="BE650" s="283"/>
      <c r="BF650" s="283"/>
      <c r="BG650" s="283"/>
      <c r="BH650" s="283"/>
      <c r="BI650" s="283"/>
      <c r="BJ650" s="283"/>
      <c r="BK650" s="283"/>
    </row>
    <row r="651" spans="1:63" ht="15" customHeight="1">
      <c r="A651" s="124"/>
      <c r="B651" s="145" t="s">
        <v>659</v>
      </c>
      <c r="C651" s="124"/>
      <c r="D651" s="113"/>
      <c r="E651" s="91"/>
      <c r="F651" s="287"/>
      <c r="G651" s="287"/>
      <c r="H651" s="287"/>
      <c r="I651" s="287"/>
      <c r="J651" s="287"/>
      <c r="K651" s="287"/>
      <c r="L651" s="288"/>
      <c r="M651" s="283"/>
      <c r="N651" s="283"/>
      <c r="O651" s="283"/>
      <c r="P651" s="283"/>
      <c r="Q651" s="283"/>
      <c r="R651" s="283"/>
      <c r="S651" s="283"/>
      <c r="T651" s="283"/>
      <c r="U651" s="283"/>
      <c r="V651" s="283"/>
      <c r="W651" s="283"/>
      <c r="X651" s="283"/>
      <c r="Y651" s="283"/>
      <c r="Z651" s="283"/>
      <c r="AA651" s="283"/>
      <c r="AB651" s="283"/>
      <c r="AC651" s="283"/>
      <c r="AD651" s="283"/>
      <c r="AE651" s="283"/>
      <c r="AF651" s="283"/>
      <c r="AG651" s="283"/>
      <c r="AH651" s="283"/>
      <c r="AI651" s="283"/>
      <c r="AJ651" s="283"/>
      <c r="AK651" s="283"/>
      <c r="AL651" s="283"/>
      <c r="AM651" s="283"/>
      <c r="AN651" s="283"/>
      <c r="AO651" s="283"/>
      <c r="AP651" s="283"/>
      <c r="AQ651" s="283"/>
      <c r="AR651" s="283"/>
      <c r="AS651" s="283"/>
      <c r="AT651" s="283"/>
      <c r="AU651" s="283"/>
      <c r="AV651" s="283"/>
      <c r="AW651" s="283"/>
      <c r="AX651" s="283"/>
      <c r="AY651" s="283"/>
      <c r="AZ651" s="283"/>
      <c r="BA651" s="283"/>
      <c r="BB651" s="283"/>
      <c r="BC651" s="283"/>
      <c r="BD651" s="283"/>
      <c r="BE651" s="283"/>
      <c r="BF651" s="283"/>
      <c r="BG651" s="283"/>
      <c r="BH651" s="283"/>
      <c r="BI651" s="283"/>
      <c r="BJ651" s="283"/>
      <c r="BK651" s="283"/>
    </row>
    <row r="652" spans="1:63" ht="18" customHeight="1">
      <c r="A652" s="124"/>
      <c r="B652" s="97" t="s">
        <v>658</v>
      </c>
      <c r="C652" s="91"/>
      <c r="D652" s="91"/>
      <c r="E652" s="93"/>
      <c r="F652" s="287"/>
      <c r="G652" s="287"/>
      <c r="H652" s="287"/>
      <c r="I652" s="287"/>
      <c r="J652" s="287"/>
      <c r="K652" s="287"/>
      <c r="L652" s="290"/>
      <c r="M652" s="283"/>
      <c r="N652" s="283"/>
      <c r="O652" s="283"/>
      <c r="P652" s="283"/>
      <c r="Q652" s="283"/>
      <c r="R652" s="283"/>
      <c r="S652" s="283"/>
      <c r="T652" s="283"/>
      <c r="U652" s="283"/>
      <c r="V652" s="283"/>
      <c r="W652" s="283"/>
      <c r="X652" s="283"/>
      <c r="Y652" s="283"/>
      <c r="Z652" s="283"/>
      <c r="AA652" s="283"/>
      <c r="AB652" s="283"/>
      <c r="AC652" s="283"/>
      <c r="AD652" s="283"/>
      <c r="AE652" s="283"/>
      <c r="AF652" s="283"/>
      <c r="AG652" s="283"/>
      <c r="AH652" s="283"/>
      <c r="AI652" s="283"/>
      <c r="AJ652" s="283"/>
      <c r="AK652" s="283"/>
      <c r="AL652" s="283"/>
      <c r="AM652" s="283"/>
      <c r="AN652" s="283"/>
      <c r="AO652" s="283"/>
      <c r="AP652" s="283"/>
      <c r="AQ652" s="283"/>
      <c r="AR652" s="283"/>
      <c r="AS652" s="283"/>
      <c r="AT652" s="283"/>
      <c r="AU652" s="283"/>
      <c r="AV652" s="283"/>
      <c r="AW652" s="283"/>
      <c r="AX652" s="283"/>
      <c r="AY652" s="283"/>
      <c r="AZ652" s="283"/>
      <c r="BA652" s="283"/>
      <c r="BB652" s="283"/>
      <c r="BC652" s="283"/>
      <c r="BD652" s="283"/>
      <c r="BE652" s="283"/>
      <c r="BF652" s="283"/>
      <c r="BG652" s="283"/>
      <c r="BH652" s="283"/>
      <c r="BI652" s="283"/>
      <c r="BJ652" s="283"/>
      <c r="BK652" s="283"/>
    </row>
    <row r="653" spans="1:63" ht="15.75" customHeight="1">
      <c r="A653" s="124"/>
      <c r="B653" s="97" t="s">
        <v>526</v>
      </c>
      <c r="C653" s="91"/>
      <c r="D653" s="91"/>
      <c r="E653" s="93"/>
      <c r="F653" s="287"/>
      <c r="G653" s="287"/>
      <c r="H653" s="287"/>
      <c r="I653" s="287"/>
      <c r="J653" s="287"/>
      <c r="K653" s="287"/>
      <c r="L653" s="291"/>
      <c r="M653" s="283"/>
      <c r="N653" s="283"/>
      <c r="O653" s="283"/>
      <c r="P653" s="283"/>
      <c r="Q653" s="283"/>
      <c r="R653" s="283"/>
      <c r="S653" s="283"/>
      <c r="T653" s="283"/>
      <c r="U653" s="283"/>
      <c r="V653" s="283"/>
      <c r="W653" s="283"/>
      <c r="X653" s="283"/>
      <c r="Y653" s="283"/>
      <c r="Z653" s="283"/>
      <c r="AA653" s="283"/>
      <c r="AB653" s="283"/>
      <c r="AC653" s="283"/>
      <c r="AD653" s="283"/>
      <c r="AE653" s="283"/>
      <c r="AF653" s="283"/>
      <c r="AG653" s="283"/>
      <c r="AH653" s="283"/>
      <c r="AI653" s="283"/>
      <c r="AJ653" s="283"/>
      <c r="AK653" s="283"/>
      <c r="AL653" s="283"/>
      <c r="AM653" s="283"/>
      <c r="AN653" s="283"/>
      <c r="AO653" s="283"/>
      <c r="AP653" s="283"/>
      <c r="AQ653" s="283"/>
      <c r="AR653" s="283"/>
      <c r="AS653" s="283"/>
      <c r="AT653" s="283"/>
      <c r="AU653" s="283"/>
      <c r="AV653" s="283"/>
      <c r="AW653" s="283"/>
      <c r="AX653" s="283"/>
      <c r="AY653" s="283"/>
      <c r="AZ653" s="283"/>
      <c r="BA653" s="283"/>
      <c r="BB653" s="283"/>
      <c r="BC653" s="283"/>
      <c r="BD653" s="283"/>
      <c r="BE653" s="283"/>
      <c r="BF653" s="283"/>
      <c r="BG653" s="283"/>
      <c r="BH653" s="283"/>
      <c r="BI653" s="283"/>
      <c r="BJ653" s="283"/>
      <c r="BK653" s="283"/>
    </row>
    <row r="654" spans="1:63" ht="13.5">
      <c r="A654" s="124"/>
      <c r="B654" s="97" t="s">
        <v>46</v>
      </c>
      <c r="C654" s="91"/>
      <c r="D654" s="91"/>
      <c r="E654" s="93"/>
      <c r="F654" s="287"/>
      <c r="G654" s="287"/>
      <c r="H654" s="287"/>
      <c r="I654" s="287"/>
      <c r="J654" s="287"/>
      <c r="K654" s="287"/>
      <c r="L654" s="292"/>
      <c r="M654" s="283"/>
      <c r="N654" s="283"/>
      <c r="O654" s="283"/>
      <c r="P654" s="283"/>
      <c r="Q654" s="283"/>
      <c r="R654" s="283"/>
      <c r="S654" s="283"/>
      <c r="T654" s="283"/>
      <c r="U654" s="283"/>
      <c r="V654" s="283"/>
      <c r="W654" s="283"/>
      <c r="X654" s="283"/>
      <c r="Y654" s="283"/>
      <c r="Z654" s="283"/>
      <c r="AA654" s="283"/>
      <c r="AB654" s="283"/>
      <c r="AC654" s="283"/>
      <c r="AD654" s="283"/>
      <c r="AE654" s="283"/>
      <c r="AF654" s="283"/>
      <c r="AG654" s="283"/>
      <c r="AH654" s="283"/>
      <c r="AI654" s="283"/>
      <c r="AJ654" s="283"/>
      <c r="AK654" s="283"/>
      <c r="AL654" s="283"/>
      <c r="AM654" s="283"/>
      <c r="AN654" s="283"/>
      <c r="AO654" s="283"/>
      <c r="AP654" s="283"/>
      <c r="AQ654" s="283"/>
      <c r="AR654" s="283"/>
      <c r="AS654" s="283"/>
      <c r="AT654" s="283"/>
      <c r="AU654" s="283"/>
      <c r="AV654" s="283"/>
      <c r="AW654" s="283"/>
      <c r="AX654" s="283"/>
      <c r="AY654" s="283"/>
      <c r="AZ654" s="283"/>
      <c r="BA654" s="283"/>
      <c r="BB654" s="283"/>
      <c r="BC654" s="283"/>
      <c r="BD654" s="283"/>
      <c r="BE654" s="283"/>
      <c r="BF654" s="283"/>
      <c r="BG654" s="283"/>
      <c r="BH654" s="283"/>
      <c r="BI654" s="283"/>
      <c r="BJ654" s="283"/>
      <c r="BK654" s="283"/>
    </row>
    <row r="655" spans="1:12" s="33" customFormat="1" ht="18" customHeight="1">
      <c r="A655" s="85"/>
      <c r="B655" s="366" t="s">
        <v>588</v>
      </c>
      <c r="C655" s="87"/>
      <c r="D655" s="227"/>
      <c r="E655" s="227"/>
      <c r="F655" s="227"/>
      <c r="G655" s="227"/>
      <c r="H655" s="227"/>
      <c r="I655" s="227"/>
      <c r="J655" s="227"/>
      <c r="K655" s="227"/>
      <c r="L655" s="42"/>
    </row>
    <row r="656" spans="1:12" s="15" customFormat="1" ht="28.5" customHeight="1">
      <c r="A656" s="85">
        <v>1</v>
      </c>
      <c r="B656" s="86" t="s">
        <v>403</v>
      </c>
      <c r="C656" s="87" t="s">
        <v>26</v>
      </c>
      <c r="D656" s="92">
        <v>7</v>
      </c>
      <c r="E656" s="87"/>
      <c r="F656" s="89"/>
      <c r="G656" s="88"/>
      <c r="H656" s="89"/>
      <c r="I656" s="88"/>
      <c r="J656" s="89"/>
      <c r="K656" s="89"/>
      <c r="L656" s="32"/>
    </row>
    <row r="657" spans="1:12" s="15" customFormat="1" ht="27.75" customHeight="1">
      <c r="A657" s="85">
        <v>2</v>
      </c>
      <c r="B657" s="86" t="s">
        <v>405</v>
      </c>
      <c r="C657" s="87" t="s">
        <v>26</v>
      </c>
      <c r="D657" s="92">
        <f>50-7</f>
        <v>43</v>
      </c>
      <c r="E657" s="87"/>
      <c r="F657" s="89"/>
      <c r="G657" s="88"/>
      <c r="H657" s="89"/>
      <c r="I657" s="88"/>
      <c r="J657" s="89"/>
      <c r="K657" s="89"/>
      <c r="L657" s="32"/>
    </row>
    <row r="658" spans="1:12" s="15" customFormat="1" ht="16.5" customHeight="1">
      <c r="A658" s="85">
        <v>3</v>
      </c>
      <c r="B658" s="86" t="s">
        <v>104</v>
      </c>
      <c r="C658" s="87" t="s">
        <v>26</v>
      </c>
      <c r="D658" s="92">
        <v>15</v>
      </c>
      <c r="E658" s="87"/>
      <c r="F658" s="89"/>
      <c r="G658" s="88"/>
      <c r="H658" s="89"/>
      <c r="I658" s="88"/>
      <c r="J658" s="89"/>
      <c r="K658" s="89"/>
      <c r="L658" s="42"/>
    </row>
    <row r="659" spans="1:12" s="15" customFormat="1" ht="13.5">
      <c r="A659" s="85">
        <v>4</v>
      </c>
      <c r="B659" s="86" t="s">
        <v>139</v>
      </c>
      <c r="C659" s="87" t="s">
        <v>26</v>
      </c>
      <c r="D659" s="88">
        <v>40</v>
      </c>
      <c r="E659" s="87"/>
      <c r="F659" s="89"/>
      <c r="G659" s="88"/>
      <c r="H659" s="89"/>
      <c r="I659" s="88"/>
      <c r="J659" s="89"/>
      <c r="K659" s="89"/>
      <c r="L659" s="32"/>
    </row>
    <row r="660" spans="1:12" s="51" customFormat="1" ht="16.5" customHeight="1">
      <c r="A660" s="85">
        <v>5</v>
      </c>
      <c r="B660" s="86" t="s">
        <v>101</v>
      </c>
      <c r="C660" s="87" t="s">
        <v>26</v>
      </c>
      <c r="D660" s="88">
        <v>40</v>
      </c>
      <c r="E660" s="87"/>
      <c r="F660" s="89"/>
      <c r="G660" s="88"/>
      <c r="H660" s="89"/>
      <c r="I660" s="88"/>
      <c r="J660" s="89"/>
      <c r="K660" s="89"/>
      <c r="L660" s="42"/>
    </row>
    <row r="661" spans="1:12" s="51" customFormat="1" ht="16.5" customHeight="1">
      <c r="A661" s="85">
        <v>6</v>
      </c>
      <c r="B661" s="86" t="s">
        <v>106</v>
      </c>
      <c r="C661" s="87" t="s">
        <v>26</v>
      </c>
      <c r="D661" s="92">
        <v>18</v>
      </c>
      <c r="E661" s="87"/>
      <c r="F661" s="89"/>
      <c r="G661" s="88"/>
      <c r="H661" s="89"/>
      <c r="I661" s="88"/>
      <c r="J661" s="89"/>
      <c r="K661" s="89"/>
      <c r="L661" s="42"/>
    </row>
    <row r="662" spans="1:12" s="15" customFormat="1" ht="13.5">
      <c r="A662" s="85">
        <v>7</v>
      </c>
      <c r="B662" s="86" t="s">
        <v>527</v>
      </c>
      <c r="C662" s="87" t="s">
        <v>26</v>
      </c>
      <c r="D662" s="88">
        <v>7</v>
      </c>
      <c r="E662" s="87"/>
      <c r="F662" s="89"/>
      <c r="G662" s="89"/>
      <c r="H662" s="89"/>
      <c r="I662" s="89"/>
      <c r="J662" s="89">
        <f>D662*I662</f>
        <v>0</v>
      </c>
      <c r="K662" s="89">
        <f>F662+H662+J662</f>
        <v>0</v>
      </c>
      <c r="L662" s="43"/>
    </row>
    <row r="663" spans="1:12" s="15" customFormat="1" ht="17.25" customHeight="1">
      <c r="A663" s="85">
        <v>8</v>
      </c>
      <c r="B663" s="86" t="s">
        <v>131</v>
      </c>
      <c r="C663" s="87" t="s">
        <v>26</v>
      </c>
      <c r="D663" s="92">
        <v>5.5</v>
      </c>
      <c r="E663" s="87"/>
      <c r="F663" s="89"/>
      <c r="G663" s="88"/>
      <c r="H663" s="89"/>
      <c r="I663" s="88"/>
      <c r="J663" s="89"/>
      <c r="K663" s="89"/>
      <c r="L663" s="32"/>
    </row>
    <row r="664" spans="1:12" ht="13.5">
      <c r="A664" s="221">
        <v>9</v>
      </c>
      <c r="B664" s="133" t="s">
        <v>221</v>
      </c>
      <c r="C664" s="85" t="s">
        <v>47</v>
      </c>
      <c r="D664" s="368">
        <v>55</v>
      </c>
      <c r="E664" s="222"/>
      <c r="F664" s="222"/>
      <c r="G664" s="223"/>
      <c r="H664" s="223"/>
      <c r="I664" s="222"/>
      <c r="J664" s="223"/>
      <c r="K664" s="223"/>
      <c r="L664" s="32"/>
    </row>
    <row r="665" spans="1:14" s="17" customFormat="1" ht="16.5" customHeight="1">
      <c r="A665" s="85">
        <v>10</v>
      </c>
      <c r="B665" s="133" t="s">
        <v>528</v>
      </c>
      <c r="C665" s="85" t="s">
        <v>48</v>
      </c>
      <c r="D665" s="265">
        <v>1</v>
      </c>
      <c r="E665" s="87"/>
      <c r="F665" s="89"/>
      <c r="G665" s="88"/>
      <c r="H665" s="89"/>
      <c r="I665" s="88"/>
      <c r="J665" s="89"/>
      <c r="K665" s="89"/>
      <c r="L665" s="130"/>
      <c r="M665" s="131"/>
      <c r="N665" s="41"/>
    </row>
    <row r="666" spans="1:12" s="15" customFormat="1" ht="14.25" customHeight="1">
      <c r="A666" s="85">
        <v>11</v>
      </c>
      <c r="B666" s="133" t="s">
        <v>529</v>
      </c>
      <c r="C666" s="85" t="s">
        <v>48</v>
      </c>
      <c r="D666" s="92">
        <v>1</v>
      </c>
      <c r="E666" s="87"/>
      <c r="F666" s="89"/>
      <c r="G666" s="88"/>
      <c r="H666" s="89"/>
      <c r="I666" s="88"/>
      <c r="J666" s="89"/>
      <c r="K666" s="89"/>
      <c r="L666" s="32"/>
    </row>
    <row r="667" spans="1:12" ht="27.75" customHeight="1">
      <c r="A667" s="85">
        <v>12</v>
      </c>
      <c r="B667" s="133" t="s">
        <v>222</v>
      </c>
      <c r="C667" s="85" t="s">
        <v>48</v>
      </c>
      <c r="D667" s="91">
        <v>1</v>
      </c>
      <c r="E667" s="87"/>
      <c r="F667" s="89"/>
      <c r="G667" s="88"/>
      <c r="H667" s="89"/>
      <c r="I667" s="88"/>
      <c r="J667" s="89"/>
      <c r="K667" s="89"/>
      <c r="L667" s="48"/>
    </row>
    <row r="668" spans="1:11" ht="13.5">
      <c r="A668" s="85">
        <v>13</v>
      </c>
      <c r="B668" s="133" t="s">
        <v>530</v>
      </c>
      <c r="C668" s="85" t="s">
        <v>48</v>
      </c>
      <c r="D668" s="93">
        <v>1</v>
      </c>
      <c r="E668" s="87"/>
      <c r="F668" s="89"/>
      <c r="G668" s="88"/>
      <c r="H668" s="89"/>
      <c r="I668" s="88"/>
      <c r="J668" s="89"/>
      <c r="K668" s="89"/>
    </row>
    <row r="669" spans="1:102" s="155" customFormat="1" ht="27">
      <c r="A669" s="87">
        <v>14</v>
      </c>
      <c r="B669" s="86" t="s">
        <v>531</v>
      </c>
      <c r="C669" s="85" t="s">
        <v>48</v>
      </c>
      <c r="D669" s="91">
        <v>1</v>
      </c>
      <c r="E669" s="88"/>
      <c r="F669" s="89"/>
      <c r="G669" s="87"/>
      <c r="H669" s="89"/>
      <c r="I669" s="88"/>
      <c r="J669" s="89"/>
      <c r="K669" s="89"/>
      <c r="L669" s="152"/>
      <c r="M669" s="153"/>
      <c r="N669" s="153"/>
      <c r="O669" s="153"/>
      <c r="P669" s="153"/>
      <c r="Q669" s="153"/>
      <c r="R669" s="153"/>
      <c r="S669" s="153"/>
      <c r="T669" s="153"/>
      <c r="U669" s="153"/>
      <c r="V669" s="153"/>
      <c r="W669" s="153"/>
      <c r="X669" s="153"/>
      <c r="Y669" s="153"/>
      <c r="Z669" s="153"/>
      <c r="AA669" s="153"/>
      <c r="AB669" s="153"/>
      <c r="AC669" s="153"/>
      <c r="AD669" s="153"/>
      <c r="AE669" s="153"/>
      <c r="AF669" s="153"/>
      <c r="AG669" s="153"/>
      <c r="AH669" s="153"/>
      <c r="AI669" s="153"/>
      <c r="AJ669" s="153"/>
      <c r="AK669" s="153"/>
      <c r="AL669" s="153"/>
      <c r="AM669" s="153"/>
      <c r="AN669" s="153"/>
      <c r="AO669" s="153"/>
      <c r="AP669" s="153"/>
      <c r="AQ669" s="153"/>
      <c r="AR669" s="153"/>
      <c r="AS669" s="153"/>
      <c r="AT669" s="153"/>
      <c r="AU669" s="153"/>
      <c r="AV669" s="153"/>
      <c r="AW669" s="153"/>
      <c r="AX669" s="153"/>
      <c r="AY669" s="153"/>
      <c r="AZ669" s="153"/>
      <c r="BA669" s="153"/>
      <c r="BB669" s="153"/>
      <c r="BC669" s="153"/>
      <c r="BD669" s="153"/>
      <c r="BE669" s="153"/>
      <c r="BF669" s="153"/>
      <c r="BG669" s="153"/>
      <c r="BH669" s="153"/>
      <c r="BI669" s="153"/>
      <c r="BJ669" s="153"/>
      <c r="BK669" s="153"/>
      <c r="BL669" s="153"/>
      <c r="BM669" s="153"/>
      <c r="BN669" s="153"/>
      <c r="BO669" s="153"/>
      <c r="BP669" s="153"/>
      <c r="BQ669" s="153"/>
      <c r="BR669" s="153"/>
      <c r="BS669" s="153"/>
      <c r="BT669" s="153"/>
      <c r="BU669" s="153"/>
      <c r="BV669" s="153"/>
      <c r="BW669" s="153"/>
      <c r="BX669" s="153"/>
      <c r="BY669" s="153"/>
      <c r="BZ669" s="153"/>
      <c r="CA669" s="153"/>
      <c r="CB669" s="153"/>
      <c r="CC669" s="153"/>
      <c r="CD669" s="153"/>
      <c r="CE669" s="153"/>
      <c r="CF669" s="153"/>
      <c r="CG669" s="153"/>
      <c r="CH669" s="153"/>
      <c r="CI669" s="153"/>
      <c r="CJ669" s="153"/>
      <c r="CK669" s="153"/>
      <c r="CL669" s="153"/>
      <c r="CM669" s="153"/>
      <c r="CN669" s="153"/>
      <c r="CO669" s="153"/>
      <c r="CP669" s="153"/>
      <c r="CQ669" s="153"/>
      <c r="CR669" s="153"/>
      <c r="CS669" s="153"/>
      <c r="CT669" s="153"/>
      <c r="CU669" s="153"/>
      <c r="CV669" s="153"/>
      <c r="CW669" s="153"/>
      <c r="CX669" s="154"/>
    </row>
    <row r="670" spans="1:11" ht="13.5">
      <c r="A670" s="123"/>
      <c r="B670" s="97" t="s">
        <v>16</v>
      </c>
      <c r="C670" s="91"/>
      <c r="D670" s="125"/>
      <c r="E670" s="91"/>
      <c r="F670" s="93"/>
      <c r="G670" s="93"/>
      <c r="H670" s="93"/>
      <c r="I670" s="93"/>
      <c r="J670" s="93"/>
      <c r="K670" s="93"/>
    </row>
    <row r="671" spans="1:12" s="17" customFormat="1" ht="13.5">
      <c r="A671" s="126"/>
      <c r="B671" s="95" t="s">
        <v>388</v>
      </c>
      <c r="C671" s="91" t="s">
        <v>381</v>
      </c>
      <c r="D671" s="92"/>
      <c r="E671" s="91"/>
      <c r="F671" s="93"/>
      <c r="G671" s="93"/>
      <c r="H671" s="93"/>
      <c r="I671" s="93"/>
      <c r="J671" s="93"/>
      <c r="K671" s="93"/>
      <c r="L671" s="34"/>
    </row>
    <row r="672" spans="1:12" s="17" customFormat="1" ht="13.5">
      <c r="A672" s="126"/>
      <c r="B672" s="97" t="s">
        <v>16</v>
      </c>
      <c r="C672" s="91"/>
      <c r="D672" s="92"/>
      <c r="E672" s="91"/>
      <c r="F672" s="93"/>
      <c r="G672" s="93"/>
      <c r="H672" s="93"/>
      <c r="I672" s="93"/>
      <c r="J672" s="93"/>
      <c r="K672" s="93"/>
      <c r="L672" s="34"/>
    </row>
    <row r="673" spans="1:11" s="33" customFormat="1" ht="13.5">
      <c r="A673" s="127"/>
      <c r="B673" s="95" t="s">
        <v>384</v>
      </c>
      <c r="C673" s="91" t="s">
        <v>381</v>
      </c>
      <c r="D673" s="128"/>
      <c r="E673" s="128"/>
      <c r="F673" s="129"/>
      <c r="G673" s="129"/>
      <c r="H673" s="129"/>
      <c r="I673" s="129"/>
      <c r="J673" s="129"/>
      <c r="K673" s="129"/>
    </row>
    <row r="674" spans="1:12" s="17" customFormat="1" ht="13.5">
      <c r="A674" s="124"/>
      <c r="B674" s="97" t="s">
        <v>5</v>
      </c>
      <c r="C674" s="91"/>
      <c r="D674" s="92"/>
      <c r="E674" s="91"/>
      <c r="F674" s="93"/>
      <c r="G674" s="93"/>
      <c r="H674" s="93"/>
      <c r="I674" s="93"/>
      <c r="J674" s="93"/>
      <c r="K674" s="93"/>
      <c r="L674" s="49"/>
    </row>
    <row r="675" spans="1:12" s="33" customFormat="1" ht="18" customHeight="1">
      <c r="A675" s="85"/>
      <c r="B675" s="366" t="s">
        <v>589</v>
      </c>
      <c r="C675" s="87"/>
      <c r="D675" s="227"/>
      <c r="E675" s="227"/>
      <c r="F675" s="227"/>
      <c r="G675" s="227"/>
      <c r="H675" s="227"/>
      <c r="I675" s="227"/>
      <c r="J675" s="227"/>
      <c r="K675" s="227"/>
      <c r="L675" s="42"/>
    </row>
    <row r="676" spans="1:12" s="15" customFormat="1" ht="30.75" customHeight="1">
      <c r="A676" s="85">
        <v>1</v>
      </c>
      <c r="B676" s="86" t="s">
        <v>403</v>
      </c>
      <c r="C676" s="87" t="s">
        <v>26</v>
      </c>
      <c r="D676" s="88">
        <v>17.5</v>
      </c>
      <c r="E676" s="87"/>
      <c r="F676" s="89"/>
      <c r="G676" s="88"/>
      <c r="H676" s="89"/>
      <c r="I676" s="88"/>
      <c r="J676" s="89"/>
      <c r="K676" s="89"/>
      <c r="L676" s="32"/>
    </row>
    <row r="677" spans="1:12" s="15" customFormat="1" ht="27.75" customHeight="1">
      <c r="A677" s="85">
        <v>2</v>
      </c>
      <c r="B677" s="86" t="s">
        <v>405</v>
      </c>
      <c r="C677" s="87" t="s">
        <v>26</v>
      </c>
      <c r="D677" s="88">
        <f>130-17.5</f>
        <v>112.5</v>
      </c>
      <c r="E677" s="87"/>
      <c r="F677" s="89"/>
      <c r="G677" s="88"/>
      <c r="H677" s="89"/>
      <c r="I677" s="88"/>
      <c r="J677" s="89"/>
      <c r="K677" s="89"/>
      <c r="L677" s="32"/>
    </row>
    <row r="678" spans="1:12" s="15" customFormat="1" ht="16.5" customHeight="1">
      <c r="A678" s="85">
        <v>3</v>
      </c>
      <c r="B678" s="86" t="s">
        <v>104</v>
      </c>
      <c r="C678" s="87" t="s">
        <v>26</v>
      </c>
      <c r="D678" s="88">
        <v>20</v>
      </c>
      <c r="E678" s="87"/>
      <c r="F678" s="89"/>
      <c r="G678" s="88"/>
      <c r="H678" s="89"/>
      <c r="I678" s="88"/>
      <c r="J678" s="89"/>
      <c r="K678" s="89"/>
      <c r="L678" s="42"/>
    </row>
    <row r="679" spans="1:12" s="15" customFormat="1" ht="27" customHeight="1">
      <c r="A679" s="85">
        <v>4</v>
      </c>
      <c r="B679" s="86" t="s">
        <v>139</v>
      </c>
      <c r="C679" s="87" t="s">
        <v>26</v>
      </c>
      <c r="D679" s="88">
        <v>108</v>
      </c>
      <c r="E679" s="87"/>
      <c r="F679" s="89"/>
      <c r="G679" s="88"/>
      <c r="H679" s="89"/>
      <c r="I679" s="88"/>
      <c r="J679" s="89"/>
      <c r="K679" s="89"/>
      <c r="L679" s="32"/>
    </row>
    <row r="680" spans="1:12" s="51" customFormat="1" ht="16.5" customHeight="1">
      <c r="A680" s="85">
        <v>5</v>
      </c>
      <c r="B680" s="86" t="s">
        <v>101</v>
      </c>
      <c r="C680" s="87" t="s">
        <v>26</v>
      </c>
      <c r="D680" s="88">
        <f>D679</f>
        <v>108</v>
      </c>
      <c r="E680" s="87"/>
      <c r="F680" s="89"/>
      <c r="G680" s="88"/>
      <c r="H680" s="89"/>
      <c r="I680" s="88"/>
      <c r="J680" s="89"/>
      <c r="K680" s="89"/>
      <c r="L680" s="42"/>
    </row>
    <row r="681" spans="1:12" s="51" customFormat="1" ht="16.5" customHeight="1">
      <c r="A681" s="85">
        <v>6</v>
      </c>
      <c r="B681" s="86" t="s">
        <v>106</v>
      </c>
      <c r="C681" s="87" t="s">
        <v>26</v>
      </c>
      <c r="D681" s="88">
        <v>24.5</v>
      </c>
      <c r="E681" s="87"/>
      <c r="F681" s="89"/>
      <c r="G681" s="88"/>
      <c r="H681" s="89"/>
      <c r="I681" s="88"/>
      <c r="J681" s="89"/>
      <c r="K681" s="89"/>
      <c r="L681" s="42"/>
    </row>
    <row r="682" spans="1:12" s="15" customFormat="1" ht="13.5">
      <c r="A682" s="85">
        <v>7</v>
      </c>
      <c r="B682" s="86" t="s">
        <v>532</v>
      </c>
      <c r="C682" s="87" t="s">
        <v>26</v>
      </c>
      <c r="D682" s="88">
        <v>17.5</v>
      </c>
      <c r="E682" s="87"/>
      <c r="F682" s="89"/>
      <c r="G682" s="89"/>
      <c r="H682" s="89"/>
      <c r="I682" s="89"/>
      <c r="J682" s="89">
        <f>D682*I682</f>
        <v>0</v>
      </c>
      <c r="K682" s="89">
        <f>F682+H682+J682</f>
        <v>0</v>
      </c>
      <c r="L682" s="43"/>
    </row>
    <row r="683" spans="1:12" s="15" customFormat="1" ht="27">
      <c r="A683" s="85">
        <v>8</v>
      </c>
      <c r="B683" s="86" t="s">
        <v>140</v>
      </c>
      <c r="C683" s="85" t="s">
        <v>26</v>
      </c>
      <c r="D683" s="88">
        <v>12</v>
      </c>
      <c r="E683" s="87"/>
      <c r="F683" s="89"/>
      <c r="G683" s="88"/>
      <c r="H683" s="89"/>
      <c r="I683" s="88"/>
      <c r="J683" s="89"/>
      <c r="K683" s="89"/>
      <c r="L683" s="32"/>
    </row>
    <row r="684" spans="1:12" s="33" customFormat="1" ht="13.5">
      <c r="A684" s="85">
        <v>9</v>
      </c>
      <c r="B684" s="133" t="s">
        <v>155</v>
      </c>
      <c r="C684" s="85" t="s">
        <v>47</v>
      </c>
      <c r="D684" s="134">
        <v>5</v>
      </c>
      <c r="E684" s="87"/>
      <c r="F684" s="89"/>
      <c r="G684" s="88"/>
      <c r="H684" s="89"/>
      <c r="I684" s="88"/>
      <c r="J684" s="89"/>
      <c r="K684" s="89"/>
      <c r="L684" s="34"/>
    </row>
    <row r="685" spans="1:12" s="33" customFormat="1" ht="13.5">
      <c r="A685" s="85">
        <v>10</v>
      </c>
      <c r="B685" s="133" t="s">
        <v>533</v>
      </c>
      <c r="C685" s="85" t="s">
        <v>47</v>
      </c>
      <c r="D685" s="134">
        <v>125</v>
      </c>
      <c r="E685" s="87"/>
      <c r="F685" s="89"/>
      <c r="G685" s="88"/>
      <c r="H685" s="89"/>
      <c r="I685" s="88"/>
      <c r="J685" s="89"/>
      <c r="K685" s="89"/>
      <c r="L685" s="34"/>
    </row>
    <row r="686" spans="1:12" s="15" customFormat="1" ht="27">
      <c r="A686" s="85">
        <v>11</v>
      </c>
      <c r="B686" s="133" t="s">
        <v>534</v>
      </c>
      <c r="C686" s="85" t="s">
        <v>48</v>
      </c>
      <c r="D686" s="89">
        <v>4</v>
      </c>
      <c r="E686" s="87"/>
      <c r="F686" s="89"/>
      <c r="G686" s="88"/>
      <c r="H686" s="89"/>
      <c r="I686" s="88"/>
      <c r="J686" s="89"/>
      <c r="K686" s="89"/>
      <c r="L686" s="34"/>
    </row>
    <row r="687" spans="1:12" s="15" customFormat="1" ht="13.5">
      <c r="A687" s="85">
        <v>12</v>
      </c>
      <c r="B687" s="133" t="s">
        <v>223</v>
      </c>
      <c r="C687" s="85" t="s">
        <v>48</v>
      </c>
      <c r="D687" s="134">
        <v>1</v>
      </c>
      <c r="E687" s="87"/>
      <c r="F687" s="89"/>
      <c r="G687" s="88"/>
      <c r="H687" s="89"/>
      <c r="I687" s="88"/>
      <c r="J687" s="89"/>
      <c r="K687" s="89"/>
      <c r="L687" s="34"/>
    </row>
    <row r="688" spans="1:11" ht="13.5">
      <c r="A688" s="123"/>
      <c r="B688" s="97" t="s">
        <v>16</v>
      </c>
      <c r="C688" s="91"/>
      <c r="D688" s="125"/>
      <c r="E688" s="91"/>
      <c r="F688" s="93"/>
      <c r="G688" s="93"/>
      <c r="H688" s="93"/>
      <c r="I688" s="93"/>
      <c r="J688" s="93"/>
      <c r="K688" s="93"/>
    </row>
    <row r="689" spans="1:11" ht="13.5">
      <c r="A689" s="127"/>
      <c r="B689" s="119" t="s">
        <v>97</v>
      </c>
      <c r="C689" s="120" t="s">
        <v>381</v>
      </c>
      <c r="D689" s="108"/>
      <c r="E689" s="93"/>
      <c r="F689" s="93"/>
      <c r="G689" s="93"/>
      <c r="H689" s="93"/>
      <c r="I689" s="93"/>
      <c r="J689" s="93"/>
      <c r="K689" s="93"/>
    </row>
    <row r="690" spans="1:11" ht="13.5">
      <c r="A690" s="127"/>
      <c r="B690" s="97" t="s">
        <v>16</v>
      </c>
      <c r="C690" s="128"/>
      <c r="D690" s="138"/>
      <c r="E690" s="128"/>
      <c r="F690" s="129"/>
      <c r="G690" s="129"/>
      <c r="H690" s="129"/>
      <c r="I690" s="129"/>
      <c r="J690" s="129"/>
      <c r="K690" s="129"/>
    </row>
    <row r="691" spans="1:11" s="61" customFormat="1" ht="13.5">
      <c r="A691" s="127"/>
      <c r="B691" s="119" t="s">
        <v>98</v>
      </c>
      <c r="C691" s="132" t="s">
        <v>381</v>
      </c>
      <c r="D691" s="138"/>
      <c r="E691" s="128"/>
      <c r="F691" s="129"/>
      <c r="G691" s="129"/>
      <c r="H691" s="129"/>
      <c r="I691" s="129"/>
      <c r="J691" s="129"/>
      <c r="K691" s="129"/>
    </row>
    <row r="692" spans="1:11" ht="13.5">
      <c r="A692" s="115"/>
      <c r="B692" s="97" t="s">
        <v>6</v>
      </c>
      <c r="C692" s="100"/>
      <c r="D692" s="139"/>
      <c r="E692" s="100"/>
      <c r="F692" s="101"/>
      <c r="G692" s="101"/>
      <c r="H692" s="101"/>
      <c r="I692" s="101"/>
      <c r="J692" s="101"/>
      <c r="K692" s="101"/>
    </row>
    <row r="693" spans="1:12" s="33" customFormat="1" ht="18" customHeight="1">
      <c r="A693" s="85"/>
      <c r="B693" s="366" t="s">
        <v>590</v>
      </c>
      <c r="C693" s="87"/>
      <c r="D693" s="227"/>
      <c r="E693" s="227"/>
      <c r="F693" s="227"/>
      <c r="G693" s="227"/>
      <c r="H693" s="227"/>
      <c r="I693" s="227"/>
      <c r="J693" s="227"/>
      <c r="K693" s="227"/>
      <c r="L693" s="42"/>
    </row>
    <row r="694" spans="1:12" s="15" customFormat="1" ht="27">
      <c r="A694" s="85">
        <v>1</v>
      </c>
      <c r="B694" s="86" t="s">
        <v>403</v>
      </c>
      <c r="C694" s="87" t="s">
        <v>26</v>
      </c>
      <c r="D694" s="92">
        <v>25</v>
      </c>
      <c r="E694" s="87"/>
      <c r="F694" s="89"/>
      <c r="G694" s="88"/>
      <c r="H694" s="89"/>
      <c r="I694" s="88"/>
      <c r="J694" s="89"/>
      <c r="K694" s="89"/>
      <c r="L694" s="32"/>
    </row>
    <row r="695" spans="1:12" s="15" customFormat="1" ht="27.75" customHeight="1">
      <c r="A695" s="85">
        <v>2</v>
      </c>
      <c r="B695" s="86" t="s">
        <v>103</v>
      </c>
      <c r="C695" s="87" t="s">
        <v>26</v>
      </c>
      <c r="D695" s="92">
        <v>210</v>
      </c>
      <c r="E695" s="87"/>
      <c r="F695" s="89"/>
      <c r="G695" s="88"/>
      <c r="H695" s="89"/>
      <c r="I695" s="88"/>
      <c r="J695" s="89"/>
      <c r="K695" s="89"/>
      <c r="L695" s="32"/>
    </row>
    <row r="696" spans="1:12" s="15" customFormat="1" ht="16.5" customHeight="1">
      <c r="A696" s="85">
        <v>3</v>
      </c>
      <c r="B696" s="86" t="s">
        <v>104</v>
      </c>
      <c r="C696" s="87" t="s">
        <v>26</v>
      </c>
      <c r="D696" s="92">
        <v>30</v>
      </c>
      <c r="E696" s="87"/>
      <c r="F696" s="89"/>
      <c r="G696" s="88"/>
      <c r="H696" s="89"/>
      <c r="I696" s="88"/>
      <c r="J696" s="89"/>
      <c r="K696" s="89"/>
      <c r="L696" s="42"/>
    </row>
    <row r="697" spans="1:12" s="15" customFormat="1" ht="27" customHeight="1">
      <c r="A697" s="85">
        <v>4</v>
      </c>
      <c r="B697" s="86" t="s">
        <v>105</v>
      </c>
      <c r="C697" s="87" t="s">
        <v>26</v>
      </c>
      <c r="D697" s="92">
        <v>205</v>
      </c>
      <c r="E697" s="87"/>
      <c r="F697" s="89"/>
      <c r="G697" s="88"/>
      <c r="H697" s="89"/>
      <c r="I697" s="88"/>
      <c r="J697" s="89"/>
      <c r="K697" s="89"/>
      <c r="L697" s="32"/>
    </row>
    <row r="698" spans="1:12" s="51" customFormat="1" ht="16.5" customHeight="1">
      <c r="A698" s="85">
        <v>5</v>
      </c>
      <c r="B698" s="86" t="s">
        <v>101</v>
      </c>
      <c r="C698" s="87" t="s">
        <v>26</v>
      </c>
      <c r="D698" s="92">
        <f>D697</f>
        <v>205</v>
      </c>
      <c r="E698" s="87"/>
      <c r="F698" s="89"/>
      <c r="G698" s="88"/>
      <c r="H698" s="89"/>
      <c r="I698" s="88"/>
      <c r="J698" s="89"/>
      <c r="K698" s="89"/>
      <c r="L698" s="42"/>
    </row>
    <row r="699" spans="1:12" s="51" customFormat="1" ht="16.5" customHeight="1">
      <c r="A699" s="85">
        <v>6</v>
      </c>
      <c r="B699" s="86" t="s">
        <v>106</v>
      </c>
      <c r="C699" s="87" t="s">
        <v>26</v>
      </c>
      <c r="D699" s="92">
        <v>35</v>
      </c>
      <c r="E699" s="87"/>
      <c r="F699" s="89"/>
      <c r="G699" s="88"/>
      <c r="H699" s="89"/>
      <c r="I699" s="88"/>
      <c r="J699" s="89"/>
      <c r="K699" s="89"/>
      <c r="L699" s="42"/>
    </row>
    <row r="700" spans="1:12" s="15" customFormat="1" ht="13.5">
      <c r="A700" s="85">
        <v>7</v>
      </c>
      <c r="B700" s="86" t="s">
        <v>532</v>
      </c>
      <c r="C700" s="87" t="s">
        <v>26</v>
      </c>
      <c r="D700" s="92">
        <f>D694</f>
        <v>25</v>
      </c>
      <c r="E700" s="87"/>
      <c r="F700" s="89"/>
      <c r="G700" s="89"/>
      <c r="H700" s="89"/>
      <c r="I700" s="89"/>
      <c r="J700" s="89">
        <f>D700*I700</f>
        <v>0</v>
      </c>
      <c r="K700" s="89">
        <f>F700+H700+J700</f>
        <v>0</v>
      </c>
      <c r="L700" s="43"/>
    </row>
    <row r="701" spans="1:12" s="15" customFormat="1" ht="13.5">
      <c r="A701" s="85">
        <v>8</v>
      </c>
      <c r="B701" s="86" t="s">
        <v>225</v>
      </c>
      <c r="C701" s="85" t="s">
        <v>26</v>
      </c>
      <c r="D701" s="92">
        <v>15</v>
      </c>
      <c r="E701" s="87"/>
      <c r="F701" s="89"/>
      <c r="G701" s="88"/>
      <c r="H701" s="89"/>
      <c r="I701" s="88"/>
      <c r="J701" s="89"/>
      <c r="K701" s="89"/>
      <c r="L701" s="32"/>
    </row>
    <row r="702" spans="1:14" s="84" customFormat="1" ht="28.5" customHeight="1">
      <c r="A702" s="87">
        <v>9</v>
      </c>
      <c r="B702" s="118" t="s">
        <v>224</v>
      </c>
      <c r="C702" s="87" t="s">
        <v>47</v>
      </c>
      <c r="D702" s="93">
        <v>65</v>
      </c>
      <c r="E702" s="87"/>
      <c r="F702" s="89"/>
      <c r="G702" s="88"/>
      <c r="H702" s="89"/>
      <c r="I702" s="88"/>
      <c r="J702" s="89"/>
      <c r="K702" s="89"/>
      <c r="L702" s="83"/>
      <c r="N702" s="84">
        <v>40</v>
      </c>
    </row>
    <row r="703" spans="1:12" s="84" customFormat="1" ht="28.5" customHeight="1">
      <c r="A703" s="87">
        <v>10</v>
      </c>
      <c r="B703" s="118" t="s">
        <v>535</v>
      </c>
      <c r="C703" s="87" t="s">
        <v>47</v>
      </c>
      <c r="D703" s="93">
        <v>80</v>
      </c>
      <c r="E703" s="87"/>
      <c r="F703" s="89"/>
      <c r="G703" s="88"/>
      <c r="H703" s="89"/>
      <c r="I703" s="88"/>
      <c r="J703" s="89"/>
      <c r="K703" s="89"/>
      <c r="L703" s="83"/>
    </row>
    <row r="704" spans="1:12" s="17" customFormat="1" ht="14.25" customHeight="1">
      <c r="A704" s="85">
        <v>11</v>
      </c>
      <c r="B704" s="118" t="s">
        <v>102</v>
      </c>
      <c r="C704" s="85" t="s">
        <v>47</v>
      </c>
      <c r="D704" s="93">
        <f>D702+D703</f>
        <v>145</v>
      </c>
      <c r="E704" s="87"/>
      <c r="F704" s="89">
        <f>D704*E704</f>
        <v>0</v>
      </c>
      <c r="G704" s="88"/>
      <c r="H704" s="89"/>
      <c r="I704" s="88"/>
      <c r="J704" s="89"/>
      <c r="K704" s="89">
        <f>F704+H704+J704</f>
        <v>0</v>
      </c>
      <c r="L704" s="34"/>
    </row>
    <row r="705" spans="1:13" s="41" customFormat="1" ht="28.5" customHeight="1">
      <c r="A705" s="85">
        <v>12</v>
      </c>
      <c r="B705" s="133" t="s">
        <v>536</v>
      </c>
      <c r="C705" s="85" t="s">
        <v>48</v>
      </c>
      <c r="D705" s="113">
        <v>11</v>
      </c>
      <c r="E705" s="87"/>
      <c r="F705" s="89"/>
      <c r="G705" s="88"/>
      <c r="H705" s="89"/>
      <c r="I705" s="88"/>
      <c r="J705" s="89"/>
      <c r="K705" s="89"/>
      <c r="L705" s="140"/>
      <c r="M705" s="141"/>
    </row>
    <row r="706" spans="1:12" s="15" customFormat="1" ht="13.5">
      <c r="A706" s="85">
        <v>13</v>
      </c>
      <c r="B706" s="133" t="s">
        <v>226</v>
      </c>
      <c r="C706" s="85" t="s">
        <v>48</v>
      </c>
      <c r="D706" s="93">
        <v>1</v>
      </c>
      <c r="E706" s="87"/>
      <c r="F706" s="89"/>
      <c r="G706" s="88"/>
      <c r="H706" s="89"/>
      <c r="I706" s="88"/>
      <c r="J706" s="89"/>
      <c r="K706" s="89"/>
      <c r="L706" s="34"/>
    </row>
    <row r="707" spans="1:12" s="41" customFormat="1" ht="14.25" customHeight="1">
      <c r="A707" s="124"/>
      <c r="B707" s="97" t="s">
        <v>16</v>
      </c>
      <c r="C707" s="91"/>
      <c r="D707" s="92"/>
      <c r="E707" s="91"/>
      <c r="F707" s="93"/>
      <c r="G707" s="93"/>
      <c r="H707" s="93"/>
      <c r="I707" s="93"/>
      <c r="J707" s="93"/>
      <c r="K707" s="93"/>
      <c r="L707" s="82"/>
    </row>
    <row r="708" spans="1:11" ht="13.5">
      <c r="A708" s="127"/>
      <c r="B708" s="119" t="s">
        <v>97</v>
      </c>
      <c r="C708" s="120" t="s">
        <v>381</v>
      </c>
      <c r="D708" s="108"/>
      <c r="E708" s="93"/>
      <c r="F708" s="93"/>
      <c r="G708" s="93"/>
      <c r="H708" s="93"/>
      <c r="I708" s="93"/>
      <c r="J708" s="93"/>
      <c r="K708" s="93"/>
    </row>
    <row r="709" spans="1:11" ht="13.5">
      <c r="A709" s="127"/>
      <c r="B709" s="97" t="s">
        <v>16</v>
      </c>
      <c r="C709" s="128"/>
      <c r="D709" s="138"/>
      <c r="E709" s="128"/>
      <c r="F709" s="129"/>
      <c r="G709" s="129"/>
      <c r="H709" s="129"/>
      <c r="I709" s="129"/>
      <c r="J709" s="129"/>
      <c r="K709" s="129"/>
    </row>
    <row r="710" spans="1:11" s="61" customFormat="1" ht="13.5">
      <c r="A710" s="127"/>
      <c r="B710" s="119" t="s">
        <v>98</v>
      </c>
      <c r="C710" s="132" t="s">
        <v>381</v>
      </c>
      <c r="D710" s="138"/>
      <c r="E710" s="128"/>
      <c r="F710" s="129"/>
      <c r="G710" s="129"/>
      <c r="H710" s="129"/>
      <c r="I710" s="129"/>
      <c r="J710" s="129"/>
      <c r="K710" s="129"/>
    </row>
    <row r="711" spans="1:11" ht="13.5">
      <c r="A711" s="115"/>
      <c r="B711" s="97" t="s">
        <v>7</v>
      </c>
      <c r="C711" s="100"/>
      <c r="D711" s="139"/>
      <c r="E711" s="100"/>
      <c r="F711" s="101"/>
      <c r="G711" s="101"/>
      <c r="H711" s="101"/>
      <c r="I711" s="101"/>
      <c r="J711" s="101"/>
      <c r="K711" s="101"/>
    </row>
    <row r="712" spans="1:12" s="33" customFormat="1" ht="18" customHeight="1">
      <c r="A712" s="85"/>
      <c r="B712" s="366" t="s">
        <v>591</v>
      </c>
      <c r="C712" s="87"/>
      <c r="D712" s="227"/>
      <c r="E712" s="227"/>
      <c r="F712" s="227"/>
      <c r="G712" s="227"/>
      <c r="H712" s="227"/>
      <c r="I712" s="227"/>
      <c r="J712" s="227"/>
      <c r="K712" s="227"/>
      <c r="L712" s="42"/>
    </row>
    <row r="713" spans="1:12" s="51" customFormat="1" ht="29.25" customHeight="1">
      <c r="A713" s="85">
        <v>1</v>
      </c>
      <c r="B713" s="86" t="s">
        <v>405</v>
      </c>
      <c r="C713" s="87" t="s">
        <v>26</v>
      </c>
      <c r="D713" s="92">
        <f>334+107</f>
        <v>441</v>
      </c>
      <c r="E713" s="87"/>
      <c r="F713" s="89"/>
      <c r="G713" s="88"/>
      <c r="H713" s="89"/>
      <c r="I713" s="88"/>
      <c r="J713" s="89"/>
      <c r="K713" s="89"/>
      <c r="L713" s="42"/>
    </row>
    <row r="714" spans="1:12" s="51" customFormat="1" ht="34.5" customHeight="1">
      <c r="A714" s="85">
        <v>2</v>
      </c>
      <c r="B714" s="86" t="s">
        <v>537</v>
      </c>
      <c r="C714" s="87" t="s">
        <v>26</v>
      </c>
      <c r="D714" s="92">
        <f>2828-334-107</f>
        <v>2387</v>
      </c>
      <c r="E714" s="87"/>
      <c r="F714" s="89"/>
      <c r="G714" s="88"/>
      <c r="H714" s="89"/>
      <c r="I714" s="88"/>
      <c r="J714" s="89"/>
      <c r="K714" s="89"/>
      <c r="L714" s="42"/>
    </row>
    <row r="715" spans="1:12" s="33" customFormat="1" ht="15" customHeight="1">
      <c r="A715" s="85">
        <v>3</v>
      </c>
      <c r="B715" s="118" t="s">
        <v>538</v>
      </c>
      <c r="C715" s="87" t="s">
        <v>26</v>
      </c>
      <c r="D715" s="92">
        <f>D714</f>
        <v>2387</v>
      </c>
      <c r="E715" s="87"/>
      <c r="F715" s="89"/>
      <c r="G715" s="88"/>
      <c r="H715" s="89"/>
      <c r="I715" s="88"/>
      <c r="J715" s="89">
        <f>D715*I715</f>
        <v>0</v>
      </c>
      <c r="K715" s="89">
        <f>F715+H715+J715</f>
        <v>0</v>
      </c>
      <c r="L715" s="42"/>
    </row>
    <row r="716" spans="1:12" s="33" customFormat="1" ht="27">
      <c r="A716" s="85">
        <v>4</v>
      </c>
      <c r="B716" s="118" t="s">
        <v>539</v>
      </c>
      <c r="C716" s="87" t="s">
        <v>26</v>
      </c>
      <c r="D716" s="92">
        <f>107</f>
        <v>107</v>
      </c>
      <c r="E716" s="87"/>
      <c r="F716" s="89"/>
      <c r="G716" s="88"/>
      <c r="H716" s="89"/>
      <c r="I716" s="88"/>
      <c r="J716" s="89">
        <f>D716*I716</f>
        <v>0</v>
      </c>
      <c r="K716" s="89">
        <f>F716+H716+J716</f>
        <v>0</v>
      </c>
      <c r="L716" s="42"/>
    </row>
    <row r="717" spans="1:12" s="15" customFormat="1" ht="13.5">
      <c r="A717" s="85">
        <v>5</v>
      </c>
      <c r="B717" s="86" t="s">
        <v>1</v>
      </c>
      <c r="C717" s="87" t="s">
        <v>26</v>
      </c>
      <c r="D717" s="240">
        <f>D714</f>
        <v>2387</v>
      </c>
      <c r="E717" s="87"/>
      <c r="F717" s="89"/>
      <c r="G717" s="88"/>
      <c r="H717" s="89"/>
      <c r="I717" s="88"/>
      <c r="J717" s="89"/>
      <c r="K717" s="89"/>
      <c r="L717" s="42"/>
    </row>
    <row r="718" spans="1:12" s="51" customFormat="1" ht="19.5" customHeight="1">
      <c r="A718" s="85">
        <v>6</v>
      </c>
      <c r="B718" s="86" t="s">
        <v>59</v>
      </c>
      <c r="C718" s="87" t="s">
        <v>26</v>
      </c>
      <c r="D718" s="92">
        <v>334</v>
      </c>
      <c r="E718" s="87"/>
      <c r="F718" s="89"/>
      <c r="G718" s="88"/>
      <c r="H718" s="89"/>
      <c r="I718" s="88"/>
      <c r="J718" s="89"/>
      <c r="K718" s="89"/>
      <c r="L718" s="42"/>
    </row>
    <row r="719" spans="1:12" s="33" customFormat="1" ht="13.5">
      <c r="A719" s="85">
        <v>7</v>
      </c>
      <c r="B719" s="86" t="s">
        <v>60</v>
      </c>
      <c r="C719" s="87" t="s">
        <v>26</v>
      </c>
      <c r="D719" s="92">
        <f>D718</f>
        <v>334</v>
      </c>
      <c r="E719" s="87"/>
      <c r="F719" s="89"/>
      <c r="G719" s="88"/>
      <c r="H719" s="89"/>
      <c r="I719" s="88"/>
      <c r="J719" s="89"/>
      <c r="K719" s="89"/>
      <c r="L719" s="42"/>
    </row>
    <row r="720" spans="1:12" s="77" customFormat="1" ht="14.25">
      <c r="A720" s="124"/>
      <c r="B720" s="97" t="s">
        <v>45</v>
      </c>
      <c r="C720" s="91"/>
      <c r="D720" s="91"/>
      <c r="E720" s="93"/>
      <c r="F720" s="93"/>
      <c r="G720" s="93"/>
      <c r="H720" s="93"/>
      <c r="I720" s="93"/>
      <c r="J720" s="93"/>
      <c r="K720" s="93"/>
      <c r="L720" s="76"/>
    </row>
    <row r="721" spans="1:12" s="79" customFormat="1" ht="13.5">
      <c r="A721" s="124"/>
      <c r="B721" s="95" t="s">
        <v>86</v>
      </c>
      <c r="C721" s="120" t="s">
        <v>381</v>
      </c>
      <c r="D721" s="125"/>
      <c r="E721" s="91"/>
      <c r="F721" s="93"/>
      <c r="G721" s="93"/>
      <c r="H721" s="93"/>
      <c r="I721" s="93"/>
      <c r="J721" s="93"/>
      <c r="K721" s="93"/>
      <c r="L721" s="78"/>
    </row>
    <row r="722" spans="1:12" s="79" customFormat="1" ht="13.5" customHeight="1">
      <c r="A722" s="124"/>
      <c r="B722" s="97" t="s">
        <v>16</v>
      </c>
      <c r="C722" s="91"/>
      <c r="D722" s="125"/>
      <c r="E722" s="91"/>
      <c r="F722" s="93"/>
      <c r="G722" s="93"/>
      <c r="H722" s="93"/>
      <c r="I722" s="93"/>
      <c r="J722" s="93"/>
      <c r="K722" s="93"/>
      <c r="L722" s="78"/>
    </row>
    <row r="723" spans="1:12" s="79" customFormat="1" ht="13.5">
      <c r="A723" s="124"/>
      <c r="B723" s="95" t="s">
        <v>87</v>
      </c>
      <c r="C723" s="120" t="s">
        <v>381</v>
      </c>
      <c r="D723" s="125"/>
      <c r="E723" s="91"/>
      <c r="F723" s="93"/>
      <c r="G723" s="93"/>
      <c r="H723" s="93"/>
      <c r="I723" s="93"/>
      <c r="J723" s="93"/>
      <c r="K723" s="93"/>
      <c r="L723" s="78"/>
    </row>
    <row r="724" spans="1:12" s="79" customFormat="1" ht="13.5">
      <c r="A724" s="124"/>
      <c r="B724" s="97" t="s">
        <v>8</v>
      </c>
      <c r="C724" s="91"/>
      <c r="D724" s="125"/>
      <c r="E724" s="91"/>
      <c r="F724" s="93"/>
      <c r="G724" s="93"/>
      <c r="H724" s="93"/>
      <c r="I724" s="93"/>
      <c r="J724" s="93"/>
      <c r="K724" s="93"/>
      <c r="L724" s="78"/>
    </row>
    <row r="725" spans="1:12" s="33" customFormat="1" ht="18" customHeight="1">
      <c r="A725" s="85"/>
      <c r="B725" s="366" t="s">
        <v>592</v>
      </c>
      <c r="C725" s="87"/>
      <c r="D725" s="227"/>
      <c r="E725" s="227"/>
      <c r="F725" s="227"/>
      <c r="G725" s="227"/>
      <c r="H725" s="227"/>
      <c r="I725" s="227"/>
      <c r="J725" s="227"/>
      <c r="K725" s="227"/>
      <c r="L725" s="42"/>
    </row>
    <row r="726" spans="1:11" s="17" customFormat="1" ht="31.5">
      <c r="A726" s="150"/>
      <c r="B726" s="366" t="s">
        <v>540</v>
      </c>
      <c r="C726" s="151"/>
      <c r="D726" s="293"/>
      <c r="E726" s="150"/>
      <c r="F726" s="150"/>
      <c r="G726" s="150"/>
      <c r="H726" s="150"/>
      <c r="I726" s="150"/>
      <c r="J726" s="150"/>
      <c r="K726" s="150"/>
    </row>
    <row r="727" spans="1:12" s="15" customFormat="1" ht="13.5">
      <c r="A727" s="85">
        <v>1</v>
      </c>
      <c r="B727" s="86" t="s">
        <v>541</v>
      </c>
      <c r="C727" s="87" t="s">
        <v>24</v>
      </c>
      <c r="D727" s="92">
        <v>217</v>
      </c>
      <c r="E727" s="87"/>
      <c r="F727" s="89"/>
      <c r="G727" s="88"/>
      <c r="H727" s="89"/>
      <c r="I727" s="88"/>
      <c r="J727" s="89"/>
      <c r="K727" s="89"/>
      <c r="L727" s="32"/>
    </row>
    <row r="728" spans="1:12" s="15" customFormat="1" ht="27.75" customHeight="1">
      <c r="A728" s="85">
        <v>2</v>
      </c>
      <c r="B728" s="86" t="s">
        <v>349</v>
      </c>
      <c r="C728" s="87" t="s">
        <v>24</v>
      </c>
      <c r="D728" s="92">
        <v>217</v>
      </c>
      <c r="E728" s="87"/>
      <c r="F728" s="89"/>
      <c r="G728" s="88"/>
      <c r="H728" s="89"/>
      <c r="I728" s="88"/>
      <c r="J728" s="89"/>
      <c r="K728" s="89"/>
      <c r="L728" s="32"/>
    </row>
    <row r="729" spans="1:12" s="33" customFormat="1" ht="17.25" customHeight="1">
      <c r="A729" s="90"/>
      <c r="B729" s="267" t="s">
        <v>141</v>
      </c>
      <c r="C729" s="85"/>
      <c r="D729" s="266"/>
      <c r="E729" s="87"/>
      <c r="F729" s="89"/>
      <c r="G729" s="88"/>
      <c r="H729" s="89"/>
      <c r="I729" s="88"/>
      <c r="J729" s="89"/>
      <c r="K729" s="89"/>
      <c r="L729" s="42"/>
    </row>
    <row r="730" spans="1:12" s="33" customFormat="1" ht="27">
      <c r="A730" s="85">
        <v>3</v>
      </c>
      <c r="B730" s="86" t="s">
        <v>142</v>
      </c>
      <c r="C730" s="87" t="s">
        <v>26</v>
      </c>
      <c r="D730" s="268">
        <f>1800*0.2</f>
        <v>360</v>
      </c>
      <c r="E730" s="87"/>
      <c r="F730" s="89"/>
      <c r="G730" s="88"/>
      <c r="H730" s="89"/>
      <c r="I730" s="88"/>
      <c r="J730" s="89"/>
      <c r="K730" s="89"/>
      <c r="L730" s="42"/>
    </row>
    <row r="731" spans="1:12" s="15" customFormat="1" ht="13.5">
      <c r="A731" s="85">
        <v>4</v>
      </c>
      <c r="B731" s="86" t="s">
        <v>351</v>
      </c>
      <c r="C731" s="87" t="s">
        <v>24</v>
      </c>
      <c r="D731" s="92">
        <v>1800</v>
      </c>
      <c r="E731" s="87"/>
      <c r="F731" s="89"/>
      <c r="G731" s="88"/>
      <c r="H731" s="89"/>
      <c r="I731" s="88"/>
      <c r="J731" s="89"/>
      <c r="K731" s="89"/>
      <c r="L731" s="32"/>
    </row>
    <row r="732" spans="1:12" s="15" customFormat="1" ht="27">
      <c r="A732" s="85">
        <v>5</v>
      </c>
      <c r="B732" s="86" t="s">
        <v>350</v>
      </c>
      <c r="C732" s="87" t="s">
        <v>24</v>
      </c>
      <c r="D732" s="92">
        <v>1800</v>
      </c>
      <c r="E732" s="87"/>
      <c r="F732" s="89"/>
      <c r="G732" s="88"/>
      <c r="H732" s="89"/>
      <c r="I732" s="88"/>
      <c r="J732" s="89"/>
      <c r="K732" s="89"/>
      <c r="L732" s="32"/>
    </row>
    <row r="733" spans="1:12" s="15" customFormat="1" ht="27">
      <c r="A733" s="85">
        <v>6</v>
      </c>
      <c r="B733" s="86" t="s">
        <v>143</v>
      </c>
      <c r="C733" s="87" t="s">
        <v>24</v>
      </c>
      <c r="D733" s="92">
        <v>1800</v>
      </c>
      <c r="E733" s="87"/>
      <c r="F733" s="89"/>
      <c r="G733" s="88"/>
      <c r="H733" s="89"/>
      <c r="I733" s="88"/>
      <c r="J733" s="89"/>
      <c r="K733" s="89"/>
      <c r="L733" s="32"/>
    </row>
    <row r="734" spans="1:12" s="110" customFormat="1" ht="27">
      <c r="A734" s="87">
        <v>7</v>
      </c>
      <c r="B734" s="86" t="s">
        <v>542</v>
      </c>
      <c r="C734" s="87" t="s">
        <v>47</v>
      </c>
      <c r="D734" s="92">
        <v>385</v>
      </c>
      <c r="E734" s="87"/>
      <c r="F734" s="89"/>
      <c r="G734" s="88"/>
      <c r="H734" s="89"/>
      <c r="I734" s="88"/>
      <c r="J734" s="89"/>
      <c r="K734" s="89"/>
      <c r="L734" s="111"/>
    </row>
    <row r="735" spans="1:11" ht="16.5">
      <c r="A735" s="85"/>
      <c r="B735" s="267" t="s">
        <v>175</v>
      </c>
      <c r="C735" s="85"/>
      <c r="D735" s="89"/>
      <c r="E735" s="87"/>
      <c r="F735" s="89"/>
      <c r="G735" s="88"/>
      <c r="H735" s="89"/>
      <c r="I735" s="88"/>
      <c r="J735" s="89"/>
      <c r="K735" s="89"/>
    </row>
    <row r="736" spans="1:11" s="15" customFormat="1" ht="40.5">
      <c r="A736" s="85">
        <v>8</v>
      </c>
      <c r="B736" s="133" t="s">
        <v>543</v>
      </c>
      <c r="C736" s="85" t="s">
        <v>176</v>
      </c>
      <c r="D736" s="113">
        <v>1494.6</v>
      </c>
      <c r="E736" s="87"/>
      <c r="F736" s="89"/>
      <c r="G736" s="88"/>
      <c r="H736" s="89"/>
      <c r="I736" s="88"/>
      <c r="J736" s="89"/>
      <c r="K736" s="89"/>
    </row>
    <row r="737" spans="1:12" s="15" customFormat="1" ht="17.25" customHeight="1">
      <c r="A737" s="85">
        <v>9</v>
      </c>
      <c r="B737" s="118" t="s">
        <v>177</v>
      </c>
      <c r="C737" s="85" t="s">
        <v>176</v>
      </c>
      <c r="D737" s="113">
        <f>D736</f>
        <v>1494.6</v>
      </c>
      <c r="E737" s="87"/>
      <c r="F737" s="89"/>
      <c r="G737" s="88"/>
      <c r="H737" s="89"/>
      <c r="I737" s="88"/>
      <c r="J737" s="89"/>
      <c r="K737" s="89"/>
      <c r="L737" s="32"/>
    </row>
    <row r="738" spans="1:12" s="15" customFormat="1" ht="16.5" customHeight="1">
      <c r="A738" s="85">
        <v>10</v>
      </c>
      <c r="B738" s="118" t="s">
        <v>178</v>
      </c>
      <c r="C738" s="85" t="s">
        <v>176</v>
      </c>
      <c r="D738" s="113">
        <f>D736</f>
        <v>1494.6</v>
      </c>
      <c r="E738" s="87"/>
      <c r="F738" s="89"/>
      <c r="G738" s="88"/>
      <c r="H738" s="89"/>
      <c r="I738" s="88"/>
      <c r="J738" s="89"/>
      <c r="K738" s="89"/>
      <c r="L738" s="32"/>
    </row>
    <row r="739" spans="1:12" ht="13.5">
      <c r="A739" s="124"/>
      <c r="B739" s="97" t="s">
        <v>45</v>
      </c>
      <c r="C739" s="91"/>
      <c r="D739" s="108"/>
      <c r="E739" s="93"/>
      <c r="F739" s="93"/>
      <c r="G739" s="93"/>
      <c r="H739" s="93"/>
      <c r="I739" s="93"/>
      <c r="J739" s="93"/>
      <c r="K739" s="93"/>
      <c r="L739" s="53"/>
    </row>
    <row r="740" spans="1:12" s="17" customFormat="1" ht="16.5" customHeight="1">
      <c r="A740" s="124"/>
      <c r="B740" s="95" t="s">
        <v>86</v>
      </c>
      <c r="C740" s="120" t="s">
        <v>381</v>
      </c>
      <c r="D740" s="146"/>
      <c r="E740" s="91"/>
      <c r="F740" s="93"/>
      <c r="G740" s="93"/>
      <c r="H740" s="93"/>
      <c r="I740" s="93"/>
      <c r="J740" s="93"/>
      <c r="K740" s="93"/>
      <c r="L740" s="34"/>
    </row>
    <row r="741" spans="1:12" s="17" customFormat="1" ht="13.5">
      <c r="A741" s="124"/>
      <c r="B741" s="97" t="s">
        <v>16</v>
      </c>
      <c r="C741" s="91"/>
      <c r="D741" s="146"/>
      <c r="E741" s="91"/>
      <c r="F741" s="93"/>
      <c r="G741" s="93"/>
      <c r="H741" s="93"/>
      <c r="I741" s="93"/>
      <c r="J741" s="93"/>
      <c r="K741" s="93"/>
      <c r="L741" s="34"/>
    </row>
    <row r="742" spans="1:12" s="17" customFormat="1" ht="13.5">
      <c r="A742" s="124"/>
      <c r="B742" s="95" t="s">
        <v>87</v>
      </c>
      <c r="C742" s="120" t="s">
        <v>381</v>
      </c>
      <c r="D742" s="146"/>
      <c r="E742" s="91"/>
      <c r="F742" s="93"/>
      <c r="G742" s="93"/>
      <c r="H742" s="93"/>
      <c r="I742" s="93"/>
      <c r="J742" s="93"/>
      <c r="K742" s="93"/>
      <c r="L742" s="34"/>
    </row>
    <row r="743" spans="1:12" s="17" customFormat="1" ht="13.5">
      <c r="A743" s="124"/>
      <c r="B743" s="97" t="s">
        <v>9</v>
      </c>
      <c r="C743" s="91"/>
      <c r="D743" s="146"/>
      <c r="E743" s="91"/>
      <c r="F743" s="93"/>
      <c r="G743" s="93"/>
      <c r="H743" s="93"/>
      <c r="I743" s="93"/>
      <c r="J743" s="93"/>
      <c r="K743" s="93"/>
      <c r="L743" s="34"/>
    </row>
    <row r="744" spans="1:12" s="17" customFormat="1" ht="31.5">
      <c r="A744" s="124"/>
      <c r="B744" s="366" t="s">
        <v>593</v>
      </c>
      <c r="C744" s="91"/>
      <c r="D744" s="146"/>
      <c r="E744" s="91"/>
      <c r="F744" s="93"/>
      <c r="G744" s="93"/>
      <c r="H744" s="93"/>
      <c r="I744" s="93"/>
      <c r="J744" s="93"/>
      <c r="K744" s="93"/>
      <c r="L744" s="34"/>
    </row>
    <row r="745" spans="1:12" s="51" customFormat="1" ht="29.25" customHeight="1">
      <c r="A745" s="85">
        <v>1</v>
      </c>
      <c r="B745" s="86" t="s">
        <v>544</v>
      </c>
      <c r="C745" s="87" t="s">
        <v>26</v>
      </c>
      <c r="D745" s="92">
        <f>460-D746</f>
        <v>425</v>
      </c>
      <c r="E745" s="87"/>
      <c r="F745" s="89"/>
      <c r="G745" s="88"/>
      <c r="H745" s="89"/>
      <c r="I745" s="88"/>
      <c r="J745" s="89"/>
      <c r="K745" s="89"/>
      <c r="L745" s="42"/>
    </row>
    <row r="746" spans="1:12" s="51" customFormat="1" ht="13.5">
      <c r="A746" s="85">
        <v>2</v>
      </c>
      <c r="B746" s="133" t="s">
        <v>545</v>
      </c>
      <c r="C746" s="85" t="s">
        <v>26</v>
      </c>
      <c r="D746" s="346">
        <v>35</v>
      </c>
      <c r="E746" s="87"/>
      <c r="F746" s="89"/>
      <c r="G746" s="88"/>
      <c r="H746" s="89"/>
      <c r="I746" s="88"/>
      <c r="J746" s="89"/>
      <c r="K746" s="89"/>
      <c r="L746" s="42"/>
    </row>
    <row r="747" spans="1:12" s="15" customFormat="1" ht="13.5">
      <c r="A747" s="85">
        <v>3</v>
      </c>
      <c r="B747" s="86" t="s">
        <v>99</v>
      </c>
      <c r="C747" s="87" t="s">
        <v>26</v>
      </c>
      <c r="D747" s="92">
        <v>115</v>
      </c>
      <c r="E747" s="87"/>
      <c r="F747" s="89"/>
      <c r="G747" s="88"/>
      <c r="H747" s="89"/>
      <c r="I747" s="88"/>
      <c r="J747" s="89"/>
      <c r="K747" s="89"/>
      <c r="L747" s="32"/>
    </row>
    <row r="748" spans="1:12" s="51" customFormat="1" ht="13.5">
      <c r="A748" s="85">
        <v>4</v>
      </c>
      <c r="B748" s="86" t="s">
        <v>546</v>
      </c>
      <c r="C748" s="87" t="s">
        <v>26</v>
      </c>
      <c r="D748" s="240">
        <f>567-115</f>
        <v>452</v>
      </c>
      <c r="E748" s="87"/>
      <c r="F748" s="89"/>
      <c r="G748" s="88"/>
      <c r="H748" s="89"/>
      <c r="I748" s="88"/>
      <c r="J748" s="89"/>
      <c r="K748" s="89"/>
      <c r="L748" s="42"/>
    </row>
    <row r="749" spans="1:12" s="51" customFormat="1" ht="16.5" customHeight="1">
      <c r="A749" s="85">
        <v>5</v>
      </c>
      <c r="B749" s="86" t="s">
        <v>101</v>
      </c>
      <c r="C749" s="87" t="s">
        <v>26</v>
      </c>
      <c r="D749" s="240">
        <f>D748</f>
        <v>452</v>
      </c>
      <c r="E749" s="87"/>
      <c r="F749" s="89"/>
      <c r="G749" s="88"/>
      <c r="H749" s="89"/>
      <c r="I749" s="88"/>
      <c r="J749" s="89"/>
      <c r="K749" s="89"/>
      <c r="L749" s="42"/>
    </row>
    <row r="750" spans="1:19" s="15" customFormat="1" ht="13.5">
      <c r="A750" s="85">
        <v>6</v>
      </c>
      <c r="B750" s="201" t="s">
        <v>547</v>
      </c>
      <c r="C750" s="87" t="s">
        <v>26</v>
      </c>
      <c r="D750" s="240">
        <f>15+11+4+4</f>
        <v>34</v>
      </c>
      <c r="E750" s="87"/>
      <c r="F750" s="89"/>
      <c r="G750" s="88"/>
      <c r="H750" s="89"/>
      <c r="I750" s="88"/>
      <c r="J750" s="89"/>
      <c r="K750" s="89"/>
      <c r="L750" s="32"/>
      <c r="N750" s="103"/>
      <c r="O750" s="103"/>
      <c r="P750" s="103"/>
      <c r="Q750" s="103"/>
      <c r="S750" s="103"/>
    </row>
    <row r="751" spans="1:22" s="51" customFormat="1" ht="21" customHeight="1">
      <c r="A751" s="85">
        <v>7</v>
      </c>
      <c r="B751" s="142" t="s">
        <v>661</v>
      </c>
      <c r="C751" s="87" t="s">
        <v>26</v>
      </c>
      <c r="D751" s="92">
        <v>2</v>
      </c>
      <c r="E751" s="87"/>
      <c r="F751" s="89"/>
      <c r="G751" s="88"/>
      <c r="H751" s="89"/>
      <c r="I751" s="88"/>
      <c r="J751" s="89"/>
      <c r="K751" s="89"/>
      <c r="L751" s="32"/>
      <c r="M751" s="15"/>
      <c r="N751" s="103"/>
      <c r="O751" s="103"/>
      <c r="P751" s="103"/>
      <c r="Q751" s="103"/>
      <c r="R751" s="15"/>
      <c r="S751" s="103"/>
      <c r="T751" s="15"/>
      <c r="U751" s="15"/>
      <c r="V751" s="15"/>
    </row>
    <row r="752" spans="1:22" s="51" customFormat="1" ht="27">
      <c r="A752" s="85">
        <v>8</v>
      </c>
      <c r="B752" s="86" t="s">
        <v>662</v>
      </c>
      <c r="C752" s="87" t="s">
        <v>26</v>
      </c>
      <c r="D752" s="240">
        <f>41.2+10.5+33+42.2+3.75+33+32+24+25+27+13+41+39</f>
        <v>364.65</v>
      </c>
      <c r="E752" s="87"/>
      <c r="F752" s="89"/>
      <c r="G752" s="88"/>
      <c r="H752" s="89"/>
      <c r="I752" s="88"/>
      <c r="J752" s="89"/>
      <c r="K752" s="89"/>
      <c r="L752" s="32"/>
      <c r="M752" s="15"/>
      <c r="N752" s="103"/>
      <c r="O752" s="103"/>
      <c r="P752" s="103"/>
      <c r="Q752" s="103"/>
      <c r="R752" s="15"/>
      <c r="S752" s="103"/>
      <c r="T752" s="15"/>
      <c r="U752" s="15"/>
      <c r="V752" s="15"/>
    </row>
    <row r="753" spans="1:22" s="51" customFormat="1" ht="13.5">
      <c r="A753" s="85">
        <v>9</v>
      </c>
      <c r="B753" s="133" t="s">
        <v>77</v>
      </c>
      <c r="C753" s="85" t="s">
        <v>34</v>
      </c>
      <c r="D753" s="244">
        <f>(1056+792.7+248.3+261.4+220)/1000</f>
        <v>2.5784000000000002</v>
      </c>
      <c r="E753" s="87"/>
      <c r="F753" s="89"/>
      <c r="G753" s="88"/>
      <c r="H753" s="89"/>
      <c r="I753" s="88"/>
      <c r="J753" s="89"/>
      <c r="K753" s="89"/>
      <c r="L753" s="32"/>
      <c r="M753" s="15"/>
      <c r="N753" s="103"/>
      <c r="O753" s="103"/>
      <c r="P753" s="103"/>
      <c r="Q753" s="103"/>
      <c r="R753" s="15"/>
      <c r="S753" s="103"/>
      <c r="T753" s="15"/>
      <c r="U753" s="15"/>
      <c r="V753" s="15"/>
    </row>
    <row r="754" spans="1:22" ht="13.5">
      <c r="A754" s="85">
        <v>10</v>
      </c>
      <c r="B754" s="133" t="s">
        <v>53</v>
      </c>
      <c r="C754" s="85" t="s">
        <v>34</v>
      </c>
      <c r="D754" s="244">
        <f>(8626+9905.7+2821.2+2957+1367)/1000</f>
        <v>25.6769</v>
      </c>
      <c r="E754" s="87"/>
      <c r="F754" s="89"/>
      <c r="G754" s="88"/>
      <c r="H754" s="89"/>
      <c r="I754" s="88"/>
      <c r="J754" s="89"/>
      <c r="K754" s="89"/>
      <c r="L754" s="32"/>
      <c r="M754" s="15"/>
      <c r="N754" s="103"/>
      <c r="O754" s="103"/>
      <c r="P754" s="103"/>
      <c r="Q754" s="103"/>
      <c r="R754" s="15"/>
      <c r="S754" s="103"/>
      <c r="T754" s="15"/>
      <c r="U754" s="15"/>
      <c r="V754" s="15"/>
    </row>
    <row r="755" spans="1:12" s="15" customFormat="1" ht="29.25" customHeight="1">
      <c r="A755" s="85">
        <v>11</v>
      </c>
      <c r="B755" s="86" t="s">
        <v>548</v>
      </c>
      <c r="C755" s="87" t="s">
        <v>24</v>
      </c>
      <c r="D755" s="92">
        <v>8</v>
      </c>
      <c r="E755" s="87"/>
      <c r="F755" s="89"/>
      <c r="G755" s="88"/>
      <c r="H755" s="89"/>
      <c r="I755" s="88"/>
      <c r="J755" s="89"/>
      <c r="K755" s="89"/>
      <c r="L755" s="32"/>
    </row>
    <row r="756" spans="1:12" s="51" customFormat="1" ht="27">
      <c r="A756" s="85">
        <v>12</v>
      </c>
      <c r="B756" s="294" t="s">
        <v>441</v>
      </c>
      <c r="C756" s="87"/>
      <c r="D756" s="92"/>
      <c r="E756" s="87"/>
      <c r="F756" s="89"/>
      <c r="G756" s="88"/>
      <c r="H756" s="89"/>
      <c r="I756" s="88"/>
      <c r="J756" s="89"/>
      <c r="K756" s="89"/>
      <c r="L756" s="42"/>
    </row>
    <row r="757" spans="1:12" s="51" customFormat="1" ht="13.5">
      <c r="A757" s="90"/>
      <c r="B757" s="142" t="s">
        <v>442</v>
      </c>
      <c r="C757" s="85" t="s">
        <v>24</v>
      </c>
      <c r="D757" s="92">
        <v>4</v>
      </c>
      <c r="E757" s="87"/>
      <c r="F757" s="89"/>
      <c r="G757" s="88"/>
      <c r="H757" s="89"/>
      <c r="I757" s="88"/>
      <c r="J757" s="89"/>
      <c r="K757" s="89"/>
      <c r="L757" s="111"/>
    </row>
    <row r="758" spans="1:12" s="51" customFormat="1" ht="13.5">
      <c r="A758" s="90"/>
      <c r="B758" s="142" t="s">
        <v>443</v>
      </c>
      <c r="C758" s="85" t="s">
        <v>24</v>
      </c>
      <c r="D758" s="92">
        <v>10</v>
      </c>
      <c r="E758" s="87"/>
      <c r="F758" s="89"/>
      <c r="G758" s="88"/>
      <c r="H758" s="89"/>
      <c r="I758" s="88"/>
      <c r="J758" s="89"/>
      <c r="K758" s="89"/>
      <c r="L758" s="111"/>
    </row>
    <row r="759" spans="1:12" ht="13.5">
      <c r="A759" s="85">
        <v>13</v>
      </c>
      <c r="B759" s="86" t="s">
        <v>58</v>
      </c>
      <c r="C759" s="87" t="s">
        <v>42</v>
      </c>
      <c r="D759" s="92">
        <v>22</v>
      </c>
      <c r="E759" s="87"/>
      <c r="F759" s="89"/>
      <c r="G759" s="88"/>
      <c r="H759" s="89"/>
      <c r="I759" s="88"/>
      <c r="J759" s="89"/>
      <c r="K759" s="89"/>
      <c r="L759" s="42"/>
    </row>
    <row r="760" spans="1:12" s="51" customFormat="1" ht="29.25" customHeight="1">
      <c r="A760" s="85">
        <v>14</v>
      </c>
      <c r="B760" s="86" t="s">
        <v>67</v>
      </c>
      <c r="C760" s="87" t="s">
        <v>24</v>
      </c>
      <c r="D760" s="92">
        <f>D759*0.9</f>
        <v>19.8</v>
      </c>
      <c r="E760" s="87"/>
      <c r="F760" s="89"/>
      <c r="G760" s="88"/>
      <c r="H760" s="89"/>
      <c r="I760" s="88"/>
      <c r="J760" s="89"/>
      <c r="K760" s="89"/>
      <c r="L760" s="42"/>
    </row>
    <row r="761" spans="1:23" s="33" customFormat="1" ht="13.5">
      <c r="A761" s="90"/>
      <c r="B761" s="149" t="s">
        <v>16</v>
      </c>
      <c r="C761" s="91"/>
      <c r="D761" s="92"/>
      <c r="E761" s="91"/>
      <c r="F761" s="93"/>
      <c r="G761" s="93"/>
      <c r="H761" s="93"/>
      <c r="I761" s="93"/>
      <c r="J761" s="93"/>
      <c r="K761" s="93"/>
      <c r="L761" s="46"/>
      <c r="M761" s="15"/>
      <c r="N761" s="103"/>
      <c r="O761" s="103"/>
      <c r="P761" s="103"/>
      <c r="Q761" s="103"/>
      <c r="R761" s="15"/>
      <c r="S761" s="103"/>
      <c r="T761" s="15"/>
      <c r="U761" s="15"/>
      <c r="V761" s="15"/>
      <c r="W761" s="51"/>
    </row>
    <row r="762" spans="1:23" s="17" customFormat="1" ht="13.5">
      <c r="A762" s="94"/>
      <c r="B762" s="95" t="s">
        <v>86</v>
      </c>
      <c r="C762" s="96" t="s">
        <v>381</v>
      </c>
      <c r="D762" s="92"/>
      <c r="E762" s="91"/>
      <c r="F762" s="93"/>
      <c r="G762" s="93"/>
      <c r="H762" s="93"/>
      <c r="I762" s="93"/>
      <c r="J762" s="93"/>
      <c r="K762" s="93"/>
      <c r="L762" s="32"/>
      <c r="M762" s="15"/>
      <c r="N762" s="103"/>
      <c r="O762" s="103"/>
      <c r="P762" s="103"/>
      <c r="Q762" s="103"/>
      <c r="R762" s="15"/>
      <c r="S762" s="103"/>
      <c r="T762" s="15"/>
      <c r="U762" s="15"/>
      <c r="V762" s="15"/>
      <c r="W762" s="51"/>
    </row>
    <row r="763" spans="1:23" s="17" customFormat="1" ht="13.5">
      <c r="A763" s="94"/>
      <c r="B763" s="97" t="s">
        <v>16</v>
      </c>
      <c r="C763" s="98"/>
      <c r="D763" s="92"/>
      <c r="E763" s="91"/>
      <c r="F763" s="93"/>
      <c r="G763" s="93"/>
      <c r="H763" s="93"/>
      <c r="I763" s="93"/>
      <c r="J763" s="93"/>
      <c r="K763" s="93"/>
      <c r="L763" s="32"/>
      <c r="M763" s="15"/>
      <c r="N763" s="103"/>
      <c r="O763" s="103"/>
      <c r="P763" s="103"/>
      <c r="Q763" s="103"/>
      <c r="R763" s="15"/>
      <c r="S763" s="103"/>
      <c r="T763" s="15"/>
      <c r="U763" s="15"/>
      <c r="V763" s="15"/>
      <c r="W763" s="51"/>
    </row>
    <row r="764" spans="1:23" s="33" customFormat="1" ht="13.5">
      <c r="A764" s="99"/>
      <c r="B764" s="95" t="s">
        <v>96</v>
      </c>
      <c r="C764" s="96" t="s">
        <v>381</v>
      </c>
      <c r="D764" s="100"/>
      <c r="E764" s="100"/>
      <c r="F764" s="101"/>
      <c r="G764" s="101"/>
      <c r="H764" s="101"/>
      <c r="I764" s="101"/>
      <c r="J764" s="101"/>
      <c r="K764" s="101"/>
      <c r="L764" s="32"/>
      <c r="M764" s="15"/>
      <c r="N764" s="103"/>
      <c r="O764" s="103"/>
      <c r="P764" s="103"/>
      <c r="Q764" s="103"/>
      <c r="R764" s="15"/>
      <c r="S764" s="103"/>
      <c r="T764" s="15"/>
      <c r="U764" s="15"/>
      <c r="V764" s="15"/>
      <c r="W764" s="51"/>
    </row>
    <row r="765" spans="1:24" s="17" customFormat="1" ht="13.5">
      <c r="A765" s="87"/>
      <c r="B765" s="97" t="s">
        <v>10</v>
      </c>
      <c r="C765" s="91"/>
      <c r="D765" s="92"/>
      <c r="E765" s="91"/>
      <c r="F765" s="93"/>
      <c r="G765" s="93"/>
      <c r="H765" s="93"/>
      <c r="I765" s="93"/>
      <c r="J765" s="93"/>
      <c r="K765" s="93"/>
      <c r="L765" s="32"/>
      <c r="M765" s="15"/>
      <c r="N765" s="103"/>
      <c r="O765" s="103"/>
      <c r="P765" s="103"/>
      <c r="Q765" s="103"/>
      <c r="R765" s="15"/>
      <c r="S765" s="103"/>
      <c r="T765" s="15"/>
      <c r="U765" s="15"/>
      <c r="V765" s="15"/>
      <c r="W765" s="15"/>
      <c r="X765" s="15"/>
    </row>
    <row r="766" spans="1:12" s="33" customFormat="1" ht="18" customHeight="1">
      <c r="A766" s="85"/>
      <c r="B766" s="366" t="s">
        <v>594</v>
      </c>
      <c r="C766" s="87"/>
      <c r="D766" s="227"/>
      <c r="E766" s="227"/>
      <c r="F766" s="227"/>
      <c r="G766" s="227"/>
      <c r="H766" s="227"/>
      <c r="I766" s="227"/>
      <c r="J766" s="227"/>
      <c r="K766" s="227"/>
      <c r="L766" s="42"/>
    </row>
    <row r="767" spans="1:12" s="61" customFormat="1" ht="18" customHeight="1">
      <c r="A767" s="87"/>
      <c r="B767" s="267" t="s">
        <v>595</v>
      </c>
      <c r="C767" s="87"/>
      <c r="D767" s="88"/>
      <c r="E767" s="87"/>
      <c r="F767" s="89"/>
      <c r="G767" s="88"/>
      <c r="H767" s="89"/>
      <c r="I767" s="88"/>
      <c r="J767" s="89"/>
      <c r="K767" s="89"/>
      <c r="L767" s="109"/>
    </row>
    <row r="768" spans="1:12" s="15" customFormat="1" ht="16.5" customHeight="1">
      <c r="A768" s="85">
        <v>1</v>
      </c>
      <c r="B768" s="86" t="s">
        <v>549</v>
      </c>
      <c r="C768" s="85" t="s">
        <v>26</v>
      </c>
      <c r="D768" s="348">
        <f>830*0.5*0.7+32*0.5</f>
        <v>306.5</v>
      </c>
      <c r="E768" s="87"/>
      <c r="F768" s="89"/>
      <c r="G768" s="88"/>
      <c r="H768" s="89"/>
      <c r="I768" s="88"/>
      <c r="J768" s="89"/>
      <c r="K768" s="89">
        <f>F768+H768+J768</f>
        <v>0</v>
      </c>
      <c r="L768" s="75"/>
    </row>
    <row r="769" spans="1:12" s="15" customFormat="1" ht="13.5">
      <c r="A769" s="85">
        <v>2</v>
      </c>
      <c r="B769" s="133" t="s">
        <v>99</v>
      </c>
      <c r="C769" s="85" t="s">
        <v>26</v>
      </c>
      <c r="D769" s="349">
        <f>D768-32*0.5</f>
        <v>290.5</v>
      </c>
      <c r="E769" s="87"/>
      <c r="F769" s="89"/>
      <c r="G769" s="88"/>
      <c r="H769" s="89"/>
      <c r="I769" s="88"/>
      <c r="J769" s="89"/>
      <c r="K769" s="89">
        <f>F769+H769+J769</f>
        <v>0</v>
      </c>
      <c r="L769" s="75"/>
    </row>
    <row r="770" spans="1:11" s="45" customFormat="1" ht="13.5">
      <c r="A770" s="87">
        <v>3</v>
      </c>
      <c r="B770" s="118" t="s">
        <v>457</v>
      </c>
      <c r="C770" s="85" t="s">
        <v>26</v>
      </c>
      <c r="D770" s="317">
        <f>16</f>
        <v>16</v>
      </c>
      <c r="E770" s="263"/>
      <c r="F770" s="263"/>
      <c r="G770" s="263"/>
      <c r="H770" s="263"/>
      <c r="I770" s="263"/>
      <c r="J770" s="263"/>
      <c r="K770" s="263">
        <f>F770+H770+J770</f>
        <v>0</v>
      </c>
    </row>
    <row r="771" spans="1:12" s="15" customFormat="1" ht="13.5">
      <c r="A771" s="85">
        <v>4</v>
      </c>
      <c r="B771" s="86" t="s">
        <v>458</v>
      </c>
      <c r="C771" s="85" t="s">
        <v>26</v>
      </c>
      <c r="D771" s="264">
        <f>D770</f>
        <v>16</v>
      </c>
      <c r="E771" s="263"/>
      <c r="F771" s="263"/>
      <c r="G771" s="263"/>
      <c r="H771" s="263"/>
      <c r="I771" s="263"/>
      <c r="J771" s="263">
        <f>D771*I771</f>
        <v>0</v>
      </c>
      <c r="K771" s="263">
        <f>F771+H771+J771</f>
        <v>0</v>
      </c>
      <c r="L771" s="43"/>
    </row>
    <row r="772" spans="1:12" s="110" customFormat="1" ht="28.5" customHeight="1">
      <c r="A772" s="87">
        <v>5</v>
      </c>
      <c r="B772" s="86" t="s">
        <v>124</v>
      </c>
      <c r="C772" s="87" t="s">
        <v>26</v>
      </c>
      <c r="D772" s="92">
        <f>0.2*13</f>
        <v>2.6</v>
      </c>
      <c r="E772" s="87"/>
      <c r="F772" s="89"/>
      <c r="G772" s="88"/>
      <c r="H772" s="89"/>
      <c r="I772" s="88"/>
      <c r="J772" s="89"/>
      <c r="K772" s="89"/>
      <c r="L772" s="109"/>
    </row>
    <row r="773" spans="1:12" s="104" customFormat="1" ht="15" customHeight="1">
      <c r="A773" s="87">
        <v>6</v>
      </c>
      <c r="B773" s="350" t="s">
        <v>550</v>
      </c>
      <c r="C773" s="351"/>
      <c r="D773" s="352"/>
      <c r="E773" s="87"/>
      <c r="F773" s="89"/>
      <c r="G773" s="88"/>
      <c r="H773" s="89"/>
      <c r="I773" s="88"/>
      <c r="J773" s="89"/>
      <c r="K773" s="89"/>
      <c r="L773" s="237"/>
    </row>
    <row r="774" spans="1:12" s="110" customFormat="1" ht="27">
      <c r="A774" s="224"/>
      <c r="B774" s="118" t="s">
        <v>551</v>
      </c>
      <c r="C774" s="87" t="s">
        <v>48</v>
      </c>
      <c r="D774" s="92">
        <v>26</v>
      </c>
      <c r="E774" s="330"/>
      <c r="F774" s="89"/>
      <c r="G774" s="88"/>
      <c r="H774" s="89"/>
      <c r="I774" s="88"/>
      <c r="J774" s="89"/>
      <c r="K774" s="89"/>
      <c r="L774" s="111"/>
    </row>
    <row r="775" spans="1:12" s="110" customFormat="1" ht="13.5">
      <c r="A775" s="224"/>
      <c r="B775" s="118" t="s">
        <v>552</v>
      </c>
      <c r="C775" s="87" t="s">
        <v>48</v>
      </c>
      <c r="D775" s="92">
        <v>6</v>
      </c>
      <c r="E775" s="330"/>
      <c r="F775" s="89"/>
      <c r="G775" s="88"/>
      <c r="H775" s="89"/>
      <c r="I775" s="88"/>
      <c r="J775" s="89"/>
      <c r="K775" s="89"/>
      <c r="L775" s="111"/>
    </row>
    <row r="776" spans="1:12" s="117" customFormat="1" ht="30" customHeight="1">
      <c r="A776" s="87">
        <v>7</v>
      </c>
      <c r="B776" s="119" t="s">
        <v>553</v>
      </c>
      <c r="C776" s="87" t="s">
        <v>47</v>
      </c>
      <c r="D776" s="92">
        <v>830</v>
      </c>
      <c r="E776" s="87"/>
      <c r="F776" s="89"/>
      <c r="G776" s="88"/>
      <c r="H776" s="89"/>
      <c r="I776" s="88"/>
      <c r="J776" s="89"/>
      <c r="K776" s="89"/>
      <c r="L776" s="111"/>
    </row>
    <row r="777" spans="1:12" s="61" customFormat="1" ht="15" customHeight="1">
      <c r="A777" s="87"/>
      <c r="B777" s="97" t="s">
        <v>45</v>
      </c>
      <c r="C777" s="87"/>
      <c r="D777" s="89"/>
      <c r="E777" s="87"/>
      <c r="F777" s="93"/>
      <c r="G777" s="93"/>
      <c r="H777" s="93"/>
      <c r="I777" s="93"/>
      <c r="J777" s="93"/>
      <c r="K777" s="93"/>
      <c r="L777" s="112"/>
    </row>
    <row r="778" spans="1:12" s="61" customFormat="1" ht="13.5">
      <c r="A778" s="115"/>
      <c r="B778" s="95" t="s">
        <v>86</v>
      </c>
      <c r="C778" s="96" t="s">
        <v>381</v>
      </c>
      <c r="D778" s="91"/>
      <c r="E778" s="93"/>
      <c r="F778" s="93"/>
      <c r="G778" s="93"/>
      <c r="H778" s="93"/>
      <c r="I778" s="93"/>
      <c r="J778" s="93"/>
      <c r="K778" s="93"/>
      <c r="L778" s="117"/>
    </row>
    <row r="779" spans="1:12" s="61" customFormat="1" ht="13.5">
      <c r="A779" s="115"/>
      <c r="B779" s="97" t="s">
        <v>16</v>
      </c>
      <c r="C779" s="98"/>
      <c r="D779" s="100"/>
      <c r="E779" s="100"/>
      <c r="F779" s="101"/>
      <c r="G779" s="101"/>
      <c r="H779" s="101"/>
      <c r="I779" s="101"/>
      <c r="J779" s="101"/>
      <c r="K779" s="101"/>
      <c r="L779" s="117"/>
    </row>
    <row r="780" spans="1:11" s="117" customFormat="1" ht="13.5">
      <c r="A780" s="115"/>
      <c r="B780" s="95" t="s">
        <v>87</v>
      </c>
      <c r="C780" s="96" t="s">
        <v>381</v>
      </c>
      <c r="D780" s="100"/>
      <c r="E780" s="100"/>
      <c r="F780" s="101"/>
      <c r="G780" s="101"/>
      <c r="H780" s="101"/>
      <c r="I780" s="101"/>
      <c r="J780" s="101"/>
      <c r="K780" s="101"/>
    </row>
    <row r="781" spans="1:12" s="61" customFormat="1" ht="13.5">
      <c r="A781" s="115"/>
      <c r="B781" s="97" t="s">
        <v>596</v>
      </c>
      <c r="C781" s="100"/>
      <c r="D781" s="100"/>
      <c r="E781" s="100"/>
      <c r="F781" s="101"/>
      <c r="G781" s="101"/>
      <c r="H781" s="101"/>
      <c r="I781" s="101"/>
      <c r="J781" s="101"/>
      <c r="K781" s="101"/>
      <c r="L781" s="295"/>
    </row>
    <row r="782" spans="1:12" s="61" customFormat="1" ht="17.25" customHeight="1">
      <c r="A782" s="87"/>
      <c r="B782" s="267" t="s">
        <v>597</v>
      </c>
      <c r="C782" s="87"/>
      <c r="D782" s="88"/>
      <c r="E782" s="87"/>
      <c r="F782" s="89"/>
      <c r="G782" s="88"/>
      <c r="H782" s="89"/>
      <c r="I782" s="88"/>
      <c r="J782" s="89"/>
      <c r="K782" s="89"/>
      <c r="L782" s="111"/>
    </row>
    <row r="783" spans="1:12" s="61" customFormat="1" ht="17.25" customHeight="1">
      <c r="A783" s="87">
        <v>8</v>
      </c>
      <c r="B783" s="86" t="s">
        <v>126</v>
      </c>
      <c r="C783" s="87" t="s">
        <v>47</v>
      </c>
      <c r="D783" s="92">
        <v>830</v>
      </c>
      <c r="E783" s="87"/>
      <c r="F783" s="89"/>
      <c r="G783" s="88"/>
      <c r="H783" s="89"/>
      <c r="I783" s="88"/>
      <c r="J783" s="89"/>
      <c r="K783" s="89"/>
      <c r="L783" s="111"/>
    </row>
    <row r="784" spans="1:11" s="59" customFormat="1" ht="13.5">
      <c r="A784" s="87">
        <v>9</v>
      </c>
      <c r="B784" s="86" t="s">
        <v>554</v>
      </c>
      <c r="C784" s="87" t="s">
        <v>48</v>
      </c>
      <c r="D784" s="91">
        <v>6</v>
      </c>
      <c r="E784" s="89"/>
      <c r="F784" s="88"/>
      <c r="G784" s="89"/>
      <c r="H784" s="88"/>
      <c r="I784" s="89"/>
      <c r="J784" s="89"/>
      <c r="K784" s="225"/>
    </row>
    <row r="785" spans="1:11" s="59" customFormat="1" ht="28.5" customHeight="1">
      <c r="A785" s="87">
        <v>10</v>
      </c>
      <c r="B785" s="86" t="s">
        <v>555</v>
      </c>
      <c r="C785" s="87" t="s">
        <v>48</v>
      </c>
      <c r="D785" s="91">
        <v>6</v>
      </c>
      <c r="E785" s="89"/>
      <c r="F785" s="88"/>
      <c r="G785" s="89"/>
      <c r="H785" s="88"/>
      <c r="I785" s="89"/>
      <c r="J785" s="89"/>
      <c r="K785" s="225"/>
    </row>
    <row r="786" spans="1:11" s="59" customFormat="1" ht="13.5">
      <c r="A786" s="87">
        <v>11</v>
      </c>
      <c r="B786" s="86" t="s">
        <v>556</v>
      </c>
      <c r="C786" s="87" t="s">
        <v>48</v>
      </c>
      <c r="D786" s="91">
        <v>26</v>
      </c>
      <c r="E786" s="89"/>
      <c r="F786" s="88"/>
      <c r="G786" s="89"/>
      <c r="H786" s="88"/>
      <c r="I786" s="89"/>
      <c r="J786" s="89"/>
      <c r="K786" s="225"/>
    </row>
    <row r="787" spans="1:12" s="117" customFormat="1" ht="13.5">
      <c r="A787" s="87">
        <v>12</v>
      </c>
      <c r="B787" s="118" t="s">
        <v>557</v>
      </c>
      <c r="C787" s="87" t="s">
        <v>48</v>
      </c>
      <c r="D787" s="92">
        <v>1</v>
      </c>
      <c r="E787" s="87"/>
      <c r="F787" s="89"/>
      <c r="G787" s="88"/>
      <c r="H787" s="89"/>
      <c r="I787" s="88"/>
      <c r="J787" s="89"/>
      <c r="K787" s="89"/>
      <c r="L787" s="111"/>
    </row>
    <row r="788" spans="1:12" s="61" customFormat="1" ht="30.75" customHeight="1">
      <c r="A788" s="87">
        <v>13</v>
      </c>
      <c r="B788" s="95" t="s">
        <v>389</v>
      </c>
      <c r="C788" s="87"/>
      <c r="D788" s="93"/>
      <c r="E788" s="88"/>
      <c r="F788" s="89"/>
      <c r="G788" s="87"/>
      <c r="H788" s="89"/>
      <c r="I788" s="88"/>
      <c r="J788" s="89"/>
      <c r="K788" s="89"/>
      <c r="L788" s="111"/>
    </row>
    <row r="789" spans="1:12" s="110" customFormat="1" ht="27">
      <c r="A789" s="87"/>
      <c r="B789" s="118" t="s">
        <v>558</v>
      </c>
      <c r="C789" s="87" t="s">
        <v>47</v>
      </c>
      <c r="D789" s="92">
        <v>160</v>
      </c>
      <c r="E789" s="88"/>
      <c r="F789" s="89">
        <f>D789*E789</f>
        <v>0</v>
      </c>
      <c r="G789" s="87"/>
      <c r="H789" s="89"/>
      <c r="I789" s="88"/>
      <c r="J789" s="89"/>
      <c r="K789" s="89">
        <f>F789+H789+J789</f>
        <v>0</v>
      </c>
      <c r="L789" s="111"/>
    </row>
    <row r="790" spans="1:12" s="110" customFormat="1" ht="27">
      <c r="A790" s="87"/>
      <c r="B790" s="118" t="s">
        <v>559</v>
      </c>
      <c r="C790" s="87" t="s">
        <v>47</v>
      </c>
      <c r="D790" s="92">
        <v>830</v>
      </c>
      <c r="E790" s="88"/>
      <c r="F790" s="89">
        <f>D790*E790</f>
        <v>0</v>
      </c>
      <c r="G790" s="87"/>
      <c r="H790" s="89"/>
      <c r="I790" s="88"/>
      <c r="J790" s="89"/>
      <c r="K790" s="89">
        <f>F790+H790+J790</f>
        <v>0</v>
      </c>
      <c r="L790" s="111"/>
    </row>
    <row r="791" spans="1:12" s="61" customFormat="1" ht="18" customHeight="1">
      <c r="A791" s="87">
        <v>14</v>
      </c>
      <c r="B791" s="119" t="s">
        <v>127</v>
      </c>
      <c r="C791" s="87" t="s">
        <v>48</v>
      </c>
      <c r="D791" s="92">
        <v>32</v>
      </c>
      <c r="E791" s="88"/>
      <c r="F791" s="89"/>
      <c r="G791" s="87"/>
      <c r="H791" s="89"/>
      <c r="I791" s="88"/>
      <c r="J791" s="89"/>
      <c r="K791" s="89"/>
      <c r="L791" s="111"/>
    </row>
    <row r="792" spans="1:12" s="61" customFormat="1" ht="13.5">
      <c r="A792" s="87">
        <v>15</v>
      </c>
      <c r="B792" s="95" t="s">
        <v>560</v>
      </c>
      <c r="C792" s="87" t="s">
        <v>48</v>
      </c>
      <c r="D792" s="92">
        <v>160</v>
      </c>
      <c r="E792" s="88"/>
      <c r="F792" s="89"/>
      <c r="G792" s="87"/>
      <c r="H792" s="89"/>
      <c r="I792" s="88"/>
      <c r="J792" s="89"/>
      <c r="K792" s="89"/>
      <c r="L792" s="47"/>
    </row>
    <row r="793" spans="1:12" s="61" customFormat="1" ht="13.5">
      <c r="A793" s="87">
        <v>16</v>
      </c>
      <c r="B793" s="95" t="s">
        <v>120</v>
      </c>
      <c r="C793" s="87" t="s">
        <v>47</v>
      </c>
      <c r="D793" s="92">
        <v>192</v>
      </c>
      <c r="E793" s="88"/>
      <c r="F793" s="89"/>
      <c r="G793" s="87"/>
      <c r="H793" s="89"/>
      <c r="I793" s="88"/>
      <c r="J793" s="89"/>
      <c r="K793" s="89"/>
      <c r="L793" s="47"/>
    </row>
    <row r="794" spans="1:12" s="61" customFormat="1" ht="13.5">
      <c r="A794" s="87">
        <v>17</v>
      </c>
      <c r="B794" s="119" t="s">
        <v>130</v>
      </c>
      <c r="C794" s="87" t="s">
        <v>42</v>
      </c>
      <c r="D794" s="92">
        <v>830</v>
      </c>
      <c r="E794" s="88"/>
      <c r="F794" s="89"/>
      <c r="G794" s="87"/>
      <c r="H794" s="89"/>
      <c r="I794" s="88"/>
      <c r="J794" s="89"/>
      <c r="K794" s="89"/>
      <c r="L794" s="47"/>
    </row>
    <row r="795" spans="1:12" s="61" customFormat="1" ht="15" customHeight="1">
      <c r="A795" s="87"/>
      <c r="B795" s="97" t="s">
        <v>45</v>
      </c>
      <c r="C795" s="91"/>
      <c r="D795" s="113"/>
      <c r="E795" s="91"/>
      <c r="F795" s="134"/>
      <c r="G795" s="134"/>
      <c r="H795" s="134"/>
      <c r="I795" s="134"/>
      <c r="J795" s="134"/>
      <c r="K795" s="93"/>
      <c r="L795" s="114"/>
    </row>
    <row r="796" spans="1:12" s="61" customFormat="1" ht="14.25" customHeight="1">
      <c r="A796" s="87"/>
      <c r="B796" s="119" t="s">
        <v>128</v>
      </c>
      <c r="C796" s="120" t="s">
        <v>381</v>
      </c>
      <c r="D796" s="113"/>
      <c r="E796" s="91"/>
      <c r="F796" s="134"/>
      <c r="G796" s="134"/>
      <c r="H796" s="134"/>
      <c r="I796" s="134"/>
      <c r="J796" s="134"/>
      <c r="K796" s="93"/>
      <c r="L796" s="111"/>
    </row>
    <row r="797" spans="1:12" s="61" customFormat="1" ht="14.25" customHeight="1">
      <c r="A797" s="87"/>
      <c r="B797" s="97" t="s">
        <v>45</v>
      </c>
      <c r="C797" s="100"/>
      <c r="D797" s="113"/>
      <c r="E797" s="91"/>
      <c r="F797" s="134"/>
      <c r="G797" s="134"/>
      <c r="H797" s="134"/>
      <c r="I797" s="134"/>
      <c r="J797" s="134"/>
      <c r="K797" s="93"/>
      <c r="L797" s="114"/>
    </row>
    <row r="798" spans="1:12" s="61" customFormat="1" ht="15" customHeight="1">
      <c r="A798" s="87"/>
      <c r="B798" s="119" t="s">
        <v>129</v>
      </c>
      <c r="C798" s="120" t="s">
        <v>381</v>
      </c>
      <c r="D798" s="113"/>
      <c r="E798" s="91"/>
      <c r="F798" s="134"/>
      <c r="G798" s="134"/>
      <c r="H798" s="134"/>
      <c r="I798" s="134"/>
      <c r="J798" s="134"/>
      <c r="K798" s="93"/>
      <c r="L798" s="111"/>
    </row>
    <row r="799" spans="1:12" s="61" customFormat="1" ht="15" customHeight="1">
      <c r="A799" s="87"/>
      <c r="B799" s="97" t="s">
        <v>598</v>
      </c>
      <c r="C799" s="91"/>
      <c r="D799" s="113"/>
      <c r="E799" s="91"/>
      <c r="F799" s="134"/>
      <c r="G799" s="134"/>
      <c r="H799" s="134"/>
      <c r="I799" s="134"/>
      <c r="J799" s="134"/>
      <c r="K799" s="93"/>
      <c r="L799" s="111"/>
    </row>
    <row r="800" spans="1:11" s="61" customFormat="1" ht="17.25" customHeight="1">
      <c r="A800" s="87"/>
      <c r="B800" s="97" t="s">
        <v>663</v>
      </c>
      <c r="C800" s="91"/>
      <c r="D800" s="91"/>
      <c r="E800" s="93"/>
      <c r="F800" s="134"/>
      <c r="G800" s="134"/>
      <c r="H800" s="134"/>
      <c r="I800" s="134"/>
      <c r="J800" s="134"/>
      <c r="K800" s="93"/>
    </row>
    <row r="801" spans="1:12" s="33" customFormat="1" ht="18" customHeight="1">
      <c r="A801" s="85"/>
      <c r="B801" s="267" t="s">
        <v>599</v>
      </c>
      <c r="C801" s="87"/>
      <c r="D801" s="227"/>
      <c r="E801" s="227"/>
      <c r="F801" s="227"/>
      <c r="G801" s="227"/>
      <c r="H801" s="227"/>
      <c r="I801" s="227"/>
      <c r="J801" s="227"/>
      <c r="K801" s="227"/>
      <c r="L801" s="42"/>
    </row>
    <row r="802" spans="1:12" ht="30" customHeight="1">
      <c r="A802" s="85">
        <v>1</v>
      </c>
      <c r="B802" s="86" t="s">
        <v>373</v>
      </c>
      <c r="C802" s="87" t="s">
        <v>34</v>
      </c>
      <c r="D802" s="244">
        <v>3.678</v>
      </c>
      <c r="E802" s="87"/>
      <c r="F802" s="89"/>
      <c r="G802" s="88"/>
      <c r="H802" s="89"/>
      <c r="I802" s="88"/>
      <c r="J802" s="89"/>
      <c r="K802" s="89"/>
      <c r="L802" s="42"/>
    </row>
    <row r="803" spans="1:12" ht="27.75" customHeight="1">
      <c r="A803" s="85">
        <v>2</v>
      </c>
      <c r="B803" s="86" t="s">
        <v>335</v>
      </c>
      <c r="C803" s="87" t="s">
        <v>34</v>
      </c>
      <c r="D803" s="353">
        <f>D802</f>
        <v>3.678</v>
      </c>
      <c r="E803" s="87"/>
      <c r="F803" s="89"/>
      <c r="G803" s="88"/>
      <c r="H803" s="89"/>
      <c r="I803" s="88"/>
      <c r="J803" s="89"/>
      <c r="K803" s="89"/>
      <c r="L803" s="42"/>
    </row>
    <row r="804" spans="1:12" s="33" customFormat="1" ht="13.5">
      <c r="A804" s="90"/>
      <c r="B804" s="149" t="s">
        <v>16</v>
      </c>
      <c r="C804" s="91"/>
      <c r="D804" s="92"/>
      <c r="E804" s="91"/>
      <c r="F804" s="93"/>
      <c r="G804" s="93"/>
      <c r="H804" s="93"/>
      <c r="I804" s="93"/>
      <c r="J804" s="93"/>
      <c r="K804" s="93"/>
      <c r="L804" s="43"/>
    </row>
    <row r="805" spans="1:12" s="17" customFormat="1" ht="13.5">
      <c r="A805" s="94"/>
      <c r="B805" s="95" t="s">
        <v>86</v>
      </c>
      <c r="C805" s="96" t="s">
        <v>381</v>
      </c>
      <c r="D805" s="92"/>
      <c r="E805" s="91"/>
      <c r="F805" s="93"/>
      <c r="G805" s="93"/>
      <c r="H805" s="93"/>
      <c r="I805" s="93"/>
      <c r="J805" s="93"/>
      <c r="K805" s="93"/>
      <c r="L805" s="34"/>
    </row>
    <row r="806" spans="1:12" s="17" customFormat="1" ht="13.5">
      <c r="A806" s="94"/>
      <c r="B806" s="97" t="s">
        <v>16</v>
      </c>
      <c r="C806" s="98"/>
      <c r="D806" s="92"/>
      <c r="E806" s="91"/>
      <c r="F806" s="93"/>
      <c r="G806" s="93"/>
      <c r="H806" s="93"/>
      <c r="I806" s="93"/>
      <c r="J806" s="93"/>
      <c r="K806" s="93"/>
      <c r="L806" s="34"/>
    </row>
    <row r="807" spans="1:11" s="33" customFormat="1" ht="13.5">
      <c r="A807" s="99"/>
      <c r="B807" s="95" t="s">
        <v>96</v>
      </c>
      <c r="C807" s="96" t="s">
        <v>381</v>
      </c>
      <c r="D807" s="100"/>
      <c r="E807" s="100"/>
      <c r="F807" s="101"/>
      <c r="G807" s="101"/>
      <c r="H807" s="101"/>
      <c r="I807" s="101"/>
      <c r="J807" s="101"/>
      <c r="K807" s="101"/>
    </row>
    <row r="808" spans="1:12" s="17" customFormat="1" ht="13.5">
      <c r="A808" s="87"/>
      <c r="B808" s="97" t="s">
        <v>600</v>
      </c>
      <c r="C808" s="91"/>
      <c r="D808" s="92"/>
      <c r="E808" s="91"/>
      <c r="F808" s="93"/>
      <c r="G808" s="93"/>
      <c r="H808" s="93"/>
      <c r="I808" s="93"/>
      <c r="J808" s="93"/>
      <c r="K808" s="93"/>
      <c r="L808" s="49"/>
    </row>
    <row r="809" spans="1:12" s="17" customFormat="1" ht="15.75">
      <c r="A809" s="87"/>
      <c r="B809" s="369" t="s">
        <v>601</v>
      </c>
      <c r="C809" s="91"/>
      <c r="D809" s="92"/>
      <c r="E809" s="91"/>
      <c r="F809" s="93"/>
      <c r="G809" s="93"/>
      <c r="H809" s="93"/>
      <c r="I809" s="93"/>
      <c r="J809" s="93"/>
      <c r="K809" s="93"/>
      <c r="L809" s="49"/>
    </row>
    <row r="810" spans="1:12" s="33" customFormat="1" ht="13.5">
      <c r="A810" s="90"/>
      <c r="B810" s="203" t="s">
        <v>302</v>
      </c>
      <c r="C810" s="91"/>
      <c r="D810" s="230"/>
      <c r="E810" s="230"/>
      <c r="F810" s="227"/>
      <c r="G810" s="227"/>
      <c r="H810" s="232"/>
      <c r="I810" s="227"/>
      <c r="J810" s="232"/>
      <c r="K810" s="227"/>
      <c r="L810" s="43"/>
    </row>
    <row r="811" spans="1:12" s="33" customFormat="1" ht="13.5">
      <c r="A811" s="90"/>
      <c r="B811" s="203" t="s">
        <v>27</v>
      </c>
      <c r="C811" s="91"/>
      <c r="D811" s="230"/>
      <c r="E811" s="230"/>
      <c r="F811" s="227"/>
      <c r="G811" s="227"/>
      <c r="H811" s="232"/>
      <c r="I811" s="227"/>
      <c r="J811" s="232"/>
      <c r="K811" s="227"/>
      <c r="L811" s="43"/>
    </row>
    <row r="812" spans="1:12" s="33" customFormat="1" ht="13.5">
      <c r="A812" s="90"/>
      <c r="B812" s="203" t="s">
        <v>46</v>
      </c>
      <c r="C812" s="91"/>
      <c r="D812" s="230"/>
      <c r="E812" s="230"/>
      <c r="F812" s="227"/>
      <c r="G812" s="227"/>
      <c r="H812" s="232"/>
      <c r="I812" s="227"/>
      <c r="J812" s="232"/>
      <c r="K812" s="227"/>
      <c r="L812" s="43"/>
    </row>
    <row r="813" spans="1:12" s="33" customFormat="1" ht="13.5">
      <c r="A813" s="90"/>
      <c r="B813" s="203" t="s">
        <v>100</v>
      </c>
      <c r="C813" s="91"/>
      <c r="D813" s="230"/>
      <c r="E813" s="230"/>
      <c r="F813" s="227"/>
      <c r="G813" s="227"/>
      <c r="H813" s="232"/>
      <c r="I813" s="227"/>
      <c r="J813" s="232"/>
      <c r="K813" s="227"/>
      <c r="L813" s="43"/>
    </row>
    <row r="814" spans="1:12" ht="42" customHeight="1">
      <c r="A814" s="85"/>
      <c r="B814" s="95" t="s">
        <v>391</v>
      </c>
      <c r="C814" s="233">
        <v>0.015</v>
      </c>
      <c r="D814" s="91"/>
      <c r="E814" s="93"/>
      <c r="F814" s="230"/>
      <c r="G814" s="230"/>
      <c r="H814" s="230"/>
      <c r="I814" s="230"/>
      <c r="J814" s="230"/>
      <c r="K814" s="230"/>
      <c r="L814" s="234"/>
    </row>
    <row r="815" spans="1:12" ht="17.25" customHeight="1">
      <c r="A815" s="85"/>
      <c r="B815" s="97" t="s">
        <v>16</v>
      </c>
      <c r="C815" s="91"/>
      <c r="D815" s="91"/>
      <c r="E815" s="93"/>
      <c r="F815" s="230"/>
      <c r="G815" s="230"/>
      <c r="H815" s="230"/>
      <c r="I815" s="230"/>
      <c r="J815" s="230"/>
      <c r="K815" s="230"/>
      <c r="L815" s="234"/>
    </row>
    <row r="816" spans="1:12" ht="45.75" customHeight="1">
      <c r="A816" s="85"/>
      <c r="B816" s="95" t="s">
        <v>392</v>
      </c>
      <c r="C816" s="235">
        <v>0.003</v>
      </c>
      <c r="D816" s="91"/>
      <c r="E816" s="93"/>
      <c r="F816" s="230"/>
      <c r="G816" s="230"/>
      <c r="H816" s="230"/>
      <c r="I816" s="230"/>
      <c r="J816" s="230"/>
      <c r="K816" s="230"/>
      <c r="L816" s="234"/>
    </row>
    <row r="817" spans="1:12" ht="17.25" customHeight="1">
      <c r="A817" s="85"/>
      <c r="B817" s="97" t="s">
        <v>16</v>
      </c>
      <c r="C817" s="91"/>
      <c r="D817" s="91"/>
      <c r="E817" s="93"/>
      <c r="F817" s="230"/>
      <c r="G817" s="230"/>
      <c r="H817" s="230"/>
      <c r="I817" s="230"/>
      <c r="J817" s="230"/>
      <c r="K817" s="230"/>
      <c r="L817" s="234"/>
    </row>
    <row r="818" spans="1:12" ht="21" customHeight="1">
      <c r="A818" s="85"/>
      <c r="B818" s="95" t="s">
        <v>393</v>
      </c>
      <c r="C818" s="120">
        <v>0.05</v>
      </c>
      <c r="D818" s="91"/>
      <c r="E818" s="93"/>
      <c r="F818" s="230"/>
      <c r="G818" s="230"/>
      <c r="H818" s="230"/>
      <c r="I818" s="230"/>
      <c r="J818" s="230"/>
      <c r="K818" s="230"/>
      <c r="L818" s="234"/>
    </row>
    <row r="819" spans="1:12" ht="17.25" customHeight="1">
      <c r="A819" s="85"/>
      <c r="B819" s="97" t="s">
        <v>16</v>
      </c>
      <c r="C819" s="91"/>
      <c r="D819" s="91"/>
      <c r="E819" s="93"/>
      <c r="F819" s="230"/>
      <c r="G819" s="230"/>
      <c r="H819" s="230"/>
      <c r="I819" s="230"/>
      <c r="J819" s="230"/>
      <c r="K819" s="230"/>
      <c r="L819" s="234"/>
    </row>
    <row r="820" spans="1:12" ht="21" customHeight="1">
      <c r="A820" s="85"/>
      <c r="B820" s="95" t="s">
        <v>41</v>
      </c>
      <c r="C820" s="120">
        <v>0.18</v>
      </c>
      <c r="D820" s="91"/>
      <c r="E820" s="93"/>
      <c r="F820" s="230"/>
      <c r="G820" s="230"/>
      <c r="H820" s="230"/>
      <c r="I820" s="230"/>
      <c r="J820" s="230"/>
      <c r="K820" s="230"/>
      <c r="L820" s="234"/>
    </row>
    <row r="821" spans="1:12" ht="17.25" customHeight="1">
      <c r="A821" s="85"/>
      <c r="B821" s="97" t="s">
        <v>17</v>
      </c>
      <c r="C821" s="91"/>
      <c r="D821" s="91"/>
      <c r="E821" s="93"/>
      <c r="F821" s="230"/>
      <c r="G821" s="230"/>
      <c r="H821" s="230"/>
      <c r="I821" s="230"/>
      <c r="J821" s="230"/>
      <c r="K821" s="236"/>
      <c r="L821" s="234"/>
    </row>
  </sheetData>
  <sheetProtection/>
  <mergeCells count="167">
    <mergeCell ref="IL619:IL620"/>
    <mergeCell ref="IM619:IM620"/>
    <mergeCell ref="IN619:IN620"/>
    <mergeCell ref="IO619:IR619"/>
    <mergeCell ref="IS619:IS620"/>
    <mergeCell ref="IC619:IC620"/>
    <mergeCell ref="ID619:ID620"/>
    <mergeCell ref="IE619:IE620"/>
    <mergeCell ref="IF619:IF620"/>
    <mergeCell ref="IG619:IJ619"/>
    <mergeCell ref="IK619:IK620"/>
    <mergeCell ref="HQ619:HT619"/>
    <mergeCell ref="HU619:HU620"/>
    <mergeCell ref="HV619:HV620"/>
    <mergeCell ref="HW619:HW620"/>
    <mergeCell ref="HX619:HX620"/>
    <mergeCell ref="HY619:IB619"/>
    <mergeCell ref="HH619:HH620"/>
    <mergeCell ref="HI619:HL619"/>
    <mergeCell ref="HM619:HM620"/>
    <mergeCell ref="HN619:HN620"/>
    <mergeCell ref="HO619:HO620"/>
    <mergeCell ref="HP619:HP620"/>
    <mergeCell ref="GY619:GY620"/>
    <mergeCell ref="GZ619:GZ620"/>
    <mergeCell ref="HA619:HD619"/>
    <mergeCell ref="HE619:HE620"/>
    <mergeCell ref="HF619:HF620"/>
    <mergeCell ref="HG619:HG620"/>
    <mergeCell ref="GP619:GP620"/>
    <mergeCell ref="GQ619:GQ620"/>
    <mergeCell ref="GR619:GR620"/>
    <mergeCell ref="GS619:GV619"/>
    <mergeCell ref="GW619:GW620"/>
    <mergeCell ref="GX619:GX620"/>
    <mergeCell ref="GG619:GG620"/>
    <mergeCell ref="GH619:GH620"/>
    <mergeCell ref="GI619:GI620"/>
    <mergeCell ref="GJ619:GJ620"/>
    <mergeCell ref="GK619:GN619"/>
    <mergeCell ref="GO619:GO620"/>
    <mergeCell ref="FU619:FX619"/>
    <mergeCell ref="FY619:FY620"/>
    <mergeCell ref="FZ619:FZ620"/>
    <mergeCell ref="GA619:GA620"/>
    <mergeCell ref="GB619:GB620"/>
    <mergeCell ref="GC619:GF619"/>
    <mergeCell ref="FL619:FL620"/>
    <mergeCell ref="FM619:FP619"/>
    <mergeCell ref="FQ619:FQ620"/>
    <mergeCell ref="FR619:FR620"/>
    <mergeCell ref="FS619:FS620"/>
    <mergeCell ref="FT619:FT620"/>
    <mergeCell ref="FC619:FC620"/>
    <mergeCell ref="FD619:FD620"/>
    <mergeCell ref="FE619:FH619"/>
    <mergeCell ref="FI619:FI620"/>
    <mergeCell ref="FJ619:FJ620"/>
    <mergeCell ref="FK619:FK620"/>
    <mergeCell ref="ET619:ET620"/>
    <mergeCell ref="EU619:EU620"/>
    <mergeCell ref="EV619:EV620"/>
    <mergeCell ref="EW619:EZ619"/>
    <mergeCell ref="FA619:FA620"/>
    <mergeCell ref="FB619:FB620"/>
    <mergeCell ref="EK619:EK620"/>
    <mergeCell ref="EL619:EL620"/>
    <mergeCell ref="EM619:EM620"/>
    <mergeCell ref="EN619:EN620"/>
    <mergeCell ref="EO619:ER619"/>
    <mergeCell ref="ES619:ES620"/>
    <mergeCell ref="DY619:EB619"/>
    <mergeCell ref="EC619:EC620"/>
    <mergeCell ref="ED619:ED620"/>
    <mergeCell ref="EE619:EE620"/>
    <mergeCell ref="EF619:EF620"/>
    <mergeCell ref="EG619:EJ619"/>
    <mergeCell ref="DP619:DP620"/>
    <mergeCell ref="DQ619:DT619"/>
    <mergeCell ref="DU619:DU620"/>
    <mergeCell ref="DV619:DV620"/>
    <mergeCell ref="DW619:DW620"/>
    <mergeCell ref="DX619:DX620"/>
    <mergeCell ref="DG619:DG620"/>
    <mergeCell ref="DH619:DH620"/>
    <mergeCell ref="DI619:DL619"/>
    <mergeCell ref="DM619:DM620"/>
    <mergeCell ref="DN619:DN620"/>
    <mergeCell ref="DO619:DO620"/>
    <mergeCell ref="CX619:CX620"/>
    <mergeCell ref="CY619:CY620"/>
    <mergeCell ref="CZ619:CZ620"/>
    <mergeCell ref="DA619:DD619"/>
    <mergeCell ref="DE619:DE620"/>
    <mergeCell ref="DF619:DF620"/>
    <mergeCell ref="CO619:CO620"/>
    <mergeCell ref="CP619:CP620"/>
    <mergeCell ref="CQ619:CQ620"/>
    <mergeCell ref="CR619:CR620"/>
    <mergeCell ref="CS619:CV619"/>
    <mergeCell ref="CW619:CW620"/>
    <mergeCell ref="CC619:CF619"/>
    <mergeCell ref="CG619:CG620"/>
    <mergeCell ref="CH619:CH620"/>
    <mergeCell ref="CI619:CI620"/>
    <mergeCell ref="CJ619:CJ620"/>
    <mergeCell ref="CK619:CN619"/>
    <mergeCell ref="BT619:BT620"/>
    <mergeCell ref="BU619:BX619"/>
    <mergeCell ref="BY619:BY620"/>
    <mergeCell ref="BZ619:BZ620"/>
    <mergeCell ref="CA619:CA620"/>
    <mergeCell ref="CB619:CB620"/>
    <mergeCell ref="BK619:BK620"/>
    <mergeCell ref="BL619:BL620"/>
    <mergeCell ref="BM619:BP619"/>
    <mergeCell ref="BQ619:BQ620"/>
    <mergeCell ref="BR619:BR620"/>
    <mergeCell ref="BS619:BS620"/>
    <mergeCell ref="BB619:BB620"/>
    <mergeCell ref="BC619:BC620"/>
    <mergeCell ref="BD619:BD620"/>
    <mergeCell ref="BE619:BH619"/>
    <mergeCell ref="BI619:BI620"/>
    <mergeCell ref="BJ619:BJ620"/>
    <mergeCell ref="AS619:AS620"/>
    <mergeCell ref="AT619:AT620"/>
    <mergeCell ref="AU619:AU620"/>
    <mergeCell ref="AV619:AV620"/>
    <mergeCell ref="AW619:AZ619"/>
    <mergeCell ref="BA619:BA620"/>
    <mergeCell ref="AG619:AJ619"/>
    <mergeCell ref="AK619:AK620"/>
    <mergeCell ref="AL619:AL620"/>
    <mergeCell ref="AM619:AM620"/>
    <mergeCell ref="AN619:AN620"/>
    <mergeCell ref="AO619:AR619"/>
    <mergeCell ref="X619:X620"/>
    <mergeCell ref="Y619:AB619"/>
    <mergeCell ref="AC619:AC620"/>
    <mergeCell ref="AD619:AD620"/>
    <mergeCell ref="AE619:AE620"/>
    <mergeCell ref="AF619:AF620"/>
    <mergeCell ref="O619:O620"/>
    <mergeCell ref="P619:P620"/>
    <mergeCell ref="Q619:T619"/>
    <mergeCell ref="U619:U620"/>
    <mergeCell ref="V619:V620"/>
    <mergeCell ref="W619:W620"/>
    <mergeCell ref="D5:G5"/>
    <mergeCell ref="H5:I5"/>
    <mergeCell ref="N619:N620"/>
    <mergeCell ref="A6:A7"/>
    <mergeCell ref="B6:B7"/>
    <mergeCell ref="C6:C7"/>
    <mergeCell ref="D6:D7"/>
    <mergeCell ref="E6:F6"/>
    <mergeCell ref="A1:K1"/>
    <mergeCell ref="G6:H6"/>
    <mergeCell ref="I6:J6"/>
    <mergeCell ref="A2:K2"/>
    <mergeCell ref="D3:G3"/>
    <mergeCell ref="H3:I3"/>
    <mergeCell ref="E4:G4"/>
    <mergeCell ref="H4:I4"/>
    <mergeCell ref="K6:K7"/>
    <mergeCell ref="B5:C5"/>
  </mergeCells>
  <printOptions/>
  <pageMargins left="0.75" right="0" top="0.75" bottom="0.75" header="0.25" footer="0.25"/>
  <pageSetup horizontalDpi="600" verticalDpi="600" orientation="landscape" paperSize="9" scale="98" r:id="rId1"/>
  <headerFooter alignWithMargins="0">
    <oddHeader>&amp;Cსსაგანმანათლებლო და სამეცნიერო ინფრასტრუქტურის განვითარების სააგენტო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user1</cp:lastModifiedBy>
  <cp:lastPrinted>2015-05-18T06:01:04Z</cp:lastPrinted>
  <dcterms:created xsi:type="dcterms:W3CDTF">2004-05-18T18:44:03Z</dcterms:created>
  <dcterms:modified xsi:type="dcterms:W3CDTF">2016-07-14T06:15:34Z</dcterms:modified>
  <cp:category/>
  <cp:version/>
  <cp:contentType/>
  <cp:contentStatus/>
</cp:coreProperties>
</file>