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5" yWindow="240" windowWidth="15135" windowHeight="8700" tabRatio="832" activeTab="0"/>
  </bookViews>
  <sheets>
    <sheet name=" №1-1" sheetId="1" r:id="rId1"/>
    <sheet name=" №1-2" sheetId="2" r:id="rId2"/>
    <sheet name="№1-3" sheetId="3" r:id="rId3"/>
  </sheets>
  <definedNames>
    <definedName name="_xlnm.Print_Area" localSheetId="0">' №1-1'!$A$1:$G$274</definedName>
    <definedName name="_xlnm.Print_Area" localSheetId="1">' №1-2'!$A$1:$G$44</definedName>
    <definedName name="_xlnm.Print_Area" localSheetId="2">'№1-3'!$A$1:$G$61</definedName>
    <definedName name="_xlnm.Print_Titles" localSheetId="0">' №1-1'!$6:$6</definedName>
    <definedName name="_xlnm.Print_Titles" localSheetId="1">' №1-2'!$7:$7</definedName>
    <definedName name="_xlnm.Print_Titles" localSheetId="2">'№1-3'!$7:$7</definedName>
  </definedNames>
  <calcPr fullCalcOnLoad="1"/>
</workbook>
</file>

<file path=xl/sharedStrings.xml><?xml version="1.0" encoding="utf-8"?>
<sst xmlns="http://schemas.openxmlformats.org/spreadsheetml/2006/main" count="803" uniqueCount="340">
  <si>
    <t xml:space="preserve"> SromiTi danaxarji 1,15*0,139</t>
  </si>
  <si>
    <t>13</t>
  </si>
  <si>
    <t>lokalur-resursuli uwyisis jami:</t>
  </si>
  <si>
    <t>gaTboba</t>
  </si>
  <si>
    <t xml:space="preserve"> SromiTi danaxarji 1,15*1</t>
  </si>
  <si>
    <t>16</t>
  </si>
  <si>
    <t>Rirebuleba (lari)</t>
  </si>
  <si>
    <t>sabazro</t>
  </si>
  <si>
    <t>srf</t>
  </si>
  <si>
    <t>kac.sT</t>
  </si>
  <si>
    <t>ganzomilebis erTeuli</t>
  </si>
  <si>
    <t>#</t>
  </si>
  <si>
    <t>samuSaoTa dasaxeleba</t>
  </si>
  <si>
    <t>raodenoba</t>
  </si>
  <si>
    <t>ganz. erTeulze</t>
  </si>
  <si>
    <t>saproeqto monacemze</t>
  </si>
  <si>
    <t>1</t>
  </si>
  <si>
    <t>kubm</t>
  </si>
  <si>
    <t>kg</t>
  </si>
  <si>
    <t>lari</t>
  </si>
  <si>
    <t xml:space="preserve"> </t>
  </si>
  <si>
    <t xml:space="preserve"> sxvadasxva masalebi</t>
  </si>
  <si>
    <t>kub.m</t>
  </si>
  <si>
    <t>kvm</t>
  </si>
  <si>
    <t>tn</t>
  </si>
  <si>
    <t>manq.sT</t>
  </si>
  <si>
    <t>cali</t>
  </si>
  <si>
    <t>j a m i:</t>
  </si>
  <si>
    <t xml:space="preserve"> j a m i:</t>
  </si>
  <si>
    <t>tona</t>
  </si>
  <si>
    <t>kv.m</t>
  </si>
  <si>
    <t>sul xarjTaRricxviT</t>
  </si>
  <si>
    <t>2</t>
  </si>
  <si>
    <t>3</t>
  </si>
  <si>
    <t>4</t>
  </si>
  <si>
    <t xml:space="preserve"> kv.m</t>
  </si>
  <si>
    <t>5</t>
  </si>
  <si>
    <t>grZ.m</t>
  </si>
  <si>
    <t>ficari wiwvovani</t>
  </si>
  <si>
    <t>samSeneblo samuSaoebi</t>
  </si>
  <si>
    <t>gr.m</t>
  </si>
  <si>
    <t>duRabi mosapirkeTebeli</t>
  </si>
  <si>
    <t xml:space="preserve"> duRabi wyobis</t>
  </si>
  <si>
    <t xml:space="preserve"> sxvadasxva  masalebi</t>
  </si>
  <si>
    <t>materialuri da SromiTi resursebi</t>
  </si>
  <si>
    <t>satransporto xarjebi</t>
  </si>
  <si>
    <t xml:space="preserve"> SromiTi danaxarji</t>
  </si>
  <si>
    <t xml:space="preserve"> manqanebi 1,15*0,0003</t>
  </si>
  <si>
    <t xml:space="preserve"> olifa</t>
  </si>
  <si>
    <t xml:space="preserve"> sxvadasxva masala</t>
  </si>
  <si>
    <t>lursmani</t>
  </si>
  <si>
    <t>komp.</t>
  </si>
  <si>
    <t xml:space="preserve"> manqanebi 1,15*0,01</t>
  </si>
  <si>
    <t xml:space="preserve"> SromiTi danaxarji 1,15*1,51</t>
  </si>
  <si>
    <t xml:space="preserve"> manqanebi 1,15*0,13</t>
  </si>
  <si>
    <t>armatura</t>
  </si>
  <si>
    <t xml:space="preserve"> sxva masala</t>
  </si>
  <si>
    <t>8</t>
  </si>
  <si>
    <t>6</t>
  </si>
  <si>
    <t>j a m i</t>
  </si>
  <si>
    <t>kompl</t>
  </si>
  <si>
    <t xml:space="preserve"> manqanebi 1,15*0,009</t>
  </si>
  <si>
    <t>maT Soris: SromiTi resursi</t>
  </si>
  <si>
    <t xml:space="preserve"> SromiTi danaxarji 1,15*0,604</t>
  </si>
  <si>
    <t xml:space="preserve"> SromiTi danaxarji 1,15*0,192</t>
  </si>
  <si>
    <t xml:space="preserve"> manqanebi 1,15*0,23</t>
  </si>
  <si>
    <t>14</t>
  </si>
  <si>
    <t>wyali</t>
  </si>
  <si>
    <t xml:space="preserve"> SromiTi danaxarji </t>
  </si>
  <si>
    <t xml:space="preserve"> manqanebi</t>
  </si>
  <si>
    <t xml:space="preserve"> SromiTi danaxarji 1,15*0,388</t>
  </si>
  <si>
    <t>xsnaris tumbo 1 kub.m/sT 1,15*0,041</t>
  </si>
  <si>
    <t xml:space="preserve"> SromiTi danaxarji 1,5*0,536</t>
  </si>
  <si>
    <t xml:space="preserve"> manqanebi 1,15*0,0365</t>
  </si>
  <si>
    <t>laminirebuli parketi plinTusiT da Rrubelis safuZveliT</t>
  </si>
  <si>
    <t xml:space="preserve"> SromiTi danaxarji 1,15*1,08</t>
  </si>
  <si>
    <t xml:space="preserve"> manqanebi 1,15*0,042</t>
  </si>
  <si>
    <t xml:space="preserve"> meTlaxis fila </t>
  </si>
  <si>
    <t xml:space="preserve">webo-cementi </t>
  </si>
  <si>
    <t>materialuri resursebi</t>
  </si>
  <si>
    <t>25</t>
  </si>
  <si>
    <t>100 kvm v.pr</t>
  </si>
  <si>
    <t xml:space="preserve"> SromiTi danaxarji 1,15*45,9</t>
  </si>
  <si>
    <t xml:space="preserve"> xaraCos liTonis detalebi</t>
  </si>
  <si>
    <t xml:space="preserve"> xaraCos xis detalebi</t>
  </si>
  <si>
    <t xml:space="preserve"> fenilis fari</t>
  </si>
  <si>
    <t>23</t>
  </si>
  <si>
    <t xml:space="preserve"> SromiTi danaxarji 1,15*(18,8+4*0,34)/100</t>
  </si>
  <si>
    <t xml:space="preserve"> manqanebi 1,15*(0,95+4*0,23)/100</t>
  </si>
  <si>
    <t>msxvilfraqciuli duRabi (2,04+4*0,51)/100</t>
  </si>
  <si>
    <t xml:space="preserve"> SromiTi danaxarji 1,15*2,42</t>
  </si>
  <si>
    <t xml:space="preserve"> manqanebi 1,15*0,045</t>
  </si>
  <si>
    <t xml:space="preserve"> SromiTi danaxarji 1,15*0,3</t>
  </si>
  <si>
    <t>manqanebi 1,15*0,011</t>
  </si>
  <si>
    <t xml:space="preserve"> fiTxi (79+29+92+32)/2/100</t>
  </si>
  <si>
    <t xml:space="preserve"> SromiTi danaxarji 1,15*0,93</t>
  </si>
  <si>
    <t>xsnaris tumbo 3 kub.m/sT 1,15*0,024</t>
  </si>
  <si>
    <t>sxva manqanebi 1,15*0,026</t>
  </si>
  <si>
    <t>12</t>
  </si>
  <si>
    <t xml:space="preserve"> SromiTi danaxarji 1,15*0,37</t>
  </si>
  <si>
    <t xml:space="preserve"> manqanebi 1,15*0,0136</t>
  </si>
  <si>
    <t xml:space="preserve"> SromiTi danaxarji 1,15*0,0516</t>
  </si>
  <si>
    <t xml:space="preserve"> SromiTi danaxarji 1,15*0,583</t>
  </si>
  <si>
    <t xml:space="preserve"> manqanebi 1,15*0,0046</t>
  </si>
  <si>
    <t>9</t>
  </si>
  <si>
    <t xml:space="preserve"> milsadenebis hidravlikuri gamocda</t>
  </si>
  <si>
    <t>eleqtrodi</t>
  </si>
  <si>
    <t xml:space="preserve"> eleqtrosamontaJo samuSaoebi</t>
  </si>
  <si>
    <t>karis da fanjris ferdoebis SebaTqaSeba</t>
  </si>
  <si>
    <t xml:space="preserve"> SromiTi danaxarji 1,15*0,74</t>
  </si>
  <si>
    <t xml:space="preserve"> manqanebi 1,15*0,0662</t>
  </si>
  <si>
    <t>silikoni</t>
  </si>
  <si>
    <t>tub</t>
  </si>
  <si>
    <t xml:space="preserve"> gare inventaruli xaraCos dayeneba da daSla </t>
  </si>
  <si>
    <t xml:space="preserve"> sarini</t>
  </si>
  <si>
    <t xml:space="preserve"> samagri detalebi</t>
  </si>
  <si>
    <t>39</t>
  </si>
  <si>
    <t>44</t>
  </si>
  <si>
    <t>sWvali</t>
  </si>
  <si>
    <t xml:space="preserve"> SromiTi danaxarji 1,15*(0,0303+0,0424)</t>
  </si>
  <si>
    <t xml:space="preserve"> manqanebi 1,15*(0,0041+0,0021)</t>
  </si>
  <si>
    <t>cecxldamcavi xsnari</t>
  </si>
  <si>
    <t>antiseptikuri xsnari</t>
  </si>
  <si>
    <t>sxvadasxva saxeobis iatakebis Sepirapirebis adgilebSi dekoratiuli liTonis profilis mowyoba</t>
  </si>
  <si>
    <t xml:space="preserve"> SromiTi danaxarji 1,15*0,206</t>
  </si>
  <si>
    <t>dekoratiuli liTonis profili</t>
  </si>
  <si>
    <t xml:space="preserve">keramogranitis fila </t>
  </si>
  <si>
    <t>iatakze maRali cveTamedegobis laminirebuli parketis dageba, sisqiT aranakleb 12 mm (Rrubelis safuZveliT da plinTusebiT)</t>
  </si>
  <si>
    <t>iatakze cementis mWimis mowyoba saSualo sisqiT 40 mm</t>
  </si>
  <si>
    <t>daxerxili xe-tye</t>
  </si>
  <si>
    <t xml:space="preserve"> manqanebi 1,15*2,1</t>
  </si>
  <si>
    <t xml:space="preserve"> SromiTi danaxarji 1,15*23,8</t>
  </si>
  <si>
    <t>ficari, Zelaki wiwvovani</t>
  </si>
  <si>
    <t>antiseptikuri pasta</t>
  </si>
  <si>
    <t>mavTuli glinuli</t>
  </si>
  <si>
    <t>naWedi</t>
  </si>
  <si>
    <t xml:space="preserve"> manqanebi 1,15*0,0644</t>
  </si>
  <si>
    <t>41</t>
  </si>
  <si>
    <t xml:space="preserve"> SromiTi danaxarji 1,15*1,01</t>
  </si>
  <si>
    <t>iatakebidan arsebuli sxvadasxva fenilebis ayra</t>
  </si>
  <si>
    <t xml:space="preserve"> wvrili sakedle bloki sisqiT 10 sm</t>
  </si>
  <si>
    <t xml:space="preserve"> iatakze xaoiani zedapiris metlaxis filebis dageba da plinTusebis mowyoba</t>
  </si>
  <si>
    <t xml:space="preserve"> SromiTi danaxarji 1,15*0,186</t>
  </si>
  <si>
    <t xml:space="preserve"> manqanebi 1,15*0,0016</t>
  </si>
  <si>
    <t>samSeneblo nagvis gatana 5 km manZilze</t>
  </si>
  <si>
    <t xml:space="preserve"> SromiTi danaxarji 1,15*0,439</t>
  </si>
  <si>
    <t xml:space="preserve"> manqanebi 1,15*0,035</t>
  </si>
  <si>
    <t>brtyeli galvanizirebuli furclebi</t>
  </si>
  <si>
    <t xml:space="preserve">feradi galvanizirebuli Tunuqis wyalmimRebi Zabris dayeneba </t>
  </si>
  <si>
    <t xml:space="preserve"> wyalmimRebi Zabri</t>
  </si>
  <si>
    <t xml:space="preserve"> SromiTi danaxarji 1,15*[(65,8+85,6)/2/100*70%+(11,5+15,8)/2/100]</t>
  </si>
  <si>
    <t xml:space="preserve"> manqanebi 1,15*[(1+1,2)/2/100*70%+0,2/100</t>
  </si>
  <si>
    <t xml:space="preserve"> sxvadasxva masalebi (1.6+1.8)/2/100*70%+0,42/100</t>
  </si>
  <si>
    <t xml:space="preserve"> SromiTi danaxarji 1,15*(65,8+85,6)/2/100*30%</t>
  </si>
  <si>
    <t xml:space="preserve"> manqanebi 1,15*[(1+1,2)]/2/100*30%</t>
  </si>
  <si>
    <t>wyalemulsiuri saRebavi (63+63)/2/100</t>
  </si>
  <si>
    <t xml:space="preserve"> sxvadasxva masalebi (1.6+1.8)/2/100*30%</t>
  </si>
  <si>
    <t>Senobis Siga axladaSenebuli da baTqaSCamoyrili zedapirebis Selesva qviSa-cementis xsnariT</t>
  </si>
  <si>
    <t>liTonis profilirebuli furclebi</t>
  </si>
  <si>
    <t>40</t>
  </si>
  <si>
    <t>42</t>
  </si>
  <si>
    <t>skolis Senoba</t>
  </si>
  <si>
    <t>lokalur-resursuli xarjTaRricxva #1/1</t>
  </si>
  <si>
    <t>lokalur-resursuli xarjTaRricxva #1/2</t>
  </si>
  <si>
    <t>lokalur-resursuli xarjTaRricxva #1/3</t>
  </si>
  <si>
    <t>saqsovi mavTuli</t>
  </si>
  <si>
    <t xml:space="preserve"> SromiTi danaxarji 1,15*1,41</t>
  </si>
  <si>
    <t xml:space="preserve"> manqanebi 1,15*0,161</t>
  </si>
  <si>
    <t>ventili radiatoris (Sesvla)</t>
  </si>
  <si>
    <t>uku ventili radiatoris</t>
  </si>
  <si>
    <t>32</t>
  </si>
  <si>
    <t>iatakze xaoiani zedapiris keramogranitis filebis dageba da plinTusebis mowyoba</t>
  </si>
  <si>
    <t xml:space="preserve">kv.m </t>
  </si>
  <si>
    <t xml:space="preserve"> SromiTi danaxarji 1,15*5,75</t>
  </si>
  <si>
    <t xml:space="preserve"> manqanebi 1,15*0,034</t>
  </si>
  <si>
    <t xml:space="preserve">duRabi </t>
  </si>
  <si>
    <t>gare kedlebidan amortizirebuli baTqaSis Camoyra</t>
  </si>
  <si>
    <t>24</t>
  </si>
  <si>
    <t>26</t>
  </si>
  <si>
    <t>27</t>
  </si>
  <si>
    <t>28</t>
  </si>
  <si>
    <t>30</t>
  </si>
  <si>
    <t>31</t>
  </si>
  <si>
    <t>34</t>
  </si>
  <si>
    <t>35</t>
  </si>
  <si>
    <t>36</t>
  </si>
  <si>
    <t>43</t>
  </si>
  <si>
    <t xml:space="preserve"> SromiTi danaxarji 1,15*0,58</t>
  </si>
  <si>
    <t xml:space="preserve"> manqanebi 1,15*0,0305</t>
  </si>
  <si>
    <t xml:space="preserve"> SromiTi danaxarji 1,15*0,887</t>
  </si>
  <si>
    <t xml:space="preserve"> manqanebi 1,15*0,00984</t>
  </si>
  <si>
    <t>15</t>
  </si>
  <si>
    <t>sn da w  IV-2-82 t-2 cx.10-3-6</t>
  </si>
  <si>
    <t xml:space="preserve">saxuravis lavgardnis Ziris da nivnivebis Sublebis Seficvra </t>
  </si>
  <si>
    <t xml:space="preserve"> kvm</t>
  </si>
  <si>
    <t>sn da w   IV-2-82 t-2 cx.15-160-2</t>
  </si>
  <si>
    <t>xis gare elementebis galaqva wyalmedegi laqiT</t>
  </si>
  <si>
    <t xml:space="preserve"> SromiTi danaxarjebi</t>
  </si>
  <si>
    <t xml:space="preserve">  manqanebi</t>
  </si>
  <si>
    <t>wyalmedegi laqi gamxsneliT</t>
  </si>
  <si>
    <t>wyalmedegi saRebavi gamxsneliT</t>
  </si>
  <si>
    <t>33</t>
  </si>
  <si>
    <t>45</t>
  </si>
  <si>
    <t>gare kedlebis Selesva qviSa-cementis xsnariT</t>
  </si>
  <si>
    <t>samRebro bade</t>
  </si>
  <si>
    <t xml:space="preserve"> manqanebi 1,15*[(1+0,02+1,2+0,02)]/2/100</t>
  </si>
  <si>
    <t xml:space="preserve"> sxvadasxva masalebi (1.6+0,42+1.8+0,42)/2/100</t>
  </si>
  <si>
    <t xml:space="preserve">  fasadis fiTxi</t>
  </si>
  <si>
    <t>mili plastmasis armirebuli Dd-20 mm</t>
  </si>
  <si>
    <t>mili plastmasis armirebuli Dd- 32 mm</t>
  </si>
  <si>
    <t>fitingi Dd- 20-32  mm</t>
  </si>
  <si>
    <t xml:space="preserve">orZarRva spilenZis sadeni 2×2,5 mm² </t>
  </si>
  <si>
    <t xml:space="preserve">samZarRva spilenZis sadeni 3×2,5 mm² </t>
  </si>
  <si>
    <t>foladis paneluri radiatori simaRliTH60 sm</t>
  </si>
  <si>
    <t>arsebuli kar-fanjrebis demontaJi da dasawyobeba (damkveTis gankargulebaSi)</t>
  </si>
  <si>
    <t>kedlebis, tixrebis daSla, Riobebis gamotexva, betonis auzis dangreva</t>
  </si>
  <si>
    <t>kedlisa da Weris zedapirebidan sxvadasxva masalis mopirkeTebis demontaJi</t>
  </si>
  <si>
    <t>arsebuli Riobebis gaZliereba liTonis elementebiT</t>
  </si>
  <si>
    <t>saxuravis sanivnive sistemis mowyoba</t>
  </si>
  <si>
    <t>saxuravis xis elementebis cecxldacva da antiseptireba</t>
  </si>
  <si>
    <t xml:space="preserve"> SromiTi danaxarji 1,15*41,9</t>
  </si>
  <si>
    <t xml:space="preserve"> manqanebi 1,15*30,5</t>
  </si>
  <si>
    <t>liTonis furceli 200*100*4</t>
  </si>
  <si>
    <t>Sveleri [ #16</t>
  </si>
  <si>
    <t>Sveleri [ #12</t>
  </si>
  <si>
    <t xml:space="preserve"> SromiTi danaxarji 1,15*13,3</t>
  </si>
  <si>
    <t xml:space="preserve"> manqanebi 1,15*3,36</t>
  </si>
  <si>
    <t>q. baTumis #3 sajaro skolis II korpusis rekonstruqcia</t>
  </si>
  <si>
    <t>liTonis xveuli kibis demontaJi da dasawyobeba (damkveTis gankargulebaSi)</t>
  </si>
  <si>
    <t xml:space="preserve"> SromiTi danaxarji da materialuri resursi</t>
  </si>
  <si>
    <t>Siga kedlebidan amortizirebuli baTqaSis Camoyra</t>
  </si>
  <si>
    <t>SromiTi danaxarji (1,1+0,53)*1,15</t>
  </si>
  <si>
    <t>kuTxovana 70*70*5 mm</t>
  </si>
  <si>
    <t>ankeri ф 12 A III</t>
  </si>
  <si>
    <t>ankeri ф 16 A III</t>
  </si>
  <si>
    <t xml:space="preserve"> liTonis elementebis gawmenda da dagruntva</t>
  </si>
  <si>
    <t xml:space="preserve"> SromiTi danaxarji 1,15*0,031</t>
  </si>
  <si>
    <t xml:space="preserve"> manqanebi 1,15*0,002</t>
  </si>
  <si>
    <t>grunti gamxsneliT</t>
  </si>
  <si>
    <t xml:space="preserve"> liTonis elementebis SeRebva antikoroziuli saRebaviT 2 jer.</t>
  </si>
  <si>
    <t xml:space="preserve"> saRebavi antikoroziuli  gamxsneliT</t>
  </si>
  <si>
    <t>fari yalibis δ=25 mm</t>
  </si>
  <si>
    <t>SromiTi danaxarji 1,15*8.4</t>
  </si>
  <si>
    <t xml:space="preserve"> manqanebi 1,15*0,81</t>
  </si>
  <si>
    <t>fari yalibis laminirebuli</t>
  </si>
  <si>
    <t>ficari wiwvovani jiSis δsisqiT 25_32 mm</t>
  </si>
  <si>
    <t>ficari wiwvovani jiSis sisqiT 40 mm</t>
  </si>
  <si>
    <t xml:space="preserve"> armaturis nakeToba</t>
  </si>
  <si>
    <t>saWreli qvebi</t>
  </si>
  <si>
    <t xml:space="preserve"> manqanebi 1,15*0,0264</t>
  </si>
  <si>
    <t>galvanizirebuli feradi brtyeli Tunuqi</t>
  </si>
  <si>
    <t>SromiTi danaxarji 1,1*1,8*1,15</t>
  </si>
  <si>
    <t xml:space="preserve"> SromiTi danaxarji 1,15*3,6</t>
  </si>
  <si>
    <t xml:space="preserve"> manqanebi 1,15*0,92</t>
  </si>
  <si>
    <t xml:space="preserve"> wvrili sakedle bloki sisqiT 20 sm 0,92/(0,39*0,19*0,188)</t>
  </si>
  <si>
    <t>kedlebisa da parapertis mowyoba betonis mcire sakedle blokebiT sisqiT 20-40 sm.</t>
  </si>
  <si>
    <t xml:space="preserve"> tixris wyoba betonis mcire satixre blokebiT, sisqiT 10 sm </t>
  </si>
  <si>
    <t>22</t>
  </si>
  <si>
    <t xml:space="preserve"> minapaketiT Seminuli metaloplastikis fanjrebisa da vitraJebis Casma </t>
  </si>
  <si>
    <t>ormxivfurcliani liTonis karis  Casma</t>
  </si>
  <si>
    <t xml:space="preserve">mdf-s karebis Casma </t>
  </si>
  <si>
    <t xml:space="preserve"> liTonis karebis gawmenda da dagruntva</t>
  </si>
  <si>
    <t>feradi faqturis galvanizirebuli Tunuqi</t>
  </si>
  <si>
    <t>fanjrebze sacremleebis mowyoba feradi faqturis galvanizirebuli TunuqiT sisqiT aranakleb 0,5 mm-sa</t>
  </si>
  <si>
    <t xml:space="preserve"> SromiTi danaxarji 1,15*0,312</t>
  </si>
  <si>
    <t xml:space="preserve"> manqanebi 1,15*0,0138</t>
  </si>
  <si>
    <t>gazi</t>
  </si>
  <si>
    <t xml:space="preserve"> bitumis grunti</t>
  </si>
  <si>
    <t>hidroizolaciis mowyoba 1 fena bituliniT sisqiT 3,0 mm</t>
  </si>
  <si>
    <t>bitulini sisqiT 3 mm</t>
  </si>
  <si>
    <t xml:space="preserve">Sida zedapirebze amortizirebuli saRebavis mocileba, misi damuSaveba da momzadeba SesaRebad </t>
  </si>
  <si>
    <t xml:space="preserve"> Sekiduli Weris mowyoba TabaSir-muyaos filebiT liTonis karkasze (saxelosnosa da damxmare saTavsos garda)</t>
  </si>
  <si>
    <t xml:space="preserve">Sida damuSavebuli zedapirebis SeRebva wyalemulsiuri saRebaviT </t>
  </si>
  <si>
    <t>gare kibis mopirkeTeba Termulad damuSavebuli bunebrivi granitis filebiT sisqiT 3,0 sm (plinTusebiT)</t>
  </si>
  <si>
    <t>Termulad damuSavebuli granitis fila sisqiT 3,0 sm.</t>
  </si>
  <si>
    <t>fasadis zedapirebze amortizirebuli saRebavis mocileba da misi fiTxiT damuSaveba</t>
  </si>
  <si>
    <t>gare zedapirebis (kedlebi, ferdoebi) SeRebva wyalmedeggi saRebaviT</t>
  </si>
  <si>
    <r>
      <t xml:space="preserve">22 </t>
    </r>
    <r>
      <rPr>
        <b/>
        <sz val="10"/>
        <rFont val="Sylfaen"/>
        <family val="1"/>
      </rPr>
      <t>PKKP</t>
    </r>
    <r>
      <rPr>
        <b/>
        <sz val="10"/>
        <rFont val="LitNusx"/>
        <family val="2"/>
      </rPr>
      <t>-600 tipis foladis paneluri radiatoris dayeneba (21,6 grZ.m)</t>
    </r>
  </si>
  <si>
    <t>gaTbobis plastmasis armirebuli milebis gayvana diametriT 20; 25; 32 da 50 mm fasonuri nawilebis gamoyenebiT</t>
  </si>
  <si>
    <t>mili plastmasis armirebuli Dd-25 mm</t>
  </si>
  <si>
    <t>mili plastmasis armirebuli Dd- 50 mm</t>
  </si>
  <si>
    <t>fitingi Dd 50  mm</t>
  </si>
  <si>
    <t>d-38 mm izolaciis milis montaJi</t>
  </si>
  <si>
    <t>izolaciis mili d-38 mm</t>
  </si>
  <si>
    <t>ventili d-50 mm</t>
  </si>
  <si>
    <t xml:space="preserve">milsadenebze Camketi armaturis (radiatoris ventili da ukuventili da d-50 ventilebi) dayeneba </t>
  </si>
  <si>
    <t xml:space="preserve"> SromiTi danaxarji 1,15*0,082</t>
  </si>
  <si>
    <t xml:space="preserve"> manqanebi 1,15*0,005</t>
  </si>
  <si>
    <t xml:space="preserve">saxuravis amortizirebuli burulis   daSla </t>
  </si>
  <si>
    <t>SromiTi danaxarji da materialuri resursi</t>
  </si>
  <si>
    <t>galvanizirebuli feradi Tunuqis  vertikaluri wyalsarinebis mowyoba</t>
  </si>
  <si>
    <t xml:space="preserve">wyalsawreti mili </t>
  </si>
  <si>
    <t>SromiTi danaxarji 1,15*0,93</t>
  </si>
  <si>
    <t>saxuravis mimdebare kedlidan amortizirebuli ondilinis demontaJi</t>
  </si>
  <si>
    <t>saxuravis mimdebare  kedelze profilirebuli galvanizirebuli vercxlisferi  Tunuqis furclebiT, aranakleb 0,5 mm sisqis xis karkasze</t>
  </si>
  <si>
    <t>daSliTi samuSaoebiT warmoqmnili betonis namsxvrevebiT auzis konturis amovseba</t>
  </si>
  <si>
    <t>narCeni samSeneblo nagvis Senobidan gamotana (arsebulis gaTvaliswinebiT) da xeliT datvirTva avtomanqanaze</t>
  </si>
  <si>
    <t xml:space="preserve">gamanawilebeli faris dayeneba 8 jgufze  </t>
  </si>
  <si>
    <t xml:space="preserve">gamanawilebeli fari </t>
  </si>
  <si>
    <t xml:space="preserve"> SromiTi danaxarji 1,15*3,17</t>
  </si>
  <si>
    <t xml:space="preserve"> SromiTi danaxarji 1,15*1,99</t>
  </si>
  <si>
    <t>3*100 a avtomaturi amomrTveli</t>
  </si>
  <si>
    <t>1*16 a avtomaturi amomrTvelebis dayeneba da momzadeba CarTvisaTvis</t>
  </si>
  <si>
    <t>3*100 a avtomaturi amomrTvelis dayeneba da momzadeba CarTvisaTvis</t>
  </si>
  <si>
    <t>erTpolusa CamrTveli kolofiTY</t>
  </si>
  <si>
    <t>Stefseluri rozeti damiwebis kontaqtiT kolofiT</t>
  </si>
  <si>
    <t xml:space="preserve">2*2,5 kv.mm ganuikveTis eleqtro sadenebis montaJi </t>
  </si>
  <si>
    <t>80*80 mm gamanawilebeli kolofebis montaJi</t>
  </si>
  <si>
    <t>gamanawilebeli kolofi 80*80 mm.</t>
  </si>
  <si>
    <t>erTpolusa Cafluli tipis CamrTvelis dayeneba</t>
  </si>
  <si>
    <t>damiwebis kontaqtiani Cafluli tipis Stefseluri rozetis dayeneba</t>
  </si>
  <si>
    <t>3*16 a avtomaturi amomrTveli</t>
  </si>
  <si>
    <t>Weris sanaTi ekonaTuriT</t>
  </si>
  <si>
    <t>Weris sanaTis (II sarTulze arsebulis msgavsi) dayeneba ekonaTuriT</t>
  </si>
  <si>
    <t>10</t>
  </si>
  <si>
    <t xml:space="preserve">3*2,5 kv.mm ganikveTis eleqtro sadenebis montaJi </t>
  </si>
  <si>
    <t xml:space="preserve">3*4kv.mm ganikveTis eleqtro sadenebis montaJi </t>
  </si>
  <si>
    <t xml:space="preserve">samZarRva spilenZis sadeni 3×4 mm² </t>
  </si>
  <si>
    <r>
      <t xml:space="preserve">monoliTuri r/b-is CarCos mowyoba </t>
    </r>
    <r>
      <rPr>
        <b/>
        <sz val="10"/>
        <rFont val="Arial"/>
        <family val="2"/>
      </rPr>
      <t>B</t>
    </r>
    <r>
      <rPr>
        <b/>
        <sz val="10"/>
        <rFont val="LitNusx"/>
        <family val="2"/>
      </rPr>
      <t>-20 kl. betoniT</t>
    </r>
  </si>
  <si>
    <r>
      <t xml:space="preserve">betoni </t>
    </r>
    <r>
      <rPr>
        <sz val="10"/>
        <rFont val="Sylfaen"/>
        <family val="1"/>
      </rPr>
      <t>B</t>
    </r>
    <r>
      <rPr>
        <sz val="10"/>
        <rFont val="LitNusx"/>
        <family val="2"/>
      </rPr>
      <t>-20</t>
    </r>
  </si>
  <si>
    <r>
      <t xml:space="preserve">monoliTuri rk.betonis gadaxurvis filebis mowyoba +3,43 da +6,8 niSnulebze </t>
    </r>
    <r>
      <rPr>
        <b/>
        <sz val="10"/>
        <rFont val="Times New Roman"/>
        <family val="1"/>
      </rPr>
      <t>B</t>
    </r>
    <r>
      <rPr>
        <b/>
        <sz val="10"/>
        <rFont val="LitNusx"/>
        <family val="2"/>
      </rPr>
      <t>-20 klasis betoniT</t>
    </r>
  </si>
  <si>
    <r>
      <t xml:space="preserve">betoni </t>
    </r>
    <r>
      <rPr>
        <sz val="10"/>
        <rFont val="Times New Roman"/>
        <family val="1"/>
      </rPr>
      <t>B</t>
    </r>
    <r>
      <rPr>
        <sz val="10"/>
        <rFont val="LitNusx"/>
        <family val="2"/>
      </rPr>
      <t>-20 kl.</t>
    </r>
  </si>
  <si>
    <t xml:space="preserve">saxuravis mowyoba profilirebuli galvanizirebuli vercxlisferi  Tunuqis furclebiT, aranakleb 0,5 mm sisqis arsebul liTonis elementebze xis reikebis molartyviT </t>
  </si>
  <si>
    <t xml:space="preserve">xaxuravis mowyoba profilirebuli galvanizirebuli Tunuqis furclebiT, aranakleb 0,5 mm sisqis, molartyviT, arsebul saxuravTan SeerTebis gaTvaliswinebiT </t>
  </si>
  <si>
    <t>arsebuli saxuravis SenaRarebis remonti</t>
  </si>
  <si>
    <t>SenaRarebis mowyoba da parapetis Semosva brtyeli galvanizirebuli liTonis furclebiT sisqiT aranakleb 0,5mm-isa</t>
  </si>
  <si>
    <t>1. me-2  korpusi</t>
  </si>
  <si>
    <t>2. sakoncerto darbazis saxuravi</t>
  </si>
  <si>
    <t>zednadebi xarjebi araumetes 10%</t>
  </si>
  <si>
    <t>saxarjTaRricxvo mogeba araumetes 8%</t>
  </si>
  <si>
    <t>zednadebi xarjebi araumetes 12 %</t>
  </si>
  <si>
    <t>saxarjTaRricxvo mogeba araumetes 8 %</t>
  </si>
  <si>
    <t>ჯამი</t>
  </si>
  <si>
    <t>რეზერვი გაუთვალისწინებელ სამუშაოებზე</t>
  </si>
  <si>
    <t xml:space="preserve">ჯამი </t>
  </si>
  <si>
    <t>დღგ</t>
  </si>
  <si>
    <t>სულ ხარჯთაღრიცხვების ჯამი</t>
  </si>
  <si>
    <t>ჯამი
 (ჯამი არ უნდა აღემატებოდეს 101744 ლარს)</t>
  </si>
  <si>
    <t>ექსპერტიზის მომსახურების ღირებულება
 (1000 000 ლარიდან - 1,7%, ხოლო 100 000 ლარამდე - 2,2%)</t>
  </si>
  <si>
    <t>zednadebi xarjebi (SromiTi resursebidan) araumetes 75%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</si>
</sst>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  <numFmt numFmtId="208" formatCode="#,##0.00_ ;\-#,##0.00\ "/>
  </numFmts>
  <fonts count="5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9"/>
      <name val="LitNusx"/>
      <family val="2"/>
    </font>
    <font>
      <sz val="9"/>
      <name val="LitNusx"/>
      <family val="2"/>
    </font>
    <font>
      <sz val="11"/>
      <name val="LitNusx"/>
      <family val="2"/>
    </font>
    <font>
      <b/>
      <sz val="11"/>
      <name val="LitNusx"/>
      <family val="2"/>
    </font>
    <font>
      <b/>
      <sz val="10"/>
      <name val="Sylfaen"/>
      <family val="1"/>
    </font>
    <font>
      <b/>
      <i/>
      <sz val="10"/>
      <name val="LitNusx"/>
      <family val="2"/>
    </font>
    <font>
      <b/>
      <sz val="10"/>
      <name val="Arial"/>
      <family val="2"/>
    </font>
    <font>
      <sz val="10"/>
      <name val="Sylfae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" fillId="0" borderId="3" applyNumberFormat="0" applyFill="0" applyAlignment="0" applyProtection="0"/>
    <xf numFmtId="0" fontId="2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21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1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0" borderId="10" xfId="0" applyNumberFormat="1" applyFont="1" applyFill="1" applyBorder="1" applyAlignment="1">
      <alignment horizontal="center" vertical="center" wrapText="1"/>
    </xf>
    <xf numFmtId="3" fontId="6" fillId="30" borderId="10" xfId="0" applyNumberFormat="1" applyFont="1" applyFill="1" applyBorder="1" applyAlignment="1">
      <alignment horizontal="center" vertical="center"/>
    </xf>
    <xf numFmtId="181" fontId="6" fillId="3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7" fillId="31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1" fontId="6" fillId="3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6" fillId="30" borderId="0" xfId="0" applyNumberFormat="1" applyFont="1" applyFill="1" applyBorder="1" applyAlignment="1">
      <alignment horizontal="center" vertical="center" wrapText="1"/>
    </xf>
    <xf numFmtId="3" fontId="6" fillId="30" borderId="0" xfId="0" applyNumberFormat="1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1" fontId="6" fillId="30" borderId="0" xfId="0" applyNumberFormat="1" applyFont="1" applyFill="1" applyBorder="1" applyAlignment="1">
      <alignment horizontal="center" vertical="center" wrapText="1"/>
    </xf>
    <xf numFmtId="0" fontId="7" fillId="30" borderId="0" xfId="0" applyFont="1" applyFill="1" applyAlignment="1">
      <alignment horizontal="center" vertical="center" wrapText="1"/>
    </xf>
    <xf numFmtId="2" fontId="7" fillId="30" borderId="0" xfId="0" applyNumberFormat="1" applyFont="1" applyFill="1" applyBorder="1" applyAlignment="1">
      <alignment horizontal="center" vertical="center" wrapText="1"/>
    </xf>
    <xf numFmtId="1" fontId="6" fillId="30" borderId="0" xfId="0" applyNumberFormat="1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1" fontId="1" fillId="30" borderId="0" xfId="0" applyNumberFormat="1" applyFont="1" applyFill="1" applyBorder="1" applyAlignment="1">
      <alignment horizontal="center" vertical="center" wrapText="1"/>
    </xf>
    <xf numFmtId="3" fontId="1" fillId="30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2" fontId="1" fillId="30" borderId="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horizontal="center" vertical="center"/>
    </xf>
    <xf numFmtId="2" fontId="6" fillId="30" borderId="10" xfId="0" applyNumberFormat="1" applyFont="1" applyFill="1" applyBorder="1" applyAlignment="1">
      <alignment horizontal="center" vertical="center" wrapText="1"/>
    </xf>
    <xf numFmtId="49" fontId="6" fillId="3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/>
    </xf>
    <xf numFmtId="181" fontId="7" fillId="30" borderId="10" xfId="0" applyNumberFormat="1" applyFont="1" applyFill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2" fontId="6" fillId="30" borderId="10" xfId="0" applyNumberFormat="1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 wrapText="1"/>
    </xf>
    <xf numFmtId="180" fontId="7" fillId="30" borderId="10" xfId="0" applyNumberFormat="1" applyFont="1" applyFill="1" applyBorder="1" applyAlignment="1">
      <alignment horizontal="center" vertical="center"/>
    </xf>
    <xf numFmtId="180" fontId="6" fillId="30" borderId="10" xfId="0" applyNumberFormat="1" applyFont="1" applyFill="1" applyBorder="1" applyAlignment="1">
      <alignment horizontal="center" vertical="center"/>
    </xf>
    <xf numFmtId="180" fontId="6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/>
    </xf>
    <xf numFmtId="182" fontId="6" fillId="30" borderId="10" xfId="0" applyNumberFormat="1" applyFont="1" applyFill="1" applyBorder="1" applyAlignment="1">
      <alignment horizontal="center" vertical="center"/>
    </xf>
    <xf numFmtId="180" fontId="7" fillId="30" borderId="10" xfId="0" applyNumberFormat="1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30" borderId="10" xfId="0" applyFont="1" applyFill="1" applyBorder="1" applyAlignment="1">
      <alignment vertical="center" wrapText="1"/>
    </xf>
    <xf numFmtId="194" fontId="7" fillId="31" borderId="10" xfId="0" applyNumberFormat="1" applyFont="1" applyFill="1" applyBorder="1" applyAlignment="1">
      <alignment horizontal="center" vertical="center"/>
    </xf>
    <xf numFmtId="194" fontId="7" fillId="3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" fontId="7" fillId="30" borderId="10" xfId="0" applyNumberFormat="1" applyFont="1" applyFill="1" applyBorder="1" applyAlignment="1">
      <alignment horizontal="center" vertical="center"/>
    </xf>
    <xf numFmtId="0" fontId="34" fillId="30" borderId="10" xfId="0" applyNumberFormat="1" applyFont="1" applyFill="1" applyBorder="1" applyAlignment="1">
      <alignment horizontal="center" vertical="center" wrapText="1"/>
    </xf>
    <xf numFmtId="0" fontId="34" fillId="30" borderId="10" xfId="0" applyNumberFormat="1" applyFont="1" applyFill="1" applyBorder="1" applyAlignment="1">
      <alignment horizontal="center" vertical="center"/>
    </xf>
    <xf numFmtId="9" fontId="34" fillId="3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10" fontId="34" fillId="30" borderId="10" xfId="0" applyNumberFormat="1" applyFont="1" applyFill="1" applyBorder="1" applyAlignment="1">
      <alignment horizontal="center" vertical="center"/>
    </xf>
    <xf numFmtId="0" fontId="34" fillId="32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 applyProtection="1">
      <alignment horizontal="center" vertical="center"/>
      <protection locked="0"/>
    </xf>
    <xf numFmtId="3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6" fillId="3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6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0" borderId="10" xfId="0" applyFont="1" applyFill="1" applyBorder="1" applyAlignment="1" applyProtection="1">
      <alignment horizontal="center" vertical="center"/>
      <protection locked="0"/>
    </xf>
    <xf numFmtId="2" fontId="6" fillId="30" borderId="10" xfId="0" applyNumberFormat="1" applyFont="1" applyFill="1" applyBorder="1" applyAlignment="1" applyProtection="1">
      <alignment horizontal="center" vertical="center"/>
      <protection locked="0"/>
    </xf>
    <xf numFmtId="0" fontId="6" fillId="30" borderId="10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3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3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8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1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30" borderId="10" xfId="0" applyNumberFormat="1" applyFont="1" applyFill="1" applyBorder="1" applyAlignment="1" applyProtection="1">
      <alignment horizontal="center" vertical="center"/>
      <protection locked="0"/>
    </xf>
    <xf numFmtId="181" fontId="6" fillId="30" borderId="10" xfId="0" applyNumberFormat="1" applyFont="1" applyFill="1" applyBorder="1" applyAlignment="1" applyProtection="1">
      <alignment horizontal="center" vertical="center"/>
      <protection locked="0"/>
    </xf>
    <xf numFmtId="1" fontId="6" fillId="3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3" fontId="6" fillId="32" borderId="10" xfId="0" applyNumberFormat="1" applyFon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2" fontId="34" fillId="30" borderId="10" xfId="0" applyNumberFormat="1" applyFont="1" applyFill="1" applyBorder="1" applyAlignment="1" applyProtection="1">
      <alignment horizontal="center" vertical="center"/>
      <protection locked="0"/>
    </xf>
    <xf numFmtId="4" fontId="34" fillId="30" borderId="10" xfId="0" applyNumberFormat="1" applyFont="1" applyFill="1" applyBorder="1" applyAlignment="1" applyProtection="1">
      <alignment horizontal="center" vertical="center"/>
      <protection locked="0"/>
    </xf>
    <xf numFmtId="0" fontId="34" fillId="3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75"/>
  <sheetViews>
    <sheetView tabSelected="1" zoomScalePageLayoutView="0" workbookViewId="0" topLeftCell="A1">
      <selection activeCell="F8" sqref="F8:G272"/>
    </sheetView>
  </sheetViews>
  <sheetFormatPr defaultColWidth="9.140625" defaultRowHeight="12.75"/>
  <cols>
    <col min="1" max="1" width="4.57421875" style="58" customWidth="1"/>
    <col min="2" max="2" width="50.7109375" style="36" customWidth="1"/>
    <col min="3" max="3" width="8.7109375" style="36" customWidth="1"/>
    <col min="4" max="4" width="6.7109375" style="36" customWidth="1"/>
    <col min="5" max="5" width="8.8515625" style="36" customWidth="1"/>
    <col min="6" max="6" width="9.8515625" style="24" customWidth="1"/>
    <col min="7" max="7" width="12.421875" style="46" customWidth="1"/>
    <col min="8" max="11" width="9.140625" style="24" hidden="1" customWidth="1"/>
    <col min="12" max="12" width="9.7109375" style="24" hidden="1" customWidth="1"/>
    <col min="13" max="14" width="9.140625" style="24" hidden="1" customWidth="1"/>
    <col min="15" max="16384" width="9.140625" style="24" customWidth="1"/>
  </cols>
  <sheetData>
    <row r="1" spans="1:7" ht="24.75" customHeight="1">
      <c r="A1" s="158" t="s">
        <v>227</v>
      </c>
      <c r="B1" s="158"/>
      <c r="C1" s="158"/>
      <c r="D1" s="158"/>
      <c r="E1" s="158"/>
      <c r="F1" s="158"/>
      <c r="G1" s="158"/>
    </row>
    <row r="2" spans="1:7" ht="15.75" customHeight="1">
      <c r="A2" s="160" t="s">
        <v>162</v>
      </c>
      <c r="B2" s="160"/>
      <c r="C2" s="160"/>
      <c r="D2" s="160"/>
      <c r="E2" s="160"/>
      <c r="F2" s="160"/>
      <c r="G2" s="160"/>
    </row>
    <row r="3" spans="1:7" ht="16.5" customHeight="1">
      <c r="A3" s="158" t="s">
        <v>39</v>
      </c>
      <c r="B3" s="158"/>
      <c r="C3" s="158"/>
      <c r="D3" s="158"/>
      <c r="E3" s="158"/>
      <c r="F3" s="158"/>
      <c r="G3" s="158"/>
    </row>
    <row r="4" spans="1:16" ht="40.5" customHeight="1">
      <c r="A4" s="120" t="s">
        <v>11</v>
      </c>
      <c r="B4" s="121" t="s">
        <v>12</v>
      </c>
      <c r="C4" s="161" t="s">
        <v>10</v>
      </c>
      <c r="D4" s="163" t="s">
        <v>13</v>
      </c>
      <c r="E4" s="164"/>
      <c r="F4" s="156" t="s">
        <v>6</v>
      </c>
      <c r="G4" s="157"/>
      <c r="P4" s="24" t="s">
        <v>20</v>
      </c>
    </row>
    <row r="5" spans="1:7" ht="59.25" customHeight="1">
      <c r="A5" s="122"/>
      <c r="B5" s="123"/>
      <c r="C5" s="162"/>
      <c r="D5" s="26" t="s">
        <v>14</v>
      </c>
      <c r="E5" s="26" t="s">
        <v>15</v>
      </c>
      <c r="F5" s="27" t="s">
        <v>14</v>
      </c>
      <c r="G5" s="62" t="s">
        <v>15</v>
      </c>
    </row>
    <row r="6" spans="1:7" s="28" customFormat="1" ht="23.25" customHeight="1">
      <c r="A6" s="4" t="s">
        <v>16</v>
      </c>
      <c r="B6" s="6">
        <v>3</v>
      </c>
      <c r="C6" s="6">
        <v>4</v>
      </c>
      <c r="D6" s="6">
        <v>5</v>
      </c>
      <c r="E6" s="6">
        <v>6</v>
      </c>
      <c r="F6" s="63">
        <v>7</v>
      </c>
      <c r="G6" s="22">
        <v>8</v>
      </c>
    </row>
    <row r="7" spans="1:7" s="28" customFormat="1" ht="19.5" customHeight="1">
      <c r="A7" s="4"/>
      <c r="B7" s="124" t="s">
        <v>326</v>
      </c>
      <c r="C7" s="124"/>
      <c r="D7" s="6"/>
      <c r="E7" s="6"/>
      <c r="F7" s="63"/>
      <c r="G7" s="22"/>
    </row>
    <row r="8" spans="1:38" s="104" customFormat="1" ht="52.5" customHeight="1">
      <c r="A8" s="125">
        <v>1</v>
      </c>
      <c r="B8" s="128" t="s">
        <v>214</v>
      </c>
      <c r="C8" s="129" t="s">
        <v>30</v>
      </c>
      <c r="D8" s="129"/>
      <c r="E8" s="130">
        <v>50</v>
      </c>
      <c r="F8" s="175"/>
      <c r="G8" s="176"/>
      <c r="H8" s="101">
        <f>G8/E8</f>
        <v>0</v>
      </c>
      <c r="I8" s="102">
        <f>G8</f>
        <v>0</v>
      </c>
      <c r="J8" s="102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s="32" customFormat="1" ht="24" customHeight="1">
      <c r="A9" s="9"/>
      <c r="B9" s="2" t="s">
        <v>189</v>
      </c>
      <c r="C9" s="10" t="s">
        <v>9</v>
      </c>
      <c r="D9" s="10">
        <f>1.18*0.887</f>
        <v>1.04666</v>
      </c>
      <c r="E9" s="20">
        <f>D9*E8</f>
        <v>52.333</v>
      </c>
      <c r="F9" s="177"/>
      <c r="G9" s="178"/>
      <c r="I9" s="30">
        <f>G9</f>
        <v>0</v>
      </c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s="32" customFormat="1" ht="26.25" customHeight="1">
      <c r="A10" s="9"/>
      <c r="B10" s="2" t="s">
        <v>190</v>
      </c>
      <c r="C10" s="10" t="s">
        <v>19</v>
      </c>
      <c r="D10" s="10">
        <f>11.115*0.00984</f>
        <v>0.1093716</v>
      </c>
      <c r="E10" s="20">
        <f>D10*E8</f>
        <v>5.46858</v>
      </c>
      <c r="F10" s="177"/>
      <c r="G10" s="178"/>
      <c r="I10" s="30">
        <f>G10</f>
        <v>0</v>
      </c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10" s="106" customFormat="1" ht="59.25" customHeight="1">
      <c r="A11" s="125">
        <v>2</v>
      </c>
      <c r="B11" s="128" t="s">
        <v>215</v>
      </c>
      <c r="C11" s="129" t="s">
        <v>22</v>
      </c>
      <c r="D11" s="129"/>
      <c r="E11" s="130">
        <v>52</v>
      </c>
      <c r="F11" s="175"/>
      <c r="G11" s="176"/>
      <c r="H11" s="105"/>
      <c r="I11" s="102">
        <f>G13</f>
        <v>0</v>
      </c>
      <c r="J11" s="102"/>
    </row>
    <row r="12" spans="1:10" s="32" customFormat="1" ht="26.25" customHeight="1">
      <c r="A12" s="9"/>
      <c r="B12" s="2" t="s">
        <v>46</v>
      </c>
      <c r="C12" s="10" t="s">
        <v>9</v>
      </c>
      <c r="D12" s="10">
        <v>8.89</v>
      </c>
      <c r="E12" s="20">
        <f>D12*E11</f>
        <v>462.28000000000003</v>
      </c>
      <c r="F12" s="177"/>
      <c r="G12" s="178"/>
      <c r="H12" s="29" t="e">
        <f>#REF!/#REF!</f>
        <v>#REF!</v>
      </c>
      <c r="I12" s="30" t="e">
        <f>#REF!</f>
        <v>#REF!</v>
      </c>
      <c r="J12" s="30"/>
    </row>
    <row r="13" spans="1:10" s="32" customFormat="1" ht="27" customHeight="1">
      <c r="A13" s="9"/>
      <c r="B13" s="2" t="s">
        <v>69</v>
      </c>
      <c r="C13" s="10" t="s">
        <v>19</v>
      </c>
      <c r="D13" s="10">
        <v>3.35</v>
      </c>
      <c r="E13" s="20">
        <f>D13*E11</f>
        <v>174.20000000000002</v>
      </c>
      <c r="F13" s="177"/>
      <c r="G13" s="178"/>
      <c r="H13" s="35"/>
      <c r="I13" s="30" t="e">
        <f>#REF!</f>
        <v>#REF!</v>
      </c>
      <c r="J13" s="30"/>
    </row>
    <row r="14" spans="1:38" s="104" customFormat="1" ht="48.75" customHeight="1">
      <c r="A14" s="67" t="s">
        <v>33</v>
      </c>
      <c r="B14" s="128" t="s">
        <v>216</v>
      </c>
      <c r="C14" s="129" t="s">
        <v>30</v>
      </c>
      <c r="D14" s="129"/>
      <c r="E14" s="131">
        <v>430</v>
      </c>
      <c r="F14" s="175"/>
      <c r="G14" s="176"/>
      <c r="I14" s="102"/>
      <c r="J14" s="102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s="32" customFormat="1" ht="25.5" customHeight="1">
      <c r="A15" s="1"/>
      <c r="B15" s="2" t="s">
        <v>187</v>
      </c>
      <c r="C15" s="2" t="s">
        <v>9</v>
      </c>
      <c r="D15" s="126">
        <f>1.15*0.58</f>
        <v>0.6669999999999999</v>
      </c>
      <c r="E15" s="3">
        <f>D15*E14</f>
        <v>286.80999999999995</v>
      </c>
      <c r="F15" s="179"/>
      <c r="G15" s="180"/>
      <c r="I15" s="30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13" s="33" customFormat="1" ht="23.25" customHeight="1">
      <c r="A16" s="1"/>
      <c r="B16" s="2" t="s">
        <v>188</v>
      </c>
      <c r="C16" s="2" t="s">
        <v>19</v>
      </c>
      <c r="D16" s="126">
        <f>1.15*0.0305</f>
        <v>0.035074999999999995</v>
      </c>
      <c r="E16" s="3">
        <f>D16*E14</f>
        <v>15.082249999999998</v>
      </c>
      <c r="F16" s="179"/>
      <c r="G16" s="180"/>
      <c r="H16" s="29">
        <f>G22/E22</f>
        <v>0</v>
      </c>
      <c r="I16" s="30">
        <f>G22</f>
        <v>0</v>
      </c>
      <c r="J16" s="30"/>
      <c r="K16" s="32">
        <f>E22*0.03*2</f>
        <v>3</v>
      </c>
      <c r="L16" s="32"/>
      <c r="M16" s="32"/>
    </row>
    <row r="17" spans="1:10" s="106" customFormat="1" ht="47.25" customHeight="1">
      <c r="A17" s="125">
        <v>4</v>
      </c>
      <c r="B17" s="128" t="s">
        <v>228</v>
      </c>
      <c r="C17" s="129" t="s">
        <v>26</v>
      </c>
      <c r="D17" s="129"/>
      <c r="E17" s="130">
        <v>1</v>
      </c>
      <c r="F17" s="175"/>
      <c r="G17" s="176"/>
      <c r="H17" s="105"/>
      <c r="I17" s="102" t="e">
        <f>#REF!</f>
        <v>#REF!</v>
      </c>
      <c r="J17" s="102"/>
    </row>
    <row r="18" spans="1:11" s="33" customFormat="1" ht="24.75" customHeight="1">
      <c r="A18" s="9"/>
      <c r="B18" s="2" t="s">
        <v>229</v>
      </c>
      <c r="C18" s="10" t="s">
        <v>26</v>
      </c>
      <c r="D18" s="10">
        <v>1</v>
      </c>
      <c r="E18" s="20">
        <f>D18*E17</f>
        <v>1</v>
      </c>
      <c r="F18" s="177"/>
      <c r="G18" s="178"/>
      <c r="H18" s="29">
        <f>G11/E11</f>
        <v>0</v>
      </c>
      <c r="I18" s="30">
        <f>G11</f>
        <v>0</v>
      </c>
      <c r="J18" s="30"/>
      <c r="K18" s="33">
        <f>E11*2</f>
        <v>104</v>
      </c>
    </row>
    <row r="19" spans="1:10" s="106" customFormat="1" ht="39.75" customHeight="1">
      <c r="A19" s="125">
        <v>5</v>
      </c>
      <c r="B19" s="128" t="s">
        <v>139</v>
      </c>
      <c r="C19" s="132" t="s">
        <v>35</v>
      </c>
      <c r="D19" s="129"/>
      <c r="E19" s="130">
        <v>311</v>
      </c>
      <c r="F19" s="175"/>
      <c r="G19" s="176"/>
      <c r="H19" s="105"/>
      <c r="I19" s="102">
        <f>G21</f>
        <v>0</v>
      </c>
      <c r="J19" s="102"/>
    </row>
    <row r="20" spans="1:14" s="33" customFormat="1" ht="29.25" customHeight="1">
      <c r="A20" s="9"/>
      <c r="B20" s="2" t="s">
        <v>46</v>
      </c>
      <c r="C20" s="10" t="s">
        <v>9</v>
      </c>
      <c r="D20" s="10">
        <v>0.289</v>
      </c>
      <c r="E20" s="20">
        <f>D20*E19</f>
        <v>89.87899999999999</v>
      </c>
      <c r="F20" s="177"/>
      <c r="G20" s="178"/>
      <c r="H20" s="29" t="e">
        <f>#REF!/#REF!</f>
        <v>#REF!</v>
      </c>
      <c r="I20" s="30" t="e">
        <f>#REF!</f>
        <v>#REF!</v>
      </c>
      <c r="J20" s="30"/>
      <c r="K20" s="32" t="e">
        <f>#REF!*1.2/1000</f>
        <v>#REF!</v>
      </c>
      <c r="L20" s="32"/>
      <c r="M20" s="32"/>
      <c r="N20" s="32"/>
    </row>
    <row r="21" spans="1:14" s="33" customFormat="1" ht="24" customHeight="1">
      <c r="A21" s="9"/>
      <c r="B21" s="2" t="s">
        <v>69</v>
      </c>
      <c r="C21" s="10" t="s">
        <v>19</v>
      </c>
      <c r="D21" s="10">
        <v>0.0628</v>
      </c>
      <c r="E21" s="20">
        <f>D21*E19</f>
        <v>19.5308</v>
      </c>
      <c r="F21" s="177"/>
      <c r="G21" s="178"/>
      <c r="H21" s="29"/>
      <c r="I21" s="30"/>
      <c r="J21" s="30"/>
      <c r="K21" s="32"/>
      <c r="L21" s="32"/>
      <c r="M21" s="32"/>
      <c r="N21" s="32"/>
    </row>
    <row r="22" spans="1:14" s="33" customFormat="1" ht="30" customHeight="1">
      <c r="A22" s="125">
        <v>6</v>
      </c>
      <c r="B22" s="128" t="s">
        <v>230</v>
      </c>
      <c r="C22" s="129" t="s">
        <v>35</v>
      </c>
      <c r="D22" s="129"/>
      <c r="E22" s="130">
        <v>50</v>
      </c>
      <c r="F22" s="175"/>
      <c r="G22" s="176"/>
      <c r="H22" s="34"/>
      <c r="I22" s="30" t="e">
        <f>#REF!</f>
        <v>#REF!</v>
      </c>
      <c r="J22" s="30"/>
      <c r="K22" s="32"/>
      <c r="L22" s="32"/>
      <c r="M22" s="32"/>
      <c r="N22" s="32"/>
    </row>
    <row r="23" spans="1:10" s="106" customFormat="1" ht="28.5" customHeight="1">
      <c r="A23" s="9"/>
      <c r="B23" s="2" t="s">
        <v>142</v>
      </c>
      <c r="C23" s="10" t="s">
        <v>9</v>
      </c>
      <c r="D23" s="10">
        <f>0.186*1.15</f>
        <v>0.21389999999999998</v>
      </c>
      <c r="E23" s="20">
        <f>D23*E22</f>
        <v>10.694999999999999</v>
      </c>
      <c r="F23" s="177"/>
      <c r="G23" s="178"/>
      <c r="H23" s="105"/>
      <c r="I23" s="102" t="e">
        <f>#REF!</f>
        <v>#REF!</v>
      </c>
      <c r="J23" s="102"/>
    </row>
    <row r="24" spans="1:11" s="33" customFormat="1" ht="28.5" customHeight="1">
      <c r="A24" s="9"/>
      <c r="B24" s="2" t="s">
        <v>143</v>
      </c>
      <c r="C24" s="10" t="s">
        <v>19</v>
      </c>
      <c r="D24" s="10">
        <f>0.0016*1.15</f>
        <v>0.0018399999999999998</v>
      </c>
      <c r="E24" s="20">
        <f>E22*D24</f>
        <v>0.092</v>
      </c>
      <c r="F24" s="177"/>
      <c r="G24" s="178"/>
      <c r="H24" s="29">
        <f>G17/E17</f>
        <v>0</v>
      </c>
      <c r="I24" s="30">
        <f>G17</f>
        <v>0</v>
      </c>
      <c r="J24" s="30"/>
      <c r="K24" s="33">
        <f>E17*2</f>
        <v>2</v>
      </c>
    </row>
    <row r="25" spans="1:10" s="33" customFormat="1" ht="29.25" customHeight="1">
      <c r="A25" s="125">
        <v>7</v>
      </c>
      <c r="B25" s="128" t="s">
        <v>176</v>
      </c>
      <c r="C25" s="129" t="s">
        <v>35</v>
      </c>
      <c r="D25" s="129"/>
      <c r="E25" s="130">
        <v>20</v>
      </c>
      <c r="F25" s="175"/>
      <c r="G25" s="176"/>
      <c r="H25" s="34"/>
      <c r="I25" s="30">
        <f>G18</f>
        <v>0</v>
      </c>
      <c r="J25" s="30"/>
    </row>
    <row r="26" spans="1:10" s="104" customFormat="1" ht="36.75" customHeight="1">
      <c r="A26" s="9"/>
      <c r="B26" s="2" t="s">
        <v>142</v>
      </c>
      <c r="C26" s="10" t="s">
        <v>9</v>
      </c>
      <c r="D26" s="10">
        <f>0.186*1.15</f>
        <v>0.21389999999999998</v>
      </c>
      <c r="E26" s="20">
        <f>D26*E25</f>
        <v>4.278</v>
      </c>
      <c r="F26" s="177"/>
      <c r="G26" s="178"/>
      <c r="H26" s="101">
        <f>G32/E32</f>
        <v>0</v>
      </c>
      <c r="I26" s="102">
        <f>G32</f>
        <v>0</v>
      </c>
      <c r="J26" s="102"/>
    </row>
    <row r="27" spans="1:10" ht="24" customHeight="1">
      <c r="A27" s="16"/>
      <c r="B27" s="14" t="s">
        <v>143</v>
      </c>
      <c r="C27" s="127" t="s">
        <v>19</v>
      </c>
      <c r="D27" s="127">
        <f>0.0016*1.15</f>
        <v>0.0018399999999999998</v>
      </c>
      <c r="E27" s="133">
        <f>E25*D27</f>
        <v>0.0368</v>
      </c>
      <c r="F27" s="181"/>
      <c r="G27" s="178"/>
      <c r="H27" s="36"/>
      <c r="I27" s="30">
        <f>G33</f>
        <v>0</v>
      </c>
      <c r="J27" s="30"/>
    </row>
    <row r="28" spans="1:9" s="104" customFormat="1" ht="31.5" customHeight="1">
      <c r="A28" s="125">
        <v>8</v>
      </c>
      <c r="B28" s="128" t="s">
        <v>295</v>
      </c>
      <c r="C28" s="129" t="s">
        <v>22</v>
      </c>
      <c r="D28" s="129"/>
      <c r="E28" s="130">
        <v>30</v>
      </c>
      <c r="F28" s="175"/>
      <c r="G28" s="176"/>
      <c r="H28" s="107" t="e">
        <f>#REF!/#REF!</f>
        <v>#REF!</v>
      </c>
      <c r="I28" s="102" t="e">
        <f>#REF!</f>
        <v>#REF!</v>
      </c>
    </row>
    <row r="29" spans="1:11" s="104" customFormat="1" ht="24.75" customHeight="1">
      <c r="A29" s="16"/>
      <c r="B29" s="14" t="s">
        <v>251</v>
      </c>
      <c r="C29" s="127" t="s">
        <v>9</v>
      </c>
      <c r="D29" s="127">
        <f>1.1*1.8*1.15</f>
        <v>2.277</v>
      </c>
      <c r="E29" s="133">
        <f>E28*D29</f>
        <v>68.31</v>
      </c>
      <c r="F29" s="181"/>
      <c r="G29" s="178"/>
      <c r="H29" s="105"/>
      <c r="I29" s="102" t="e">
        <f>#REF!</f>
        <v>#REF!</v>
      </c>
      <c r="J29" s="108" t="e">
        <f>#REF!</f>
        <v>#REF!</v>
      </c>
      <c r="K29" s="109" t="e">
        <f>#REF!/#REF!*0.8</f>
        <v>#REF!</v>
      </c>
    </row>
    <row r="30" spans="1:10" s="112" customFormat="1" ht="50.25" customHeight="1">
      <c r="A30" s="125">
        <v>9</v>
      </c>
      <c r="B30" s="128" t="s">
        <v>296</v>
      </c>
      <c r="C30" s="129" t="s">
        <v>29</v>
      </c>
      <c r="D30" s="129"/>
      <c r="E30" s="130">
        <v>80</v>
      </c>
      <c r="F30" s="175"/>
      <c r="G30" s="176"/>
      <c r="H30" s="110"/>
      <c r="I30" s="111">
        <f>G36</f>
        <v>0</v>
      </c>
      <c r="J30" s="111"/>
    </row>
    <row r="31" spans="1:10" s="112" customFormat="1" ht="25.5" customHeight="1">
      <c r="A31" s="16"/>
      <c r="B31" s="14" t="s">
        <v>231</v>
      </c>
      <c r="C31" s="127" t="s">
        <v>9</v>
      </c>
      <c r="D31" s="127">
        <f>(1.1+0.53)*1.15</f>
        <v>1.8745</v>
      </c>
      <c r="E31" s="133">
        <f>E30*D31</f>
        <v>149.96</v>
      </c>
      <c r="F31" s="181"/>
      <c r="G31" s="178"/>
      <c r="H31" s="110"/>
      <c r="I31" s="111"/>
      <c r="J31" s="111"/>
    </row>
    <row r="32" spans="1:10" s="112" customFormat="1" ht="35.25" customHeight="1">
      <c r="A32" s="125">
        <v>10</v>
      </c>
      <c r="B32" s="128" t="s">
        <v>144</v>
      </c>
      <c r="C32" s="129" t="s">
        <v>29</v>
      </c>
      <c r="D32" s="129"/>
      <c r="E32" s="130">
        <v>80</v>
      </c>
      <c r="F32" s="175"/>
      <c r="G32" s="176"/>
      <c r="H32" s="110"/>
      <c r="I32" s="111"/>
      <c r="J32" s="111"/>
    </row>
    <row r="33" spans="1:10" s="112" customFormat="1" ht="22.5" customHeight="1">
      <c r="A33" s="16"/>
      <c r="B33" s="14" t="s">
        <v>45</v>
      </c>
      <c r="C33" s="127" t="s">
        <v>29</v>
      </c>
      <c r="D33" s="127">
        <v>1</v>
      </c>
      <c r="E33" s="18">
        <f>E32*D33</f>
        <v>80</v>
      </c>
      <c r="F33" s="182"/>
      <c r="G33" s="178"/>
      <c r="H33" s="110"/>
      <c r="I33" s="111"/>
      <c r="J33" s="111"/>
    </row>
    <row r="34" spans="1:10" s="112" customFormat="1" ht="55.5" customHeight="1">
      <c r="A34" s="125">
        <v>11</v>
      </c>
      <c r="B34" s="128" t="s">
        <v>217</v>
      </c>
      <c r="C34" s="132" t="s">
        <v>35</v>
      </c>
      <c r="D34" s="129"/>
      <c r="E34" s="135">
        <v>0.204</v>
      </c>
      <c r="F34" s="175"/>
      <c r="G34" s="176"/>
      <c r="H34" s="110"/>
      <c r="I34" s="111"/>
      <c r="J34" s="111"/>
    </row>
    <row r="35" spans="1:10" s="112" customFormat="1" ht="30" customHeight="1">
      <c r="A35" s="16"/>
      <c r="B35" s="127" t="s">
        <v>220</v>
      </c>
      <c r="C35" s="127" t="s">
        <v>9</v>
      </c>
      <c r="D35" s="127">
        <f>1.15*41.9</f>
        <v>48.184999999999995</v>
      </c>
      <c r="E35" s="133">
        <f>D35*E34</f>
        <v>9.82974</v>
      </c>
      <c r="F35" s="181"/>
      <c r="G35" s="178"/>
      <c r="H35" s="110"/>
      <c r="I35" s="111"/>
      <c r="J35" s="111"/>
    </row>
    <row r="36" spans="1:10" s="112" customFormat="1" ht="27" customHeight="1">
      <c r="A36" s="16"/>
      <c r="B36" s="127" t="s">
        <v>221</v>
      </c>
      <c r="C36" s="127" t="s">
        <v>19</v>
      </c>
      <c r="D36" s="127">
        <f>1.15*30.5</f>
        <v>35.074999999999996</v>
      </c>
      <c r="E36" s="133">
        <f>D36*E34</f>
        <v>7.155299999999999</v>
      </c>
      <c r="F36" s="181"/>
      <c r="G36" s="178"/>
      <c r="H36" s="110"/>
      <c r="I36" s="111"/>
      <c r="J36" s="111"/>
    </row>
    <row r="37" spans="1:10" s="112" customFormat="1" ht="27" customHeight="1">
      <c r="A37" s="16"/>
      <c r="B37" s="127" t="s">
        <v>232</v>
      </c>
      <c r="C37" s="127" t="s">
        <v>24</v>
      </c>
      <c r="D37" s="127"/>
      <c r="E37" s="136">
        <v>0.069</v>
      </c>
      <c r="F37" s="181"/>
      <c r="G37" s="178"/>
      <c r="H37" s="110"/>
      <c r="I37" s="111"/>
      <c r="J37" s="111"/>
    </row>
    <row r="38" spans="1:10" s="112" customFormat="1" ht="21" customHeight="1">
      <c r="A38" s="16"/>
      <c r="B38" s="127" t="s">
        <v>222</v>
      </c>
      <c r="C38" s="127" t="s">
        <v>24</v>
      </c>
      <c r="D38" s="127"/>
      <c r="E38" s="136">
        <v>0.015</v>
      </c>
      <c r="F38" s="181"/>
      <c r="G38" s="178"/>
      <c r="H38" s="110"/>
      <c r="I38" s="111"/>
      <c r="J38" s="111"/>
    </row>
    <row r="39" spans="1:10" s="112" customFormat="1" ht="27" customHeight="1">
      <c r="A39" s="16"/>
      <c r="B39" s="127" t="s">
        <v>233</v>
      </c>
      <c r="C39" s="127" t="s">
        <v>24</v>
      </c>
      <c r="D39" s="127"/>
      <c r="E39" s="136">
        <v>0.017</v>
      </c>
      <c r="F39" s="181"/>
      <c r="G39" s="178"/>
      <c r="H39" s="110"/>
      <c r="I39" s="111"/>
      <c r="J39" s="111"/>
    </row>
    <row r="40" spans="1:10" s="112" customFormat="1" ht="21" customHeight="1">
      <c r="A40" s="16"/>
      <c r="B40" s="127" t="s">
        <v>234</v>
      </c>
      <c r="C40" s="127" t="s">
        <v>24</v>
      </c>
      <c r="D40" s="127"/>
      <c r="E40" s="136">
        <v>0.002</v>
      </c>
      <c r="F40" s="181"/>
      <c r="G40" s="178"/>
      <c r="H40" s="110"/>
      <c r="I40" s="111"/>
      <c r="J40" s="111"/>
    </row>
    <row r="41" spans="1:10" s="112" customFormat="1" ht="25.5" customHeight="1">
      <c r="A41" s="16"/>
      <c r="B41" s="14" t="s">
        <v>223</v>
      </c>
      <c r="C41" s="127" t="s">
        <v>24</v>
      </c>
      <c r="D41" s="127"/>
      <c r="E41" s="136">
        <v>0.07</v>
      </c>
      <c r="F41" s="181"/>
      <c r="G41" s="178"/>
      <c r="H41" s="110"/>
      <c r="I41" s="111"/>
      <c r="J41" s="111"/>
    </row>
    <row r="42" spans="1:10" s="100" customFormat="1" ht="23.25" customHeight="1">
      <c r="A42" s="9"/>
      <c r="B42" s="2" t="s">
        <v>224</v>
      </c>
      <c r="C42" s="127" t="s">
        <v>24</v>
      </c>
      <c r="D42" s="10"/>
      <c r="E42" s="41">
        <v>0.031</v>
      </c>
      <c r="F42" s="177"/>
      <c r="G42" s="178"/>
      <c r="H42" s="98"/>
      <c r="I42" s="99"/>
      <c r="J42" s="99"/>
    </row>
    <row r="43" spans="1:10" s="100" customFormat="1" ht="24" customHeight="1">
      <c r="A43" s="9"/>
      <c r="B43" s="14" t="s">
        <v>21</v>
      </c>
      <c r="C43" s="14" t="s">
        <v>19</v>
      </c>
      <c r="D43" s="14">
        <v>4.57</v>
      </c>
      <c r="E43" s="137">
        <f>D43*E34</f>
        <v>0.93228</v>
      </c>
      <c r="F43" s="183"/>
      <c r="G43" s="178"/>
      <c r="H43" s="98"/>
      <c r="I43" s="99"/>
      <c r="J43" s="99"/>
    </row>
    <row r="44" spans="1:11" s="114" customFormat="1" ht="54.75" customHeight="1">
      <c r="A44" s="67" t="s">
        <v>98</v>
      </c>
      <c r="B44" s="128" t="s">
        <v>235</v>
      </c>
      <c r="C44" s="128" t="s">
        <v>30</v>
      </c>
      <c r="D44" s="128"/>
      <c r="E44" s="13">
        <v>9</v>
      </c>
      <c r="F44" s="184"/>
      <c r="G44" s="185"/>
      <c r="H44" s="113">
        <f>G54/E54</f>
        <v>0</v>
      </c>
      <c r="I44" s="111">
        <f>G54</f>
        <v>0</v>
      </c>
      <c r="J44" s="111"/>
      <c r="K44" s="114">
        <f>E54*1.2/1000</f>
        <v>0.0038399999999999997</v>
      </c>
    </row>
    <row r="45" spans="1:10" s="114" customFormat="1" ht="26.25" customHeight="1">
      <c r="A45" s="68"/>
      <c r="B45" s="14" t="s">
        <v>236</v>
      </c>
      <c r="C45" s="14" t="s">
        <v>9</v>
      </c>
      <c r="D45" s="14">
        <f>1.15*0.031</f>
        <v>0.035649999999999994</v>
      </c>
      <c r="E45" s="118">
        <f>D45*E44</f>
        <v>0.32084999999999997</v>
      </c>
      <c r="F45" s="183"/>
      <c r="G45" s="186"/>
      <c r="H45" s="113"/>
      <c r="I45" s="111"/>
      <c r="J45" s="111"/>
    </row>
    <row r="46" spans="1:10" s="114" customFormat="1" ht="21.75" customHeight="1">
      <c r="A46" s="68"/>
      <c r="B46" s="14" t="s">
        <v>237</v>
      </c>
      <c r="C46" s="14" t="s">
        <v>19</v>
      </c>
      <c r="D46" s="14">
        <f>1.15*0.002</f>
        <v>0.0023</v>
      </c>
      <c r="E46" s="118">
        <f>D46*E44</f>
        <v>0.0207</v>
      </c>
      <c r="F46" s="183"/>
      <c r="G46" s="186"/>
      <c r="H46" s="113"/>
      <c r="I46" s="111"/>
      <c r="J46" s="111"/>
    </row>
    <row r="47" spans="1:10" s="114" customFormat="1" ht="21.75" customHeight="1">
      <c r="A47" s="68"/>
      <c r="B47" s="14" t="s">
        <v>238</v>
      </c>
      <c r="C47" s="14" t="s">
        <v>18</v>
      </c>
      <c r="D47" s="14">
        <v>0.101</v>
      </c>
      <c r="E47" s="118">
        <f>D47*E44</f>
        <v>0.909</v>
      </c>
      <c r="F47" s="183"/>
      <c r="G47" s="186"/>
      <c r="H47" s="113"/>
      <c r="I47" s="111"/>
      <c r="J47" s="111"/>
    </row>
    <row r="48" spans="1:10" s="114" customFormat="1" ht="29.25" customHeight="1">
      <c r="A48" s="68"/>
      <c r="B48" s="14" t="s">
        <v>21</v>
      </c>
      <c r="C48" s="14" t="s">
        <v>19</v>
      </c>
      <c r="D48" s="14">
        <v>0.0019</v>
      </c>
      <c r="E48" s="118">
        <f>D48*E44</f>
        <v>0.0171</v>
      </c>
      <c r="F48" s="183"/>
      <c r="G48" s="186"/>
      <c r="H48" s="113"/>
      <c r="I48" s="111"/>
      <c r="J48" s="111"/>
    </row>
    <row r="49" spans="1:10" s="114" customFormat="1" ht="51.75" customHeight="1">
      <c r="A49" s="67" t="s">
        <v>1</v>
      </c>
      <c r="B49" s="128" t="s">
        <v>239</v>
      </c>
      <c r="C49" s="128" t="s">
        <v>30</v>
      </c>
      <c r="D49" s="128"/>
      <c r="E49" s="13">
        <f>E44+0</f>
        <v>9</v>
      </c>
      <c r="F49" s="184"/>
      <c r="G49" s="185"/>
      <c r="H49" s="113"/>
      <c r="I49" s="111"/>
      <c r="J49" s="111"/>
    </row>
    <row r="50" spans="1:10" s="114" customFormat="1" ht="29.25" customHeight="1">
      <c r="A50" s="68"/>
      <c r="B50" s="14" t="s">
        <v>70</v>
      </c>
      <c r="C50" s="14" t="s">
        <v>9</v>
      </c>
      <c r="D50" s="14">
        <f>1.15*0.388</f>
        <v>0.4462</v>
      </c>
      <c r="E50" s="118">
        <f>D50*E49</f>
        <v>4.0158</v>
      </c>
      <c r="F50" s="183"/>
      <c r="G50" s="186"/>
      <c r="H50" s="113"/>
      <c r="I50" s="111"/>
      <c r="J50" s="111"/>
    </row>
    <row r="51" spans="1:10" s="114" customFormat="1" ht="21.75" customHeight="1">
      <c r="A51" s="1"/>
      <c r="B51" s="2" t="s">
        <v>47</v>
      </c>
      <c r="C51" s="2" t="s">
        <v>19</v>
      </c>
      <c r="D51" s="126">
        <f>1.15*0.0003</f>
        <v>0.00034499999999999993</v>
      </c>
      <c r="E51" s="3">
        <f>D51*E49</f>
        <v>0.0031049999999999993</v>
      </c>
      <c r="F51" s="179"/>
      <c r="G51" s="187"/>
      <c r="H51" s="113"/>
      <c r="I51" s="111"/>
      <c r="J51" s="111"/>
    </row>
    <row r="52" spans="1:10" s="114" customFormat="1" ht="25.5" customHeight="1">
      <c r="A52" s="1"/>
      <c r="B52" s="2" t="s">
        <v>240</v>
      </c>
      <c r="C52" s="2" t="s">
        <v>18</v>
      </c>
      <c r="D52" s="2">
        <v>0.24600000000000002</v>
      </c>
      <c r="E52" s="3">
        <f>D52*E49</f>
        <v>2.2140000000000004</v>
      </c>
      <c r="F52" s="179"/>
      <c r="G52" s="187"/>
      <c r="H52" s="113"/>
      <c r="I52" s="111"/>
      <c r="J52" s="111"/>
    </row>
    <row r="53" spans="1:10" s="114" customFormat="1" ht="21.75" customHeight="1">
      <c r="A53" s="1"/>
      <c r="B53" s="2" t="s">
        <v>21</v>
      </c>
      <c r="C53" s="2" t="s">
        <v>19</v>
      </c>
      <c r="D53" s="2">
        <v>0.0019</v>
      </c>
      <c r="E53" s="3">
        <f>D53*E49</f>
        <v>0.0171</v>
      </c>
      <c r="F53" s="179"/>
      <c r="G53" s="187"/>
      <c r="H53" s="110"/>
      <c r="I53" s="111" t="e">
        <f>#REF!</f>
        <v>#REF!</v>
      </c>
      <c r="J53" s="111"/>
    </row>
    <row r="54" spans="1:38" s="114" customFormat="1" ht="57" customHeight="1">
      <c r="A54" s="125">
        <v>14</v>
      </c>
      <c r="B54" s="128" t="s">
        <v>318</v>
      </c>
      <c r="C54" s="129" t="s">
        <v>22</v>
      </c>
      <c r="D54" s="17"/>
      <c r="E54" s="130">
        <v>3.2</v>
      </c>
      <c r="F54" s="175"/>
      <c r="G54" s="176"/>
      <c r="I54" s="111" t="e">
        <f>#REF!</f>
        <v>#REF!</v>
      </c>
      <c r="J54" s="111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10" s="104" customFormat="1" ht="27" customHeight="1">
      <c r="A55" s="138"/>
      <c r="B55" s="127" t="s">
        <v>225</v>
      </c>
      <c r="C55" s="127" t="s">
        <v>9</v>
      </c>
      <c r="D55" s="127">
        <f>1.15*13.3</f>
        <v>15.295</v>
      </c>
      <c r="E55" s="18">
        <f>D55*E54</f>
        <v>48.944</v>
      </c>
      <c r="F55" s="181"/>
      <c r="G55" s="178"/>
      <c r="H55" s="107"/>
      <c r="I55" s="102">
        <f>G80</f>
        <v>0</v>
      </c>
      <c r="J55" s="102"/>
    </row>
    <row r="56" spans="1:10" s="116" customFormat="1" ht="23.25" customHeight="1">
      <c r="A56" s="138"/>
      <c r="B56" s="127" t="s">
        <v>226</v>
      </c>
      <c r="C56" s="127" t="s">
        <v>19</v>
      </c>
      <c r="D56" s="127">
        <f>1.15*3.36</f>
        <v>3.8639999999999994</v>
      </c>
      <c r="E56" s="133">
        <f>D56*E54</f>
        <v>12.364799999999999</v>
      </c>
      <c r="F56" s="181"/>
      <c r="G56" s="178"/>
      <c r="I56" s="102">
        <f>G81</f>
        <v>0</v>
      </c>
      <c r="J56" s="102"/>
    </row>
    <row r="57" spans="1:10" s="116" customFormat="1" ht="23.25" customHeight="1">
      <c r="A57" s="138"/>
      <c r="B57" s="127" t="s">
        <v>319</v>
      </c>
      <c r="C57" s="127" t="s">
        <v>22</v>
      </c>
      <c r="D57" s="127">
        <v>1.015</v>
      </c>
      <c r="E57" s="133">
        <f>E54*D57</f>
        <v>3.2479999999999998</v>
      </c>
      <c r="F57" s="181"/>
      <c r="G57" s="178"/>
      <c r="I57" s="102">
        <f>G82</f>
        <v>0</v>
      </c>
      <c r="J57" s="102"/>
    </row>
    <row r="58" spans="1:10" s="117" customFormat="1" ht="24" customHeight="1">
      <c r="A58" s="138"/>
      <c r="B58" s="127" t="s">
        <v>241</v>
      </c>
      <c r="C58" s="127" t="s">
        <v>23</v>
      </c>
      <c r="D58" s="127">
        <v>2.42</v>
      </c>
      <c r="E58" s="133">
        <f>D58*E54</f>
        <v>7.744</v>
      </c>
      <c r="F58" s="181"/>
      <c r="G58" s="178"/>
      <c r="I58" s="102">
        <f>G84</f>
        <v>0</v>
      </c>
      <c r="J58" s="102"/>
    </row>
    <row r="59" spans="1:10" s="116" customFormat="1" ht="23.25" customHeight="1">
      <c r="A59" s="138"/>
      <c r="B59" s="127" t="s">
        <v>38</v>
      </c>
      <c r="C59" s="127" t="s">
        <v>17</v>
      </c>
      <c r="D59" s="127">
        <f>0.0581+0.0067</f>
        <v>0.0648</v>
      </c>
      <c r="E59" s="133">
        <f>D59*E54</f>
        <v>0.20736</v>
      </c>
      <c r="F59" s="181"/>
      <c r="G59" s="178"/>
      <c r="I59" s="102">
        <f>G85</f>
        <v>0</v>
      </c>
      <c r="J59" s="102"/>
    </row>
    <row r="60" spans="1:10" s="104" customFormat="1" ht="23.25" customHeight="1">
      <c r="A60" s="138"/>
      <c r="B60" s="127" t="s">
        <v>106</v>
      </c>
      <c r="C60" s="127" t="s">
        <v>24</v>
      </c>
      <c r="D60" s="127">
        <v>0.0015</v>
      </c>
      <c r="E60" s="139">
        <f>E54*D60</f>
        <v>0.0048000000000000004</v>
      </c>
      <c r="F60" s="181"/>
      <c r="G60" s="178"/>
      <c r="H60" s="101">
        <f>G86/E86</f>
        <v>0</v>
      </c>
      <c r="I60" s="102">
        <f>G86</f>
        <v>0</v>
      </c>
      <c r="J60" s="102"/>
    </row>
    <row r="61" spans="1:10" s="104" customFormat="1" ht="27" customHeight="1">
      <c r="A61" s="138"/>
      <c r="B61" s="127" t="s">
        <v>21</v>
      </c>
      <c r="C61" s="127" t="s">
        <v>19</v>
      </c>
      <c r="D61" s="127">
        <v>0.6</v>
      </c>
      <c r="E61" s="133">
        <f>D61*E54</f>
        <v>1.92</v>
      </c>
      <c r="F61" s="181"/>
      <c r="G61" s="178"/>
      <c r="I61" s="102">
        <f>G87</f>
        <v>0</v>
      </c>
      <c r="J61" s="102"/>
    </row>
    <row r="62" spans="1:16" s="33" customFormat="1" ht="31.5" customHeight="1">
      <c r="A62" s="125">
        <v>15</v>
      </c>
      <c r="B62" s="128" t="s">
        <v>247</v>
      </c>
      <c r="C62" s="128" t="s">
        <v>24</v>
      </c>
      <c r="D62" s="128"/>
      <c r="E62" s="140">
        <v>0.393</v>
      </c>
      <c r="F62" s="184"/>
      <c r="G62" s="185"/>
      <c r="H62" s="32"/>
      <c r="I62" s="30">
        <f aca="true" t="shared" si="0" ref="I62:I68">G89</f>
        <v>0</v>
      </c>
      <c r="J62" s="30"/>
      <c r="K62" s="32"/>
      <c r="L62" s="32"/>
      <c r="M62" s="32"/>
      <c r="N62" s="32"/>
      <c r="O62" s="32"/>
      <c r="P62" s="32"/>
    </row>
    <row r="63" spans="1:10" s="32" customFormat="1" ht="25.5" customHeight="1">
      <c r="A63" s="16"/>
      <c r="B63" s="14" t="s">
        <v>55</v>
      </c>
      <c r="C63" s="14" t="s">
        <v>24</v>
      </c>
      <c r="D63" s="14">
        <v>1.01</v>
      </c>
      <c r="E63" s="137">
        <f>E62*D63</f>
        <v>0.39693</v>
      </c>
      <c r="F63" s="183"/>
      <c r="G63" s="186"/>
      <c r="I63" s="30">
        <f t="shared" si="0"/>
        <v>0</v>
      </c>
      <c r="J63" s="30"/>
    </row>
    <row r="64" spans="1:40" s="32" customFormat="1" ht="24" customHeight="1">
      <c r="A64" s="16"/>
      <c r="B64" s="14" t="s">
        <v>248</v>
      </c>
      <c r="C64" s="14" t="s">
        <v>26</v>
      </c>
      <c r="D64" s="14">
        <v>3</v>
      </c>
      <c r="E64" s="137">
        <f>E62*D64</f>
        <v>1.179</v>
      </c>
      <c r="F64" s="183"/>
      <c r="G64" s="186"/>
      <c r="I64" s="30">
        <f t="shared" si="0"/>
        <v>0</v>
      </c>
      <c r="J64" s="3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8" s="33" customFormat="1" ht="27.75" customHeight="1">
      <c r="A65" s="16"/>
      <c r="B65" s="14" t="s">
        <v>165</v>
      </c>
      <c r="C65" s="14" t="s">
        <v>26</v>
      </c>
      <c r="D65" s="14">
        <v>4</v>
      </c>
      <c r="E65" s="137">
        <f>E62*D65</f>
        <v>1.572</v>
      </c>
      <c r="F65" s="183"/>
      <c r="G65" s="186"/>
      <c r="H65" s="32"/>
      <c r="I65" s="30">
        <f t="shared" si="0"/>
        <v>0</v>
      </c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2"/>
      <c r="AP65" s="32"/>
      <c r="AQ65" s="32"/>
      <c r="AR65" s="32"/>
      <c r="AS65" s="32"/>
      <c r="AT65" s="32"/>
      <c r="AU65" s="32"/>
      <c r="AV65" s="32"/>
    </row>
    <row r="66" spans="1:40" s="32" customFormat="1" ht="47.25" customHeight="1">
      <c r="A66" s="4" t="s">
        <v>5</v>
      </c>
      <c r="B66" s="6" t="s">
        <v>320</v>
      </c>
      <c r="C66" s="6" t="s">
        <v>22</v>
      </c>
      <c r="D66" s="6"/>
      <c r="E66" s="141">
        <v>10</v>
      </c>
      <c r="F66" s="188"/>
      <c r="G66" s="176"/>
      <c r="I66" s="30">
        <f t="shared" si="0"/>
        <v>0</v>
      </c>
      <c r="J66" s="30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8" s="33" customFormat="1" ht="25.5" customHeight="1">
      <c r="A67" s="1"/>
      <c r="B67" s="2" t="s">
        <v>242</v>
      </c>
      <c r="C67" s="14" t="s">
        <v>9</v>
      </c>
      <c r="D67" s="2">
        <f>1.15*8.4</f>
        <v>9.66</v>
      </c>
      <c r="E67" s="3">
        <f>D67*E66</f>
        <v>96.6</v>
      </c>
      <c r="F67" s="189"/>
      <c r="G67" s="178"/>
      <c r="H67" s="32"/>
      <c r="I67" s="30">
        <f t="shared" si="0"/>
        <v>0</v>
      </c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32"/>
      <c r="AQ67" s="32"/>
      <c r="AR67" s="32"/>
      <c r="AS67" s="32"/>
      <c r="AT67" s="32"/>
      <c r="AU67" s="32"/>
      <c r="AV67" s="32"/>
    </row>
    <row r="68" spans="1:10" s="32" customFormat="1" ht="24" customHeight="1">
      <c r="A68" s="1"/>
      <c r="B68" s="2" t="s">
        <v>243</v>
      </c>
      <c r="C68" s="2" t="s">
        <v>19</v>
      </c>
      <c r="D68" s="2">
        <f>1.15*0.81</f>
        <v>0.9315</v>
      </c>
      <c r="E68" s="3">
        <f>D68*E66</f>
        <v>9.315</v>
      </c>
      <c r="F68" s="179"/>
      <c r="G68" s="190"/>
      <c r="I68" s="30">
        <f t="shared" si="0"/>
        <v>0</v>
      </c>
      <c r="J68" s="30"/>
    </row>
    <row r="69" spans="1:10" s="32" customFormat="1" ht="24" customHeight="1">
      <c r="A69" s="1"/>
      <c r="B69" s="2" t="s">
        <v>321</v>
      </c>
      <c r="C69" s="2" t="s">
        <v>17</v>
      </c>
      <c r="D69" s="2">
        <v>1.015</v>
      </c>
      <c r="E69" s="3">
        <f>D69*E66</f>
        <v>10.149999999999999</v>
      </c>
      <c r="F69" s="179"/>
      <c r="G69" s="187"/>
      <c r="I69" s="30"/>
      <c r="J69" s="30"/>
    </row>
    <row r="70" spans="1:14" s="104" customFormat="1" ht="24" customHeight="1">
      <c r="A70" s="68"/>
      <c r="B70" s="14" t="s">
        <v>244</v>
      </c>
      <c r="C70" s="14" t="s">
        <v>23</v>
      </c>
      <c r="D70" s="14">
        <v>1.37</v>
      </c>
      <c r="E70" s="118">
        <f>D70*E66</f>
        <v>13.700000000000001</v>
      </c>
      <c r="F70" s="183"/>
      <c r="G70" s="178"/>
      <c r="H70" s="119"/>
      <c r="I70" s="16" t="s">
        <v>8</v>
      </c>
      <c r="J70" s="14" t="s">
        <v>56</v>
      </c>
      <c r="K70" s="14" t="s">
        <v>19</v>
      </c>
      <c r="L70" s="14">
        <v>0.0304</v>
      </c>
      <c r="M70" s="118">
        <f>M107*L70</f>
        <v>2.9792</v>
      </c>
      <c r="N70" s="14">
        <v>3.2</v>
      </c>
    </row>
    <row r="71" spans="1:14" s="33" customFormat="1" ht="27" customHeight="1">
      <c r="A71" s="1"/>
      <c r="B71" s="2" t="s">
        <v>245</v>
      </c>
      <c r="C71" s="2" t="s">
        <v>17</v>
      </c>
      <c r="D71" s="2">
        <v>0.0084</v>
      </c>
      <c r="E71" s="3">
        <f>E66*D71</f>
        <v>0.08399999999999999</v>
      </c>
      <c r="F71" s="179"/>
      <c r="G71" s="190"/>
      <c r="H71" s="60" t="s">
        <v>191</v>
      </c>
      <c r="I71" s="5" t="s">
        <v>195</v>
      </c>
      <c r="J71" s="6" t="s">
        <v>196</v>
      </c>
      <c r="K71" s="7" t="s">
        <v>194</v>
      </c>
      <c r="L71" s="6"/>
      <c r="M71" s="13">
        <f>M107+0</f>
        <v>98</v>
      </c>
      <c r="N71" s="6"/>
    </row>
    <row r="72" spans="1:14" s="33" customFormat="1" ht="27.75" customHeight="1">
      <c r="A72" s="1"/>
      <c r="B72" s="2" t="s">
        <v>246</v>
      </c>
      <c r="C72" s="2" t="s">
        <v>17</v>
      </c>
      <c r="D72" s="2">
        <f>0.0026+0.0256</f>
        <v>0.028200000000000003</v>
      </c>
      <c r="E72" s="3">
        <f>E66*D72</f>
        <v>0.28200000000000003</v>
      </c>
      <c r="F72" s="179"/>
      <c r="G72" s="190"/>
      <c r="H72" s="61"/>
      <c r="I72" s="9" t="s">
        <v>8</v>
      </c>
      <c r="J72" s="2" t="s">
        <v>197</v>
      </c>
      <c r="K72" s="14" t="s">
        <v>9</v>
      </c>
      <c r="L72" s="2">
        <v>1.03</v>
      </c>
      <c r="M72" s="3">
        <f>L72*M71</f>
        <v>100.94</v>
      </c>
      <c r="N72" s="10">
        <v>6</v>
      </c>
    </row>
    <row r="73" spans="1:15" s="33" customFormat="1" ht="27.75" customHeight="1">
      <c r="A73" s="1"/>
      <c r="B73" s="2" t="s">
        <v>21</v>
      </c>
      <c r="C73" s="2" t="s">
        <v>19</v>
      </c>
      <c r="D73" s="2">
        <v>0.39</v>
      </c>
      <c r="E73" s="3">
        <f>D73*E66</f>
        <v>3.9000000000000004</v>
      </c>
      <c r="F73" s="179"/>
      <c r="G73" s="190"/>
      <c r="H73" s="61"/>
      <c r="I73" s="9" t="s">
        <v>8</v>
      </c>
      <c r="J73" s="2" t="s">
        <v>198</v>
      </c>
      <c r="K73" s="2" t="s">
        <v>19</v>
      </c>
      <c r="L73" s="2">
        <v>0.013999999999999999</v>
      </c>
      <c r="M73" s="3">
        <f>L73*M71</f>
        <v>1.3719999999999999</v>
      </c>
      <c r="N73" s="2">
        <v>3.2</v>
      </c>
      <c r="O73" s="32"/>
    </row>
    <row r="74" spans="1:14" s="33" customFormat="1" ht="36" customHeight="1">
      <c r="A74" s="125">
        <v>17</v>
      </c>
      <c r="B74" s="128" t="s">
        <v>247</v>
      </c>
      <c r="C74" s="128" t="s">
        <v>24</v>
      </c>
      <c r="D74" s="128"/>
      <c r="E74" s="140">
        <v>0.97</v>
      </c>
      <c r="F74" s="184"/>
      <c r="G74" s="185"/>
      <c r="H74" s="61"/>
      <c r="I74" s="15" t="s">
        <v>7</v>
      </c>
      <c r="J74" s="2" t="s">
        <v>199</v>
      </c>
      <c r="K74" s="2" t="s">
        <v>18</v>
      </c>
      <c r="L74" s="2">
        <v>0.35</v>
      </c>
      <c r="M74" s="3">
        <f>L74*M71</f>
        <v>34.3</v>
      </c>
      <c r="N74" s="2">
        <v>8</v>
      </c>
    </row>
    <row r="75" spans="1:15" s="32" customFormat="1" ht="31.5" customHeight="1">
      <c r="A75" s="16"/>
      <c r="B75" s="14" t="s">
        <v>55</v>
      </c>
      <c r="C75" s="14" t="s">
        <v>24</v>
      </c>
      <c r="D75" s="14">
        <v>1.01</v>
      </c>
      <c r="E75" s="137">
        <f>E74*D75</f>
        <v>0.9797</v>
      </c>
      <c r="F75" s="183"/>
      <c r="G75" s="186"/>
      <c r="H75" s="61"/>
      <c r="I75" s="9" t="s">
        <v>7</v>
      </c>
      <c r="J75" s="2" t="s">
        <v>48</v>
      </c>
      <c r="K75" s="2" t="s">
        <v>18</v>
      </c>
      <c r="L75" s="2">
        <v>0.10400000000000001</v>
      </c>
      <c r="M75" s="3">
        <f>L75*M71</f>
        <v>10.192</v>
      </c>
      <c r="N75" s="2">
        <v>4</v>
      </c>
      <c r="O75" s="36"/>
    </row>
    <row r="76" spans="1:15" s="104" customFormat="1" ht="27" customHeight="1">
      <c r="A76" s="16"/>
      <c r="B76" s="14" t="s">
        <v>248</v>
      </c>
      <c r="C76" s="14" t="s">
        <v>26</v>
      </c>
      <c r="D76" s="14">
        <v>3</v>
      </c>
      <c r="E76" s="137">
        <f>E74*D76</f>
        <v>2.91</v>
      </c>
      <c r="F76" s="183"/>
      <c r="G76" s="186"/>
      <c r="H76" s="119"/>
      <c r="I76" s="16"/>
      <c r="J76" s="14"/>
      <c r="K76" s="14"/>
      <c r="L76" s="14"/>
      <c r="M76" s="118"/>
      <c r="N76" s="14"/>
      <c r="O76" s="109"/>
    </row>
    <row r="77" spans="1:13" s="28" customFormat="1" ht="27.75" customHeight="1">
      <c r="A77" s="16"/>
      <c r="B77" s="14" t="s">
        <v>165</v>
      </c>
      <c r="C77" s="14" t="s">
        <v>26</v>
      </c>
      <c r="D77" s="14">
        <v>4</v>
      </c>
      <c r="E77" s="137">
        <f>E74*D77</f>
        <v>3.88</v>
      </c>
      <c r="F77" s="183"/>
      <c r="G77" s="186"/>
      <c r="H77" s="34"/>
      <c r="I77" s="30">
        <f>G24</f>
        <v>0</v>
      </c>
      <c r="J77" s="30"/>
      <c r="K77" s="23"/>
      <c r="L77" s="23"/>
      <c r="M77" s="23"/>
    </row>
    <row r="78" spans="1:38" s="32" customFormat="1" ht="46.5" customHeight="1">
      <c r="A78" s="125">
        <v>18</v>
      </c>
      <c r="B78" s="128" t="s">
        <v>218</v>
      </c>
      <c r="C78" s="128" t="s">
        <v>22</v>
      </c>
      <c r="D78" s="129"/>
      <c r="E78" s="130">
        <v>1</v>
      </c>
      <c r="F78" s="175"/>
      <c r="G78" s="176"/>
      <c r="I78" s="30" t="e">
        <f>#REF!</f>
        <v>#REF!</v>
      </c>
      <c r="J78" s="30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s="32" customFormat="1" ht="27" customHeight="1">
      <c r="A79" s="12"/>
      <c r="B79" s="10" t="s">
        <v>131</v>
      </c>
      <c r="C79" s="10" t="s">
        <v>9</v>
      </c>
      <c r="D79" s="10">
        <f>1.15*23.8</f>
        <v>27.369999999999997</v>
      </c>
      <c r="E79" s="20">
        <f>D79*E78</f>
        <v>27.369999999999997</v>
      </c>
      <c r="F79" s="191"/>
      <c r="G79" s="178"/>
      <c r="H79" s="29" t="e">
        <f>#REF!/#REF!</f>
        <v>#REF!</v>
      </c>
      <c r="I79" s="30" t="e">
        <f>#REF!</f>
        <v>#REF!</v>
      </c>
      <c r="J79" s="30"/>
      <c r="K79" s="33" t="e">
        <f>#REF!*2</f>
        <v>#REF!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s="32" customFormat="1" ht="26.25" customHeight="1">
      <c r="A80" s="12"/>
      <c r="B80" s="10" t="s">
        <v>130</v>
      </c>
      <c r="C80" s="10" t="s">
        <v>19</v>
      </c>
      <c r="D80" s="10">
        <f>1.15*2.1</f>
        <v>2.415</v>
      </c>
      <c r="E80" s="20">
        <f>D80*E78</f>
        <v>2.415</v>
      </c>
      <c r="F80" s="177"/>
      <c r="G80" s="178"/>
      <c r="I80" s="30" t="e">
        <f>#REF!</f>
        <v>#REF!</v>
      </c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s="32" customFormat="1" ht="27.75" customHeight="1">
      <c r="A81" s="12"/>
      <c r="B81" s="10" t="s">
        <v>132</v>
      </c>
      <c r="C81" s="10" t="s">
        <v>17</v>
      </c>
      <c r="D81" s="10">
        <v>1.05</v>
      </c>
      <c r="E81" s="20">
        <f>D81*E78</f>
        <v>1.05</v>
      </c>
      <c r="F81" s="177"/>
      <c r="G81" s="178"/>
      <c r="I81" s="30" t="e">
        <f>#REF!</f>
        <v>#REF!</v>
      </c>
      <c r="J81" s="30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10" s="33" customFormat="1" ht="27.75" customHeight="1">
      <c r="A82" s="12"/>
      <c r="B82" s="10" t="s">
        <v>133</v>
      </c>
      <c r="C82" s="10" t="s">
        <v>18</v>
      </c>
      <c r="D82" s="10">
        <v>1.96</v>
      </c>
      <c r="E82" s="20">
        <f>D82*E78</f>
        <v>1.96</v>
      </c>
      <c r="F82" s="177"/>
      <c r="G82" s="178"/>
      <c r="H82" s="29">
        <f>G30/E30</f>
        <v>0</v>
      </c>
      <c r="I82" s="30">
        <f>G30</f>
        <v>0</v>
      </c>
      <c r="J82" s="30"/>
    </row>
    <row r="83" spans="1:10" s="33" customFormat="1" ht="28.5" customHeight="1">
      <c r="A83" s="12"/>
      <c r="B83" s="10" t="s">
        <v>134</v>
      </c>
      <c r="C83" s="10" t="s">
        <v>18</v>
      </c>
      <c r="D83" s="10">
        <v>4.38</v>
      </c>
      <c r="E83" s="20">
        <f>E78*D83</f>
        <v>4.38</v>
      </c>
      <c r="F83" s="177"/>
      <c r="G83" s="178"/>
      <c r="H83" s="32"/>
      <c r="I83" s="30">
        <f>G31</f>
        <v>0</v>
      </c>
      <c r="J83" s="30"/>
    </row>
    <row r="84" spans="1:9" s="33" customFormat="1" ht="23.25" customHeight="1">
      <c r="A84" s="12"/>
      <c r="B84" s="10" t="s">
        <v>50</v>
      </c>
      <c r="C84" s="10" t="s">
        <v>18</v>
      </c>
      <c r="D84" s="10">
        <v>7.2</v>
      </c>
      <c r="E84" s="20">
        <f>E78*D84</f>
        <v>7.2</v>
      </c>
      <c r="F84" s="177"/>
      <c r="G84" s="178"/>
      <c r="H84" s="34"/>
      <c r="I84" s="30" t="e">
        <f>#REF!</f>
        <v>#REF!</v>
      </c>
    </row>
    <row r="85" spans="1:9" s="33" customFormat="1" ht="28.5" customHeight="1">
      <c r="A85" s="12"/>
      <c r="B85" s="10" t="s">
        <v>21</v>
      </c>
      <c r="C85" s="10" t="s">
        <v>19</v>
      </c>
      <c r="D85" s="10">
        <v>0.93</v>
      </c>
      <c r="E85" s="20">
        <f>D85*E78</f>
        <v>0.93</v>
      </c>
      <c r="F85" s="177"/>
      <c r="G85" s="178"/>
      <c r="I85" s="30" t="e">
        <f>#REF!</f>
        <v>#REF!</v>
      </c>
    </row>
    <row r="86" spans="1:9" s="33" customFormat="1" ht="74.25" customHeight="1">
      <c r="A86" s="125">
        <v>19</v>
      </c>
      <c r="B86" s="128" t="s">
        <v>323</v>
      </c>
      <c r="C86" s="128" t="s">
        <v>30</v>
      </c>
      <c r="D86" s="129"/>
      <c r="E86" s="130">
        <v>40</v>
      </c>
      <c r="F86" s="175"/>
      <c r="G86" s="176"/>
      <c r="H86" s="34"/>
      <c r="I86" s="30" t="e">
        <f>#REF!</f>
        <v>#REF!</v>
      </c>
    </row>
    <row r="87" spans="1:9" s="28" customFormat="1" ht="30.75" customHeight="1">
      <c r="A87" s="9"/>
      <c r="B87" s="10" t="s">
        <v>145</v>
      </c>
      <c r="C87" s="2" t="s">
        <v>9</v>
      </c>
      <c r="D87" s="10">
        <f>1.15*0.439</f>
        <v>0.5048499999999999</v>
      </c>
      <c r="E87" s="20">
        <f>D87*E86</f>
        <v>20.193999999999996</v>
      </c>
      <c r="F87" s="191"/>
      <c r="G87" s="178"/>
      <c r="H87" s="35"/>
      <c r="I87" s="30" t="e">
        <f>#REF!</f>
        <v>#REF!</v>
      </c>
    </row>
    <row r="88" spans="1:9" s="33" customFormat="1" ht="27" customHeight="1">
      <c r="A88" s="9"/>
      <c r="B88" s="10" t="s">
        <v>146</v>
      </c>
      <c r="C88" s="2" t="s">
        <v>19</v>
      </c>
      <c r="D88" s="10">
        <f>1.15*0.035</f>
        <v>0.04025</v>
      </c>
      <c r="E88" s="20">
        <f>D88*E86</f>
        <v>1.61</v>
      </c>
      <c r="F88" s="177"/>
      <c r="G88" s="178"/>
      <c r="H88" s="34"/>
      <c r="I88" s="30" t="e">
        <f>#REF!</f>
        <v>#REF!</v>
      </c>
    </row>
    <row r="89" spans="1:10" s="39" customFormat="1" ht="28.5" customHeight="1">
      <c r="A89" s="9"/>
      <c r="B89" s="10" t="s">
        <v>158</v>
      </c>
      <c r="C89" s="2" t="s">
        <v>30</v>
      </c>
      <c r="D89" s="10">
        <v>1.12</v>
      </c>
      <c r="E89" s="20">
        <f>D89*E86</f>
        <v>44.800000000000004</v>
      </c>
      <c r="F89" s="177"/>
      <c r="G89" s="178"/>
      <c r="H89" s="29">
        <f>G78/E78</f>
        <v>0</v>
      </c>
      <c r="I89" s="30">
        <f>G78</f>
        <v>0</v>
      </c>
      <c r="J89" s="30"/>
    </row>
    <row r="90" spans="1:10" s="32" customFormat="1" ht="32.25" customHeight="1">
      <c r="A90" s="9"/>
      <c r="B90" s="10" t="s">
        <v>129</v>
      </c>
      <c r="C90" s="2" t="s">
        <v>22</v>
      </c>
      <c r="D90" s="10">
        <f>0.0252*0.6</f>
        <v>0.01512</v>
      </c>
      <c r="E90" s="133">
        <f>E86*D90</f>
        <v>0.6048</v>
      </c>
      <c r="F90" s="177"/>
      <c r="G90" s="178"/>
      <c r="I90" s="30"/>
      <c r="J90" s="30"/>
    </row>
    <row r="91" spans="1:10" s="32" customFormat="1" ht="29.25" customHeight="1">
      <c r="A91" s="9"/>
      <c r="B91" s="10" t="s">
        <v>147</v>
      </c>
      <c r="C91" s="2" t="s">
        <v>24</v>
      </c>
      <c r="D91" s="10">
        <v>0.0003</v>
      </c>
      <c r="E91" s="20">
        <f>E86*D91</f>
        <v>0.011999999999999999</v>
      </c>
      <c r="F91" s="177"/>
      <c r="G91" s="178"/>
      <c r="I91" s="30" t="e">
        <f>#REF!</f>
        <v>#REF!</v>
      </c>
      <c r="J91" s="30"/>
    </row>
    <row r="92" spans="1:10" s="32" customFormat="1" ht="30.75" customHeight="1">
      <c r="A92" s="9"/>
      <c r="B92" s="10" t="s">
        <v>135</v>
      </c>
      <c r="C92" s="10" t="s">
        <v>18</v>
      </c>
      <c r="D92" s="10">
        <v>0.15</v>
      </c>
      <c r="E92" s="20">
        <f>E86*D92</f>
        <v>6</v>
      </c>
      <c r="F92" s="177"/>
      <c r="G92" s="178"/>
      <c r="I92" s="30" t="e">
        <f>#REF!</f>
        <v>#REF!</v>
      </c>
      <c r="J92" s="30"/>
    </row>
    <row r="93" spans="1:10" s="32" customFormat="1" ht="28.5" customHeight="1">
      <c r="A93" s="9"/>
      <c r="B93" s="10" t="s">
        <v>50</v>
      </c>
      <c r="C93" s="10" t="s">
        <v>18</v>
      </c>
      <c r="D93" s="10">
        <v>0.106</v>
      </c>
      <c r="E93" s="20">
        <f>E86*D93</f>
        <v>4.24</v>
      </c>
      <c r="F93" s="177"/>
      <c r="G93" s="178"/>
      <c r="I93" s="30" t="e">
        <f>#REF!</f>
        <v>#REF!</v>
      </c>
      <c r="J93" s="30"/>
    </row>
    <row r="94" spans="1:10" s="32" customFormat="1" ht="26.25" customHeight="1">
      <c r="A94" s="9"/>
      <c r="B94" s="10" t="s">
        <v>118</v>
      </c>
      <c r="C94" s="10" t="s">
        <v>26</v>
      </c>
      <c r="D94" s="10">
        <v>6</v>
      </c>
      <c r="E94" s="20">
        <f>E86*D94</f>
        <v>240</v>
      </c>
      <c r="F94" s="177"/>
      <c r="G94" s="178"/>
      <c r="I94" s="30" t="e">
        <f>#REF!</f>
        <v>#REF!</v>
      </c>
      <c r="J94" s="30"/>
    </row>
    <row r="95" spans="1:11" s="33" customFormat="1" ht="29.25" customHeight="1">
      <c r="A95" s="9"/>
      <c r="B95" s="10" t="s">
        <v>21</v>
      </c>
      <c r="C95" s="2" t="s">
        <v>19</v>
      </c>
      <c r="D95" s="10">
        <v>0.0816</v>
      </c>
      <c r="E95" s="20">
        <f>D95*E86</f>
        <v>3.2640000000000002</v>
      </c>
      <c r="F95" s="177"/>
      <c r="G95" s="178"/>
      <c r="H95" s="29">
        <f>G96/E96</f>
        <v>0</v>
      </c>
      <c r="I95" s="30">
        <f>G96</f>
        <v>0</v>
      </c>
      <c r="J95" s="30"/>
      <c r="K95" s="32"/>
    </row>
    <row r="96" spans="1:11" s="33" customFormat="1" ht="58.5" customHeight="1">
      <c r="A96" s="125">
        <v>20</v>
      </c>
      <c r="B96" s="128" t="s">
        <v>219</v>
      </c>
      <c r="C96" s="128" t="s">
        <v>30</v>
      </c>
      <c r="D96" s="129"/>
      <c r="E96" s="130">
        <f>E86+0</f>
        <v>40</v>
      </c>
      <c r="F96" s="192"/>
      <c r="G96" s="176"/>
      <c r="H96" s="32"/>
      <c r="I96" s="30">
        <f>G97</f>
        <v>0</v>
      </c>
      <c r="J96" s="30"/>
      <c r="K96" s="32"/>
    </row>
    <row r="97" spans="1:10" s="32" customFormat="1" ht="21" customHeight="1">
      <c r="A97" s="9"/>
      <c r="B97" s="2" t="s">
        <v>119</v>
      </c>
      <c r="C97" s="2" t="s">
        <v>9</v>
      </c>
      <c r="D97" s="10">
        <f>1.15*0.0303</f>
        <v>0.034845</v>
      </c>
      <c r="E97" s="20">
        <f>D97*E96</f>
        <v>1.3938000000000001</v>
      </c>
      <c r="F97" s="193"/>
      <c r="G97" s="178"/>
      <c r="I97" s="30">
        <f>G98</f>
        <v>0</v>
      </c>
      <c r="J97" s="30"/>
    </row>
    <row r="98" spans="1:11" s="33" customFormat="1" ht="21.75" customHeight="1">
      <c r="A98" s="9"/>
      <c r="B98" s="2" t="s">
        <v>120</v>
      </c>
      <c r="C98" s="2" t="s">
        <v>19</v>
      </c>
      <c r="D98" s="10">
        <f>1.15*0.0041</f>
        <v>0.0047150000000000004</v>
      </c>
      <c r="E98" s="20">
        <f>E96*D98</f>
        <v>0.18860000000000002</v>
      </c>
      <c r="F98" s="177"/>
      <c r="G98" s="178"/>
      <c r="H98" s="32"/>
      <c r="I98" s="30">
        <f>G99</f>
        <v>0</v>
      </c>
      <c r="J98" s="30"/>
      <c r="K98" s="32"/>
    </row>
    <row r="99" spans="1:10" s="32" customFormat="1" ht="27.75" customHeight="1">
      <c r="A99" s="9"/>
      <c r="B99" s="2" t="s">
        <v>121</v>
      </c>
      <c r="C99" s="2" t="s">
        <v>18</v>
      </c>
      <c r="D99" s="10">
        <v>0.324</v>
      </c>
      <c r="E99" s="20">
        <f>E96*D99</f>
        <v>12.96</v>
      </c>
      <c r="F99" s="177"/>
      <c r="G99" s="178"/>
      <c r="I99" s="30">
        <f>G101</f>
        <v>0</v>
      </c>
      <c r="J99" s="30"/>
    </row>
    <row r="100" spans="1:10" s="32" customFormat="1" ht="24.75" customHeight="1">
      <c r="A100" s="9"/>
      <c r="B100" s="2" t="s">
        <v>122</v>
      </c>
      <c r="C100" s="2" t="s">
        <v>18</v>
      </c>
      <c r="D100" s="10">
        <v>1.5</v>
      </c>
      <c r="E100" s="20">
        <f>E96*D100</f>
        <v>60</v>
      </c>
      <c r="F100" s="177"/>
      <c r="G100" s="178"/>
      <c r="H100" s="29">
        <f>G243/E243</f>
        <v>0</v>
      </c>
      <c r="I100" s="30">
        <f>G243</f>
        <v>0</v>
      </c>
      <c r="J100" s="30"/>
    </row>
    <row r="101" spans="1:10" s="32" customFormat="1" ht="28.5" customHeight="1">
      <c r="A101" s="9"/>
      <c r="B101" s="2" t="s">
        <v>21</v>
      </c>
      <c r="C101" s="2" t="s">
        <v>19</v>
      </c>
      <c r="D101" s="10">
        <f>0.0004</f>
        <v>0.0004</v>
      </c>
      <c r="E101" s="20">
        <f>E96*D101</f>
        <v>0.016</v>
      </c>
      <c r="F101" s="177"/>
      <c r="G101" s="178"/>
      <c r="H101" s="29">
        <f>G248/E248</f>
        <v>0</v>
      </c>
      <c r="I101" s="30">
        <f>G248</f>
        <v>0</v>
      </c>
      <c r="J101" s="30"/>
    </row>
    <row r="102" spans="1:10" s="32" customFormat="1" ht="59.25" customHeight="1">
      <c r="A102" s="125">
        <v>21</v>
      </c>
      <c r="B102" s="128" t="s">
        <v>325</v>
      </c>
      <c r="C102" s="128" t="s">
        <v>30</v>
      </c>
      <c r="D102" s="6"/>
      <c r="E102" s="8">
        <v>7</v>
      </c>
      <c r="F102" s="188"/>
      <c r="G102" s="185"/>
      <c r="H102" s="34"/>
      <c r="I102" s="30">
        <f>G250</f>
        <v>0</v>
      </c>
      <c r="J102" s="30"/>
    </row>
    <row r="103" spans="1:10" s="32" customFormat="1" ht="30" customHeight="1">
      <c r="A103" s="9"/>
      <c r="B103" s="2" t="s">
        <v>46</v>
      </c>
      <c r="C103" s="2" t="str">
        <f>C102</f>
        <v>kv.m</v>
      </c>
      <c r="D103" s="2">
        <v>1</v>
      </c>
      <c r="E103" s="3">
        <f>D103*E102</f>
        <v>7</v>
      </c>
      <c r="F103" s="194"/>
      <c r="G103" s="186"/>
      <c r="H103" s="35"/>
      <c r="I103" s="30">
        <f>G251</f>
        <v>0</v>
      </c>
      <c r="J103" s="30"/>
    </row>
    <row r="104" spans="1:11" s="32" customFormat="1" ht="29.25" customHeight="1">
      <c r="A104" s="9"/>
      <c r="B104" s="2" t="s">
        <v>249</v>
      </c>
      <c r="C104" s="2" t="s">
        <v>19</v>
      </c>
      <c r="D104" s="2">
        <f>1.15*0.0264</f>
        <v>0.030359999999999998</v>
      </c>
      <c r="E104" s="3">
        <f>D104*E102</f>
        <v>0.21252</v>
      </c>
      <c r="F104" s="179"/>
      <c r="G104" s="187"/>
      <c r="H104" s="35"/>
      <c r="I104" s="30">
        <f>G252</f>
        <v>0</v>
      </c>
      <c r="J104" s="30"/>
      <c r="K104" s="32">
        <f>0.235*2.8*253</f>
        <v>166.474</v>
      </c>
    </row>
    <row r="105" spans="1:10" s="32" customFormat="1" ht="25.5" customHeight="1">
      <c r="A105" s="12"/>
      <c r="B105" s="10" t="s">
        <v>132</v>
      </c>
      <c r="C105" s="10" t="s">
        <v>17</v>
      </c>
      <c r="D105" s="10">
        <f>0.03*80%*1.05</f>
        <v>0.0252</v>
      </c>
      <c r="E105" s="20">
        <f>D105*E102</f>
        <v>0.1764</v>
      </c>
      <c r="F105" s="177"/>
      <c r="G105" s="190"/>
      <c r="H105" s="34"/>
      <c r="I105" s="30">
        <f>G254</f>
        <v>0</v>
      </c>
      <c r="J105" s="30"/>
    </row>
    <row r="106" spans="1:15" ht="19.5" customHeight="1">
      <c r="A106" s="9"/>
      <c r="B106" s="2" t="s">
        <v>250</v>
      </c>
      <c r="C106" s="2" t="s">
        <v>30</v>
      </c>
      <c r="D106" s="2">
        <v>1.16</v>
      </c>
      <c r="E106" s="3">
        <f>D106*E102</f>
        <v>8.12</v>
      </c>
      <c r="F106" s="179"/>
      <c r="G106" s="187"/>
      <c r="H106" s="29" t="e">
        <f>#REF!/#REF!</f>
        <v>#REF!</v>
      </c>
      <c r="I106" s="30" t="e">
        <f>#REF!</f>
        <v>#REF!</v>
      </c>
      <c r="J106" s="30"/>
      <c r="O106" s="33"/>
    </row>
    <row r="107" spans="1:14" s="33" customFormat="1" ht="15.75" customHeight="1">
      <c r="A107" s="9"/>
      <c r="B107" s="2" t="s">
        <v>135</v>
      </c>
      <c r="C107" s="10" t="s">
        <v>18</v>
      </c>
      <c r="D107" s="2">
        <v>0.15</v>
      </c>
      <c r="E107" s="3">
        <f>E102*D107</f>
        <v>1.05</v>
      </c>
      <c r="F107" s="179"/>
      <c r="G107" s="187"/>
      <c r="H107" s="60" t="s">
        <v>66</v>
      </c>
      <c r="I107" s="5" t="s">
        <v>192</v>
      </c>
      <c r="J107" s="6" t="s">
        <v>193</v>
      </c>
      <c r="K107" s="7" t="s">
        <v>194</v>
      </c>
      <c r="L107" s="6"/>
      <c r="M107" s="8">
        <v>98</v>
      </c>
      <c r="N107" s="6"/>
    </row>
    <row r="108" spans="1:14" s="33" customFormat="1" ht="23.25" customHeight="1">
      <c r="A108" s="12"/>
      <c r="B108" s="10" t="s">
        <v>118</v>
      </c>
      <c r="C108" s="10" t="s">
        <v>18</v>
      </c>
      <c r="D108" s="10">
        <v>0.106</v>
      </c>
      <c r="E108" s="20">
        <f>E102*D108</f>
        <v>0.742</v>
      </c>
      <c r="F108" s="177"/>
      <c r="G108" s="190"/>
      <c r="H108" s="61"/>
      <c r="I108" s="9" t="s">
        <v>8</v>
      </c>
      <c r="J108" s="2" t="s">
        <v>46</v>
      </c>
      <c r="K108" s="2" t="s">
        <v>9</v>
      </c>
      <c r="L108" s="2">
        <v>1.53</v>
      </c>
      <c r="M108" s="3">
        <f>L108*M107</f>
        <v>149.94</v>
      </c>
      <c r="N108" s="10">
        <v>6</v>
      </c>
    </row>
    <row r="109" spans="1:15" s="33" customFormat="1" ht="19.5" customHeight="1">
      <c r="A109" s="9"/>
      <c r="B109" s="2" t="s">
        <v>21</v>
      </c>
      <c r="C109" s="2" t="s">
        <v>19</v>
      </c>
      <c r="D109" s="2">
        <v>0.0816</v>
      </c>
      <c r="E109" s="3">
        <f>D109*E102</f>
        <v>0.5712</v>
      </c>
      <c r="F109" s="179"/>
      <c r="G109" s="187"/>
      <c r="H109" s="61"/>
      <c r="I109" s="9" t="s">
        <v>8</v>
      </c>
      <c r="J109" s="2" t="s">
        <v>69</v>
      </c>
      <c r="K109" s="2" t="s">
        <v>19</v>
      </c>
      <c r="L109" s="2">
        <v>0.0311</v>
      </c>
      <c r="M109" s="3">
        <f>L109*M107</f>
        <v>3.0478</v>
      </c>
      <c r="N109" s="2">
        <v>3.2</v>
      </c>
      <c r="O109" s="32"/>
    </row>
    <row r="110" spans="1:16" ht="54" customHeight="1">
      <c r="A110" s="67" t="s">
        <v>257</v>
      </c>
      <c r="B110" s="128" t="s">
        <v>255</v>
      </c>
      <c r="C110" s="128" t="s">
        <v>22</v>
      </c>
      <c r="D110" s="128"/>
      <c r="E110" s="13">
        <v>31</v>
      </c>
      <c r="F110" s="184"/>
      <c r="G110" s="185"/>
      <c r="H110" s="29">
        <f>G144/E144</f>
        <v>0</v>
      </c>
      <c r="I110" s="30">
        <f>G144</f>
        <v>0</v>
      </c>
      <c r="J110" s="30"/>
      <c r="K110" s="36"/>
      <c r="L110" s="36"/>
      <c r="M110" s="36"/>
      <c r="N110" s="36"/>
      <c r="P110" s="36"/>
    </row>
    <row r="111" spans="1:16" ht="21" customHeight="1">
      <c r="A111" s="9"/>
      <c r="B111" s="2" t="s">
        <v>252</v>
      </c>
      <c r="C111" s="2" t="s">
        <v>9</v>
      </c>
      <c r="D111" s="2">
        <f>1.15*3.6</f>
        <v>4.14</v>
      </c>
      <c r="E111" s="3">
        <f>D111*E110</f>
        <v>128.34</v>
      </c>
      <c r="F111" s="177"/>
      <c r="G111" s="186"/>
      <c r="H111" s="35"/>
      <c r="I111" s="30">
        <f>G145</f>
        <v>0</v>
      </c>
      <c r="J111" s="30"/>
      <c r="K111" s="36"/>
      <c r="L111" s="36"/>
      <c r="M111" s="36"/>
      <c r="N111" s="42"/>
      <c r="P111" s="36"/>
    </row>
    <row r="112" spans="1:14" s="36" customFormat="1" ht="23.25" customHeight="1">
      <c r="A112" s="9"/>
      <c r="B112" s="2" t="s">
        <v>253</v>
      </c>
      <c r="C112" s="2" t="s">
        <v>19</v>
      </c>
      <c r="D112" s="2">
        <f>1.15*0.92</f>
        <v>1.058</v>
      </c>
      <c r="E112" s="3">
        <f>D112*E110</f>
        <v>32.798</v>
      </c>
      <c r="F112" s="179"/>
      <c r="G112" s="186"/>
      <c r="H112" s="34"/>
      <c r="I112" s="30">
        <f>G146</f>
        <v>0</v>
      </c>
      <c r="J112" s="30"/>
      <c r="N112" s="24"/>
    </row>
    <row r="113" spans="1:10" s="36" customFormat="1" ht="28.5" customHeight="1">
      <c r="A113" s="9"/>
      <c r="B113" s="2" t="s">
        <v>42</v>
      </c>
      <c r="C113" s="2" t="s">
        <v>17</v>
      </c>
      <c r="D113" s="2">
        <v>0.11</v>
      </c>
      <c r="E113" s="3">
        <f>D113*E110</f>
        <v>3.41</v>
      </c>
      <c r="F113" s="179"/>
      <c r="G113" s="186"/>
      <c r="H113" s="37"/>
      <c r="I113" s="30">
        <f>G169</f>
        <v>0</v>
      </c>
      <c r="J113" s="30"/>
    </row>
    <row r="114" spans="1:16" ht="36" customHeight="1">
      <c r="A114" s="9"/>
      <c r="B114" s="2" t="s">
        <v>254</v>
      </c>
      <c r="C114" s="2" t="s">
        <v>26</v>
      </c>
      <c r="D114" s="3">
        <f>0.92/(0.39*0.19*0.188)</f>
        <v>66.04071553679617</v>
      </c>
      <c r="E114" s="3">
        <f>D114*E110</f>
        <v>2047.2621816406813</v>
      </c>
      <c r="F114" s="189"/>
      <c r="G114" s="186"/>
      <c r="H114" s="36"/>
      <c r="I114" s="30">
        <f>G170</f>
        <v>0</v>
      </c>
      <c r="J114" s="30"/>
      <c r="K114" s="36"/>
      <c r="L114" s="36"/>
      <c r="M114" s="36"/>
      <c r="N114" s="36"/>
      <c r="O114" s="36"/>
      <c r="P114" s="36"/>
    </row>
    <row r="115" spans="1:16" ht="30" customHeight="1">
      <c r="A115" s="9"/>
      <c r="B115" s="2" t="s">
        <v>21</v>
      </c>
      <c r="C115" s="2" t="s">
        <v>19</v>
      </c>
      <c r="D115" s="2">
        <v>0.16</v>
      </c>
      <c r="E115" s="3">
        <f>D115*E110</f>
        <v>4.96</v>
      </c>
      <c r="F115" s="179"/>
      <c r="G115" s="186"/>
      <c r="H115" s="29">
        <f>G171/E171</f>
        <v>0</v>
      </c>
      <c r="I115" s="30">
        <f>G171</f>
        <v>0</v>
      </c>
      <c r="J115" s="30"/>
      <c r="P115" s="36"/>
    </row>
    <row r="116" spans="1:14" ht="44.25" customHeight="1">
      <c r="A116" s="4" t="s">
        <v>86</v>
      </c>
      <c r="B116" s="6" t="s">
        <v>256</v>
      </c>
      <c r="C116" s="6" t="s">
        <v>30</v>
      </c>
      <c r="D116" s="53"/>
      <c r="E116" s="64">
        <v>9</v>
      </c>
      <c r="F116" s="195"/>
      <c r="G116" s="176"/>
      <c r="H116" s="34"/>
      <c r="I116" s="30" t="e">
        <f>#REF!</f>
        <v>#REF!</v>
      </c>
      <c r="J116" s="30"/>
      <c r="K116" s="36"/>
      <c r="L116" s="36"/>
      <c r="M116" s="36"/>
      <c r="N116" s="36"/>
    </row>
    <row r="117" spans="1:15" ht="30.75" customHeight="1">
      <c r="A117" s="1"/>
      <c r="B117" s="2" t="s">
        <v>4</v>
      </c>
      <c r="C117" s="2" t="s">
        <v>9</v>
      </c>
      <c r="D117" s="10">
        <f>1.15*1</f>
        <v>1.15</v>
      </c>
      <c r="E117" s="41">
        <f>D117*E116</f>
        <v>10.35</v>
      </c>
      <c r="F117" s="177"/>
      <c r="G117" s="178"/>
      <c r="H117" s="34"/>
      <c r="I117" s="30" t="e">
        <f>#REF!</f>
        <v>#REF!</v>
      </c>
      <c r="J117" s="30"/>
      <c r="K117" s="36"/>
      <c r="L117" s="36"/>
      <c r="M117" s="36"/>
      <c r="N117" s="36"/>
      <c r="O117" s="36"/>
    </row>
    <row r="118" spans="1:15" ht="27" customHeight="1">
      <c r="A118" s="9"/>
      <c r="B118" s="2" t="s">
        <v>136</v>
      </c>
      <c r="C118" s="2" t="s">
        <v>19</v>
      </c>
      <c r="D118" s="10">
        <f>1.15*0.0644</f>
        <v>0.07405999999999999</v>
      </c>
      <c r="E118" s="21">
        <f>D118*E116</f>
        <v>0.6665399999999999</v>
      </c>
      <c r="F118" s="177"/>
      <c r="G118" s="178"/>
      <c r="H118" s="34"/>
      <c r="I118" s="30" t="e">
        <f>#REF!</f>
        <v>#REF!</v>
      </c>
      <c r="J118" s="30"/>
      <c r="K118" s="36"/>
      <c r="L118" s="36"/>
      <c r="M118" s="36"/>
      <c r="N118" s="36"/>
      <c r="O118" s="36"/>
    </row>
    <row r="119" spans="1:10" s="36" customFormat="1" ht="21.75" customHeight="1">
      <c r="A119" s="9"/>
      <c r="B119" s="2" t="s">
        <v>42</v>
      </c>
      <c r="C119" s="2" t="s">
        <v>17</v>
      </c>
      <c r="D119" s="10">
        <f>0.11*0.1</f>
        <v>0.011000000000000001</v>
      </c>
      <c r="E119" s="21">
        <f>D119*E116</f>
        <v>0.099</v>
      </c>
      <c r="F119" s="177"/>
      <c r="G119" s="178"/>
      <c r="H119" s="35"/>
      <c r="I119" s="30" t="e">
        <f>#REF!</f>
        <v>#REF!</v>
      </c>
      <c r="J119" s="30"/>
    </row>
    <row r="120" spans="1:15" s="36" customFormat="1" ht="23.25" customHeight="1">
      <c r="A120" s="9"/>
      <c r="B120" s="2" t="s">
        <v>140</v>
      </c>
      <c r="C120" s="2" t="s">
        <v>26</v>
      </c>
      <c r="D120" s="20">
        <v>12.5</v>
      </c>
      <c r="E120" s="20">
        <f>D120*E116</f>
        <v>112.5</v>
      </c>
      <c r="F120" s="177"/>
      <c r="G120" s="178"/>
      <c r="H120" s="34"/>
      <c r="I120" s="30" t="e">
        <f>#REF!</f>
        <v>#REF!</v>
      </c>
      <c r="J120" s="30"/>
      <c r="O120" s="24"/>
    </row>
    <row r="121" spans="1:10" s="36" customFormat="1" ht="23.25" customHeight="1">
      <c r="A121" s="9"/>
      <c r="B121" s="2" t="s">
        <v>21</v>
      </c>
      <c r="C121" s="2" t="s">
        <v>19</v>
      </c>
      <c r="D121" s="10">
        <v>0.0012</v>
      </c>
      <c r="E121" s="21">
        <f>D121*E116</f>
        <v>0.010799999999999999</v>
      </c>
      <c r="F121" s="177"/>
      <c r="G121" s="178"/>
      <c r="H121" s="34"/>
      <c r="I121" s="30"/>
      <c r="J121" s="30"/>
    </row>
    <row r="122" spans="1:15" ht="53.25" customHeight="1">
      <c r="A122" s="4" t="s">
        <v>177</v>
      </c>
      <c r="B122" s="6" t="s">
        <v>258</v>
      </c>
      <c r="C122" s="53" t="s">
        <v>30</v>
      </c>
      <c r="D122" s="53"/>
      <c r="E122" s="142">
        <v>48.3</v>
      </c>
      <c r="F122" s="195"/>
      <c r="G122" s="176"/>
      <c r="H122" s="34"/>
      <c r="I122" s="30"/>
      <c r="J122" s="30"/>
      <c r="K122" s="36"/>
      <c r="L122" s="36"/>
      <c r="M122" s="36"/>
      <c r="N122" s="36"/>
      <c r="O122" s="36"/>
    </row>
    <row r="123" spans="1:14" s="36" customFormat="1" ht="31.5" customHeight="1">
      <c r="A123" s="9"/>
      <c r="B123" s="2" t="s">
        <v>44</v>
      </c>
      <c r="C123" s="10" t="str">
        <f>C122</f>
        <v>kv.m</v>
      </c>
      <c r="D123" s="10">
        <v>1</v>
      </c>
      <c r="E123" s="20">
        <f>E122*D123</f>
        <v>48.3</v>
      </c>
      <c r="F123" s="196"/>
      <c r="G123" s="178"/>
      <c r="H123" s="29" t="e">
        <f>#REF!/#REF!</f>
        <v>#REF!</v>
      </c>
      <c r="I123" s="30" t="e">
        <f>#REF!</f>
        <v>#REF!</v>
      </c>
      <c r="J123" s="30"/>
      <c r="K123" s="24"/>
      <c r="L123" s="24"/>
      <c r="M123" s="24"/>
      <c r="N123" s="24"/>
    </row>
    <row r="124" spans="1:15" ht="36" customHeight="1">
      <c r="A124" s="4" t="s">
        <v>80</v>
      </c>
      <c r="B124" s="6" t="s">
        <v>260</v>
      </c>
      <c r="C124" s="66" t="s">
        <v>30</v>
      </c>
      <c r="D124" s="53"/>
      <c r="E124" s="142">
        <v>17.2</v>
      </c>
      <c r="F124" s="195"/>
      <c r="G124" s="176"/>
      <c r="H124" s="49"/>
      <c r="I124" s="30">
        <f>G178</f>
        <v>0</v>
      </c>
      <c r="J124" s="30"/>
      <c r="K124" s="45"/>
      <c r="L124" s="45"/>
      <c r="M124" s="45"/>
      <c r="N124" s="45"/>
      <c r="O124" s="33"/>
    </row>
    <row r="125" spans="1:15" s="28" customFormat="1" ht="33" customHeight="1">
      <c r="A125" s="9"/>
      <c r="B125" s="2" t="s">
        <v>44</v>
      </c>
      <c r="C125" s="10" t="str">
        <f>C124</f>
        <v>kv.m</v>
      </c>
      <c r="D125" s="10">
        <v>1</v>
      </c>
      <c r="E125" s="143">
        <f>E124*D125</f>
        <v>17.2</v>
      </c>
      <c r="F125" s="196"/>
      <c r="G125" s="178"/>
      <c r="H125" s="49"/>
      <c r="I125" s="30">
        <f>G179</f>
        <v>0</v>
      </c>
      <c r="J125" s="30"/>
      <c r="K125" s="45"/>
      <c r="L125" s="45"/>
      <c r="M125" s="45"/>
      <c r="N125" s="45"/>
      <c r="O125" s="32"/>
    </row>
    <row r="126" spans="1:10" s="36" customFormat="1" ht="39.75" customHeight="1">
      <c r="A126" s="4" t="s">
        <v>178</v>
      </c>
      <c r="B126" s="6" t="s">
        <v>259</v>
      </c>
      <c r="C126" s="53" t="s">
        <v>30</v>
      </c>
      <c r="D126" s="53"/>
      <c r="E126" s="142">
        <v>6.3</v>
      </c>
      <c r="F126" s="195"/>
      <c r="G126" s="197"/>
      <c r="H126" s="34"/>
      <c r="I126" s="30">
        <f>G182</f>
        <v>0</v>
      </c>
      <c r="J126" s="30"/>
    </row>
    <row r="127" spans="1:15" s="36" customFormat="1" ht="36" customHeight="1">
      <c r="A127" s="9"/>
      <c r="B127" s="2" t="s">
        <v>44</v>
      </c>
      <c r="C127" s="10" t="str">
        <f>C126</f>
        <v>kv.m</v>
      </c>
      <c r="D127" s="10">
        <v>1</v>
      </c>
      <c r="E127" s="20">
        <f>E126*D127</f>
        <v>6.3</v>
      </c>
      <c r="F127" s="196"/>
      <c r="G127" s="178"/>
      <c r="H127" s="34"/>
      <c r="I127" s="30">
        <f>G183</f>
        <v>0</v>
      </c>
      <c r="J127" s="30"/>
      <c r="O127" s="33"/>
    </row>
    <row r="128" spans="1:16" ht="58.5" customHeight="1">
      <c r="A128" s="67" t="s">
        <v>179</v>
      </c>
      <c r="B128" s="128" t="s">
        <v>261</v>
      </c>
      <c r="C128" s="128" t="s">
        <v>30</v>
      </c>
      <c r="D128" s="128"/>
      <c r="E128" s="13">
        <v>15</v>
      </c>
      <c r="F128" s="184"/>
      <c r="G128" s="185"/>
      <c r="H128" s="34"/>
      <c r="I128" s="30" t="e">
        <f>#REF!</f>
        <v>#REF!</v>
      </c>
      <c r="J128" s="30"/>
      <c r="K128" s="33"/>
      <c r="L128" s="33"/>
      <c r="M128" s="33"/>
      <c r="N128" s="33"/>
      <c r="O128" s="36"/>
      <c r="P128" s="36"/>
    </row>
    <row r="129" spans="1:16" ht="28.5" customHeight="1">
      <c r="A129" s="68"/>
      <c r="B129" s="14" t="s">
        <v>236</v>
      </c>
      <c r="C129" s="14" t="s">
        <v>9</v>
      </c>
      <c r="D129" s="14">
        <f>1.15*0.031</f>
        <v>0.035649999999999994</v>
      </c>
      <c r="E129" s="118">
        <f>D129*E128</f>
        <v>0.53475</v>
      </c>
      <c r="F129" s="183"/>
      <c r="G129" s="186"/>
      <c r="H129" s="34"/>
      <c r="I129" s="30" t="e">
        <f>#REF!</f>
        <v>#REF!</v>
      </c>
      <c r="J129" s="30"/>
      <c r="K129" s="32"/>
      <c r="L129" s="32"/>
      <c r="M129" s="32"/>
      <c r="N129" s="32"/>
      <c r="O129" s="36"/>
      <c r="P129" s="36"/>
    </row>
    <row r="130" spans="1:14" s="36" customFormat="1" ht="36.75" customHeight="1">
      <c r="A130" s="68"/>
      <c r="B130" s="14" t="s">
        <v>237</v>
      </c>
      <c r="C130" s="14" t="s">
        <v>19</v>
      </c>
      <c r="D130" s="14">
        <f>1.15*0.002</f>
        <v>0.0023</v>
      </c>
      <c r="E130" s="118">
        <f>D130*E128</f>
        <v>0.0345</v>
      </c>
      <c r="F130" s="183"/>
      <c r="G130" s="186"/>
      <c r="H130" s="34"/>
      <c r="I130" s="30" t="e">
        <f>#REF!</f>
        <v>#REF!</v>
      </c>
      <c r="J130" s="30"/>
      <c r="K130" s="32"/>
      <c r="L130" s="32"/>
      <c r="M130" s="32"/>
      <c r="N130" s="32"/>
    </row>
    <row r="131" spans="1:14" s="36" customFormat="1" ht="30.75" customHeight="1">
      <c r="A131" s="68"/>
      <c r="B131" s="14" t="s">
        <v>238</v>
      </c>
      <c r="C131" s="14" t="s">
        <v>18</v>
      </c>
      <c r="D131" s="14">
        <v>0.101</v>
      </c>
      <c r="E131" s="118">
        <f>D131*E128</f>
        <v>1.5150000000000001</v>
      </c>
      <c r="F131" s="183"/>
      <c r="G131" s="186"/>
      <c r="H131" s="34"/>
      <c r="I131" s="30" t="e">
        <f>#REF!</f>
        <v>#REF!</v>
      </c>
      <c r="J131" s="30"/>
      <c r="K131" s="32"/>
      <c r="L131" s="32"/>
      <c r="M131" s="32"/>
      <c r="N131" s="32"/>
    </row>
    <row r="132" spans="1:15" s="36" customFormat="1" ht="23.25" customHeight="1">
      <c r="A132" s="68"/>
      <c r="B132" s="14" t="s">
        <v>21</v>
      </c>
      <c r="C132" s="14" t="s">
        <v>19</v>
      </c>
      <c r="D132" s="14">
        <v>0.0019</v>
      </c>
      <c r="E132" s="118">
        <f>D132*E128</f>
        <v>0.0285</v>
      </c>
      <c r="F132" s="183"/>
      <c r="G132" s="186"/>
      <c r="H132" s="34"/>
      <c r="I132" s="30" t="e">
        <f>#REF!</f>
        <v>#REF!</v>
      </c>
      <c r="J132" s="30"/>
      <c r="K132" s="33"/>
      <c r="L132" s="33"/>
      <c r="M132" s="33"/>
      <c r="N132" s="33"/>
      <c r="O132" s="45"/>
    </row>
    <row r="133" spans="1:16" ht="59.25" customHeight="1">
      <c r="A133" s="67" t="s">
        <v>180</v>
      </c>
      <c r="B133" s="128" t="s">
        <v>239</v>
      </c>
      <c r="C133" s="128" t="s">
        <v>30</v>
      </c>
      <c r="D133" s="128"/>
      <c r="E133" s="13">
        <f>E128+0</f>
        <v>15</v>
      </c>
      <c r="F133" s="184"/>
      <c r="G133" s="185"/>
      <c r="H133" s="29"/>
      <c r="I133" s="30" t="e">
        <f>#REF!</f>
        <v>#REF!</v>
      </c>
      <c r="J133" s="30"/>
      <c r="K133" s="33"/>
      <c r="L133" s="33"/>
      <c r="M133" s="33"/>
      <c r="N133" s="33"/>
      <c r="O133" s="45"/>
      <c r="P133" s="36"/>
    </row>
    <row r="134" spans="1:16" s="44" customFormat="1" ht="36" customHeight="1">
      <c r="A134" s="68"/>
      <c r="B134" s="14" t="s">
        <v>70</v>
      </c>
      <c r="C134" s="14" t="s">
        <v>9</v>
      </c>
      <c r="D134" s="14">
        <f>1.15*0.388</f>
        <v>0.4462</v>
      </c>
      <c r="E134" s="118">
        <f>D134*E133</f>
        <v>6.693</v>
      </c>
      <c r="F134" s="183"/>
      <c r="G134" s="186"/>
      <c r="H134" s="29">
        <f>G184/E184</f>
        <v>0</v>
      </c>
      <c r="I134" s="30">
        <f>G184</f>
        <v>0</v>
      </c>
      <c r="J134" s="30"/>
      <c r="K134" s="23"/>
      <c r="L134" s="23"/>
      <c r="M134" s="23"/>
      <c r="N134" s="43"/>
      <c r="O134" s="45"/>
      <c r="P134" s="45"/>
    </row>
    <row r="135" spans="1:16" s="44" customFormat="1" ht="32.25" customHeight="1">
      <c r="A135" s="1"/>
      <c r="B135" s="2" t="s">
        <v>47</v>
      </c>
      <c r="C135" s="2" t="s">
        <v>19</v>
      </c>
      <c r="D135" s="126">
        <f>1.15*0.0003</f>
        <v>0.00034499999999999993</v>
      </c>
      <c r="E135" s="3">
        <f>D135*E133</f>
        <v>0.005174999999999999</v>
      </c>
      <c r="F135" s="179"/>
      <c r="G135" s="187"/>
      <c r="H135" s="34"/>
      <c r="I135" s="30">
        <f>G185</f>
        <v>0</v>
      </c>
      <c r="J135" s="30"/>
      <c r="K135" s="36"/>
      <c r="L135" s="36"/>
      <c r="M135" s="36"/>
      <c r="N135" s="36"/>
      <c r="O135" s="45"/>
      <c r="P135" s="45"/>
    </row>
    <row r="136" spans="1:15" s="45" customFormat="1" ht="28.5" customHeight="1">
      <c r="A136" s="1"/>
      <c r="B136" s="2" t="s">
        <v>240</v>
      </c>
      <c r="C136" s="2" t="s">
        <v>18</v>
      </c>
      <c r="D136" s="2">
        <v>0.24600000000000002</v>
      </c>
      <c r="E136" s="3">
        <f>D136*E133</f>
        <v>3.6900000000000004</v>
      </c>
      <c r="F136" s="179"/>
      <c r="G136" s="187"/>
      <c r="H136" s="34"/>
      <c r="I136" s="30">
        <f>G186</f>
        <v>0</v>
      </c>
      <c r="J136" s="30"/>
      <c r="K136" s="36"/>
      <c r="L136" s="36"/>
      <c r="M136" s="36"/>
      <c r="N136" s="36"/>
      <c r="O136" s="36"/>
    </row>
    <row r="137" spans="1:15" s="45" customFormat="1" ht="30" customHeight="1">
      <c r="A137" s="1"/>
      <c r="B137" s="2" t="s">
        <v>21</v>
      </c>
      <c r="C137" s="2" t="s">
        <v>19</v>
      </c>
      <c r="D137" s="2">
        <v>0.0019</v>
      </c>
      <c r="E137" s="3">
        <f>D137*E133</f>
        <v>0.0285</v>
      </c>
      <c r="F137" s="179"/>
      <c r="G137" s="187"/>
      <c r="H137" s="29"/>
      <c r="I137" s="30">
        <f>G187</f>
        <v>0</v>
      </c>
      <c r="J137" s="30"/>
      <c r="K137" s="36"/>
      <c r="L137" s="36"/>
      <c r="M137" s="36"/>
      <c r="N137" s="36"/>
      <c r="O137" s="36"/>
    </row>
    <row r="138" spans="1:14" ht="55.5" customHeight="1">
      <c r="A138" s="4" t="s">
        <v>181</v>
      </c>
      <c r="B138" s="6" t="s">
        <v>263</v>
      </c>
      <c r="C138" s="6" t="s">
        <v>37</v>
      </c>
      <c r="D138" s="53"/>
      <c r="E138" s="64">
        <v>33</v>
      </c>
      <c r="F138" s="195"/>
      <c r="G138" s="176"/>
      <c r="H138" s="34"/>
      <c r="I138" s="30">
        <f>G203</f>
        <v>0</v>
      </c>
      <c r="J138" s="30"/>
      <c r="K138" s="36"/>
      <c r="L138" s="36"/>
      <c r="M138" s="36"/>
      <c r="N138" s="36"/>
    </row>
    <row r="139" spans="1:14" ht="24" customHeight="1">
      <c r="A139" s="9"/>
      <c r="B139" s="2" t="s">
        <v>109</v>
      </c>
      <c r="C139" s="2" t="s">
        <v>37</v>
      </c>
      <c r="D139" s="10">
        <f>1.15*0.74</f>
        <v>0.851</v>
      </c>
      <c r="E139" s="20">
        <f>D139*E138</f>
        <v>28.083</v>
      </c>
      <c r="F139" s="177"/>
      <c r="G139" s="178"/>
      <c r="H139" s="35"/>
      <c r="I139" s="30">
        <f>G204</f>
        <v>0</v>
      </c>
      <c r="J139" s="30"/>
      <c r="K139" s="36"/>
      <c r="L139" s="36"/>
      <c r="M139" s="36"/>
      <c r="N139" s="36"/>
    </row>
    <row r="140" spans="1:14" ht="26.25" customHeight="1">
      <c r="A140" s="9"/>
      <c r="B140" s="2" t="s">
        <v>110</v>
      </c>
      <c r="C140" s="2" t="s">
        <v>19</v>
      </c>
      <c r="D140" s="10">
        <f>1.15*0.0662</f>
        <v>0.07612999999999999</v>
      </c>
      <c r="E140" s="20">
        <f>D140*E138</f>
        <v>2.5122899999999997</v>
      </c>
      <c r="F140" s="177"/>
      <c r="G140" s="178"/>
      <c r="H140" s="34"/>
      <c r="I140" s="30">
        <f>G205</f>
        <v>0</v>
      </c>
      <c r="J140" s="30"/>
      <c r="K140" s="36"/>
      <c r="L140" s="36"/>
      <c r="M140" s="36"/>
      <c r="N140" s="36"/>
    </row>
    <row r="141" spans="1:10" ht="30" customHeight="1">
      <c r="A141" s="9"/>
      <c r="B141" s="2" t="s">
        <v>262</v>
      </c>
      <c r="C141" s="2" t="s">
        <v>30</v>
      </c>
      <c r="D141" s="41">
        <v>0.35</v>
      </c>
      <c r="E141" s="20">
        <f>E138*D141</f>
        <v>11.549999999999999</v>
      </c>
      <c r="F141" s="177"/>
      <c r="G141" s="178"/>
      <c r="H141" s="29" t="e">
        <f>#REF!/#REF!</f>
        <v>#REF!</v>
      </c>
      <c r="I141" s="30" t="e">
        <f>#REF!</f>
        <v>#REF!</v>
      </c>
      <c r="J141" s="30"/>
    </row>
    <row r="142" spans="1:10" ht="23.25" customHeight="1">
      <c r="A142" s="9"/>
      <c r="B142" s="2" t="s">
        <v>111</v>
      </c>
      <c r="C142" s="2" t="s">
        <v>112</v>
      </c>
      <c r="D142" s="20">
        <v>0.1</v>
      </c>
      <c r="E142" s="20">
        <f>E138*D142</f>
        <v>3.3000000000000003</v>
      </c>
      <c r="F142" s="177"/>
      <c r="G142" s="178"/>
      <c r="H142" s="36"/>
      <c r="I142" s="30" t="e">
        <f>#REF!</f>
        <v>#REF!</v>
      </c>
      <c r="J142" s="30"/>
    </row>
    <row r="143" spans="1:14" ht="27.75" customHeight="1">
      <c r="A143" s="9"/>
      <c r="B143" s="2" t="s">
        <v>21</v>
      </c>
      <c r="C143" s="2" t="s">
        <v>19</v>
      </c>
      <c r="D143" s="10">
        <v>0.133</v>
      </c>
      <c r="E143" s="20">
        <f>D143*E138</f>
        <v>4.389</v>
      </c>
      <c r="F143" s="177"/>
      <c r="G143" s="178"/>
      <c r="H143" s="36"/>
      <c r="I143" s="30">
        <f>G206</f>
        <v>0</v>
      </c>
      <c r="J143" s="30"/>
      <c r="K143" s="36"/>
      <c r="L143" s="36"/>
      <c r="M143" s="36"/>
      <c r="N143" s="36"/>
    </row>
    <row r="144" spans="1:14" ht="40.5" customHeight="1">
      <c r="A144" s="4" t="s">
        <v>182</v>
      </c>
      <c r="B144" s="6" t="s">
        <v>108</v>
      </c>
      <c r="C144" s="53" t="s">
        <v>37</v>
      </c>
      <c r="D144" s="53"/>
      <c r="E144" s="64">
        <v>284</v>
      </c>
      <c r="F144" s="195"/>
      <c r="G144" s="176"/>
      <c r="H144" s="36"/>
      <c r="I144" s="30">
        <f>G207</f>
        <v>0</v>
      </c>
      <c r="J144" s="30"/>
      <c r="K144" s="36"/>
      <c r="L144" s="36"/>
      <c r="M144" s="36"/>
      <c r="N144" s="36"/>
    </row>
    <row r="145" spans="1:13" ht="27.75" customHeight="1">
      <c r="A145" s="1"/>
      <c r="B145" s="2" t="s">
        <v>92</v>
      </c>
      <c r="C145" s="10" t="s">
        <v>9</v>
      </c>
      <c r="D145" s="10">
        <f>1.15*0.3</f>
        <v>0.345</v>
      </c>
      <c r="E145" s="20">
        <f>E144*D145</f>
        <v>97.97999999999999</v>
      </c>
      <c r="F145" s="177"/>
      <c r="G145" s="178"/>
      <c r="H145" s="36"/>
      <c r="I145" s="30">
        <f>G208</f>
        <v>0</v>
      </c>
      <c r="J145" s="30"/>
      <c r="K145" s="36"/>
      <c r="L145" s="36"/>
      <c r="M145" s="36"/>
    </row>
    <row r="146" spans="1:14" ht="29.25" customHeight="1">
      <c r="A146" s="1"/>
      <c r="B146" s="2" t="s">
        <v>93</v>
      </c>
      <c r="C146" s="10" t="s">
        <v>19</v>
      </c>
      <c r="D146" s="10">
        <f>1.15*0.011</f>
        <v>0.012649999999999998</v>
      </c>
      <c r="E146" s="20">
        <f>D146*E144</f>
        <v>3.5925999999999996</v>
      </c>
      <c r="F146" s="177"/>
      <c r="G146" s="178"/>
      <c r="H146" s="32"/>
      <c r="I146" s="30">
        <f>G209</f>
        <v>0</v>
      </c>
      <c r="J146" s="30"/>
      <c r="K146" s="32"/>
      <c r="L146" s="32"/>
      <c r="M146" s="32"/>
      <c r="N146" s="33"/>
    </row>
    <row r="147" spans="1:15" ht="27" customHeight="1">
      <c r="A147" s="1"/>
      <c r="B147" s="2" t="s">
        <v>41</v>
      </c>
      <c r="C147" s="10" t="s">
        <v>17</v>
      </c>
      <c r="D147" s="10">
        <v>0.0067</v>
      </c>
      <c r="E147" s="20">
        <f>D147*E144</f>
        <v>1.9028</v>
      </c>
      <c r="F147" s="177"/>
      <c r="G147" s="178"/>
      <c r="H147" s="37"/>
      <c r="I147" s="30">
        <f>G210</f>
        <v>0</v>
      </c>
      <c r="J147" s="30"/>
      <c r="O147" s="50"/>
    </row>
    <row r="148" spans="1:15" ht="54.75" customHeight="1">
      <c r="A148" s="4" t="s">
        <v>170</v>
      </c>
      <c r="B148" s="6" t="s">
        <v>128</v>
      </c>
      <c r="C148" s="144" t="s">
        <v>35</v>
      </c>
      <c r="D148" s="53"/>
      <c r="E148" s="64">
        <v>311</v>
      </c>
      <c r="F148" s="195"/>
      <c r="G148" s="176"/>
      <c r="H148" s="37"/>
      <c r="I148" s="30"/>
      <c r="J148" s="30"/>
      <c r="O148" s="36"/>
    </row>
    <row r="149" spans="1:15" s="50" customFormat="1" ht="31.5" customHeight="1">
      <c r="A149" s="1"/>
      <c r="B149" s="2" t="s">
        <v>87</v>
      </c>
      <c r="C149" s="10" t="s">
        <v>9</v>
      </c>
      <c r="D149" s="10">
        <f>1.15*(18.8+4*0.34)/100</f>
        <v>0.23183999999999996</v>
      </c>
      <c r="E149" s="20">
        <f>D149*E148</f>
        <v>72.10224</v>
      </c>
      <c r="F149" s="177"/>
      <c r="G149" s="178"/>
      <c r="H149" s="37"/>
      <c r="I149" s="30"/>
      <c r="J149" s="30"/>
      <c r="K149" s="24"/>
      <c r="L149" s="24"/>
      <c r="M149" s="24"/>
      <c r="N149" s="24"/>
      <c r="O149" s="24"/>
    </row>
    <row r="150" spans="1:15" s="36" customFormat="1" ht="27" customHeight="1">
      <c r="A150" s="1"/>
      <c r="B150" s="2" t="s">
        <v>88</v>
      </c>
      <c r="C150" s="10" t="s">
        <v>19</v>
      </c>
      <c r="D150" s="10">
        <f>1.15*(0.95+4*0.23)/100</f>
        <v>0.021505</v>
      </c>
      <c r="E150" s="20">
        <f>D150*E148</f>
        <v>6.688055</v>
      </c>
      <c r="F150" s="177"/>
      <c r="G150" s="178"/>
      <c r="H150" s="37" t="e">
        <f>#REF!/#REF!</f>
        <v>#REF!</v>
      </c>
      <c r="I150" s="30" t="e">
        <f>#REF!</f>
        <v>#REF!</v>
      </c>
      <c r="J150" s="24"/>
      <c r="K150" s="24"/>
      <c r="L150" s="24"/>
      <c r="M150" s="24"/>
      <c r="N150" s="24"/>
      <c r="O150" s="24"/>
    </row>
    <row r="151" spans="1:9" ht="24.75" customHeight="1">
      <c r="A151" s="1"/>
      <c r="B151" s="2" t="s">
        <v>89</v>
      </c>
      <c r="C151" s="10" t="s">
        <v>17</v>
      </c>
      <c r="D151" s="10">
        <f>(2.04+4*0.51)/100</f>
        <v>0.0408</v>
      </c>
      <c r="E151" s="20">
        <f>D151*E148</f>
        <v>12.6888</v>
      </c>
      <c r="F151" s="177"/>
      <c r="G151" s="178"/>
      <c r="I151" s="30" t="e">
        <f>#REF!</f>
        <v>#REF!</v>
      </c>
    </row>
    <row r="152" spans="1:9" ht="24.75" customHeight="1">
      <c r="A152" s="1"/>
      <c r="B152" s="2" t="s">
        <v>21</v>
      </c>
      <c r="C152" s="10" t="s">
        <v>19</v>
      </c>
      <c r="D152" s="10">
        <v>0.0636</v>
      </c>
      <c r="E152" s="20">
        <f>D152*E148</f>
        <v>19.779600000000002</v>
      </c>
      <c r="F152" s="177"/>
      <c r="G152" s="178"/>
      <c r="I152" s="30" t="e">
        <f>#REF!</f>
        <v>#REF!</v>
      </c>
    </row>
    <row r="153" spans="1:9" ht="56.25" customHeight="1">
      <c r="A153" s="67" t="s">
        <v>201</v>
      </c>
      <c r="B153" s="128" t="s">
        <v>268</v>
      </c>
      <c r="C153" s="6" t="s">
        <v>30</v>
      </c>
      <c r="D153" s="6"/>
      <c r="E153" s="8">
        <v>156</v>
      </c>
      <c r="F153" s="188"/>
      <c r="G153" s="185"/>
      <c r="I153" s="30" t="e">
        <f>#REF!</f>
        <v>#REF!</v>
      </c>
    </row>
    <row r="154" spans="1:9" ht="27" customHeight="1">
      <c r="A154" s="9"/>
      <c r="B154" s="2" t="s">
        <v>264</v>
      </c>
      <c r="C154" s="2" t="s">
        <v>9</v>
      </c>
      <c r="D154" s="2">
        <f>1.15*0.312</f>
        <v>0.35879999999999995</v>
      </c>
      <c r="E154" s="3">
        <f>D154*E153</f>
        <v>55.97279999999999</v>
      </c>
      <c r="F154" s="179"/>
      <c r="G154" s="186"/>
      <c r="I154" s="30" t="e">
        <f>#REF!</f>
        <v>#REF!</v>
      </c>
    </row>
    <row r="155" spans="1:9" ht="30" customHeight="1">
      <c r="A155" s="9"/>
      <c r="B155" s="2" t="s">
        <v>265</v>
      </c>
      <c r="C155" s="2" t="s">
        <v>19</v>
      </c>
      <c r="D155" s="2">
        <f>1.15*0.0138</f>
        <v>0.01587</v>
      </c>
      <c r="E155" s="20">
        <f>E153*D155</f>
        <v>2.47572</v>
      </c>
      <c r="F155" s="177"/>
      <c r="G155" s="190"/>
      <c r="I155" s="30" t="e">
        <f>#REF!</f>
        <v>#REF!</v>
      </c>
    </row>
    <row r="156" spans="1:11" ht="30.75" customHeight="1">
      <c r="A156" s="9"/>
      <c r="B156" s="2" t="s">
        <v>269</v>
      </c>
      <c r="C156" s="2" t="s">
        <v>23</v>
      </c>
      <c r="D156" s="2">
        <v>1.12</v>
      </c>
      <c r="E156" s="11">
        <f>E153*D156</f>
        <v>174.72000000000003</v>
      </c>
      <c r="F156" s="179"/>
      <c r="G156" s="190"/>
      <c r="H156" s="36"/>
      <c r="I156" s="30" t="e">
        <f>#REF!</f>
        <v>#REF!</v>
      </c>
      <c r="J156" s="51" t="e">
        <f>#REF!</f>
        <v>#REF!</v>
      </c>
      <c r="K156" s="36"/>
    </row>
    <row r="157" spans="1:11" ht="21.75" customHeight="1">
      <c r="A157" s="9"/>
      <c r="B157" s="2" t="s">
        <v>266</v>
      </c>
      <c r="C157" s="2" t="s">
        <v>18</v>
      </c>
      <c r="D157" s="2">
        <v>0.1</v>
      </c>
      <c r="E157" s="11">
        <f>E153*D157</f>
        <v>15.600000000000001</v>
      </c>
      <c r="F157" s="179"/>
      <c r="G157" s="190"/>
      <c r="H157" s="36"/>
      <c r="I157" s="30" t="e">
        <f>#REF!</f>
        <v>#REF!</v>
      </c>
      <c r="J157" s="36"/>
      <c r="K157" s="36"/>
    </row>
    <row r="158" spans="1:11" ht="29.25" customHeight="1">
      <c r="A158" s="9"/>
      <c r="B158" s="2" t="s">
        <v>267</v>
      </c>
      <c r="C158" s="2" t="s">
        <v>18</v>
      </c>
      <c r="D158" s="2">
        <v>0.38</v>
      </c>
      <c r="E158" s="20">
        <f>E153*D158</f>
        <v>59.28</v>
      </c>
      <c r="F158" s="179"/>
      <c r="G158" s="190"/>
      <c r="H158" s="36"/>
      <c r="I158" s="30" t="e">
        <f>#REF!</f>
        <v>#REF!</v>
      </c>
      <c r="J158" s="36"/>
      <c r="K158" s="36"/>
    </row>
    <row r="159" spans="1:11" ht="29.25" customHeight="1">
      <c r="A159" s="9"/>
      <c r="B159" s="2" t="s">
        <v>21</v>
      </c>
      <c r="C159" s="2" t="s">
        <v>19</v>
      </c>
      <c r="D159" s="2">
        <v>0.0019</v>
      </c>
      <c r="E159" s="20">
        <f>E153*D159</f>
        <v>0.2964</v>
      </c>
      <c r="F159" s="177"/>
      <c r="G159" s="190"/>
      <c r="H159" s="36"/>
      <c r="I159" s="30" t="e">
        <f>#REF!</f>
        <v>#REF!</v>
      </c>
      <c r="J159" s="36"/>
      <c r="K159" s="36"/>
    </row>
    <row r="160" spans="1:11" ht="69" customHeight="1">
      <c r="A160" s="4" t="s">
        <v>183</v>
      </c>
      <c r="B160" s="6" t="s">
        <v>127</v>
      </c>
      <c r="C160" s="53" t="s">
        <v>30</v>
      </c>
      <c r="D160" s="53"/>
      <c r="E160" s="142">
        <v>210.8</v>
      </c>
      <c r="F160" s="195"/>
      <c r="G160" s="176"/>
      <c r="H160" s="36"/>
      <c r="I160" s="30" t="e">
        <f>#REF!</f>
        <v>#REF!</v>
      </c>
      <c r="J160" s="36"/>
      <c r="K160" s="36"/>
    </row>
    <row r="161" spans="1:14" ht="24" customHeight="1">
      <c r="A161" s="9"/>
      <c r="B161" s="2" t="s">
        <v>72</v>
      </c>
      <c r="C161" s="10" t="s">
        <v>9</v>
      </c>
      <c r="D161" s="10">
        <f>1.15*0.536</f>
        <v>0.6164</v>
      </c>
      <c r="E161" s="20">
        <f>D161*E160</f>
        <v>129.93712</v>
      </c>
      <c r="F161" s="177"/>
      <c r="G161" s="178"/>
      <c r="H161" s="50"/>
      <c r="I161" s="30" t="e">
        <f>#REF!</f>
        <v>#REF!</v>
      </c>
      <c r="J161" s="50"/>
      <c r="K161" s="50"/>
      <c r="L161" s="50"/>
      <c r="M161" s="50"/>
      <c r="N161" s="50"/>
    </row>
    <row r="162" spans="1:14" ht="30.75" customHeight="1">
      <c r="A162" s="9"/>
      <c r="B162" s="2" t="s">
        <v>73</v>
      </c>
      <c r="C162" s="10" t="s">
        <v>19</v>
      </c>
      <c r="D162" s="10">
        <f>1.15*0.0365</f>
        <v>0.04197499999999999</v>
      </c>
      <c r="E162" s="20">
        <f>D162*E160</f>
        <v>8.848329999999999</v>
      </c>
      <c r="F162" s="177"/>
      <c r="G162" s="178"/>
      <c r="H162" s="48"/>
      <c r="I162" s="30" t="e">
        <f>#REF!</f>
        <v>#REF!</v>
      </c>
      <c r="J162" s="36"/>
      <c r="K162" s="36"/>
      <c r="L162" s="36"/>
      <c r="M162" s="36"/>
      <c r="N162" s="36"/>
    </row>
    <row r="163" spans="1:9" ht="36" customHeight="1">
      <c r="A163" s="9"/>
      <c r="B163" s="2" t="s">
        <v>74</v>
      </c>
      <c r="C163" s="10" t="s">
        <v>30</v>
      </c>
      <c r="D163" s="10">
        <v>1.02</v>
      </c>
      <c r="E163" s="20">
        <f>D163*E160</f>
        <v>215.01600000000002</v>
      </c>
      <c r="F163" s="177"/>
      <c r="G163" s="178"/>
      <c r="I163" s="52" t="e">
        <f>SUM(I8:I162)/2</f>
        <v>#REF!</v>
      </c>
    </row>
    <row r="164" spans="1:7" ht="21.75" customHeight="1">
      <c r="A164" s="9"/>
      <c r="B164" s="2" t="s">
        <v>43</v>
      </c>
      <c r="C164" s="10" t="s">
        <v>19</v>
      </c>
      <c r="D164" s="10">
        <v>0.107</v>
      </c>
      <c r="E164" s="20">
        <f>D164*E160</f>
        <v>22.555600000000002</v>
      </c>
      <c r="F164" s="177"/>
      <c r="G164" s="178"/>
    </row>
    <row r="165" spans="1:7" ht="51" customHeight="1">
      <c r="A165" s="67" t="s">
        <v>184</v>
      </c>
      <c r="B165" s="128" t="s">
        <v>171</v>
      </c>
      <c r="C165" s="128" t="s">
        <v>30</v>
      </c>
      <c r="D165" s="129"/>
      <c r="E165" s="131">
        <v>51.6</v>
      </c>
      <c r="F165" s="175"/>
      <c r="G165" s="176"/>
    </row>
    <row r="166" spans="1:7" ht="27.75" customHeight="1">
      <c r="A166" s="138"/>
      <c r="B166" s="127" t="s">
        <v>90</v>
      </c>
      <c r="C166" s="127" t="s">
        <v>9</v>
      </c>
      <c r="D166" s="127">
        <f>1.15*2.42</f>
        <v>2.783</v>
      </c>
      <c r="E166" s="133">
        <f>D166*E165</f>
        <v>143.6028</v>
      </c>
      <c r="F166" s="181"/>
      <c r="G166" s="178"/>
    </row>
    <row r="167" spans="1:7" ht="24.75" customHeight="1">
      <c r="A167" s="138"/>
      <c r="B167" s="127" t="s">
        <v>91</v>
      </c>
      <c r="C167" s="127" t="s">
        <v>19</v>
      </c>
      <c r="D167" s="136">
        <f>1.15*0.045</f>
        <v>0.05175</v>
      </c>
      <c r="E167" s="133">
        <f>D167*E165</f>
        <v>2.6703</v>
      </c>
      <c r="F167" s="181"/>
      <c r="G167" s="178"/>
    </row>
    <row r="168" spans="1:7" ht="29.25" customHeight="1">
      <c r="A168" s="19"/>
      <c r="B168" s="10" t="s">
        <v>126</v>
      </c>
      <c r="C168" s="10" t="s">
        <v>23</v>
      </c>
      <c r="D168" s="41">
        <v>1.05</v>
      </c>
      <c r="E168" s="20">
        <f>D168*E165</f>
        <v>54.18000000000001</v>
      </c>
      <c r="F168" s="177"/>
      <c r="G168" s="178"/>
    </row>
    <row r="169" spans="1:7" ht="23.25" customHeight="1">
      <c r="A169" s="19"/>
      <c r="B169" s="10" t="s">
        <v>78</v>
      </c>
      <c r="C169" s="10" t="s">
        <v>18</v>
      </c>
      <c r="D169" s="10">
        <v>8</v>
      </c>
      <c r="E169" s="143">
        <f>D169*E165</f>
        <v>412.8</v>
      </c>
      <c r="F169" s="177"/>
      <c r="G169" s="178"/>
    </row>
    <row r="170" spans="1:7" ht="26.25" customHeight="1">
      <c r="A170" s="138"/>
      <c r="B170" s="127" t="s">
        <v>21</v>
      </c>
      <c r="C170" s="127" t="s">
        <v>19</v>
      </c>
      <c r="D170" s="136">
        <v>0.043</v>
      </c>
      <c r="E170" s="133">
        <f>D170*E165</f>
        <v>2.2188</v>
      </c>
      <c r="F170" s="181"/>
      <c r="G170" s="178"/>
    </row>
    <row r="171" spans="1:7" ht="53.25" customHeight="1">
      <c r="A171" s="4" t="s">
        <v>185</v>
      </c>
      <c r="B171" s="6" t="s">
        <v>141</v>
      </c>
      <c r="C171" s="6" t="s">
        <v>30</v>
      </c>
      <c r="D171" s="53"/>
      <c r="E171" s="64">
        <v>42.2</v>
      </c>
      <c r="F171" s="195"/>
      <c r="G171" s="176"/>
    </row>
    <row r="172" spans="1:7" ht="30.75" customHeight="1">
      <c r="A172" s="1"/>
      <c r="B172" s="2" t="s">
        <v>75</v>
      </c>
      <c r="C172" s="2" t="s">
        <v>9</v>
      </c>
      <c r="D172" s="10">
        <f>1.15*1.08</f>
        <v>1.242</v>
      </c>
      <c r="E172" s="20">
        <f>D172*E171</f>
        <v>52.412400000000005</v>
      </c>
      <c r="F172" s="177"/>
      <c r="G172" s="178"/>
    </row>
    <row r="173" spans="1:7" ht="26.25" customHeight="1">
      <c r="A173" s="1"/>
      <c r="B173" s="2" t="s">
        <v>76</v>
      </c>
      <c r="C173" s="2" t="s">
        <v>19</v>
      </c>
      <c r="D173" s="10">
        <f>1.15*0.0452</f>
        <v>0.05197999999999999</v>
      </c>
      <c r="E173" s="20">
        <f>D173*E171</f>
        <v>2.1935559999999996</v>
      </c>
      <c r="F173" s="177"/>
      <c r="G173" s="178"/>
    </row>
    <row r="174" spans="1:7" ht="31.5" customHeight="1">
      <c r="A174" s="1"/>
      <c r="B174" s="2" t="s">
        <v>77</v>
      </c>
      <c r="C174" s="2" t="s">
        <v>23</v>
      </c>
      <c r="D174" s="10">
        <v>1.05</v>
      </c>
      <c r="E174" s="20">
        <f>D174*E171</f>
        <v>44.31</v>
      </c>
      <c r="F174" s="177"/>
      <c r="G174" s="178"/>
    </row>
    <row r="175" spans="1:7" ht="29.25" customHeight="1">
      <c r="A175" s="1"/>
      <c r="B175" s="2" t="s">
        <v>78</v>
      </c>
      <c r="C175" s="2" t="s">
        <v>18</v>
      </c>
      <c r="D175" s="10">
        <v>8</v>
      </c>
      <c r="E175" s="20">
        <f>D175*E171</f>
        <v>337.6</v>
      </c>
      <c r="F175" s="177"/>
      <c r="G175" s="178"/>
    </row>
    <row r="176" spans="1:7" ht="34.5" customHeight="1">
      <c r="A176" s="1"/>
      <c r="B176" s="2" t="s">
        <v>21</v>
      </c>
      <c r="C176" s="2" t="s">
        <v>19</v>
      </c>
      <c r="D176" s="10">
        <v>0.0466</v>
      </c>
      <c r="E176" s="20">
        <f>D176*E171</f>
        <v>1.9665200000000003</v>
      </c>
      <c r="F176" s="177"/>
      <c r="G176" s="178"/>
    </row>
    <row r="177" spans="1:7" ht="51.75" customHeight="1">
      <c r="A177" s="22">
        <v>37</v>
      </c>
      <c r="B177" s="6" t="s">
        <v>123</v>
      </c>
      <c r="C177" s="6" t="s">
        <v>37</v>
      </c>
      <c r="D177" s="53"/>
      <c r="E177" s="53">
        <v>8</v>
      </c>
      <c r="F177" s="195"/>
      <c r="G177" s="176"/>
    </row>
    <row r="178" spans="1:7" ht="24.75" customHeight="1">
      <c r="A178" s="9"/>
      <c r="B178" s="2" t="s">
        <v>124</v>
      </c>
      <c r="C178" s="2" t="s">
        <v>9</v>
      </c>
      <c r="D178" s="10">
        <f>1.15*0.206</f>
        <v>0.23689999999999997</v>
      </c>
      <c r="E178" s="20">
        <f>D178*E177</f>
        <v>1.8951999999999998</v>
      </c>
      <c r="F178" s="177"/>
      <c r="G178" s="178"/>
    </row>
    <row r="179" spans="1:7" ht="29.25" customHeight="1">
      <c r="A179" s="9"/>
      <c r="B179" s="2" t="s">
        <v>125</v>
      </c>
      <c r="C179" s="2" t="s">
        <v>37</v>
      </c>
      <c r="D179" s="10">
        <v>1.1</v>
      </c>
      <c r="E179" s="20">
        <f>E177*D179</f>
        <v>8.8</v>
      </c>
      <c r="F179" s="177"/>
      <c r="G179" s="178"/>
    </row>
    <row r="180" spans="1:7" ht="19.5" customHeight="1">
      <c r="A180" s="9"/>
      <c r="B180" s="2" t="s">
        <v>111</v>
      </c>
      <c r="C180" s="2" t="s">
        <v>112</v>
      </c>
      <c r="D180" s="10">
        <v>0.1</v>
      </c>
      <c r="E180" s="20">
        <f>E177*D180</f>
        <v>0.8</v>
      </c>
      <c r="F180" s="177"/>
      <c r="G180" s="178"/>
    </row>
    <row r="181" spans="1:7" ht="51.75" customHeight="1">
      <c r="A181" s="22">
        <v>38</v>
      </c>
      <c r="B181" s="6" t="s">
        <v>271</v>
      </c>
      <c r="C181" s="53" t="s">
        <v>30</v>
      </c>
      <c r="D181" s="53"/>
      <c r="E181" s="64">
        <v>256.2</v>
      </c>
      <c r="F181" s="195"/>
      <c r="G181" s="176"/>
    </row>
    <row r="182" spans="1:7" ht="24.75" customHeight="1">
      <c r="A182" s="9"/>
      <c r="B182" s="2" t="s">
        <v>46</v>
      </c>
      <c r="C182" s="10" t="str">
        <f>C181</f>
        <v>kv.m</v>
      </c>
      <c r="D182" s="10">
        <v>1</v>
      </c>
      <c r="E182" s="20">
        <f>D182*E181</f>
        <v>256.2</v>
      </c>
      <c r="F182" s="177"/>
      <c r="G182" s="178"/>
    </row>
    <row r="183" spans="1:7" ht="27" customHeight="1">
      <c r="A183" s="9"/>
      <c r="B183" s="2" t="s">
        <v>79</v>
      </c>
      <c r="C183" s="10" t="str">
        <f>C181</f>
        <v>kv.m</v>
      </c>
      <c r="D183" s="10">
        <v>1</v>
      </c>
      <c r="E183" s="20">
        <f>D183*E181</f>
        <v>256.2</v>
      </c>
      <c r="F183" s="177"/>
      <c r="G183" s="178"/>
    </row>
    <row r="184" spans="1:7" ht="57" customHeight="1">
      <c r="A184" s="67" t="s">
        <v>116</v>
      </c>
      <c r="B184" s="128" t="s">
        <v>157</v>
      </c>
      <c r="C184" s="145" t="s">
        <v>35</v>
      </c>
      <c r="D184" s="129"/>
      <c r="E184" s="130">
        <v>280</v>
      </c>
      <c r="F184" s="175"/>
      <c r="G184" s="176"/>
    </row>
    <row r="185" spans="1:7" ht="27.75" customHeight="1">
      <c r="A185" s="68"/>
      <c r="B185" s="14" t="s">
        <v>138</v>
      </c>
      <c r="C185" s="14" t="s">
        <v>9</v>
      </c>
      <c r="D185" s="127">
        <v>1.1615</v>
      </c>
      <c r="E185" s="133">
        <f>E184*D185</f>
        <v>325.21999999999997</v>
      </c>
      <c r="F185" s="181"/>
      <c r="G185" s="178"/>
    </row>
    <row r="186" spans="1:7" ht="25.5" customHeight="1">
      <c r="A186" s="68"/>
      <c r="B186" s="14" t="s">
        <v>71</v>
      </c>
      <c r="C186" s="134" t="s">
        <v>25</v>
      </c>
      <c r="D186" s="127">
        <v>0.0471</v>
      </c>
      <c r="E186" s="133">
        <f>E184*D186</f>
        <v>13.188</v>
      </c>
      <c r="F186" s="181"/>
      <c r="G186" s="178"/>
    </row>
    <row r="187" spans="1:7" ht="21" customHeight="1">
      <c r="A187" s="68"/>
      <c r="B187" s="14" t="s">
        <v>97</v>
      </c>
      <c r="C187" s="14" t="s">
        <v>19</v>
      </c>
      <c r="D187" s="127">
        <v>0.027</v>
      </c>
      <c r="E187" s="133">
        <f>D187*E184</f>
        <v>7.56</v>
      </c>
      <c r="F187" s="181"/>
      <c r="G187" s="178"/>
    </row>
    <row r="188" spans="1:7" ht="24" customHeight="1">
      <c r="A188" s="68"/>
      <c r="B188" s="14" t="s">
        <v>41</v>
      </c>
      <c r="C188" s="14" t="s">
        <v>17</v>
      </c>
      <c r="D188" s="127">
        <v>0.0238</v>
      </c>
      <c r="E188" s="133">
        <f>E184*D188</f>
        <v>6.664000000000001</v>
      </c>
      <c r="F188" s="181"/>
      <c r="G188" s="178"/>
    </row>
    <row r="189" spans="1:7" ht="25.5" customHeight="1">
      <c r="A189" s="68"/>
      <c r="B189" s="14" t="s">
        <v>21</v>
      </c>
      <c r="C189" s="127" t="s">
        <v>19</v>
      </c>
      <c r="D189" s="127">
        <v>0.003</v>
      </c>
      <c r="E189" s="133">
        <f>D189*E184</f>
        <v>0.84</v>
      </c>
      <c r="F189" s="181"/>
      <c r="G189" s="178"/>
    </row>
    <row r="190" spans="1:7" ht="52.5" customHeight="1">
      <c r="A190" s="4" t="s">
        <v>159</v>
      </c>
      <c r="B190" s="6" t="s">
        <v>270</v>
      </c>
      <c r="C190" s="53" t="s">
        <v>30</v>
      </c>
      <c r="D190" s="53"/>
      <c r="E190" s="146">
        <v>1100</v>
      </c>
      <c r="F190" s="195"/>
      <c r="G190" s="176"/>
    </row>
    <row r="191" spans="1:7" ht="38.25" customHeight="1">
      <c r="A191" s="1"/>
      <c r="B191" s="2" t="s">
        <v>150</v>
      </c>
      <c r="C191" s="10" t="s">
        <v>9</v>
      </c>
      <c r="D191" s="10">
        <f>1.15*(65.8+85.6)/2/100*70%+1.15*(11.5+15.8)/2/100</f>
        <v>0.7663599999999998</v>
      </c>
      <c r="E191" s="133">
        <f>D191*E190</f>
        <v>842.9959999999998</v>
      </c>
      <c r="F191" s="177"/>
      <c r="G191" s="178"/>
    </row>
    <row r="192" spans="1:7" ht="24.75" customHeight="1">
      <c r="A192" s="1"/>
      <c r="B192" s="2" t="s">
        <v>151</v>
      </c>
      <c r="C192" s="10" t="s">
        <v>19</v>
      </c>
      <c r="D192" s="10">
        <f>1.15*(1+1.2)/2/100*70%+1.15*0.02/100</f>
        <v>0.009085</v>
      </c>
      <c r="E192" s="20">
        <f>D192*E190</f>
        <v>9.9935</v>
      </c>
      <c r="F192" s="177"/>
      <c r="G192" s="178"/>
    </row>
    <row r="193" spans="1:7" ht="19.5" customHeight="1">
      <c r="A193" s="1"/>
      <c r="B193" s="2" t="s">
        <v>94</v>
      </c>
      <c r="C193" s="10" t="s">
        <v>18</v>
      </c>
      <c r="D193" s="10">
        <f>(79+29+92+32)/2/100</f>
        <v>1.16</v>
      </c>
      <c r="E193" s="143">
        <f>E190*D193</f>
        <v>1276</v>
      </c>
      <c r="F193" s="177"/>
      <c r="G193" s="178"/>
    </row>
    <row r="194" spans="1:7" ht="15">
      <c r="A194" s="1"/>
      <c r="B194" s="2" t="s">
        <v>152</v>
      </c>
      <c r="C194" s="10" t="s">
        <v>19</v>
      </c>
      <c r="D194" s="10">
        <f>(1.6+1.8)/2/100*70%+0.42/100</f>
        <v>0.0161</v>
      </c>
      <c r="E194" s="20">
        <f>D194*E190</f>
        <v>17.71</v>
      </c>
      <c r="F194" s="177"/>
      <c r="G194" s="178"/>
    </row>
    <row r="195" spans="1:7" ht="39" customHeight="1">
      <c r="A195" s="4" t="s">
        <v>137</v>
      </c>
      <c r="B195" s="6" t="s">
        <v>272</v>
      </c>
      <c r="C195" s="53" t="s">
        <v>30</v>
      </c>
      <c r="D195" s="53"/>
      <c r="E195" s="146">
        <f>E190+0</f>
        <v>1100</v>
      </c>
      <c r="F195" s="195"/>
      <c r="G195" s="176"/>
    </row>
    <row r="196" spans="1:7" ht="22.5" customHeight="1">
      <c r="A196" s="19"/>
      <c r="B196" s="10" t="s">
        <v>153</v>
      </c>
      <c r="C196" s="10" t="s">
        <v>9</v>
      </c>
      <c r="D196" s="10">
        <f>1.15*(65.8+85.6)/2/100*30%</f>
        <v>0.2611649999999999</v>
      </c>
      <c r="E196" s="133">
        <f>D196*E195</f>
        <v>287.28149999999994</v>
      </c>
      <c r="F196" s="177"/>
      <c r="G196" s="178"/>
    </row>
    <row r="197" spans="1:7" ht="34.5" customHeight="1">
      <c r="A197" s="19"/>
      <c r="B197" s="10" t="s">
        <v>154</v>
      </c>
      <c r="C197" s="10" t="s">
        <v>19</v>
      </c>
      <c r="D197" s="10">
        <f>1.15*(1+1.2)/2/100*30%</f>
        <v>0.0037949999999999998</v>
      </c>
      <c r="E197" s="133">
        <f>D197*E195</f>
        <v>4.1745</v>
      </c>
      <c r="F197" s="177"/>
      <c r="G197" s="178"/>
    </row>
    <row r="198" spans="1:7" ht="23.25" customHeight="1">
      <c r="A198" s="19"/>
      <c r="B198" s="10" t="s">
        <v>155</v>
      </c>
      <c r="C198" s="10" t="s">
        <v>18</v>
      </c>
      <c r="D198" s="10">
        <v>0.35</v>
      </c>
      <c r="E198" s="20">
        <f>D198*E195</f>
        <v>385</v>
      </c>
      <c r="F198" s="177"/>
      <c r="G198" s="178"/>
    </row>
    <row r="199" spans="1:7" ht="25.5" customHeight="1">
      <c r="A199" s="19"/>
      <c r="B199" s="10" t="s">
        <v>156</v>
      </c>
      <c r="C199" s="10" t="s">
        <v>19</v>
      </c>
      <c r="D199" s="10">
        <f>(1.6+1.8)/2/100*30%</f>
        <v>0.0051</v>
      </c>
      <c r="E199" s="20">
        <f>D199*E195</f>
        <v>5.61</v>
      </c>
      <c r="F199" s="177"/>
      <c r="G199" s="178"/>
    </row>
    <row r="200" spans="1:7" ht="66.75" customHeight="1">
      <c r="A200" s="4" t="s">
        <v>160</v>
      </c>
      <c r="B200" s="128" t="s">
        <v>273</v>
      </c>
      <c r="C200" s="53" t="s">
        <v>172</v>
      </c>
      <c r="D200" s="53"/>
      <c r="E200" s="64">
        <v>6.3</v>
      </c>
      <c r="F200" s="195"/>
      <c r="G200" s="176"/>
    </row>
    <row r="201" spans="1:7" ht="23.25" customHeight="1">
      <c r="A201" s="9"/>
      <c r="B201" s="2" t="s">
        <v>173</v>
      </c>
      <c r="C201" s="10" t="s">
        <v>9</v>
      </c>
      <c r="D201" s="41">
        <f>1.15*5.75</f>
        <v>6.6125</v>
      </c>
      <c r="E201" s="20">
        <f>D201*E200</f>
        <v>41.65875</v>
      </c>
      <c r="F201" s="177"/>
      <c r="G201" s="178"/>
    </row>
    <row r="202" spans="1:7" ht="27" customHeight="1">
      <c r="A202" s="9"/>
      <c r="B202" s="2" t="s">
        <v>174</v>
      </c>
      <c r="C202" s="10" t="s">
        <v>19</v>
      </c>
      <c r="D202" s="41">
        <f>1.15*0.034</f>
        <v>0.0391</v>
      </c>
      <c r="E202" s="20">
        <f>D202*E200</f>
        <v>0.24633000000000002</v>
      </c>
      <c r="F202" s="177"/>
      <c r="G202" s="178"/>
    </row>
    <row r="203" spans="1:7" ht="30" customHeight="1">
      <c r="A203" s="9"/>
      <c r="B203" s="2" t="s">
        <v>274</v>
      </c>
      <c r="C203" s="10" t="s">
        <v>23</v>
      </c>
      <c r="D203" s="41">
        <v>1.01</v>
      </c>
      <c r="E203" s="20">
        <f>E200*D203</f>
        <v>6.3629999999999995</v>
      </c>
      <c r="F203" s="177"/>
      <c r="G203" s="178"/>
    </row>
    <row r="204" spans="1:7" ht="25.5" customHeight="1">
      <c r="A204" s="9"/>
      <c r="B204" s="2" t="s">
        <v>175</v>
      </c>
      <c r="C204" s="10" t="s">
        <v>17</v>
      </c>
      <c r="D204" s="41">
        <v>0.02</v>
      </c>
      <c r="E204" s="20">
        <f>D204*E200</f>
        <v>0.126</v>
      </c>
      <c r="F204" s="177"/>
      <c r="G204" s="178"/>
    </row>
    <row r="205" spans="1:7" ht="21.75" customHeight="1">
      <c r="A205" s="9"/>
      <c r="B205" s="2" t="s">
        <v>21</v>
      </c>
      <c r="C205" s="10" t="s">
        <v>19</v>
      </c>
      <c r="D205" s="41">
        <v>0.24</v>
      </c>
      <c r="E205" s="20">
        <f>E200*D205</f>
        <v>1.512</v>
      </c>
      <c r="F205" s="177"/>
      <c r="G205" s="178"/>
    </row>
    <row r="206" spans="1:7" ht="15">
      <c r="A206" s="4" t="s">
        <v>186</v>
      </c>
      <c r="B206" s="6" t="s">
        <v>203</v>
      </c>
      <c r="C206" s="7" t="s">
        <v>35</v>
      </c>
      <c r="D206" s="53"/>
      <c r="E206" s="130">
        <v>45</v>
      </c>
      <c r="F206" s="195"/>
      <c r="G206" s="176"/>
    </row>
    <row r="207" spans="1:7" ht="30" customHeight="1">
      <c r="A207" s="1"/>
      <c r="B207" s="2" t="s">
        <v>95</v>
      </c>
      <c r="C207" s="2" t="s">
        <v>9</v>
      </c>
      <c r="D207" s="10">
        <f>1.15*0.93</f>
        <v>1.0695</v>
      </c>
      <c r="E207" s="20">
        <f>E206*D207</f>
        <v>48.1275</v>
      </c>
      <c r="F207" s="177"/>
      <c r="G207" s="178"/>
    </row>
    <row r="208" spans="1:7" ht="27.75" customHeight="1">
      <c r="A208" s="1"/>
      <c r="B208" s="2" t="s">
        <v>96</v>
      </c>
      <c r="C208" s="15" t="s">
        <v>25</v>
      </c>
      <c r="D208" s="10">
        <f>1.15*0.024</f>
        <v>0.0276</v>
      </c>
      <c r="E208" s="20">
        <f>E206*D208</f>
        <v>1.242</v>
      </c>
      <c r="F208" s="177"/>
      <c r="G208" s="178"/>
    </row>
    <row r="209" spans="1:15" s="33" customFormat="1" ht="33.75" customHeight="1">
      <c r="A209" s="1"/>
      <c r="B209" s="2" t="s">
        <v>97</v>
      </c>
      <c r="C209" s="2" t="s">
        <v>19</v>
      </c>
      <c r="D209" s="10">
        <f>1.15*0.026</f>
        <v>0.029899999999999996</v>
      </c>
      <c r="E209" s="20">
        <f>D209*E206</f>
        <v>1.3455</v>
      </c>
      <c r="F209" s="177"/>
      <c r="G209" s="178"/>
      <c r="H209" s="61"/>
      <c r="I209" s="9" t="s">
        <v>8</v>
      </c>
      <c r="J209" s="2" t="s">
        <v>43</v>
      </c>
      <c r="K209" s="2" t="s">
        <v>19</v>
      </c>
      <c r="L209" s="2">
        <v>0.018000000000000002</v>
      </c>
      <c r="M209" s="3">
        <f>L209*M71</f>
        <v>1.7640000000000002</v>
      </c>
      <c r="N209" s="2">
        <v>3.2</v>
      </c>
      <c r="O209" s="36"/>
    </row>
    <row r="210" spans="1:14" s="36" customFormat="1" ht="27.75" customHeight="1">
      <c r="A210" s="1"/>
      <c r="B210" s="2" t="s">
        <v>41</v>
      </c>
      <c r="C210" s="2" t="s">
        <v>17</v>
      </c>
      <c r="D210" s="10">
        <f>0.0255</f>
        <v>0.0255</v>
      </c>
      <c r="E210" s="20">
        <f>D210*E206</f>
        <v>1.1475</v>
      </c>
      <c r="F210" s="177"/>
      <c r="G210" s="178"/>
      <c r="H210" s="29" t="e">
        <f>#REF!/#REF!</f>
        <v>#REF!</v>
      </c>
      <c r="I210" s="30" t="e">
        <f>#REF!</f>
        <v>#REF!</v>
      </c>
      <c r="J210" s="30"/>
      <c r="K210" s="33"/>
      <c r="L210" s="33"/>
      <c r="M210" s="33"/>
      <c r="N210" s="33"/>
    </row>
    <row r="211" spans="1:15" s="36" customFormat="1" ht="69.75" customHeight="1">
      <c r="A211" s="4" t="s">
        <v>117</v>
      </c>
      <c r="B211" s="128" t="s">
        <v>275</v>
      </c>
      <c r="C211" s="6" t="s">
        <v>30</v>
      </c>
      <c r="D211" s="6"/>
      <c r="E211" s="147">
        <v>175</v>
      </c>
      <c r="F211" s="188"/>
      <c r="G211" s="185"/>
      <c r="H211" s="30"/>
      <c r="I211" s="30" t="e">
        <f>#REF!</f>
        <v>#REF!</v>
      </c>
      <c r="J211" s="30"/>
      <c r="K211" s="33"/>
      <c r="L211" s="33"/>
      <c r="M211" s="33"/>
      <c r="N211" s="33"/>
      <c r="O211" s="24"/>
    </row>
    <row r="212" spans="1:15" s="36" customFormat="1" ht="39.75" customHeight="1">
      <c r="A212" s="19"/>
      <c r="B212" s="2" t="s">
        <v>150</v>
      </c>
      <c r="C212" s="2" t="s">
        <v>9</v>
      </c>
      <c r="D212" s="2">
        <f>1.15*(65.8+85.6)/2/100*70%+1.15*(11.5+15.8)/2/100</f>
        <v>0.7663599999999998</v>
      </c>
      <c r="E212" s="20">
        <f>D212*E211</f>
        <v>134.11299999999997</v>
      </c>
      <c r="F212" s="177"/>
      <c r="G212" s="178"/>
      <c r="H212" s="30"/>
      <c r="I212" s="30" t="e">
        <f>#REF!</f>
        <v>#REF!</v>
      </c>
      <c r="J212" s="30"/>
      <c r="K212" s="33"/>
      <c r="L212" s="33"/>
      <c r="M212" s="33"/>
      <c r="N212" s="33"/>
      <c r="O212" s="23"/>
    </row>
    <row r="213" spans="1:15" ht="31.5" customHeight="1">
      <c r="A213" s="19"/>
      <c r="B213" s="10" t="s">
        <v>61</v>
      </c>
      <c r="C213" s="10" t="s">
        <v>19</v>
      </c>
      <c r="D213" s="10">
        <f>1.15*0.009</f>
        <v>0.010349999999999998</v>
      </c>
      <c r="E213" s="21">
        <f>D213*E211</f>
        <v>1.8112499999999996</v>
      </c>
      <c r="F213" s="177"/>
      <c r="G213" s="178"/>
      <c r="H213" s="30"/>
      <c r="I213" s="30" t="e">
        <f>#REF!</f>
        <v>#REF!</v>
      </c>
      <c r="J213" s="30"/>
      <c r="K213" s="33"/>
      <c r="L213" s="33"/>
      <c r="M213" s="33"/>
      <c r="N213" s="33"/>
      <c r="O213" s="32"/>
    </row>
    <row r="214" spans="1:14" s="23" customFormat="1" ht="28.5" customHeight="1">
      <c r="A214" s="19"/>
      <c r="B214" s="10" t="s">
        <v>204</v>
      </c>
      <c r="C214" s="10" t="s">
        <v>30</v>
      </c>
      <c r="D214" s="10">
        <v>1.08</v>
      </c>
      <c r="E214" s="20">
        <f>E211*D214</f>
        <v>189</v>
      </c>
      <c r="F214" s="177"/>
      <c r="G214" s="178"/>
      <c r="H214" s="30"/>
      <c r="I214" s="30" t="e">
        <f>#REF!</f>
        <v>#REF!</v>
      </c>
      <c r="J214" s="30"/>
      <c r="K214" s="32"/>
      <c r="L214" s="32"/>
      <c r="M214" s="32"/>
      <c r="N214" s="32"/>
    </row>
    <row r="215" spans="1:14" s="32" customFormat="1" ht="27" customHeight="1">
      <c r="A215" s="19"/>
      <c r="B215" s="10" t="s">
        <v>207</v>
      </c>
      <c r="C215" s="10" t="s">
        <v>18</v>
      </c>
      <c r="D215" s="10">
        <v>1.25</v>
      </c>
      <c r="E215" s="20">
        <f>D215*E211</f>
        <v>218.75</v>
      </c>
      <c r="F215" s="181"/>
      <c r="G215" s="178"/>
      <c r="H215" s="30"/>
      <c r="I215" s="30" t="e">
        <f>#REF!</f>
        <v>#REF!</v>
      </c>
      <c r="J215" s="30"/>
      <c r="K215" s="33"/>
      <c r="L215" s="33"/>
      <c r="M215" s="33"/>
      <c r="N215" s="33"/>
    </row>
    <row r="216" spans="1:15" s="23" customFormat="1" ht="26.25" customHeight="1">
      <c r="A216" s="19"/>
      <c r="B216" s="10" t="s">
        <v>21</v>
      </c>
      <c r="C216" s="10" t="s">
        <v>19</v>
      </c>
      <c r="D216" s="10">
        <v>0.02</v>
      </c>
      <c r="E216" s="21">
        <f>D216*E211</f>
        <v>3.5</v>
      </c>
      <c r="F216" s="177"/>
      <c r="G216" s="178"/>
      <c r="H216" s="29">
        <f>G116/E116</f>
        <v>0</v>
      </c>
      <c r="I216" s="30">
        <f aca="true" t="shared" si="1" ref="I216:I223">G116</f>
        <v>0</v>
      </c>
      <c r="J216" s="30"/>
      <c r="K216" s="33"/>
      <c r="L216" s="33"/>
      <c r="M216" s="33"/>
      <c r="N216" s="33"/>
      <c r="O216" s="24"/>
    </row>
    <row r="217" spans="1:15" s="32" customFormat="1" ht="45" customHeight="1">
      <c r="A217" s="4" t="s">
        <v>202</v>
      </c>
      <c r="B217" s="6" t="s">
        <v>276</v>
      </c>
      <c r="C217" s="6" t="s">
        <v>30</v>
      </c>
      <c r="D217" s="6"/>
      <c r="E217" s="147">
        <f>E211+0</f>
        <v>175</v>
      </c>
      <c r="F217" s="188"/>
      <c r="G217" s="185"/>
      <c r="H217" s="30"/>
      <c r="I217" s="30">
        <f t="shared" si="1"/>
        <v>0</v>
      </c>
      <c r="J217" s="30"/>
      <c r="K217" s="33"/>
      <c r="L217" s="33"/>
      <c r="M217" s="33"/>
      <c r="N217" s="33"/>
      <c r="O217" s="24"/>
    </row>
    <row r="218" spans="1:14" ht="24.75" customHeight="1">
      <c r="A218" s="1"/>
      <c r="B218" s="2" t="s">
        <v>153</v>
      </c>
      <c r="C218" s="2" t="s">
        <v>9</v>
      </c>
      <c r="D218" s="2">
        <f>1.15*(65.8+85.6)/2/100*30%</f>
        <v>0.2611649999999999</v>
      </c>
      <c r="E218" s="3">
        <f>D218*E217</f>
        <v>45.70387499999999</v>
      </c>
      <c r="F218" s="179"/>
      <c r="G218" s="186"/>
      <c r="H218" s="30"/>
      <c r="I218" s="30">
        <f t="shared" si="1"/>
        <v>0</v>
      </c>
      <c r="J218" s="30"/>
      <c r="K218" s="33"/>
      <c r="L218" s="33"/>
      <c r="M218" s="33"/>
      <c r="N218" s="33"/>
    </row>
    <row r="219" spans="1:14" ht="28.5" customHeight="1">
      <c r="A219" s="1"/>
      <c r="B219" s="2" t="s">
        <v>205</v>
      </c>
      <c r="C219" s="2" t="s">
        <v>19</v>
      </c>
      <c r="D219" s="2">
        <f>1.15*(1+0.02+1.2+0.02)/2/100</f>
        <v>0.012879999999999997</v>
      </c>
      <c r="E219" s="126">
        <f>D219*E217</f>
        <v>2.2539999999999996</v>
      </c>
      <c r="F219" s="179"/>
      <c r="G219" s="186"/>
      <c r="H219" s="30"/>
      <c r="I219" s="30">
        <f t="shared" si="1"/>
        <v>0</v>
      </c>
      <c r="J219" s="30"/>
      <c r="K219" s="33"/>
      <c r="L219" s="33"/>
      <c r="M219" s="33"/>
      <c r="N219" s="33"/>
    </row>
    <row r="220" spans="1:14" ht="30" customHeight="1">
      <c r="A220" s="1"/>
      <c r="B220" s="2" t="s">
        <v>200</v>
      </c>
      <c r="C220" s="2" t="s">
        <v>18</v>
      </c>
      <c r="D220" s="2">
        <v>0.63</v>
      </c>
      <c r="E220" s="3">
        <f>D220*E217</f>
        <v>110.25</v>
      </c>
      <c r="F220" s="183"/>
      <c r="G220" s="186"/>
      <c r="H220" s="30"/>
      <c r="I220" s="30">
        <f t="shared" si="1"/>
        <v>0</v>
      </c>
      <c r="J220" s="30"/>
      <c r="K220" s="32"/>
      <c r="L220" s="32"/>
      <c r="M220" s="32"/>
      <c r="N220" s="32"/>
    </row>
    <row r="221" spans="1:15" ht="41.25" customHeight="1">
      <c r="A221" s="1"/>
      <c r="B221" s="2" t="s">
        <v>206</v>
      </c>
      <c r="C221" s="2" t="s">
        <v>19</v>
      </c>
      <c r="D221" s="2">
        <f>(1.6+0.42+1.8+0.42)/2/100</f>
        <v>0.0212</v>
      </c>
      <c r="E221" s="126">
        <f>D221*E217</f>
        <v>3.71</v>
      </c>
      <c r="F221" s="179"/>
      <c r="G221" s="186"/>
      <c r="H221" s="30"/>
      <c r="I221" s="30">
        <f t="shared" si="1"/>
        <v>0</v>
      </c>
      <c r="J221" s="30"/>
      <c r="K221" s="33"/>
      <c r="L221" s="33"/>
      <c r="M221" s="33"/>
      <c r="N221" s="33"/>
      <c r="O221" s="32"/>
    </row>
    <row r="222" spans="1:14" ht="54" customHeight="1">
      <c r="A222" s="22">
        <v>46</v>
      </c>
      <c r="B222" s="6" t="s">
        <v>113</v>
      </c>
      <c r="C222" s="5" t="s">
        <v>81</v>
      </c>
      <c r="D222" s="53"/>
      <c r="E222" s="142">
        <f>E217/100</f>
        <v>1.75</v>
      </c>
      <c r="F222" s="195"/>
      <c r="G222" s="176"/>
      <c r="H222" s="29">
        <f>G122/E122</f>
        <v>0</v>
      </c>
      <c r="I222" s="30">
        <f t="shared" si="1"/>
        <v>0</v>
      </c>
      <c r="J222" s="30"/>
      <c r="K222" s="36"/>
      <c r="L222" s="36"/>
      <c r="M222" s="36"/>
      <c r="N222" s="36"/>
    </row>
    <row r="223" spans="1:15" s="32" customFormat="1" ht="27.75" customHeight="1">
      <c r="A223" s="1"/>
      <c r="B223" s="2" t="s">
        <v>82</v>
      </c>
      <c r="C223" s="2" t="s">
        <v>9</v>
      </c>
      <c r="D223" s="10">
        <f>1.15*45.9</f>
        <v>52.785</v>
      </c>
      <c r="E223" s="20">
        <f>D223*E222</f>
        <v>92.37375</v>
      </c>
      <c r="F223" s="177"/>
      <c r="G223" s="178"/>
      <c r="H223" s="37"/>
      <c r="I223" s="30">
        <f t="shared" si="1"/>
        <v>0</v>
      </c>
      <c r="J223" s="30"/>
      <c r="K223" s="36"/>
      <c r="L223" s="36"/>
      <c r="M223" s="36"/>
      <c r="N223" s="36"/>
      <c r="O223" s="24"/>
    </row>
    <row r="224" spans="1:15" ht="21.75" customHeight="1">
      <c r="A224" s="1"/>
      <c r="B224" s="2" t="s">
        <v>65</v>
      </c>
      <c r="C224" s="2" t="s">
        <v>19</v>
      </c>
      <c r="D224" s="10">
        <f>1.15*0.23</f>
        <v>0.2645</v>
      </c>
      <c r="E224" s="20">
        <f>D224*E222</f>
        <v>0.46287500000000004</v>
      </c>
      <c r="F224" s="177"/>
      <c r="G224" s="178"/>
      <c r="H224" s="29" t="e">
        <f>#REF!/#REF!</f>
        <v>#REF!</v>
      </c>
      <c r="I224" s="30" t="e">
        <f>#REF!</f>
        <v>#REF!</v>
      </c>
      <c r="J224" s="30"/>
      <c r="K224" s="36"/>
      <c r="L224" s="36"/>
      <c r="M224" s="36"/>
      <c r="N224" s="36"/>
      <c r="O224" s="36"/>
    </row>
    <row r="225" spans="1:10" ht="29.25" customHeight="1">
      <c r="A225" s="1"/>
      <c r="B225" s="2" t="s">
        <v>83</v>
      </c>
      <c r="C225" s="2" t="s">
        <v>29</v>
      </c>
      <c r="D225" s="10">
        <v>0.035</v>
      </c>
      <c r="E225" s="20">
        <f>D225*E222</f>
        <v>0.061250000000000006</v>
      </c>
      <c r="F225" s="177"/>
      <c r="G225" s="178"/>
      <c r="H225" s="37"/>
      <c r="I225" s="30" t="e">
        <f>#REF!</f>
        <v>#REF!</v>
      </c>
      <c r="J225" s="30"/>
    </row>
    <row r="226" spans="1:14" s="36" customFormat="1" ht="23.25" customHeight="1">
      <c r="A226" s="1"/>
      <c r="B226" s="2" t="s">
        <v>84</v>
      </c>
      <c r="C226" s="2" t="s">
        <v>17</v>
      </c>
      <c r="D226" s="10">
        <v>0.009</v>
      </c>
      <c r="E226" s="20">
        <f>D226*E222</f>
        <v>0.01575</v>
      </c>
      <c r="F226" s="177"/>
      <c r="G226" s="178"/>
      <c r="H226" s="29">
        <f>G126/E126</f>
        <v>0</v>
      </c>
      <c r="I226" s="30">
        <f>G126</f>
        <v>0</v>
      </c>
      <c r="J226" s="30"/>
      <c r="K226" s="23"/>
      <c r="L226" s="23"/>
      <c r="M226" s="23"/>
      <c r="N226" s="23"/>
    </row>
    <row r="227" spans="1:14" ht="27" customHeight="1">
      <c r="A227" s="1"/>
      <c r="B227" s="2" t="s">
        <v>85</v>
      </c>
      <c r="C227" s="2" t="s">
        <v>23</v>
      </c>
      <c r="D227" s="10">
        <v>3.4</v>
      </c>
      <c r="E227" s="20">
        <f>D227*E222</f>
        <v>5.95</v>
      </c>
      <c r="F227" s="177"/>
      <c r="G227" s="178"/>
      <c r="H227" s="34"/>
      <c r="I227" s="30">
        <f>G127</f>
        <v>0</v>
      </c>
      <c r="J227" s="30"/>
      <c r="K227" s="32"/>
      <c r="L227" s="32"/>
      <c r="M227" s="32"/>
      <c r="N227" s="32"/>
    </row>
    <row r="228" spans="1:14" ht="36.75" customHeight="1">
      <c r="A228" s="1"/>
      <c r="B228" s="148" t="s">
        <v>327</v>
      </c>
      <c r="C228" s="2"/>
      <c r="D228" s="10"/>
      <c r="E228" s="20"/>
      <c r="F228" s="177"/>
      <c r="G228" s="178"/>
      <c r="H228" s="34"/>
      <c r="I228" s="30"/>
      <c r="J228" s="30"/>
      <c r="K228" s="32"/>
      <c r="L228" s="32"/>
      <c r="M228" s="32"/>
      <c r="N228" s="32"/>
    </row>
    <row r="229" spans="1:15" ht="50.25" customHeight="1">
      <c r="A229" s="125">
        <v>1</v>
      </c>
      <c r="B229" s="128" t="s">
        <v>288</v>
      </c>
      <c r="C229" s="129" t="s">
        <v>30</v>
      </c>
      <c r="D229" s="129"/>
      <c r="E229" s="130">
        <v>76</v>
      </c>
      <c r="F229" s="175"/>
      <c r="G229" s="176"/>
      <c r="H229" s="32"/>
      <c r="I229" s="30">
        <f>G152</f>
        <v>0</v>
      </c>
      <c r="J229" s="30"/>
      <c r="K229" s="32"/>
      <c r="L229" s="32"/>
      <c r="M229" s="32"/>
      <c r="N229" s="32"/>
      <c r="O229" s="36"/>
    </row>
    <row r="230" spans="1:15" ht="25.5" customHeight="1">
      <c r="A230" s="16"/>
      <c r="B230" s="14" t="s">
        <v>286</v>
      </c>
      <c r="C230" s="127" t="s">
        <v>9</v>
      </c>
      <c r="D230" s="127">
        <f>1.15*0.082</f>
        <v>0.0943</v>
      </c>
      <c r="E230" s="133">
        <f>D230*E229</f>
        <v>7.166799999999999</v>
      </c>
      <c r="F230" s="181"/>
      <c r="G230" s="178"/>
      <c r="H230" s="29">
        <f>G160/E160</f>
        <v>0</v>
      </c>
      <c r="I230" s="30">
        <f>G160</f>
        <v>0</v>
      </c>
      <c r="J230" s="30"/>
      <c r="K230" s="45"/>
      <c r="L230" s="45"/>
      <c r="M230" s="45"/>
      <c r="N230" s="44"/>
      <c r="O230" s="36"/>
    </row>
    <row r="231" spans="1:14" s="36" customFormat="1" ht="30.75" customHeight="1">
      <c r="A231" s="16"/>
      <c r="B231" s="14" t="s">
        <v>287</v>
      </c>
      <c r="C231" s="127" t="s">
        <v>19</v>
      </c>
      <c r="D231" s="127">
        <f>1.154*0.005</f>
        <v>0.00577</v>
      </c>
      <c r="E231" s="133">
        <f>D231*E229</f>
        <v>0.43852</v>
      </c>
      <c r="F231" s="181"/>
      <c r="G231" s="178"/>
      <c r="H231" s="47"/>
      <c r="I231" s="30">
        <f>G161</f>
        <v>0</v>
      </c>
      <c r="J231" s="30"/>
      <c r="K231" s="45"/>
      <c r="L231" s="45"/>
      <c r="M231" s="45"/>
      <c r="N231" s="45"/>
    </row>
    <row r="232" spans="1:14" s="36" customFormat="1" ht="74.25" customHeight="1">
      <c r="A232" s="125">
        <v>2</v>
      </c>
      <c r="B232" s="128" t="s">
        <v>322</v>
      </c>
      <c r="C232" s="128" t="s">
        <v>30</v>
      </c>
      <c r="D232" s="129"/>
      <c r="E232" s="130">
        <v>76</v>
      </c>
      <c r="F232" s="175"/>
      <c r="G232" s="176"/>
      <c r="H232" s="47"/>
      <c r="I232" s="30">
        <f>G162</f>
        <v>0</v>
      </c>
      <c r="J232" s="30"/>
      <c r="K232" s="45"/>
      <c r="L232" s="45"/>
      <c r="M232" s="45"/>
      <c r="N232" s="44"/>
    </row>
    <row r="233" spans="1:14" s="36" customFormat="1" ht="32.25" customHeight="1">
      <c r="A233" s="9"/>
      <c r="B233" s="10" t="s">
        <v>145</v>
      </c>
      <c r="C233" s="2" t="s">
        <v>9</v>
      </c>
      <c r="D233" s="10">
        <f>1.15*0.439</f>
        <v>0.5048499999999999</v>
      </c>
      <c r="E233" s="20">
        <f>D233*E232</f>
        <v>38.368599999999994</v>
      </c>
      <c r="F233" s="191"/>
      <c r="G233" s="178"/>
      <c r="H233" s="47"/>
      <c r="I233" s="30">
        <f>G163</f>
        <v>0</v>
      </c>
      <c r="J233" s="30"/>
      <c r="K233" s="45"/>
      <c r="L233" s="45"/>
      <c r="M233" s="45"/>
      <c r="N233" s="44"/>
    </row>
    <row r="234" spans="1:15" ht="30.75" customHeight="1">
      <c r="A234" s="9"/>
      <c r="B234" s="10" t="s">
        <v>146</v>
      </c>
      <c r="C234" s="2" t="s">
        <v>19</v>
      </c>
      <c r="D234" s="10">
        <f>1.15*0.035</f>
        <v>0.04025</v>
      </c>
      <c r="E234" s="20">
        <f>D234*E232</f>
        <v>3.059</v>
      </c>
      <c r="F234" s="177"/>
      <c r="G234" s="178"/>
      <c r="H234" s="29">
        <f>G165/E165</f>
        <v>0</v>
      </c>
      <c r="I234" s="30">
        <f>G165</f>
        <v>0</v>
      </c>
      <c r="J234" s="30"/>
      <c r="K234" s="36"/>
      <c r="L234" s="36"/>
      <c r="M234" s="36"/>
      <c r="O234" s="36"/>
    </row>
    <row r="235" spans="1:14" s="36" customFormat="1" ht="35.25" customHeight="1">
      <c r="A235" s="9"/>
      <c r="B235" s="10" t="s">
        <v>158</v>
      </c>
      <c r="C235" s="2" t="s">
        <v>30</v>
      </c>
      <c r="D235" s="10">
        <v>1.12</v>
      </c>
      <c r="E235" s="20">
        <f>D235*E232</f>
        <v>85.12</v>
      </c>
      <c r="F235" s="177"/>
      <c r="G235" s="178"/>
      <c r="H235" s="48"/>
      <c r="I235" s="30">
        <f>G166</f>
        <v>0</v>
      </c>
      <c r="J235" s="30"/>
      <c r="N235" s="24"/>
    </row>
    <row r="236" spans="1:10" s="36" customFormat="1" ht="28.5" customHeight="1">
      <c r="A236" s="9"/>
      <c r="B236" s="10" t="s">
        <v>129</v>
      </c>
      <c r="C236" s="2" t="s">
        <v>22</v>
      </c>
      <c r="D236" s="10">
        <v>0.01</v>
      </c>
      <c r="E236" s="133">
        <f>E232*D236</f>
        <v>0.76</v>
      </c>
      <c r="F236" s="177"/>
      <c r="G236" s="178"/>
      <c r="H236" s="48"/>
      <c r="I236" s="30">
        <f>G167</f>
        <v>0</v>
      </c>
      <c r="J236" s="30"/>
    </row>
    <row r="237" spans="1:10" s="36" customFormat="1" ht="30.75" customHeight="1">
      <c r="A237" s="9"/>
      <c r="B237" s="10" t="s">
        <v>147</v>
      </c>
      <c r="C237" s="2" t="s">
        <v>24</v>
      </c>
      <c r="D237" s="10">
        <v>0.0003</v>
      </c>
      <c r="E237" s="20">
        <f>E232*D237</f>
        <v>0.022799999999999997</v>
      </c>
      <c r="F237" s="177"/>
      <c r="G237" s="178"/>
      <c r="H237" s="48"/>
      <c r="I237" s="30">
        <f>G168</f>
        <v>0</v>
      </c>
      <c r="J237" s="30"/>
    </row>
    <row r="238" spans="1:15" s="36" customFormat="1" ht="25.5" customHeight="1">
      <c r="A238" s="9"/>
      <c r="B238" s="10" t="s">
        <v>135</v>
      </c>
      <c r="C238" s="10" t="s">
        <v>18</v>
      </c>
      <c r="D238" s="10">
        <v>0.15</v>
      </c>
      <c r="E238" s="20">
        <f>E232*D238</f>
        <v>11.4</v>
      </c>
      <c r="F238" s="177"/>
      <c r="G238" s="178"/>
      <c r="H238" s="34"/>
      <c r="I238" s="30">
        <f>G141</f>
        <v>0</v>
      </c>
      <c r="J238" s="30"/>
      <c r="K238" s="32"/>
      <c r="L238" s="32"/>
      <c r="M238" s="32"/>
      <c r="N238" s="32"/>
      <c r="O238" s="44"/>
    </row>
    <row r="239" spans="1:16" ht="30.75" customHeight="1">
      <c r="A239" s="9"/>
      <c r="B239" s="10" t="s">
        <v>118</v>
      </c>
      <c r="C239" s="10" t="s">
        <v>26</v>
      </c>
      <c r="D239" s="10">
        <v>6</v>
      </c>
      <c r="E239" s="20">
        <f>E232*D239</f>
        <v>456</v>
      </c>
      <c r="F239" s="177"/>
      <c r="G239" s="178"/>
      <c r="H239" s="34"/>
      <c r="I239" s="30">
        <f>G143</f>
        <v>0</v>
      </c>
      <c r="J239" s="30"/>
      <c r="K239" s="33"/>
      <c r="L239" s="33"/>
      <c r="M239" s="33"/>
      <c r="N239" s="33"/>
      <c r="P239" s="36"/>
    </row>
    <row r="240" spans="1:7" ht="36" customHeight="1">
      <c r="A240" s="9"/>
      <c r="B240" s="10" t="s">
        <v>21</v>
      </c>
      <c r="C240" s="2" t="s">
        <v>19</v>
      </c>
      <c r="D240" s="10">
        <v>0.0816</v>
      </c>
      <c r="E240" s="20">
        <f>D240*E232</f>
        <v>6.201600000000001</v>
      </c>
      <c r="F240" s="177"/>
      <c r="G240" s="178"/>
    </row>
    <row r="241" spans="1:7" ht="60.75" customHeight="1">
      <c r="A241" s="67" t="s">
        <v>33</v>
      </c>
      <c r="B241" s="128" t="s">
        <v>324</v>
      </c>
      <c r="C241" s="128" t="s">
        <v>37</v>
      </c>
      <c r="D241" s="129"/>
      <c r="E241" s="149">
        <v>36</v>
      </c>
      <c r="F241" s="175"/>
      <c r="G241" s="176"/>
    </row>
    <row r="242" spans="1:7" ht="31.5" customHeight="1">
      <c r="A242" s="68"/>
      <c r="B242" s="14" t="s">
        <v>289</v>
      </c>
      <c r="C242" s="14" t="s">
        <v>37</v>
      </c>
      <c r="D242" s="127">
        <v>1</v>
      </c>
      <c r="E242" s="133">
        <f>D242*E241</f>
        <v>36</v>
      </c>
      <c r="F242" s="181"/>
      <c r="G242" s="178"/>
    </row>
    <row r="243" spans="1:7" ht="60" customHeight="1">
      <c r="A243" s="67" t="s">
        <v>34</v>
      </c>
      <c r="B243" s="128" t="s">
        <v>148</v>
      </c>
      <c r="C243" s="128" t="s">
        <v>26</v>
      </c>
      <c r="D243" s="129"/>
      <c r="E243" s="149">
        <v>4</v>
      </c>
      <c r="F243" s="175"/>
      <c r="G243" s="176"/>
    </row>
    <row r="244" spans="1:7" ht="29.25" customHeight="1">
      <c r="A244" s="68"/>
      <c r="B244" s="14" t="s">
        <v>292</v>
      </c>
      <c r="C244" s="14" t="s">
        <v>9</v>
      </c>
      <c r="D244" s="127">
        <f>1.15*0.93</f>
        <v>1.0695</v>
      </c>
      <c r="E244" s="133">
        <f>D244*E243</f>
        <v>4.278</v>
      </c>
      <c r="F244" s="181"/>
      <c r="G244" s="178"/>
    </row>
    <row r="245" spans="1:16" ht="26.25" customHeight="1">
      <c r="A245" s="68"/>
      <c r="B245" s="14" t="s">
        <v>52</v>
      </c>
      <c r="C245" s="14" t="s">
        <v>19</v>
      </c>
      <c r="D245" s="127">
        <f>0.01*1.15</f>
        <v>0.0115</v>
      </c>
      <c r="E245" s="133">
        <f>D245*E243</f>
        <v>0.046</v>
      </c>
      <c r="F245" s="181"/>
      <c r="G245" s="178"/>
      <c r="P245" s="109"/>
    </row>
    <row r="246" spans="1:7" ht="23.25" customHeight="1">
      <c r="A246" s="68"/>
      <c r="B246" s="14" t="s">
        <v>149</v>
      </c>
      <c r="C246" s="14" t="s">
        <v>26</v>
      </c>
      <c r="D246" s="127">
        <v>1</v>
      </c>
      <c r="E246" s="59">
        <f>D246*E243</f>
        <v>4</v>
      </c>
      <c r="F246" s="181"/>
      <c r="G246" s="178"/>
    </row>
    <row r="247" spans="1:7" ht="27.75" customHeight="1">
      <c r="A247" s="68"/>
      <c r="B247" s="14" t="s">
        <v>49</v>
      </c>
      <c r="C247" s="14" t="s">
        <v>19</v>
      </c>
      <c r="D247" s="127">
        <v>0.18</v>
      </c>
      <c r="E247" s="133">
        <f>D247*E243</f>
        <v>0.72</v>
      </c>
      <c r="F247" s="181"/>
      <c r="G247" s="178"/>
    </row>
    <row r="248" spans="1:7" ht="58.5" customHeight="1">
      <c r="A248" s="67" t="s">
        <v>36</v>
      </c>
      <c r="B248" s="128" t="s">
        <v>290</v>
      </c>
      <c r="C248" s="128" t="s">
        <v>37</v>
      </c>
      <c r="D248" s="129"/>
      <c r="E248" s="130">
        <v>4</v>
      </c>
      <c r="F248" s="175"/>
      <c r="G248" s="176"/>
    </row>
    <row r="249" spans="1:7" ht="27" customHeight="1">
      <c r="A249" s="16"/>
      <c r="B249" s="14" t="s">
        <v>102</v>
      </c>
      <c r="C249" s="14" t="s">
        <v>9</v>
      </c>
      <c r="D249" s="127">
        <f>1.15*0.583</f>
        <v>0.6704499999999999</v>
      </c>
      <c r="E249" s="133">
        <f>D249*E248</f>
        <v>2.6817999999999995</v>
      </c>
      <c r="F249" s="181"/>
      <c r="G249" s="178"/>
    </row>
    <row r="250" spans="1:7" ht="27.75" customHeight="1">
      <c r="A250" s="16"/>
      <c r="B250" s="14" t="s">
        <v>103</v>
      </c>
      <c r="C250" s="14" t="s">
        <v>19</v>
      </c>
      <c r="D250" s="127">
        <f>1.15*0.0046</f>
        <v>0.0052899999999999996</v>
      </c>
      <c r="E250" s="133">
        <f>D250*E248</f>
        <v>0.021159999999999998</v>
      </c>
      <c r="F250" s="181"/>
      <c r="G250" s="178"/>
    </row>
    <row r="251" spans="1:7" ht="25.5" customHeight="1">
      <c r="A251" s="16"/>
      <c r="B251" s="14" t="s">
        <v>291</v>
      </c>
      <c r="C251" s="14" t="s">
        <v>37</v>
      </c>
      <c r="D251" s="127">
        <v>1.02</v>
      </c>
      <c r="E251" s="133">
        <f>D251*E248</f>
        <v>4.08</v>
      </c>
      <c r="F251" s="198"/>
      <c r="G251" s="178"/>
    </row>
    <row r="252" spans="1:7" ht="19.5" customHeight="1">
      <c r="A252" s="16"/>
      <c r="B252" s="14" t="s">
        <v>114</v>
      </c>
      <c r="C252" s="14" t="s">
        <v>26</v>
      </c>
      <c r="D252" s="127"/>
      <c r="E252" s="59">
        <v>4</v>
      </c>
      <c r="F252" s="181"/>
      <c r="G252" s="178"/>
    </row>
    <row r="253" spans="1:7" ht="20.25" customHeight="1">
      <c r="A253" s="16"/>
      <c r="B253" s="14" t="s">
        <v>115</v>
      </c>
      <c r="C253" s="14" t="s">
        <v>18</v>
      </c>
      <c r="D253" s="127">
        <v>0.235</v>
      </c>
      <c r="E253" s="133">
        <f>E248*D253</f>
        <v>0.94</v>
      </c>
      <c r="F253" s="181"/>
      <c r="G253" s="178"/>
    </row>
    <row r="254" spans="1:7" ht="15">
      <c r="A254" s="16"/>
      <c r="B254" s="14" t="s">
        <v>49</v>
      </c>
      <c r="C254" s="14" t="s">
        <v>19</v>
      </c>
      <c r="D254" s="127">
        <v>0.20800000000000002</v>
      </c>
      <c r="E254" s="133">
        <f>E248*D254</f>
        <v>0.8320000000000001</v>
      </c>
      <c r="F254" s="181"/>
      <c r="G254" s="178"/>
    </row>
    <row r="255" spans="1:7" ht="61.5" customHeight="1">
      <c r="A255" s="125">
        <v>6</v>
      </c>
      <c r="B255" s="128" t="s">
        <v>293</v>
      </c>
      <c r="C255" s="129" t="s">
        <v>30</v>
      </c>
      <c r="D255" s="129"/>
      <c r="E255" s="130">
        <v>36</v>
      </c>
      <c r="F255" s="175"/>
      <c r="G255" s="176"/>
    </row>
    <row r="256" spans="1:7" ht="22.5" customHeight="1">
      <c r="A256" s="16"/>
      <c r="B256" s="14" t="s">
        <v>286</v>
      </c>
      <c r="C256" s="127" t="s">
        <v>9</v>
      </c>
      <c r="D256" s="127">
        <f>1.15*0.082</f>
        <v>0.0943</v>
      </c>
      <c r="E256" s="133">
        <f>D256*E255</f>
        <v>3.3948</v>
      </c>
      <c r="F256" s="181"/>
      <c r="G256" s="178"/>
    </row>
    <row r="257" spans="1:7" ht="27" customHeight="1">
      <c r="A257" s="16"/>
      <c r="B257" s="14" t="s">
        <v>287</v>
      </c>
      <c r="C257" s="127" t="s">
        <v>19</v>
      </c>
      <c r="D257" s="127">
        <f>1.154*0.005</f>
        <v>0.00577</v>
      </c>
      <c r="E257" s="133">
        <f>D257*E255</f>
        <v>0.20772</v>
      </c>
      <c r="F257" s="181"/>
      <c r="G257" s="178"/>
    </row>
    <row r="258" spans="1:7" ht="76.5" customHeight="1">
      <c r="A258" s="125">
        <v>7</v>
      </c>
      <c r="B258" s="128" t="s">
        <v>294</v>
      </c>
      <c r="C258" s="128" t="s">
        <v>30</v>
      </c>
      <c r="D258" s="129"/>
      <c r="E258" s="130">
        <v>36</v>
      </c>
      <c r="F258" s="175"/>
      <c r="G258" s="176"/>
    </row>
    <row r="259" spans="1:7" ht="19.5" customHeight="1">
      <c r="A259" s="9"/>
      <c r="B259" s="10" t="s">
        <v>145</v>
      </c>
      <c r="C259" s="2" t="s">
        <v>9</v>
      </c>
      <c r="D259" s="10">
        <f>1.15*0.439</f>
        <v>0.5048499999999999</v>
      </c>
      <c r="E259" s="20">
        <f>D259*E258</f>
        <v>18.174599999999998</v>
      </c>
      <c r="F259" s="191"/>
      <c r="G259" s="178"/>
    </row>
    <row r="260" spans="1:7" ht="19.5" customHeight="1">
      <c r="A260" s="9"/>
      <c r="B260" s="10" t="s">
        <v>146</v>
      </c>
      <c r="C260" s="2" t="s">
        <v>19</v>
      </c>
      <c r="D260" s="10">
        <f>1.15*0.035</f>
        <v>0.04025</v>
      </c>
      <c r="E260" s="20">
        <f>D260*E258</f>
        <v>1.449</v>
      </c>
      <c r="F260" s="177"/>
      <c r="G260" s="178"/>
    </row>
    <row r="261" spans="1:7" ht="21" customHeight="1">
      <c r="A261" s="9"/>
      <c r="B261" s="10" t="s">
        <v>158</v>
      </c>
      <c r="C261" s="2" t="s">
        <v>30</v>
      </c>
      <c r="D261" s="10">
        <v>1.12</v>
      </c>
      <c r="E261" s="20">
        <f>D261*E258</f>
        <v>40.32000000000001</v>
      </c>
      <c r="F261" s="177"/>
      <c r="G261" s="178"/>
    </row>
    <row r="262" spans="1:7" ht="21" customHeight="1">
      <c r="A262" s="9"/>
      <c r="B262" s="10" t="s">
        <v>129</v>
      </c>
      <c r="C262" s="2" t="s">
        <v>22</v>
      </c>
      <c r="D262" s="10">
        <v>0.01</v>
      </c>
      <c r="E262" s="133">
        <f>E258*D262</f>
        <v>0.36</v>
      </c>
      <c r="F262" s="177"/>
      <c r="G262" s="178"/>
    </row>
    <row r="263" spans="1:7" ht="21.75" customHeight="1">
      <c r="A263" s="9"/>
      <c r="B263" s="10" t="s">
        <v>147</v>
      </c>
      <c r="C263" s="2" t="s">
        <v>24</v>
      </c>
      <c r="D263" s="10">
        <v>0.0003</v>
      </c>
      <c r="E263" s="20">
        <f>E258*D263</f>
        <v>0.010799999999999999</v>
      </c>
      <c r="F263" s="177"/>
      <c r="G263" s="178"/>
    </row>
    <row r="264" spans="1:10" s="32" customFormat="1" ht="28.5" customHeight="1">
      <c r="A264" s="9"/>
      <c r="B264" s="10" t="s">
        <v>50</v>
      </c>
      <c r="C264" s="10" t="s">
        <v>18</v>
      </c>
      <c r="D264" s="10">
        <v>0.106</v>
      </c>
      <c r="E264" s="20">
        <f>D264*E258</f>
        <v>3.816</v>
      </c>
      <c r="F264" s="177"/>
      <c r="G264" s="178"/>
      <c r="I264" s="30" t="e">
        <f>#REF!</f>
        <v>#REF!</v>
      </c>
      <c r="J264" s="30"/>
    </row>
    <row r="265" spans="1:7" ht="15.75" customHeight="1">
      <c r="A265" s="9"/>
      <c r="B265" s="10" t="s">
        <v>135</v>
      </c>
      <c r="C265" s="10" t="s">
        <v>18</v>
      </c>
      <c r="D265" s="10">
        <v>0.15</v>
      </c>
      <c r="E265" s="20">
        <f>E258*D265</f>
        <v>5.3999999999999995</v>
      </c>
      <c r="F265" s="177"/>
      <c r="G265" s="178"/>
    </row>
    <row r="266" spans="1:7" ht="20.25" customHeight="1">
      <c r="A266" s="9"/>
      <c r="B266" s="10" t="s">
        <v>118</v>
      </c>
      <c r="C266" s="10" t="s">
        <v>26</v>
      </c>
      <c r="D266" s="10">
        <v>6</v>
      </c>
      <c r="E266" s="20">
        <f>E258*D266</f>
        <v>216</v>
      </c>
      <c r="F266" s="177"/>
      <c r="G266" s="178"/>
    </row>
    <row r="267" spans="1:7" ht="21.75" customHeight="1">
      <c r="A267" s="9"/>
      <c r="B267" s="10" t="s">
        <v>21</v>
      </c>
      <c r="C267" s="2" t="s">
        <v>19</v>
      </c>
      <c r="D267" s="10">
        <v>0.0816</v>
      </c>
      <c r="E267" s="20">
        <f>D267*E258</f>
        <v>2.9376</v>
      </c>
      <c r="F267" s="177"/>
      <c r="G267" s="178"/>
    </row>
    <row r="268" spans="1:7" ht="30" customHeight="1">
      <c r="A268" s="69"/>
      <c r="B268" s="6" t="s">
        <v>28</v>
      </c>
      <c r="C268" s="10" t="s">
        <v>19</v>
      </c>
      <c r="D268" s="10"/>
      <c r="E268" s="20"/>
      <c r="F268" s="177"/>
      <c r="G268" s="197"/>
    </row>
    <row r="269" spans="1:7" ht="29.25" customHeight="1">
      <c r="A269" s="69"/>
      <c r="B269" s="2" t="s">
        <v>328</v>
      </c>
      <c r="C269" s="10" t="s">
        <v>19</v>
      </c>
      <c r="D269" s="10"/>
      <c r="E269" s="54"/>
      <c r="F269" s="177"/>
      <c r="G269" s="178"/>
    </row>
    <row r="270" spans="1:7" ht="29.25" customHeight="1">
      <c r="A270" s="22"/>
      <c r="B270" s="6" t="s">
        <v>27</v>
      </c>
      <c r="C270" s="53" t="s">
        <v>19</v>
      </c>
      <c r="D270" s="53"/>
      <c r="E270" s="53"/>
      <c r="F270" s="195"/>
      <c r="G270" s="197"/>
    </row>
    <row r="271" spans="1:7" ht="28.5" customHeight="1">
      <c r="A271" s="69"/>
      <c r="B271" s="2" t="s">
        <v>329</v>
      </c>
      <c r="C271" s="10" t="s">
        <v>19</v>
      </c>
      <c r="D271" s="10"/>
      <c r="E271" s="54"/>
      <c r="F271" s="177"/>
      <c r="G271" s="178"/>
    </row>
    <row r="272" spans="1:7" ht="24" customHeight="1">
      <c r="A272" s="1"/>
      <c r="B272" s="6" t="s">
        <v>31</v>
      </c>
      <c r="C272" s="66" t="s">
        <v>19</v>
      </c>
      <c r="D272" s="10"/>
      <c r="E272" s="10"/>
      <c r="F272" s="177"/>
      <c r="G272" s="197"/>
    </row>
    <row r="273" spans="1:7" ht="15">
      <c r="A273" s="55"/>
      <c r="B273" s="56"/>
      <c r="C273" s="31"/>
      <c r="D273" s="31"/>
      <c r="E273" s="31"/>
      <c r="F273" s="31"/>
      <c r="G273" s="35"/>
    </row>
    <row r="274" spans="1:7" ht="23.25" customHeight="1">
      <c r="A274" s="57"/>
      <c r="B274" s="32"/>
      <c r="C274" s="159"/>
      <c r="D274" s="159"/>
      <c r="E274" s="159"/>
      <c r="F274" s="159"/>
      <c r="G274" s="51"/>
    </row>
    <row r="275" spans="1:7" ht="15">
      <c r="A275" s="55"/>
      <c r="B275" s="32"/>
      <c r="C275" s="32"/>
      <c r="D275" s="32"/>
      <c r="E275" s="32"/>
      <c r="F275" s="32"/>
      <c r="G275" s="51"/>
    </row>
  </sheetData>
  <sheetProtection password="CF7D" sheet="1"/>
  <mergeCells count="7">
    <mergeCell ref="F4:G4"/>
    <mergeCell ref="A3:G3"/>
    <mergeCell ref="C274:F274"/>
    <mergeCell ref="A1:G1"/>
    <mergeCell ref="A2:G2"/>
    <mergeCell ref="C4:C5"/>
    <mergeCell ref="D4:E4"/>
  </mergeCells>
  <printOptions/>
  <pageMargins left="0.5511811023622047" right="0" top="0.2362204724409449" bottom="0.3937007874015748" header="0.2362204724409449" footer="0"/>
  <pageSetup horizontalDpi="600" verticalDpi="600" orientation="portrait" paperSize="9" scale="89" r:id="rId1"/>
  <headerFooter alignWithMargins="0">
    <oddFooter>&amp;C&amp;A&amp;R&amp;8-&amp;P--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zoomScalePageLayoutView="0" workbookViewId="0" topLeftCell="A1">
      <selection activeCell="F8" sqref="F8:G41"/>
    </sheetView>
  </sheetViews>
  <sheetFormatPr defaultColWidth="9.140625" defaultRowHeight="12.75"/>
  <cols>
    <col min="1" max="1" width="4.140625" style="58" customWidth="1"/>
    <col min="2" max="2" width="44.57421875" style="36" customWidth="1"/>
    <col min="3" max="4" width="6.7109375" style="36" customWidth="1"/>
    <col min="5" max="5" width="8.00390625" style="36" customWidth="1"/>
    <col min="6" max="6" width="8.8515625" style="24" customWidth="1"/>
    <col min="7" max="7" width="13.140625" style="46" customWidth="1"/>
    <col min="8" max="8" width="9.140625" style="24" hidden="1" customWidth="1"/>
    <col min="9" max="9" width="14.28125" style="24" hidden="1" customWidth="1"/>
    <col min="10" max="11" width="9.140625" style="24" hidden="1" customWidth="1"/>
    <col min="12" max="12" width="9.7109375" style="24" customWidth="1"/>
    <col min="13" max="14" width="9.140625" style="24" customWidth="1"/>
    <col min="15" max="16384" width="9.140625" style="24" customWidth="1"/>
  </cols>
  <sheetData>
    <row r="1" spans="1:7" ht="21.75" customHeight="1">
      <c r="A1" s="158" t="s">
        <v>227</v>
      </c>
      <c r="B1" s="158"/>
      <c r="C1" s="158"/>
      <c r="D1" s="158"/>
      <c r="E1" s="158"/>
      <c r="F1" s="158"/>
      <c r="G1" s="158"/>
    </row>
    <row r="2" spans="1:7" ht="16.5" customHeight="1">
      <c r="A2" s="160" t="s">
        <v>163</v>
      </c>
      <c r="B2" s="160"/>
      <c r="C2" s="160"/>
      <c r="D2" s="160"/>
      <c r="E2" s="160"/>
      <c r="F2" s="160"/>
      <c r="G2" s="160"/>
    </row>
    <row r="3" spans="1:7" ht="16.5" customHeight="1">
      <c r="A3" s="160" t="s">
        <v>161</v>
      </c>
      <c r="B3" s="160"/>
      <c r="C3" s="160"/>
      <c r="D3" s="160"/>
      <c r="E3" s="160"/>
      <c r="F3" s="160"/>
      <c r="G3" s="160"/>
    </row>
    <row r="4" spans="1:7" ht="16.5" customHeight="1">
      <c r="A4" s="158" t="s">
        <v>3</v>
      </c>
      <c r="B4" s="158"/>
      <c r="C4" s="158"/>
      <c r="D4" s="158"/>
      <c r="E4" s="158"/>
      <c r="F4" s="158"/>
      <c r="G4" s="158"/>
    </row>
    <row r="5" spans="1:7" ht="28.5" customHeight="1">
      <c r="A5" s="165" t="s">
        <v>11</v>
      </c>
      <c r="B5" s="166" t="s">
        <v>12</v>
      </c>
      <c r="C5" s="167" t="s">
        <v>10</v>
      </c>
      <c r="D5" s="168" t="s">
        <v>13</v>
      </c>
      <c r="E5" s="168"/>
      <c r="F5" s="169" t="s">
        <v>6</v>
      </c>
      <c r="G5" s="169"/>
    </row>
    <row r="6" spans="1:7" ht="58.5" customHeight="1">
      <c r="A6" s="165"/>
      <c r="B6" s="166"/>
      <c r="C6" s="167"/>
      <c r="D6" s="26" t="s">
        <v>14</v>
      </c>
      <c r="E6" s="26" t="s">
        <v>15</v>
      </c>
      <c r="F6" s="27" t="s">
        <v>14</v>
      </c>
      <c r="G6" s="62" t="s">
        <v>15</v>
      </c>
    </row>
    <row r="7" spans="1:7" s="28" customFormat="1" ht="14.25" customHeight="1">
      <c r="A7" s="4" t="s">
        <v>16</v>
      </c>
      <c r="B7" s="6">
        <v>3</v>
      </c>
      <c r="C7" s="6">
        <v>4</v>
      </c>
      <c r="D7" s="6">
        <v>5</v>
      </c>
      <c r="E7" s="6">
        <v>6</v>
      </c>
      <c r="F7" s="63">
        <v>7</v>
      </c>
      <c r="G7" s="22">
        <v>8</v>
      </c>
    </row>
    <row r="8" spans="1:9" s="25" customFormat="1" ht="47.25" customHeight="1">
      <c r="A8" s="4" t="s">
        <v>16</v>
      </c>
      <c r="B8" s="6" t="s">
        <v>277</v>
      </c>
      <c r="C8" s="53" t="s">
        <v>26</v>
      </c>
      <c r="D8" s="53"/>
      <c r="E8" s="65">
        <v>22</v>
      </c>
      <c r="F8" s="195"/>
      <c r="G8" s="176"/>
      <c r="H8" s="51"/>
      <c r="I8" s="72"/>
    </row>
    <row r="9" spans="1:10" s="25" customFormat="1" ht="28.5" customHeight="1">
      <c r="A9" s="1"/>
      <c r="B9" s="2" t="s">
        <v>166</v>
      </c>
      <c r="C9" s="10" t="s">
        <v>9</v>
      </c>
      <c r="D9" s="10">
        <f>1.15*1.41</f>
        <v>1.6214999999999997</v>
      </c>
      <c r="E9" s="20">
        <f>E8*D9</f>
        <v>35.672999999999995</v>
      </c>
      <c r="F9" s="177"/>
      <c r="G9" s="199"/>
      <c r="H9" s="51"/>
      <c r="I9" s="72"/>
      <c r="J9" s="73"/>
    </row>
    <row r="10" spans="1:9" s="25" customFormat="1" ht="32.25" customHeight="1">
      <c r="A10" s="1"/>
      <c r="B10" s="2" t="s">
        <v>167</v>
      </c>
      <c r="C10" s="10" t="s">
        <v>19</v>
      </c>
      <c r="D10" s="41">
        <f>1.15*0.161</f>
        <v>0.18514999999999998</v>
      </c>
      <c r="E10" s="20">
        <f>E8*D10</f>
        <v>4.0733</v>
      </c>
      <c r="F10" s="177"/>
      <c r="G10" s="199"/>
      <c r="H10" s="51"/>
      <c r="I10" s="72"/>
    </row>
    <row r="11" spans="1:9" s="74" customFormat="1" ht="25.5" customHeight="1">
      <c r="A11" s="1"/>
      <c r="B11" s="2" t="s">
        <v>213</v>
      </c>
      <c r="C11" s="10" t="s">
        <v>40</v>
      </c>
      <c r="D11" s="10"/>
      <c r="E11" s="18">
        <v>21.6</v>
      </c>
      <c r="F11" s="177"/>
      <c r="G11" s="178"/>
      <c r="I11" s="75"/>
    </row>
    <row r="12" spans="1:9" s="25" customFormat="1" ht="23.25" customHeight="1">
      <c r="A12" s="1"/>
      <c r="B12" s="2" t="s">
        <v>21</v>
      </c>
      <c r="C12" s="10" t="s">
        <v>19</v>
      </c>
      <c r="D12" s="10">
        <v>0.048</v>
      </c>
      <c r="E12" s="20">
        <f>E8*D12</f>
        <v>1.056</v>
      </c>
      <c r="F12" s="177"/>
      <c r="G12" s="199"/>
      <c r="H12" s="51"/>
      <c r="I12" s="72"/>
    </row>
    <row r="13" spans="1:17" s="28" customFormat="1" ht="55.5" customHeight="1">
      <c r="A13" s="4" t="s">
        <v>32</v>
      </c>
      <c r="B13" s="6" t="s">
        <v>278</v>
      </c>
      <c r="C13" s="53" t="s">
        <v>37</v>
      </c>
      <c r="D13" s="53"/>
      <c r="E13" s="64">
        <f>SUM(E16:E19)</f>
        <v>176</v>
      </c>
      <c r="F13" s="195"/>
      <c r="G13" s="176"/>
      <c r="I13" s="72"/>
      <c r="P13" s="76"/>
      <c r="Q13" s="76"/>
    </row>
    <row r="14" spans="1:17" s="77" customFormat="1" ht="30" customHeight="1">
      <c r="A14" s="1"/>
      <c r="B14" s="2" t="s">
        <v>99</v>
      </c>
      <c r="C14" s="10" t="s">
        <v>9</v>
      </c>
      <c r="D14" s="10">
        <f>1.15*0.37</f>
        <v>0.4255</v>
      </c>
      <c r="E14" s="20">
        <f>E13*D14</f>
        <v>74.888</v>
      </c>
      <c r="F14" s="177"/>
      <c r="G14" s="178"/>
      <c r="I14" s="72"/>
      <c r="J14" s="78"/>
      <c r="P14" s="79"/>
      <c r="Q14" s="76"/>
    </row>
    <row r="15" spans="1:17" s="77" customFormat="1" ht="24" customHeight="1">
      <c r="A15" s="1"/>
      <c r="B15" s="2" t="s">
        <v>100</v>
      </c>
      <c r="C15" s="10" t="s">
        <v>19</v>
      </c>
      <c r="D15" s="21">
        <f>1.15*0.0136</f>
        <v>0.015639999999999998</v>
      </c>
      <c r="E15" s="20">
        <f>E13*D15</f>
        <v>2.7526399999999995</v>
      </c>
      <c r="F15" s="177"/>
      <c r="G15" s="178"/>
      <c r="I15" s="72"/>
      <c r="J15" s="25"/>
      <c r="P15" s="79"/>
      <c r="Q15" s="76"/>
    </row>
    <row r="16" spans="1:17" s="77" customFormat="1" ht="21.75" customHeight="1">
      <c r="A16" s="1"/>
      <c r="B16" s="2" t="s">
        <v>208</v>
      </c>
      <c r="C16" s="10" t="s">
        <v>40</v>
      </c>
      <c r="D16" s="10"/>
      <c r="E16" s="11">
        <v>20</v>
      </c>
      <c r="F16" s="177"/>
      <c r="G16" s="178"/>
      <c r="I16" s="72"/>
      <c r="P16" s="79"/>
      <c r="Q16" s="76"/>
    </row>
    <row r="17" spans="1:17" s="77" customFormat="1" ht="20.25" customHeight="1">
      <c r="A17" s="1"/>
      <c r="B17" s="2" t="s">
        <v>279</v>
      </c>
      <c r="C17" s="10" t="s">
        <v>40</v>
      </c>
      <c r="D17" s="10"/>
      <c r="E17" s="11">
        <v>24</v>
      </c>
      <c r="F17" s="177"/>
      <c r="G17" s="178"/>
      <c r="I17" s="72"/>
      <c r="P17" s="79"/>
      <c r="Q17" s="76"/>
    </row>
    <row r="18" spans="1:17" s="77" customFormat="1" ht="18.75" customHeight="1">
      <c r="A18" s="1"/>
      <c r="B18" s="2" t="s">
        <v>209</v>
      </c>
      <c r="C18" s="10" t="s">
        <v>40</v>
      </c>
      <c r="D18" s="10"/>
      <c r="E18" s="11">
        <v>128</v>
      </c>
      <c r="F18" s="177"/>
      <c r="G18" s="178"/>
      <c r="I18" s="72"/>
      <c r="P18" s="79"/>
      <c r="Q18" s="76"/>
    </row>
    <row r="19" spans="1:17" s="77" customFormat="1" ht="20.25" customHeight="1">
      <c r="A19" s="1"/>
      <c r="B19" s="2" t="s">
        <v>280</v>
      </c>
      <c r="C19" s="10" t="s">
        <v>40</v>
      </c>
      <c r="D19" s="10"/>
      <c r="E19" s="11">
        <v>4</v>
      </c>
      <c r="F19" s="177"/>
      <c r="G19" s="178"/>
      <c r="I19" s="72"/>
      <c r="P19" s="79"/>
      <c r="Q19" s="76"/>
    </row>
    <row r="20" spans="1:17" s="33" customFormat="1" ht="22.5" customHeight="1">
      <c r="A20" s="1"/>
      <c r="B20" s="2" t="s">
        <v>210</v>
      </c>
      <c r="C20" s="10" t="s">
        <v>26</v>
      </c>
      <c r="D20" s="10"/>
      <c r="E20" s="11">
        <v>200</v>
      </c>
      <c r="F20" s="177"/>
      <c r="G20" s="178"/>
      <c r="I20" s="72"/>
      <c r="P20" s="80"/>
      <c r="Q20" s="76"/>
    </row>
    <row r="21" spans="1:17" s="33" customFormat="1" ht="18" customHeight="1">
      <c r="A21" s="1"/>
      <c r="B21" s="2" t="s">
        <v>281</v>
      </c>
      <c r="C21" s="10" t="s">
        <v>26</v>
      </c>
      <c r="D21" s="10"/>
      <c r="E21" s="11">
        <v>10</v>
      </c>
      <c r="F21" s="177"/>
      <c r="G21" s="178"/>
      <c r="I21" s="72"/>
      <c r="P21" s="80"/>
      <c r="Q21" s="76"/>
    </row>
    <row r="22" spans="1:17" s="77" customFormat="1" ht="21.75" customHeight="1">
      <c r="A22" s="1"/>
      <c r="B22" s="2" t="s">
        <v>49</v>
      </c>
      <c r="C22" s="10" t="s">
        <v>19</v>
      </c>
      <c r="D22" s="10">
        <v>0.0163</v>
      </c>
      <c r="E22" s="20">
        <f>E13*D22</f>
        <v>2.8688</v>
      </c>
      <c r="F22" s="177"/>
      <c r="G22" s="178"/>
      <c r="I22" s="72"/>
      <c r="J22" s="25"/>
      <c r="P22" s="79"/>
      <c r="Q22" s="76"/>
    </row>
    <row r="23" spans="1:17" s="74" customFormat="1" ht="53.25" customHeight="1">
      <c r="A23" s="4" t="s">
        <v>33</v>
      </c>
      <c r="B23" s="6" t="s">
        <v>285</v>
      </c>
      <c r="C23" s="53" t="s">
        <v>26</v>
      </c>
      <c r="D23" s="53"/>
      <c r="E23" s="65">
        <f>E26+E27+E28</f>
        <v>46</v>
      </c>
      <c r="F23" s="195"/>
      <c r="G23" s="176"/>
      <c r="I23" s="72"/>
      <c r="J23" s="40"/>
      <c r="P23" s="81"/>
      <c r="Q23" s="76"/>
    </row>
    <row r="24" spans="1:17" s="74" customFormat="1" ht="26.25" customHeight="1">
      <c r="A24" s="1"/>
      <c r="B24" s="2" t="s">
        <v>53</v>
      </c>
      <c r="C24" s="10" t="s">
        <v>9</v>
      </c>
      <c r="D24" s="10">
        <f>1.15*1.51</f>
        <v>1.7365</v>
      </c>
      <c r="E24" s="20">
        <f>E23*D24</f>
        <v>79.87899999999999</v>
      </c>
      <c r="F24" s="177"/>
      <c r="G24" s="178"/>
      <c r="I24" s="72"/>
      <c r="J24" s="73"/>
      <c r="P24" s="81"/>
      <c r="Q24" s="81"/>
    </row>
    <row r="25" spans="1:17" s="74" customFormat="1" ht="27.75" customHeight="1">
      <c r="A25" s="1"/>
      <c r="B25" s="2" t="s">
        <v>54</v>
      </c>
      <c r="C25" s="10" t="s">
        <v>19</v>
      </c>
      <c r="D25" s="41">
        <f>1.15*0.13</f>
        <v>0.1495</v>
      </c>
      <c r="E25" s="20">
        <f>E23*D25</f>
        <v>6.877</v>
      </c>
      <c r="F25" s="177"/>
      <c r="G25" s="178"/>
      <c r="I25" s="72"/>
      <c r="J25" s="40"/>
      <c r="P25" s="81"/>
      <c r="Q25" s="81"/>
    </row>
    <row r="26" spans="1:17" s="77" customFormat="1" ht="22.5" customHeight="1">
      <c r="A26" s="1"/>
      <c r="B26" s="2" t="s">
        <v>168</v>
      </c>
      <c r="C26" s="10" t="s">
        <v>26</v>
      </c>
      <c r="D26" s="10"/>
      <c r="E26" s="11">
        <f>E8</f>
        <v>22</v>
      </c>
      <c r="F26" s="177"/>
      <c r="G26" s="178"/>
      <c r="I26" s="72"/>
      <c r="P26" s="79"/>
      <c r="Q26" s="79"/>
    </row>
    <row r="27" spans="1:17" s="33" customFormat="1" ht="19.5" customHeight="1">
      <c r="A27" s="1"/>
      <c r="B27" s="10" t="s">
        <v>169</v>
      </c>
      <c r="C27" s="10" t="s">
        <v>26</v>
      </c>
      <c r="D27" s="10"/>
      <c r="E27" s="11">
        <f>E8</f>
        <v>22</v>
      </c>
      <c r="F27" s="177"/>
      <c r="G27" s="178"/>
      <c r="I27" s="72"/>
      <c r="P27" s="80"/>
      <c r="Q27" s="80"/>
    </row>
    <row r="28" spans="1:17" s="32" customFormat="1" ht="21" customHeight="1">
      <c r="A28" s="1"/>
      <c r="B28" s="2" t="s">
        <v>284</v>
      </c>
      <c r="C28" s="10" t="s">
        <v>26</v>
      </c>
      <c r="D28" s="10"/>
      <c r="E28" s="11">
        <v>2</v>
      </c>
      <c r="F28" s="177"/>
      <c r="G28" s="178"/>
      <c r="I28" s="72"/>
      <c r="P28" s="31"/>
      <c r="Q28" s="31"/>
    </row>
    <row r="29" spans="1:17" s="74" customFormat="1" ht="25.5" customHeight="1">
      <c r="A29" s="1"/>
      <c r="B29" s="2" t="s">
        <v>49</v>
      </c>
      <c r="C29" s="10" t="s">
        <v>19</v>
      </c>
      <c r="D29" s="10">
        <v>0.07</v>
      </c>
      <c r="E29" s="20">
        <f>E23*D29</f>
        <v>3.22</v>
      </c>
      <c r="F29" s="177"/>
      <c r="G29" s="178"/>
      <c r="I29" s="72"/>
      <c r="J29" s="40"/>
      <c r="P29" s="81"/>
      <c r="Q29" s="81"/>
    </row>
    <row r="30" spans="1:17" s="77" customFormat="1" ht="42" customHeight="1">
      <c r="A30" s="4" t="s">
        <v>34</v>
      </c>
      <c r="B30" s="6" t="s">
        <v>105</v>
      </c>
      <c r="C30" s="53" t="s">
        <v>37</v>
      </c>
      <c r="D30" s="53"/>
      <c r="E30" s="65">
        <f>E13</f>
        <v>176</v>
      </c>
      <c r="F30" s="195"/>
      <c r="G30" s="197"/>
      <c r="H30" s="51"/>
      <c r="I30" s="72"/>
      <c r="P30" s="79"/>
      <c r="Q30" s="79"/>
    </row>
    <row r="31" spans="1:17" s="82" customFormat="1" ht="27" customHeight="1">
      <c r="A31" s="19"/>
      <c r="B31" s="10" t="s">
        <v>101</v>
      </c>
      <c r="C31" s="10" t="s">
        <v>9</v>
      </c>
      <c r="D31" s="10">
        <f>1.15*0.0516</f>
        <v>0.05934</v>
      </c>
      <c r="E31" s="20">
        <f>E30*D31</f>
        <v>10.44384</v>
      </c>
      <c r="F31" s="177"/>
      <c r="G31" s="178"/>
      <c r="H31" s="73"/>
      <c r="I31" s="72"/>
      <c r="J31" s="73"/>
      <c r="P31" s="83"/>
      <c r="Q31" s="83"/>
    </row>
    <row r="32" spans="1:17" s="84" customFormat="1" ht="22.5" customHeight="1">
      <c r="A32" s="19"/>
      <c r="B32" s="10" t="s">
        <v>67</v>
      </c>
      <c r="C32" s="10" t="s">
        <v>17</v>
      </c>
      <c r="D32" s="10">
        <v>0.01</v>
      </c>
      <c r="E32" s="20">
        <f>E30*D32</f>
        <v>1.76</v>
      </c>
      <c r="F32" s="177"/>
      <c r="G32" s="199"/>
      <c r="H32" s="73"/>
      <c r="I32" s="72"/>
      <c r="P32" s="85"/>
      <c r="Q32" s="85"/>
    </row>
    <row r="33" spans="1:17" s="82" customFormat="1" ht="25.5" customHeight="1">
      <c r="A33" s="19"/>
      <c r="B33" s="10" t="s">
        <v>21</v>
      </c>
      <c r="C33" s="10" t="s">
        <v>19</v>
      </c>
      <c r="D33" s="10">
        <v>0.0011</v>
      </c>
      <c r="E33" s="20">
        <f>E30*D33</f>
        <v>0.19360000000000002</v>
      </c>
      <c r="F33" s="177"/>
      <c r="G33" s="178"/>
      <c r="H33" s="73"/>
      <c r="I33" s="72"/>
      <c r="P33" s="83"/>
      <c r="Q33" s="83"/>
    </row>
    <row r="34" spans="1:9" s="77" customFormat="1" ht="48.75" customHeight="1">
      <c r="A34" s="4" t="s">
        <v>36</v>
      </c>
      <c r="B34" s="6" t="s">
        <v>282</v>
      </c>
      <c r="C34" s="53" t="s">
        <v>37</v>
      </c>
      <c r="D34" s="53"/>
      <c r="E34" s="65">
        <v>122</v>
      </c>
      <c r="F34" s="195"/>
      <c r="G34" s="176"/>
      <c r="H34" s="51"/>
      <c r="I34" s="72"/>
    </row>
    <row r="35" spans="1:10" s="77" customFormat="1" ht="35.25" customHeight="1">
      <c r="A35" s="1"/>
      <c r="B35" s="2" t="s">
        <v>68</v>
      </c>
      <c r="C35" s="10" t="s">
        <v>37</v>
      </c>
      <c r="D35" s="10">
        <v>1</v>
      </c>
      <c r="E35" s="20">
        <f>E34*D35</f>
        <v>122</v>
      </c>
      <c r="F35" s="177"/>
      <c r="G35" s="199"/>
      <c r="H35" s="51"/>
      <c r="I35" s="72"/>
      <c r="J35" s="73"/>
    </row>
    <row r="36" spans="1:9" s="77" customFormat="1" ht="27" customHeight="1">
      <c r="A36" s="1"/>
      <c r="B36" s="2" t="s">
        <v>283</v>
      </c>
      <c r="C36" s="10" t="s">
        <v>19</v>
      </c>
      <c r="D36" s="20">
        <v>1.05</v>
      </c>
      <c r="E36" s="20">
        <f>E34*D36</f>
        <v>128.1</v>
      </c>
      <c r="F36" s="177"/>
      <c r="G36" s="199"/>
      <c r="H36" s="51"/>
      <c r="I36" s="72"/>
    </row>
    <row r="37" spans="1:7" ht="36" customHeight="1">
      <c r="A37" s="69"/>
      <c r="B37" s="6" t="s">
        <v>28</v>
      </c>
      <c r="C37" s="10" t="s">
        <v>19</v>
      </c>
      <c r="D37" s="10"/>
      <c r="E37" s="20"/>
      <c r="F37" s="177"/>
      <c r="G37" s="200"/>
    </row>
    <row r="38" spans="1:7" ht="28.5" customHeight="1">
      <c r="A38" s="69"/>
      <c r="B38" s="2" t="s">
        <v>330</v>
      </c>
      <c r="C38" s="10" t="s">
        <v>19</v>
      </c>
      <c r="D38" s="10"/>
      <c r="E38" s="54"/>
      <c r="F38" s="177"/>
      <c r="G38" s="190"/>
    </row>
    <row r="39" spans="1:7" ht="27.75" customHeight="1">
      <c r="A39" s="22"/>
      <c r="B39" s="6" t="s">
        <v>27</v>
      </c>
      <c r="C39" s="53" t="s">
        <v>19</v>
      </c>
      <c r="D39" s="53"/>
      <c r="E39" s="53"/>
      <c r="F39" s="195"/>
      <c r="G39" s="200"/>
    </row>
    <row r="40" spans="1:7" ht="30" customHeight="1">
      <c r="A40" s="69"/>
      <c r="B40" s="2" t="s">
        <v>331</v>
      </c>
      <c r="C40" s="10" t="s">
        <v>19</v>
      </c>
      <c r="D40" s="10"/>
      <c r="E40" s="54"/>
      <c r="F40" s="177"/>
      <c r="G40" s="190"/>
    </row>
    <row r="41" spans="1:7" ht="34.5" customHeight="1">
      <c r="A41" s="1"/>
      <c r="B41" s="6" t="s">
        <v>31</v>
      </c>
      <c r="C41" s="66" t="s">
        <v>19</v>
      </c>
      <c r="D41" s="10"/>
      <c r="E41" s="10"/>
      <c r="F41" s="177"/>
      <c r="G41" s="200"/>
    </row>
    <row r="42" spans="1:7" ht="15">
      <c r="A42" s="55"/>
      <c r="B42" s="56"/>
      <c r="C42" s="31"/>
      <c r="D42" s="31"/>
      <c r="E42" s="31"/>
      <c r="F42" s="31"/>
      <c r="G42" s="35"/>
    </row>
    <row r="43" spans="1:7" ht="15">
      <c r="A43" s="57"/>
      <c r="B43" s="32"/>
      <c r="C43" s="159"/>
      <c r="D43" s="159"/>
      <c r="E43" s="159"/>
      <c r="F43" s="159"/>
      <c r="G43" s="51"/>
    </row>
    <row r="44" spans="1:7" ht="15">
      <c r="A44" s="55"/>
      <c r="B44" s="32"/>
      <c r="C44" s="32"/>
      <c r="D44" s="32"/>
      <c r="E44" s="32"/>
      <c r="F44" s="32"/>
      <c r="G44" s="51"/>
    </row>
  </sheetData>
  <sheetProtection password="CF7D" sheet="1"/>
  <mergeCells count="10">
    <mergeCell ref="A1:G1"/>
    <mergeCell ref="A2:G2"/>
    <mergeCell ref="A3:G3"/>
    <mergeCell ref="A4:G4"/>
    <mergeCell ref="C43:F43"/>
    <mergeCell ref="A5:A6"/>
    <mergeCell ref="B5:B6"/>
    <mergeCell ref="C5:C6"/>
    <mergeCell ref="D5:E5"/>
    <mergeCell ref="F5:G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zoomScalePageLayoutView="0" workbookViewId="0" topLeftCell="A1">
      <selection activeCell="F8" sqref="F8:G61"/>
    </sheetView>
  </sheetViews>
  <sheetFormatPr defaultColWidth="9.140625" defaultRowHeight="12.75"/>
  <cols>
    <col min="1" max="1" width="4.57421875" style="97" customWidth="1"/>
    <col min="2" max="2" width="46.140625" style="33" customWidth="1"/>
    <col min="3" max="3" width="6.7109375" style="25" customWidth="1"/>
    <col min="4" max="4" width="7.7109375" style="25" customWidth="1"/>
    <col min="5" max="5" width="7.57421875" style="96" customWidth="1"/>
    <col min="6" max="6" width="10.57421875" style="40" customWidth="1"/>
    <col min="7" max="7" width="13.7109375" style="73" customWidth="1"/>
    <col min="8" max="8" width="10.8515625" style="77" hidden="1" customWidth="1"/>
    <col min="9" max="9" width="10.7109375" style="77" hidden="1" customWidth="1"/>
    <col min="10" max="10" width="9.140625" style="25" hidden="1" customWidth="1"/>
    <col min="11" max="12" width="9.140625" style="77" hidden="1" customWidth="1"/>
    <col min="13" max="14" width="0" style="77" hidden="1" customWidth="1"/>
    <col min="15" max="16384" width="9.140625" style="77" customWidth="1"/>
  </cols>
  <sheetData>
    <row r="1" spans="1:10" s="24" customFormat="1" ht="30.75" customHeight="1">
      <c r="A1" s="158" t="s">
        <v>227</v>
      </c>
      <c r="B1" s="158"/>
      <c r="C1" s="158"/>
      <c r="D1" s="158"/>
      <c r="E1" s="158"/>
      <c r="F1" s="158"/>
      <c r="G1" s="158"/>
      <c r="H1" s="36"/>
      <c r="I1" s="32"/>
      <c r="J1" s="36"/>
    </row>
    <row r="2" spans="1:10" s="24" customFormat="1" ht="15.75" customHeight="1">
      <c r="A2" s="170" t="s">
        <v>164</v>
      </c>
      <c r="B2" s="170"/>
      <c r="C2" s="170"/>
      <c r="D2" s="170"/>
      <c r="E2" s="170"/>
      <c r="F2" s="170"/>
      <c r="G2" s="170"/>
      <c r="H2" s="36"/>
      <c r="I2" s="32"/>
      <c r="J2" s="36"/>
    </row>
    <row r="3" spans="1:10" s="24" customFormat="1" ht="15.75" customHeight="1">
      <c r="A3" s="170" t="s">
        <v>161</v>
      </c>
      <c r="B3" s="170"/>
      <c r="C3" s="170"/>
      <c r="D3" s="170"/>
      <c r="E3" s="170"/>
      <c r="F3" s="170"/>
      <c r="G3" s="170"/>
      <c r="H3" s="36"/>
      <c r="I3" s="32"/>
      <c r="J3" s="36"/>
    </row>
    <row r="4" spans="1:7" s="24" customFormat="1" ht="15" customHeight="1">
      <c r="A4" s="170" t="s">
        <v>107</v>
      </c>
      <c r="B4" s="170"/>
      <c r="C4" s="170"/>
      <c r="D4" s="170"/>
      <c r="E4" s="170"/>
      <c r="F4" s="170"/>
      <c r="G4" s="170"/>
    </row>
    <row r="5" spans="1:7" s="24" customFormat="1" ht="25.5" customHeight="1">
      <c r="A5" s="171" t="s">
        <v>11</v>
      </c>
      <c r="B5" s="172" t="s">
        <v>12</v>
      </c>
      <c r="C5" s="173" t="s">
        <v>10</v>
      </c>
      <c r="D5" s="174" t="s">
        <v>13</v>
      </c>
      <c r="E5" s="174"/>
      <c r="F5" s="174" t="s">
        <v>6</v>
      </c>
      <c r="G5" s="174"/>
    </row>
    <row r="6" spans="1:9" s="24" customFormat="1" ht="57.75" customHeight="1">
      <c r="A6" s="171"/>
      <c r="B6" s="172"/>
      <c r="C6" s="173"/>
      <c r="D6" s="27" t="s">
        <v>14</v>
      </c>
      <c r="E6" s="27" t="s">
        <v>15</v>
      </c>
      <c r="F6" s="27" t="s">
        <v>14</v>
      </c>
      <c r="G6" s="62" t="s">
        <v>15</v>
      </c>
      <c r="I6" s="36"/>
    </row>
    <row r="7" spans="1:7" s="28" customFormat="1" ht="15" customHeight="1">
      <c r="A7" s="71" t="s">
        <v>16</v>
      </c>
      <c r="B7" s="63">
        <v>3</v>
      </c>
      <c r="C7" s="63">
        <v>4</v>
      </c>
      <c r="D7" s="63">
        <v>5</v>
      </c>
      <c r="E7" s="63">
        <v>6</v>
      </c>
      <c r="F7" s="63">
        <v>7</v>
      </c>
      <c r="G7" s="22">
        <v>8</v>
      </c>
    </row>
    <row r="8" spans="1:10" s="24" customFormat="1" ht="63.75" customHeight="1">
      <c r="A8" s="22">
        <v>1</v>
      </c>
      <c r="B8" s="6" t="s">
        <v>303</v>
      </c>
      <c r="C8" s="6" t="s">
        <v>26</v>
      </c>
      <c r="D8" s="53"/>
      <c r="E8" s="65">
        <v>1</v>
      </c>
      <c r="F8" s="195"/>
      <c r="G8" s="201"/>
      <c r="H8" s="34"/>
      <c r="I8" s="86">
        <f aca="true" t="shared" si="0" ref="I8:I15">G8</f>
        <v>0</v>
      </c>
      <c r="J8" s="87"/>
    </row>
    <row r="9" spans="1:10" s="24" customFormat="1" ht="32.25" customHeight="1">
      <c r="A9" s="1"/>
      <c r="B9" s="2" t="s">
        <v>300</v>
      </c>
      <c r="C9" s="2" t="s">
        <v>9</v>
      </c>
      <c r="D9" s="10">
        <f>1.15*1.99</f>
        <v>2.2885</v>
      </c>
      <c r="E9" s="20">
        <f>E8*D9</f>
        <v>2.2885</v>
      </c>
      <c r="F9" s="177"/>
      <c r="G9" s="202"/>
      <c r="H9" s="35"/>
      <c r="I9" s="86">
        <f t="shared" si="0"/>
        <v>0</v>
      </c>
      <c r="J9" s="88">
        <f>G9</f>
        <v>0</v>
      </c>
    </row>
    <row r="10" spans="1:10" s="24" customFormat="1" ht="29.25" customHeight="1">
      <c r="A10" s="1"/>
      <c r="B10" s="2" t="s">
        <v>301</v>
      </c>
      <c r="C10" s="2" t="s">
        <v>26</v>
      </c>
      <c r="D10" s="10">
        <v>1</v>
      </c>
      <c r="E10" s="11">
        <f>E8*D10</f>
        <v>1</v>
      </c>
      <c r="F10" s="177"/>
      <c r="G10" s="190"/>
      <c r="H10" s="34"/>
      <c r="I10" s="86">
        <f t="shared" si="0"/>
        <v>0</v>
      </c>
      <c r="J10" s="87"/>
    </row>
    <row r="11" spans="1:10" ht="27.75" customHeight="1">
      <c r="A11" s="1"/>
      <c r="B11" s="2" t="s">
        <v>21</v>
      </c>
      <c r="C11" s="2" t="s">
        <v>19</v>
      </c>
      <c r="D11" s="41">
        <v>1.39</v>
      </c>
      <c r="E11" s="20">
        <f>E8*D11</f>
        <v>1.39</v>
      </c>
      <c r="F11" s="177"/>
      <c r="G11" s="190"/>
      <c r="I11" s="86">
        <f t="shared" si="0"/>
        <v>0</v>
      </c>
      <c r="J11" s="77"/>
    </row>
    <row r="12" spans="1:9" s="28" customFormat="1" ht="49.5" customHeight="1">
      <c r="A12" s="22">
        <v>2</v>
      </c>
      <c r="B12" s="6" t="s">
        <v>297</v>
      </c>
      <c r="C12" s="6" t="s">
        <v>26</v>
      </c>
      <c r="D12" s="53"/>
      <c r="E12" s="65">
        <v>1</v>
      </c>
      <c r="F12" s="195"/>
      <c r="G12" s="201"/>
      <c r="I12" s="86">
        <f t="shared" si="0"/>
        <v>0</v>
      </c>
    </row>
    <row r="13" spans="1:10" s="33" customFormat="1" ht="29.25" customHeight="1">
      <c r="A13" s="1"/>
      <c r="B13" s="2" t="s">
        <v>299</v>
      </c>
      <c r="C13" s="2" t="s">
        <v>9</v>
      </c>
      <c r="D13" s="10">
        <f>1.15*3.17</f>
        <v>3.6454999999999997</v>
      </c>
      <c r="E13" s="20">
        <f>E12*D13</f>
        <v>3.6454999999999997</v>
      </c>
      <c r="F13" s="177"/>
      <c r="G13" s="202"/>
      <c r="I13" s="86">
        <f t="shared" si="0"/>
        <v>0</v>
      </c>
      <c r="J13" s="38">
        <f>G13</f>
        <v>0</v>
      </c>
    </row>
    <row r="14" spans="1:10" ht="36.75" customHeight="1">
      <c r="A14" s="1"/>
      <c r="B14" s="2" t="s">
        <v>298</v>
      </c>
      <c r="C14" s="2" t="s">
        <v>26</v>
      </c>
      <c r="D14" s="10">
        <v>1</v>
      </c>
      <c r="E14" s="11">
        <f>E12*D14</f>
        <v>1</v>
      </c>
      <c r="F14" s="177"/>
      <c r="G14" s="190"/>
      <c r="I14" s="86">
        <f t="shared" si="0"/>
        <v>0</v>
      </c>
      <c r="J14" s="77"/>
    </row>
    <row r="15" spans="1:9" s="33" customFormat="1" ht="30" customHeight="1">
      <c r="A15" s="1"/>
      <c r="B15" s="2" t="s">
        <v>21</v>
      </c>
      <c r="C15" s="2" t="s">
        <v>19</v>
      </c>
      <c r="D15" s="41">
        <v>0.323</v>
      </c>
      <c r="E15" s="20">
        <f>E12*D15</f>
        <v>0.323</v>
      </c>
      <c r="F15" s="177"/>
      <c r="G15" s="190"/>
      <c r="I15" s="86">
        <f t="shared" si="0"/>
        <v>0</v>
      </c>
    </row>
    <row r="16" spans="1:9" s="28" customFormat="1" ht="57" customHeight="1">
      <c r="A16" s="22">
        <v>3</v>
      </c>
      <c r="B16" s="6" t="s">
        <v>302</v>
      </c>
      <c r="C16" s="6" t="s">
        <v>26</v>
      </c>
      <c r="D16" s="53"/>
      <c r="E16" s="65">
        <v>5</v>
      </c>
      <c r="F16" s="195"/>
      <c r="G16" s="201"/>
      <c r="I16" s="86" t="e">
        <f>#REF!</f>
        <v>#REF!</v>
      </c>
    </row>
    <row r="17" spans="1:10" ht="26.25" customHeight="1">
      <c r="A17" s="1"/>
      <c r="B17" s="2" t="s">
        <v>300</v>
      </c>
      <c r="C17" s="2" t="s">
        <v>9</v>
      </c>
      <c r="D17" s="10">
        <f>1.15*1.99</f>
        <v>2.2885</v>
      </c>
      <c r="E17" s="20">
        <f>E16*D17</f>
        <v>11.442499999999999</v>
      </c>
      <c r="F17" s="177"/>
      <c r="G17" s="202"/>
      <c r="I17" s="86" t="e">
        <f>#REF!</f>
        <v>#REF!</v>
      </c>
      <c r="J17" s="38" t="e">
        <f>#REF!</f>
        <v>#REF!</v>
      </c>
    </row>
    <row r="18" spans="1:9" s="33" customFormat="1" ht="27.75" customHeight="1">
      <c r="A18" s="1"/>
      <c r="B18" s="2" t="s">
        <v>311</v>
      </c>
      <c r="C18" s="2" t="s">
        <v>26</v>
      </c>
      <c r="D18" s="10">
        <v>1</v>
      </c>
      <c r="E18" s="11">
        <f>E16*D18</f>
        <v>5</v>
      </c>
      <c r="F18" s="177"/>
      <c r="G18" s="190"/>
      <c r="I18" s="86" t="e">
        <f>#REF!</f>
        <v>#REF!</v>
      </c>
    </row>
    <row r="19" spans="1:10" ht="34.5" customHeight="1">
      <c r="A19" s="1"/>
      <c r="B19" s="2" t="s">
        <v>21</v>
      </c>
      <c r="C19" s="2" t="s">
        <v>19</v>
      </c>
      <c r="D19" s="41">
        <v>1.39</v>
      </c>
      <c r="E19" s="20">
        <f>E16*D19</f>
        <v>6.949999999999999</v>
      </c>
      <c r="F19" s="177"/>
      <c r="G19" s="190"/>
      <c r="I19" s="86" t="e">
        <f>#REF!</f>
        <v>#REF!</v>
      </c>
      <c r="J19" s="77"/>
    </row>
    <row r="20" spans="1:9" s="28" customFormat="1" ht="53.25" customHeight="1">
      <c r="A20" s="4" t="s">
        <v>34</v>
      </c>
      <c r="B20" s="6" t="s">
        <v>313</v>
      </c>
      <c r="C20" s="6" t="s">
        <v>51</v>
      </c>
      <c r="D20" s="6"/>
      <c r="E20" s="125">
        <v>52</v>
      </c>
      <c r="F20" s="188"/>
      <c r="G20" s="203"/>
      <c r="I20" s="86" t="e">
        <f>#REF!</f>
        <v>#REF!</v>
      </c>
    </row>
    <row r="21" spans="1:10" ht="33" customHeight="1">
      <c r="A21" s="1"/>
      <c r="B21" s="2" t="s">
        <v>63</v>
      </c>
      <c r="C21" s="2" t="s">
        <v>9</v>
      </c>
      <c r="D21" s="2">
        <f>1.15*0.604</f>
        <v>0.6945999999999999</v>
      </c>
      <c r="E21" s="20">
        <f>E20*D21</f>
        <v>36.11919999999999</v>
      </c>
      <c r="F21" s="179"/>
      <c r="G21" s="202"/>
      <c r="I21" s="86" t="e">
        <f>#REF!</f>
        <v>#REF!</v>
      </c>
      <c r="J21" s="38" t="e">
        <f>#REF!</f>
        <v>#REF!</v>
      </c>
    </row>
    <row r="22" spans="1:10" ht="26.25" customHeight="1">
      <c r="A22" s="1"/>
      <c r="B22" s="10" t="s">
        <v>312</v>
      </c>
      <c r="C22" s="2" t="s">
        <v>60</v>
      </c>
      <c r="D22" s="10">
        <v>1</v>
      </c>
      <c r="E22" s="11">
        <f>E20*D22</f>
        <v>52</v>
      </c>
      <c r="F22" s="191"/>
      <c r="G22" s="190"/>
      <c r="I22" s="86" t="e">
        <f>#REF!</f>
        <v>#REF!</v>
      </c>
      <c r="J22" s="77"/>
    </row>
    <row r="23" spans="1:10" ht="34.5" customHeight="1">
      <c r="A23" s="1"/>
      <c r="B23" s="2" t="s">
        <v>49</v>
      </c>
      <c r="C23" s="2" t="s">
        <v>19</v>
      </c>
      <c r="D23" s="10">
        <v>0.114</v>
      </c>
      <c r="E23" s="20">
        <f>E20*D23</f>
        <v>5.928</v>
      </c>
      <c r="F23" s="177"/>
      <c r="G23" s="190"/>
      <c r="I23" s="86" t="e">
        <f>#REF!</f>
        <v>#REF!</v>
      </c>
      <c r="J23" s="77"/>
    </row>
    <row r="24" spans="1:9" s="23" customFormat="1" ht="54.75" customHeight="1">
      <c r="A24" s="22">
        <v>5</v>
      </c>
      <c r="B24" s="6" t="s">
        <v>309</v>
      </c>
      <c r="C24" s="6" t="s">
        <v>51</v>
      </c>
      <c r="D24" s="6"/>
      <c r="E24" s="125">
        <v>11</v>
      </c>
      <c r="F24" s="188"/>
      <c r="G24" s="203"/>
      <c r="I24" s="86">
        <f>G36</f>
        <v>0</v>
      </c>
    </row>
    <row r="25" spans="1:10" s="32" customFormat="1" ht="30.75" customHeight="1">
      <c r="A25" s="1"/>
      <c r="B25" s="2" t="s">
        <v>64</v>
      </c>
      <c r="C25" s="2" t="s">
        <v>9</v>
      </c>
      <c r="D25" s="2">
        <f>1.15*0.192</f>
        <v>0.2208</v>
      </c>
      <c r="E25" s="118">
        <f>E24*D25</f>
        <v>2.4288</v>
      </c>
      <c r="F25" s="179"/>
      <c r="G25" s="204"/>
      <c r="I25" s="86">
        <f>G37</f>
        <v>0</v>
      </c>
      <c r="J25" s="38">
        <f>G37</f>
        <v>0</v>
      </c>
    </row>
    <row r="26" spans="1:9" s="74" customFormat="1" ht="27" customHeight="1">
      <c r="A26" s="1"/>
      <c r="B26" s="10" t="s">
        <v>304</v>
      </c>
      <c r="C26" s="2" t="s">
        <v>60</v>
      </c>
      <c r="D26" s="10">
        <v>1</v>
      </c>
      <c r="E26" s="59">
        <f>E24*D26</f>
        <v>11</v>
      </c>
      <c r="F26" s="191"/>
      <c r="G26" s="190"/>
      <c r="I26" s="86">
        <f>G38</f>
        <v>0</v>
      </c>
    </row>
    <row r="27" spans="1:9" s="32" customFormat="1" ht="31.5" customHeight="1">
      <c r="A27" s="1"/>
      <c r="B27" s="2" t="s">
        <v>21</v>
      </c>
      <c r="C27" s="2" t="s">
        <v>19</v>
      </c>
      <c r="D27" s="126">
        <v>0.0266</v>
      </c>
      <c r="E27" s="118">
        <f>E24*D27</f>
        <v>0.29259999999999997</v>
      </c>
      <c r="F27" s="179"/>
      <c r="G27" s="187"/>
      <c r="I27" s="86" t="e">
        <f>#REF!</f>
        <v>#REF!</v>
      </c>
    </row>
    <row r="28" spans="1:9" s="32" customFormat="1" ht="60.75" customHeight="1">
      <c r="A28" s="4" t="s">
        <v>58</v>
      </c>
      <c r="B28" s="6" t="s">
        <v>310</v>
      </c>
      <c r="C28" s="6" t="s">
        <v>26</v>
      </c>
      <c r="D28" s="6"/>
      <c r="E28" s="125">
        <v>20</v>
      </c>
      <c r="F28" s="188"/>
      <c r="G28" s="203"/>
      <c r="I28" s="86" t="e">
        <f>#REF!</f>
        <v>#REF!</v>
      </c>
    </row>
    <row r="29" spans="1:9" s="32" customFormat="1" ht="21.75" customHeight="1">
      <c r="A29" s="1"/>
      <c r="B29" s="2" t="s">
        <v>64</v>
      </c>
      <c r="C29" s="2" t="s">
        <v>9</v>
      </c>
      <c r="D29" s="2">
        <f>1.15*0.192</f>
        <v>0.2208</v>
      </c>
      <c r="E29" s="3">
        <f>E28*D29</f>
        <v>4.416</v>
      </c>
      <c r="F29" s="179"/>
      <c r="G29" s="204"/>
      <c r="I29" s="86">
        <f>G39</f>
        <v>0</v>
      </c>
    </row>
    <row r="30" spans="1:9" s="23" customFormat="1" ht="28.5" customHeight="1">
      <c r="A30" s="1"/>
      <c r="B30" s="2" t="s">
        <v>305</v>
      </c>
      <c r="C30" s="2" t="s">
        <v>60</v>
      </c>
      <c r="D30" s="10">
        <v>1</v>
      </c>
      <c r="E30" s="11">
        <f>E28*D30</f>
        <v>20</v>
      </c>
      <c r="F30" s="191"/>
      <c r="G30" s="190"/>
      <c r="I30" s="86" t="e">
        <f>#REF!</f>
        <v>#REF!</v>
      </c>
    </row>
    <row r="31" spans="1:10" s="32" customFormat="1" ht="25.5" customHeight="1">
      <c r="A31" s="1"/>
      <c r="B31" s="2" t="s">
        <v>49</v>
      </c>
      <c r="C31" s="2" t="s">
        <v>19</v>
      </c>
      <c r="D31" s="126">
        <v>0.0234</v>
      </c>
      <c r="E31" s="3">
        <f>E28*D31</f>
        <v>0.468</v>
      </c>
      <c r="F31" s="179"/>
      <c r="G31" s="187"/>
      <c r="I31" s="86" t="e">
        <f>#REF!</f>
        <v>#REF!</v>
      </c>
      <c r="J31" s="38" t="e">
        <f>#REF!</f>
        <v>#REF!</v>
      </c>
    </row>
    <row r="32" spans="1:9" s="32" customFormat="1" ht="43.5" customHeight="1">
      <c r="A32" s="22">
        <v>7</v>
      </c>
      <c r="B32" s="6" t="s">
        <v>307</v>
      </c>
      <c r="C32" s="6" t="s">
        <v>26</v>
      </c>
      <c r="D32" s="6"/>
      <c r="E32" s="22">
        <v>11</v>
      </c>
      <c r="F32" s="188"/>
      <c r="G32" s="205"/>
      <c r="I32" s="86"/>
    </row>
    <row r="33" spans="1:9" s="32" customFormat="1" ht="30" customHeight="1">
      <c r="A33" s="1"/>
      <c r="B33" s="2" t="s">
        <v>46</v>
      </c>
      <c r="C33" s="2" t="s">
        <v>9</v>
      </c>
      <c r="D33" s="2">
        <v>0.192</v>
      </c>
      <c r="E33" s="3">
        <f>E32*D33</f>
        <v>2.112</v>
      </c>
      <c r="F33" s="179"/>
      <c r="G33" s="206"/>
      <c r="I33" s="86"/>
    </row>
    <row r="34" spans="1:9" s="32" customFormat="1" ht="30" customHeight="1">
      <c r="A34" s="1"/>
      <c r="B34" s="2" t="s">
        <v>308</v>
      </c>
      <c r="C34" s="2" t="s">
        <v>26</v>
      </c>
      <c r="D34" s="10">
        <v>1</v>
      </c>
      <c r="E34" s="11">
        <f>D34*E32</f>
        <v>11</v>
      </c>
      <c r="F34" s="181"/>
      <c r="G34" s="190"/>
      <c r="I34" s="86"/>
    </row>
    <row r="35" spans="1:9" s="28" customFormat="1" ht="26.25" customHeight="1">
      <c r="A35" s="1"/>
      <c r="B35" s="2" t="s">
        <v>49</v>
      </c>
      <c r="C35" s="2" t="s">
        <v>19</v>
      </c>
      <c r="D35" s="126">
        <v>0.0234</v>
      </c>
      <c r="E35" s="3">
        <f>E32*D35</f>
        <v>0.2574</v>
      </c>
      <c r="F35" s="179"/>
      <c r="G35" s="207"/>
      <c r="I35" s="86"/>
    </row>
    <row r="36" spans="1:10" ht="49.5" customHeight="1">
      <c r="A36" s="4" t="s">
        <v>57</v>
      </c>
      <c r="B36" s="6" t="s">
        <v>306</v>
      </c>
      <c r="C36" s="6" t="s">
        <v>37</v>
      </c>
      <c r="D36" s="6"/>
      <c r="E36" s="125">
        <v>200</v>
      </c>
      <c r="F36" s="188"/>
      <c r="G36" s="203"/>
      <c r="I36" s="86" t="e">
        <f>#REF!</f>
        <v>#REF!</v>
      </c>
      <c r="J36" s="38" t="e">
        <f>#REF!</f>
        <v>#REF!</v>
      </c>
    </row>
    <row r="37" spans="1:10" ht="29.25" customHeight="1">
      <c r="A37" s="1"/>
      <c r="B37" s="2" t="s">
        <v>0</v>
      </c>
      <c r="C37" s="2" t="s">
        <v>9</v>
      </c>
      <c r="D37" s="2">
        <f>1.15*0.139</f>
        <v>0.15985</v>
      </c>
      <c r="E37" s="118">
        <f>E36*D37</f>
        <v>31.97</v>
      </c>
      <c r="F37" s="179"/>
      <c r="G37" s="204"/>
      <c r="I37" s="86" t="e">
        <f>#REF!</f>
        <v>#REF!</v>
      </c>
      <c r="J37" s="77"/>
    </row>
    <row r="38" spans="1:9" s="32" customFormat="1" ht="27" customHeight="1">
      <c r="A38" s="1"/>
      <c r="B38" s="10" t="s">
        <v>211</v>
      </c>
      <c r="C38" s="2" t="s">
        <v>40</v>
      </c>
      <c r="D38" s="10">
        <v>1</v>
      </c>
      <c r="E38" s="59">
        <f>E36*D38</f>
        <v>200</v>
      </c>
      <c r="F38" s="191"/>
      <c r="G38" s="190"/>
      <c r="I38" s="86" t="e">
        <f>#REF!</f>
        <v>#REF!</v>
      </c>
    </row>
    <row r="39" spans="1:10" ht="31.5" customHeight="1">
      <c r="A39" s="1"/>
      <c r="B39" s="2" t="s">
        <v>49</v>
      </c>
      <c r="C39" s="2" t="s">
        <v>19</v>
      </c>
      <c r="D39" s="126">
        <v>0.0097</v>
      </c>
      <c r="E39" s="118">
        <f>E36*D39</f>
        <v>1.94</v>
      </c>
      <c r="F39" s="179"/>
      <c r="G39" s="187"/>
      <c r="I39" s="86" t="e">
        <f>#REF!</f>
        <v>#REF!</v>
      </c>
      <c r="J39" s="38" t="e">
        <f>#REF!</f>
        <v>#REF!</v>
      </c>
    </row>
    <row r="40" spans="1:10" ht="57.75" customHeight="1">
      <c r="A40" s="4" t="s">
        <v>104</v>
      </c>
      <c r="B40" s="6" t="s">
        <v>315</v>
      </c>
      <c r="C40" s="6" t="s">
        <v>37</v>
      </c>
      <c r="D40" s="6"/>
      <c r="E40" s="125">
        <v>60</v>
      </c>
      <c r="F40" s="188"/>
      <c r="G40" s="203"/>
      <c r="I40" s="86" t="e">
        <f>#REF!</f>
        <v>#REF!</v>
      </c>
      <c r="J40" s="77"/>
    </row>
    <row r="41" spans="1:9" s="74" customFormat="1" ht="27" customHeight="1">
      <c r="A41" s="1"/>
      <c r="B41" s="2" t="s">
        <v>0</v>
      </c>
      <c r="C41" s="2" t="s">
        <v>9</v>
      </c>
      <c r="D41" s="2">
        <f>1.15*0.139</f>
        <v>0.15985</v>
      </c>
      <c r="E41" s="118">
        <f>E40*D41</f>
        <v>9.591</v>
      </c>
      <c r="F41" s="179"/>
      <c r="G41" s="204"/>
      <c r="I41" s="86" t="e">
        <f>#REF!</f>
        <v>#REF!</v>
      </c>
    </row>
    <row r="42" spans="1:10" s="92" customFormat="1" ht="22.5" customHeight="1">
      <c r="A42" s="1"/>
      <c r="B42" s="10" t="s">
        <v>212</v>
      </c>
      <c r="C42" s="2" t="s">
        <v>40</v>
      </c>
      <c r="D42" s="10">
        <v>1</v>
      </c>
      <c r="E42" s="59">
        <f>E40*D42</f>
        <v>60</v>
      </c>
      <c r="F42" s="191"/>
      <c r="G42" s="190"/>
      <c r="H42" s="89"/>
      <c r="I42" s="90" t="e">
        <f>#REF!</f>
        <v>#REF!</v>
      </c>
      <c r="J42" s="91"/>
    </row>
    <row r="43" spans="1:10" s="24" customFormat="1" ht="25.5" customHeight="1">
      <c r="A43" s="1"/>
      <c r="B43" s="2" t="s">
        <v>49</v>
      </c>
      <c r="C43" s="2" t="s">
        <v>19</v>
      </c>
      <c r="D43" s="126">
        <v>0.0097</v>
      </c>
      <c r="E43" s="118">
        <f>E40*D43</f>
        <v>0.5820000000000001</v>
      </c>
      <c r="F43" s="179"/>
      <c r="G43" s="187"/>
      <c r="H43" s="46"/>
      <c r="I43" s="90" t="e">
        <f>#REF!</f>
        <v>#REF!</v>
      </c>
      <c r="J43" s="36"/>
    </row>
    <row r="44" spans="1:7" ht="46.5" customHeight="1">
      <c r="A44" s="4" t="s">
        <v>314</v>
      </c>
      <c r="B44" s="6" t="s">
        <v>316</v>
      </c>
      <c r="C44" s="6" t="s">
        <v>37</v>
      </c>
      <c r="D44" s="6"/>
      <c r="E44" s="125">
        <v>40</v>
      </c>
      <c r="F44" s="188"/>
      <c r="G44" s="203"/>
    </row>
    <row r="45" spans="1:7" ht="31.5" customHeight="1">
      <c r="A45" s="1"/>
      <c r="B45" s="2" t="s">
        <v>0</v>
      </c>
      <c r="C45" s="2" t="s">
        <v>9</v>
      </c>
      <c r="D45" s="2">
        <f>1.15*0.139</f>
        <v>0.15985</v>
      </c>
      <c r="E45" s="3">
        <f>E44*D45</f>
        <v>6.394</v>
      </c>
      <c r="F45" s="179"/>
      <c r="G45" s="204"/>
    </row>
    <row r="46" spans="1:7" ht="25.5" customHeight="1">
      <c r="A46" s="1"/>
      <c r="B46" s="10" t="s">
        <v>317</v>
      </c>
      <c r="C46" s="2" t="s">
        <v>40</v>
      </c>
      <c r="D46" s="10">
        <v>1</v>
      </c>
      <c r="E46" s="11">
        <f>E44*D46</f>
        <v>40</v>
      </c>
      <c r="F46" s="191"/>
      <c r="G46" s="190"/>
    </row>
    <row r="47" spans="1:7" ht="30" customHeight="1">
      <c r="A47" s="1"/>
      <c r="B47" s="2" t="s">
        <v>49</v>
      </c>
      <c r="C47" s="2" t="s">
        <v>19</v>
      </c>
      <c r="D47" s="126">
        <v>0.0097</v>
      </c>
      <c r="E47" s="3">
        <f>E44*D47</f>
        <v>0.388</v>
      </c>
      <c r="F47" s="179"/>
      <c r="G47" s="187"/>
    </row>
    <row r="48" spans="1:7" ht="30" customHeight="1">
      <c r="A48" s="68"/>
      <c r="B48" s="6" t="s">
        <v>2</v>
      </c>
      <c r="C48" s="2" t="s">
        <v>19</v>
      </c>
      <c r="D48" s="2"/>
      <c r="E48" s="3"/>
      <c r="F48" s="179"/>
      <c r="G48" s="208"/>
    </row>
    <row r="49" spans="1:7" ht="29.25" customHeight="1">
      <c r="A49" s="68"/>
      <c r="B49" s="2" t="s">
        <v>62</v>
      </c>
      <c r="C49" s="2" t="s">
        <v>19</v>
      </c>
      <c r="D49" s="2"/>
      <c r="E49" s="3"/>
      <c r="F49" s="179"/>
      <c r="G49" s="202"/>
    </row>
    <row r="50" spans="1:7" ht="29.25" customHeight="1">
      <c r="A50" s="68"/>
      <c r="B50" s="2" t="s">
        <v>339</v>
      </c>
      <c r="C50" s="2" t="s">
        <v>19</v>
      </c>
      <c r="D50" s="2"/>
      <c r="E50" s="70"/>
      <c r="F50" s="179"/>
      <c r="G50" s="187"/>
    </row>
    <row r="51" spans="1:7" ht="30.75" customHeight="1">
      <c r="A51" s="67"/>
      <c r="B51" s="6" t="s">
        <v>59</v>
      </c>
      <c r="C51" s="6" t="s">
        <v>19</v>
      </c>
      <c r="D51" s="6"/>
      <c r="E51" s="6"/>
      <c r="F51" s="188"/>
      <c r="G51" s="208"/>
    </row>
    <row r="52" spans="1:7" ht="25.5" customHeight="1">
      <c r="A52" s="68"/>
      <c r="B52" s="2" t="s">
        <v>329</v>
      </c>
      <c r="C52" s="2" t="s">
        <v>19</v>
      </c>
      <c r="D52" s="2"/>
      <c r="E52" s="70"/>
      <c r="F52" s="179"/>
      <c r="G52" s="187"/>
    </row>
    <row r="53" spans="1:7" ht="26.25" customHeight="1">
      <c r="A53" s="1"/>
      <c r="B53" s="6" t="s">
        <v>31</v>
      </c>
      <c r="C53" s="5" t="s">
        <v>19</v>
      </c>
      <c r="D53" s="2"/>
      <c r="E53" s="2"/>
      <c r="F53" s="179"/>
      <c r="G53" s="208"/>
    </row>
    <row r="54" spans="1:7" ht="13.5">
      <c r="A54" s="35"/>
      <c r="B54" s="93"/>
      <c r="C54" s="56"/>
      <c r="D54" s="56"/>
      <c r="E54" s="94"/>
      <c r="F54" s="209"/>
      <c r="G54" s="210"/>
    </row>
    <row r="55" spans="1:7" ht="15">
      <c r="A55" s="35"/>
      <c r="B55" s="150" t="s">
        <v>336</v>
      </c>
      <c r="C55" s="151"/>
      <c r="D55" s="151"/>
      <c r="E55" s="151"/>
      <c r="F55" s="211"/>
      <c r="G55" s="212"/>
    </row>
    <row r="56" spans="1:7" ht="30">
      <c r="A56" s="35"/>
      <c r="B56" s="150" t="s">
        <v>333</v>
      </c>
      <c r="C56" s="151"/>
      <c r="D56" s="151"/>
      <c r="E56" s="152">
        <v>0.03</v>
      </c>
      <c r="F56" s="211"/>
      <c r="G56" s="212"/>
    </row>
    <row r="57" spans="1:7" ht="15">
      <c r="A57" s="35"/>
      <c r="B57" s="150" t="s">
        <v>334</v>
      </c>
      <c r="C57" s="151"/>
      <c r="D57" s="151"/>
      <c r="E57" s="151"/>
      <c r="F57" s="211"/>
      <c r="G57" s="212"/>
    </row>
    <row r="58" spans="1:7" ht="20.25" customHeight="1">
      <c r="A58" s="35"/>
      <c r="B58" s="150" t="s">
        <v>335</v>
      </c>
      <c r="C58" s="151"/>
      <c r="D58" s="151"/>
      <c r="E58" s="152">
        <v>0.18</v>
      </c>
      <c r="F58" s="211"/>
      <c r="G58" s="212"/>
    </row>
    <row r="59" spans="1:7" ht="15">
      <c r="A59" s="35"/>
      <c r="B59" s="150" t="s">
        <v>332</v>
      </c>
      <c r="C59" s="151"/>
      <c r="D59" s="151"/>
      <c r="E59" s="151"/>
      <c r="F59" s="211"/>
      <c r="G59" s="212"/>
    </row>
    <row r="60" spans="1:7" ht="65.25" customHeight="1">
      <c r="A60" s="35"/>
      <c r="B60" s="153" t="s">
        <v>338</v>
      </c>
      <c r="C60" s="151"/>
      <c r="D60" s="151"/>
      <c r="E60" s="154"/>
      <c r="F60" s="213"/>
      <c r="G60" s="212"/>
    </row>
    <row r="61" spans="1:7" ht="45">
      <c r="A61" s="55"/>
      <c r="B61" s="155" t="s">
        <v>337</v>
      </c>
      <c r="C61" s="151"/>
      <c r="D61" s="151"/>
      <c r="E61" s="151"/>
      <c r="F61" s="213"/>
      <c r="G61" s="212"/>
    </row>
    <row r="62" ht="13.5">
      <c r="A62" s="95"/>
    </row>
    <row r="63" ht="13.5">
      <c r="A63" s="95"/>
    </row>
    <row r="64" ht="13.5">
      <c r="A64" s="95"/>
    </row>
    <row r="65" ht="13.5">
      <c r="A65" s="95"/>
    </row>
    <row r="66" ht="13.5">
      <c r="A66" s="95"/>
    </row>
    <row r="67" ht="13.5">
      <c r="A67" s="95"/>
    </row>
    <row r="68" ht="13.5">
      <c r="A68" s="95"/>
    </row>
    <row r="69" ht="13.5">
      <c r="A69" s="95"/>
    </row>
    <row r="70" ht="13.5">
      <c r="A70" s="95"/>
    </row>
    <row r="71" ht="13.5">
      <c r="A71" s="95"/>
    </row>
  </sheetData>
  <sheetProtection password="CF7D" sheet="1"/>
  <mergeCells count="9">
    <mergeCell ref="A1:G1"/>
    <mergeCell ref="A2:G2"/>
    <mergeCell ref="A3:G3"/>
    <mergeCell ref="A4:G4"/>
    <mergeCell ref="A5:A6"/>
    <mergeCell ref="B5:B6"/>
    <mergeCell ref="C5:C6"/>
    <mergeCell ref="D5:E5"/>
    <mergeCell ref="F5:G5"/>
  </mergeCells>
  <printOptions/>
  <pageMargins left="0.4724409448818898" right="0" top="0" bottom="0.3937007874015748" header="0" footer="0"/>
  <pageSetup horizontalDpi="600" verticalDpi="600" orientation="portrait" paperSize="9" r:id="rId1"/>
  <headerFooter>
    <oddFooter>&amp;C&amp;9&amp;A&amp;R&amp;8-&amp;N--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jsurmanidze</cp:lastModifiedBy>
  <cp:lastPrinted>2016-07-08T07:42:04Z</cp:lastPrinted>
  <dcterms:created xsi:type="dcterms:W3CDTF">1996-10-14T23:33:28Z</dcterms:created>
  <dcterms:modified xsi:type="dcterms:W3CDTF">2016-07-08T08:48:24Z</dcterms:modified>
  <cp:category/>
  <cp:version/>
  <cp:contentType/>
  <cp:contentStatus/>
</cp:coreProperties>
</file>