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205" windowHeight="8085" tabRatio="927" activeTab="0"/>
  </bookViews>
  <sheets>
    <sheet name="K (3)" sheetId="1" r:id="rId1"/>
    <sheet name="1--1" sheetId="2" r:id="rId2"/>
    <sheet name="1--2" sheetId="3" r:id="rId3"/>
    <sheet name="1-3" sheetId="4" r:id="rId4"/>
    <sheet name="2--1" sheetId="5" r:id="rId5"/>
    <sheet name="2--2" sheetId="6" r:id="rId6"/>
    <sheet name="2-3" sheetId="7" r:id="rId7"/>
    <sheet name="2-4" sheetId="8" r:id="rId8"/>
    <sheet name="3--1" sheetId="9" r:id="rId9"/>
    <sheet name="3-2" sheetId="10" r:id="rId10"/>
    <sheet name="3-3" sheetId="11" r:id="rId11"/>
    <sheet name="3-4" sheetId="12" r:id="rId12"/>
    <sheet name="4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aaa">#REF!</definedName>
    <definedName name="aaaa12" localSheetId="7">#REF!</definedName>
    <definedName name="aaaa12" localSheetId="12">#REF!</definedName>
    <definedName name="aaaa12">#REF!</definedName>
    <definedName name="adfgh69" localSheetId="7">#REF!</definedName>
    <definedName name="adfgh69" localSheetId="12">#REF!</definedName>
    <definedName name="adfgh69">#REF!</definedName>
    <definedName name="adfhak" localSheetId="7">#REF!</definedName>
    <definedName name="adfhak" localSheetId="12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 localSheetId="7">#REF!</definedName>
    <definedName name="aweyth65" localSheetId="12">#REF!</definedName>
    <definedName name="aweyth65">#REF!</definedName>
    <definedName name="b00" localSheetId="7">#REF!</definedName>
    <definedName name="b00" localSheetId="12">#REF!</definedName>
    <definedName name="b00">#REF!</definedName>
    <definedName name="bbbb4" localSheetId="7">#REF!</definedName>
    <definedName name="bbbb4" localSheetId="12">#REF!</definedName>
    <definedName name="bbbb4">#REF!</definedName>
    <definedName name="bbbbbb">#REF!</definedName>
    <definedName name="bnj" localSheetId="7">#REF!</definedName>
    <definedName name="bnj" localSheetId="12">#REF!</definedName>
    <definedName name="bnj">#REF!</definedName>
    <definedName name="bnmk" localSheetId="7">'[3]niveloba'!#REF!</definedName>
    <definedName name="bnmk" localSheetId="12">'[3]niveloba'!#REF!</definedName>
    <definedName name="bnmk">'[3]niveloba'!#REF!</definedName>
    <definedName name="bvcccc11144" localSheetId="7">'[10]x1'!#REF!</definedName>
    <definedName name="bvcccc11144" localSheetId="12">'[10]x1'!#REF!</definedName>
    <definedName name="bvcccc11144">'[10]x1'!#REF!</definedName>
    <definedName name="bytl">#REF!</definedName>
    <definedName name="cftslp">#REF!</definedName>
    <definedName name="cxra">#REF!</definedName>
    <definedName name="desz" localSheetId="7">#REF!</definedName>
    <definedName name="desz" localSheetId="12">#REF!</definedName>
    <definedName name="desz">#REF!</definedName>
    <definedName name="dlynv">#REF!</definedName>
    <definedName name="dsa">#REF!</definedName>
    <definedName name="dva">#REF!</definedName>
    <definedName name="ewqa">#REF!</definedName>
    <definedName name="ews">#REF!</definedName>
    <definedName name="exvsi">#REF!</definedName>
    <definedName name="eywh23" localSheetId="7">#REF!</definedName>
    <definedName name="eywh23" localSheetId="12">#REF!</definedName>
    <definedName name="eywh23">#REF!</definedName>
    <definedName name="F22345u">#REF!</definedName>
    <definedName name="fdaAFG" localSheetId="7">'[11]x'!#REF!</definedName>
    <definedName name="fdaAFG" localSheetId="12">'[11]x'!#REF!</definedName>
    <definedName name="fdaAFG">'[11]x'!#REF!</definedName>
    <definedName name="fdgh2145" localSheetId="7">#REF!</definedName>
    <definedName name="fdgh2145" localSheetId="12">#REF!</definedName>
    <definedName name="fdgh2145">#REF!</definedName>
    <definedName name="fdrt124">#REF!</definedName>
    <definedName name="fds">#REF!</definedName>
    <definedName name="fdsa474" localSheetId="7">#REF!</definedName>
    <definedName name="fdsa474" localSheetId="12">#REF!</definedName>
    <definedName name="fdsa474">#REF!</definedName>
    <definedName name="fdsgtr14789" localSheetId="7">'[15]x2,'!#REF!</definedName>
    <definedName name="fdsgtr14789" localSheetId="12">'[15]x2,'!#REF!</definedName>
    <definedName name="fdsgtr14789">'[15]x2,'!#REF!</definedName>
    <definedName name="ffff5">#REF!</definedName>
    <definedName name="ffff5555" localSheetId="7">#REF!</definedName>
    <definedName name="ffff5555" localSheetId="12">#REF!</definedName>
    <definedName name="ffff5555">#REF!</definedName>
    <definedName name="fgdm">#REF!</definedName>
    <definedName name="fgu9">#REF!</definedName>
    <definedName name="frgtyrter">#REF!</definedName>
    <definedName name="fvb">#REF!</definedName>
    <definedName name="fwsg">#REF!</definedName>
    <definedName name="fxza">#REF!</definedName>
    <definedName name="gdsdfgh45763" localSheetId="7">'[9]x1'!#REF!</definedName>
    <definedName name="gdsdfgh45763" localSheetId="12">'[9]x1'!#REF!</definedName>
    <definedName name="gdsdfgh45763">'[9]x1'!#REF!</definedName>
    <definedName name="gfd" localSheetId="7">'[4]res ur'!#REF!</definedName>
    <definedName name="gfd" localSheetId="12">'[4]res ur'!#REF!</definedName>
    <definedName name="gfd">'[4]res ur'!#REF!</definedName>
    <definedName name="gfd56">#REF!</definedName>
    <definedName name="gfds">#REF!</definedName>
    <definedName name="gfdsaxcvvbnm" localSheetId="7">#REF!</definedName>
    <definedName name="gfdsaxcvvbnm" localSheetId="12">#REF!</definedName>
    <definedName name="gfdsaxcvvbnm">#REF!</definedName>
    <definedName name="gfh23">#REF!</definedName>
    <definedName name="gfhy56">#REF!</definedName>
    <definedName name="ggg6">#REF!</definedName>
    <definedName name="gggffddd">#REF!</definedName>
    <definedName name="gggg11" localSheetId="7">#REF!</definedName>
    <definedName name="gggg11" localSheetId="12">#REF!</definedName>
    <definedName name="gggg11">#REF!</definedName>
    <definedName name="ghbca">#REF!</definedName>
    <definedName name="ghdah584" localSheetId="7">#REF!</definedName>
    <definedName name="ghdah584" localSheetId="12">#REF!</definedName>
    <definedName name="ghdah584">#REF!</definedName>
    <definedName name="ghjkl">#REF!</definedName>
    <definedName name="ghrtwewq1479" localSheetId="7">#REF!</definedName>
    <definedName name="ghrtwewq1479" localSheetId="12">#REF!</definedName>
    <definedName name="ghrtwewq1479">#REF!</definedName>
    <definedName name="gsgs54" localSheetId="7">#REF!</definedName>
    <definedName name="gsgs54" localSheetId="12">#REF!</definedName>
    <definedName name="gsgs54">#REF!</definedName>
    <definedName name="gtf5">#REF!</definedName>
    <definedName name="gtfd" localSheetId="7">#REF!</definedName>
    <definedName name="gtfd" localSheetId="12">#REF!</definedName>
    <definedName name="gtfd">#REF!</definedName>
    <definedName name="gtfd45">#REF!</definedName>
    <definedName name="gth1">#REF!</definedName>
    <definedName name="gyth3">#REF!</definedName>
    <definedName name="gytjk">#REF!</definedName>
    <definedName name="hasdha">#REF!</definedName>
    <definedName name="hazxc">#REF!</definedName>
    <definedName name="hbpl">#REF!</definedName>
    <definedName name="hfdsgjhk4789" localSheetId="7">#REF!</definedName>
    <definedName name="hfdsgjhk4789" localSheetId="12">#REF!</definedName>
    <definedName name="hfdsgjhk4789">#REF!</definedName>
    <definedName name="HFGAY125" localSheetId="7">#REF!</definedName>
    <definedName name="HFGAY125" localSheetId="12">#REF!</definedName>
    <definedName name="HFGAY125">#REF!</definedName>
    <definedName name="hgaqw56" localSheetId="7">'[8]xar #1 (3)'!#REF!</definedName>
    <definedName name="hgaqw56" localSheetId="12">'[8]xar #1 (3)'!#REF!</definedName>
    <definedName name="hgaqw56">'[8]xar #1 (3)'!#REF!</definedName>
    <definedName name="hgbhg21456">#REF!</definedName>
    <definedName name="hgbv451" localSheetId="7">#REF!</definedName>
    <definedName name="hgbv451" localSheetId="12">#REF!</definedName>
    <definedName name="hgbv451">#REF!</definedName>
    <definedName name="hgf478" localSheetId="7">'[12]x2w'!#REF!</definedName>
    <definedName name="hgf478" localSheetId="12">'[12]x2w'!#REF!</definedName>
    <definedName name="hgf478">'[12]x2w'!#REF!</definedName>
    <definedName name="hgf665">#REF!</definedName>
    <definedName name="hgfd" localSheetId="7">#REF!</definedName>
    <definedName name="hgfd" localSheetId="12">#REF!</definedName>
    <definedName name="hgfd">#REF!</definedName>
    <definedName name="hgfd256">#REF!</definedName>
    <definedName name="HGFD457">#REF!</definedName>
    <definedName name="hgfds23">#REF!</definedName>
    <definedName name="hgfdvbn5412" localSheetId="7">#REF!</definedName>
    <definedName name="hgfdvbn5412" localSheetId="12">#REF!</definedName>
    <definedName name="hgfdvbn5412">#REF!</definedName>
    <definedName name="hgfv">#REF!</definedName>
    <definedName name="hgh55">#REF!</definedName>
    <definedName name="hgjkil256">#REF!</definedName>
    <definedName name="HGU5478" localSheetId="7">'[11]x'!#REF!</definedName>
    <definedName name="HGU5478" localSheetId="12">'[11]x'!#REF!</definedName>
    <definedName name="HGU5478">'[11]x'!#REF!</definedName>
    <definedName name="hgv">#REF!</definedName>
    <definedName name="hhh2">#REF!</definedName>
    <definedName name="hhh222" localSheetId="7">#REF!</definedName>
    <definedName name="hhh222" localSheetId="12">#REF!</definedName>
    <definedName name="hhh222">#REF!</definedName>
    <definedName name="hhhh555">#REF!</definedName>
    <definedName name="hhhh74">#REF!</definedName>
    <definedName name="hhhhh111144" localSheetId="7">'[9]x1'!#REF!</definedName>
    <definedName name="hhhhh111144" localSheetId="12">'[9]x1'!#REF!</definedName>
    <definedName name="hhhhh111144">'[9]x1'!#REF!</definedName>
    <definedName name="hjk4">#REF!</definedName>
    <definedName name="hjka">#REF!</definedName>
    <definedName name="hjkil4587">#REF!</definedName>
    <definedName name="hjkl32">#REF!</definedName>
    <definedName name="hju">#REF!</definedName>
    <definedName name="hnbg">#REF!</definedName>
    <definedName name="hori1">#REF!</definedName>
    <definedName name="huji236" localSheetId="7">#REF!</definedName>
    <definedName name="huji236" localSheetId="12">#REF!</definedName>
    <definedName name="huji236">#REF!</definedName>
    <definedName name="hujk">#REF!</definedName>
    <definedName name="huy" localSheetId="7">#REF!</definedName>
    <definedName name="huy" localSheetId="12">#REF!</definedName>
    <definedName name="huy">#REF!</definedName>
    <definedName name="huyg32">#REF!</definedName>
    <definedName name="hyfaq8">#REF!</definedName>
    <definedName name="hytrew">#REF!</definedName>
    <definedName name="ighfdsae58" localSheetId="7">'[7]x#1'!#REF!</definedName>
    <definedName name="ighfdsae58" localSheetId="12">'[7]x#1'!#REF!</definedName>
    <definedName name="ighfdsae58">'[7]x#1'!#REF!</definedName>
    <definedName name="ihl">#REF!</definedName>
    <definedName name="ijkop5478">#REF!</definedName>
    <definedName name="ijo45" localSheetId="7">#REF!</definedName>
    <definedName name="ijo45" localSheetId="12">#REF!</definedName>
    <definedName name="ijo45">#REF!</definedName>
    <definedName name="ijuhg">#REF!</definedName>
    <definedName name="iobv3">#REF!</definedName>
    <definedName name="ioklp9874">#REF!</definedName>
    <definedName name="iolp256" localSheetId="7">#REF!</definedName>
    <definedName name="iolp256" localSheetId="12">#REF!</definedName>
    <definedName name="iolp256">#REF!</definedName>
    <definedName name="iopasd589">#REF!</definedName>
    <definedName name="iuop">#REF!</definedName>
    <definedName name="iuy" localSheetId="7">#REF!</definedName>
    <definedName name="iuy" localSheetId="12">#REF!</definedName>
    <definedName name="iuy">#REF!</definedName>
    <definedName name="iuy98">#REF!</definedName>
    <definedName name="iuytre745">#REF!</definedName>
    <definedName name="jfdyrt14790" localSheetId="7">'[14]x2'!#REF!</definedName>
    <definedName name="jfdyrt14790" localSheetId="12">'[14]x2'!#REF!</definedName>
    <definedName name="jfdyrt14790">'[14]x2'!#REF!</definedName>
    <definedName name="jhg">#REF!</definedName>
    <definedName name="jhgf">#REF!</definedName>
    <definedName name="jhgf4587" localSheetId="7">#REF!</definedName>
    <definedName name="jhgf4587" localSheetId="12">#REF!</definedName>
    <definedName name="jhgf4587">#REF!</definedName>
    <definedName name="jhgfd">#REF!</definedName>
    <definedName name="jhgyt256" localSheetId="7">#REF!</definedName>
    <definedName name="jhgyt256" localSheetId="12">#REF!</definedName>
    <definedName name="jhgyt256">#REF!</definedName>
    <definedName name="jhikolp4578" localSheetId="7">#REF!</definedName>
    <definedName name="jhikolp4578" localSheetId="12">#REF!</definedName>
    <definedName name="jhikolp4578">#REF!</definedName>
    <definedName name="jhk324" localSheetId="7">#REF!</definedName>
    <definedName name="jhk324" localSheetId="12">#REF!</definedName>
    <definedName name="jhk324">#REF!</definedName>
    <definedName name="jhklp5484" localSheetId="7">#REF!</definedName>
    <definedName name="jhklp5484" localSheetId="12">#REF!</definedName>
    <definedName name="jhklp5484">#REF!</definedName>
    <definedName name="jhm">#REF!</definedName>
    <definedName name="jhuy2145" localSheetId="7">#REF!</definedName>
    <definedName name="jhuy2145" localSheetId="12">#REF!</definedName>
    <definedName name="jhuy2145">#REF!</definedName>
    <definedName name="jilo">#REF!</definedName>
    <definedName name="jim56">#REF!</definedName>
    <definedName name="jjhgfd658" localSheetId="7">#REF!</definedName>
    <definedName name="jjhgfd658" localSheetId="12">#REF!</definedName>
    <definedName name="jjhgfd658">#REF!</definedName>
    <definedName name="jjjj5555" localSheetId="7">'[10]x1'!#REF!</definedName>
    <definedName name="jjjj5555" localSheetId="12">'[10]x1'!#REF!</definedName>
    <definedName name="jjjj5555">'[10]x1'!#REF!</definedName>
    <definedName name="jjjjj1" localSheetId="7">#REF!</definedName>
    <definedName name="jjjjj1" localSheetId="12">#REF!</definedName>
    <definedName name="jjjjj1">#REF!</definedName>
    <definedName name="jjjjj1kkk1" localSheetId="7">#REF!</definedName>
    <definedName name="jjjjj1kkk1" localSheetId="12">#REF!</definedName>
    <definedName name="jjjjj1kkk1">#REF!</definedName>
    <definedName name="jjjjj4444" localSheetId="7">#REF!</definedName>
    <definedName name="jjjjj4444" localSheetId="12">#REF!</definedName>
    <definedName name="jjjjj4444">#REF!</definedName>
    <definedName name="jk45">#REF!</definedName>
    <definedName name="jkfx30" localSheetId="7">#REF!</definedName>
    <definedName name="jkfx30" localSheetId="12">#REF!</definedName>
    <definedName name="jkfx30">#REF!</definedName>
    <definedName name="jki">#REF!</definedName>
    <definedName name="jkil56">#REF!</definedName>
    <definedName name="jkio54576" localSheetId="7">#REF!</definedName>
    <definedName name="jkio54576" localSheetId="12">#REF!</definedName>
    <definedName name="jkio54576">#REF!</definedName>
    <definedName name="jkiolp1456" localSheetId="7">#REF!</definedName>
    <definedName name="jkiolp1456" localSheetId="12">#REF!</definedName>
    <definedName name="jkiolp1456">#REF!</definedName>
    <definedName name="jkiuh14586" localSheetId="7">#REF!</definedName>
    <definedName name="jkiuh14586" localSheetId="12">#REF!</definedName>
    <definedName name="jkiuh14586">#REF!</definedName>
    <definedName name="jkl6547" localSheetId="7">#REF!</definedName>
    <definedName name="jkl6547" localSheetId="12">#REF!</definedName>
    <definedName name="jkl6547">#REF!</definedName>
    <definedName name="jnb1">#REF!</definedName>
    <definedName name="jsef">#REF!</definedName>
    <definedName name="jshj" localSheetId="7">#REF!</definedName>
    <definedName name="jshj" localSheetId="12">#REF!</definedName>
    <definedName name="jshj">#REF!</definedName>
    <definedName name="juhg">#REF!</definedName>
    <definedName name="juhg02">#REF!</definedName>
    <definedName name="juiklo458">#REF!</definedName>
    <definedName name="jukil6521">#REF!</definedName>
    <definedName name="juytgb">#REF!</definedName>
    <definedName name="jzawqr62147">#REF!</definedName>
    <definedName name="k">#REF!</definedName>
    <definedName name="kaeeeeee" localSheetId="7">#REF!</definedName>
    <definedName name="kaeeeeee" localSheetId="12">#REF!</definedName>
    <definedName name="kaeeeeee">#REF!</definedName>
    <definedName name="kaqw">#REF!</definedName>
    <definedName name="kawr896">#REF!</definedName>
    <definedName name="KBMPJ147" localSheetId="7">'[11]x'!#REF!</definedName>
    <definedName name="KBMPJ147" localSheetId="12">'[11]x'!#REF!</definedName>
    <definedName name="KBMPJ147">'[11]x'!#REF!</definedName>
    <definedName name="kbvc" localSheetId="7">#REF!</definedName>
    <definedName name="kbvc" localSheetId="12">#REF!</definedName>
    <definedName name="kbvc">#REF!</definedName>
    <definedName name="kdewqamn">#REF!</definedName>
    <definedName name="khgfd584" localSheetId="7">#REF!</definedName>
    <definedName name="khgfd584" localSheetId="12">#REF!</definedName>
    <definedName name="khgfd584">#REF!</definedName>
    <definedName name="khuy" localSheetId="7">#REF!</definedName>
    <definedName name="khuy" localSheetId="12">#REF!</definedName>
    <definedName name="khuy">#REF!</definedName>
    <definedName name="kigfd5">#REF!</definedName>
    <definedName name="kij" localSheetId="7">#REF!</definedName>
    <definedName name="kij" localSheetId="12">#REF!</definedName>
    <definedName name="kij">#REF!</definedName>
    <definedName name="kij4">#REF!</definedName>
    <definedName name="kij85">#REF!</definedName>
    <definedName name="kijh">#REF!</definedName>
    <definedName name="kijhg" localSheetId="7">#REF!</definedName>
    <definedName name="kijhg" localSheetId="12">#REF!</definedName>
    <definedName name="kijhg">#REF!</definedName>
    <definedName name="kijhl">#REF!</definedName>
    <definedName name="kiju745" localSheetId="7">#REF!</definedName>
    <definedName name="kiju745" localSheetId="12">#REF!</definedName>
    <definedName name="kiju745">#REF!</definedName>
    <definedName name="kijulkij32" localSheetId="7">#REF!</definedName>
    <definedName name="kijulkij32" localSheetId="12">#REF!</definedName>
    <definedName name="kijulkij32">#REF!</definedName>
    <definedName name="kik">#REF!</definedName>
    <definedName name="kioa">#REF!</definedName>
    <definedName name="kiojh" localSheetId="7">#REF!</definedName>
    <definedName name="kiojh" localSheetId="12">#REF!</definedName>
    <definedName name="kiojh">#REF!</definedName>
    <definedName name="kiol547">#REF!</definedName>
    <definedName name="kiop">#REF!</definedName>
    <definedName name="kiuj362" localSheetId="7">'[7]x#2'!#REF!</definedName>
    <definedName name="kiuj362" localSheetId="12">'[7]x#2'!#REF!</definedName>
    <definedName name="kiuj362">'[7]x#2'!#REF!</definedName>
    <definedName name="kiuy">#REF!</definedName>
    <definedName name="kjasawq">#REF!</definedName>
    <definedName name="kjbhfs65">#REF!</definedName>
    <definedName name="kjh" localSheetId="7">#REF!</definedName>
    <definedName name="kjh" localSheetId="12">#REF!</definedName>
    <definedName name="kjh">#REF!</definedName>
    <definedName name="KJHG">#REF!</definedName>
    <definedName name="kjhg6214" localSheetId="7">#REF!</definedName>
    <definedName name="kjhg6214" localSheetId="12">#REF!</definedName>
    <definedName name="kjhg6214">#REF!</definedName>
    <definedName name="kjhgf">#REF!</definedName>
    <definedName name="kjhgf4565" localSheetId="7">#REF!</definedName>
    <definedName name="kjhgf4565" localSheetId="12">#REF!</definedName>
    <definedName name="kjhgf4565">#REF!</definedName>
    <definedName name="kjhgf58" localSheetId="7">'[7]x#1'!#REF!</definedName>
    <definedName name="kjhgf58" localSheetId="12">'[7]x#1'!#REF!</definedName>
    <definedName name="kjhgf58">'[7]x#1'!#REF!</definedName>
    <definedName name="kjhjgui548" localSheetId="7">#REF!</definedName>
    <definedName name="kjhjgui548" localSheetId="12">#REF!</definedName>
    <definedName name="kjhjgui548">#REF!</definedName>
    <definedName name="kjhk65">#REF!</definedName>
    <definedName name="kjhq">#REF!</definedName>
    <definedName name="kjhuyg1456" localSheetId="7">'[12]x2w'!#REF!</definedName>
    <definedName name="kjhuyg1456" localSheetId="12">'[12]x2w'!#REF!</definedName>
    <definedName name="kjhuyg1456">'[12]x2w'!#REF!</definedName>
    <definedName name="kjilo65" localSheetId="7">#REF!</definedName>
    <definedName name="kjilo65" localSheetId="12">#REF!</definedName>
    <definedName name="kjilo65">#REF!</definedName>
    <definedName name="kjio" localSheetId="7">#REF!</definedName>
    <definedName name="kjio" localSheetId="12">#REF!</definedName>
    <definedName name="kjio">#REF!</definedName>
    <definedName name="kjjj55558" localSheetId="7">#REF!</definedName>
    <definedName name="kjjj55558" localSheetId="12">#REF!</definedName>
    <definedName name="kjjj55558">#REF!</definedName>
    <definedName name="kjk5" localSheetId="7">#REF!</definedName>
    <definedName name="kjk5" localSheetId="12">#REF!</definedName>
    <definedName name="kjk5">#REF!</definedName>
    <definedName name="kjnm510" localSheetId="7">#REF!</definedName>
    <definedName name="kjnm510" localSheetId="12">#REF!</definedName>
    <definedName name="kjnm510">#REF!</definedName>
    <definedName name="kjop">#REF!</definedName>
    <definedName name="kjse" localSheetId="7">#REF!</definedName>
    <definedName name="kjse" localSheetId="12">#REF!</definedName>
    <definedName name="kjse">#REF!</definedName>
    <definedName name="kjuh">#REF!</definedName>
    <definedName name="kjuh111" localSheetId="7">#REF!</definedName>
    <definedName name="kjuh111" localSheetId="12">#REF!</definedName>
    <definedName name="kjuh111">#REF!</definedName>
    <definedName name="kjuhg">#REF!</definedName>
    <definedName name="kjwa68">#REF!</definedName>
    <definedName name="kkk444">#REF!</definedName>
    <definedName name="kkkjj235">#REF!</definedName>
    <definedName name="kkkk444433" localSheetId="7">'[10]x1'!#REF!</definedName>
    <definedName name="kkkk444433" localSheetId="12">'[10]x1'!#REF!</definedName>
    <definedName name="kkkk444433">'[10]x1'!#REF!</definedName>
    <definedName name="kkkk55" localSheetId="7">#REF!</definedName>
    <definedName name="kkkk55" localSheetId="12">#REF!</definedName>
    <definedName name="kkkk55">#REF!</definedName>
    <definedName name="kkkkkkmmmm5551111" localSheetId="7">#REF!</definedName>
    <definedName name="kkkkkkmmmm5551111" localSheetId="12">#REF!</definedName>
    <definedName name="kkkkkkmmmm5551111">#REF!</definedName>
    <definedName name="kkkm">#REF!</definedName>
    <definedName name="kkl">#REF!</definedName>
    <definedName name="kl">#REF!</definedName>
    <definedName name="klkk222" localSheetId="7">#REF!</definedName>
    <definedName name="klkk222" localSheetId="12">#REF!</definedName>
    <definedName name="klkk222">#REF!</definedName>
    <definedName name="klmn">#REF!</definedName>
    <definedName name="kloint" localSheetId="7">#REF!</definedName>
    <definedName name="kloint" localSheetId="12">#REF!</definedName>
    <definedName name="kloint">#REF!</definedName>
    <definedName name="klop">#REF!</definedName>
    <definedName name="klop652" localSheetId="7">#REF!</definedName>
    <definedName name="klop652" localSheetId="12">#REF!</definedName>
    <definedName name="klop652">#REF!</definedName>
    <definedName name="kls">#REF!</definedName>
    <definedName name="km" localSheetId="7">'[3]niveloba'!#REF!</definedName>
    <definedName name="km" localSheetId="12">'[3]niveloba'!#REF!</definedName>
    <definedName name="km">'[3]niveloba'!#REF!</definedName>
    <definedName name="km1">#REF!</definedName>
    <definedName name="kmb">#REF!</definedName>
    <definedName name="kmjm">#REF!</definedName>
    <definedName name="kmjnjnm">#REF!</definedName>
    <definedName name="kmn">#REF!</definedName>
    <definedName name="kmnbv62014" localSheetId="7">#REF!</definedName>
    <definedName name="kmnbv62014" localSheetId="12">#REF!</definedName>
    <definedName name="kmnbv62014">#REF!</definedName>
    <definedName name="knhyb">#REF!</definedName>
    <definedName name="koij1458">#REF!</definedName>
    <definedName name="kokl222555">#REF!</definedName>
    <definedName name="koli45" localSheetId="7">'[6]x 3'!#REF!</definedName>
    <definedName name="koli45" localSheetId="12">'[6]x 3'!#REF!</definedName>
    <definedName name="koli45">'[6]x 3'!#REF!</definedName>
    <definedName name="koliu14786" localSheetId="7">'[10]x1'!#REF!</definedName>
    <definedName name="koliu14786" localSheetId="12">'[10]x1'!#REF!</definedName>
    <definedName name="koliu14786">'[10]x1'!#REF!</definedName>
    <definedName name="kop">#REF!</definedName>
    <definedName name="kopw">#REF!</definedName>
    <definedName name="kot" localSheetId="7">'[3]niveloba'!#REF!</definedName>
    <definedName name="kot" localSheetId="12">'[3]niveloba'!#REF!</definedName>
    <definedName name="kot">'[3]niveloba'!#REF!</definedName>
    <definedName name="kp" localSheetId="7">'[3]niveloba'!#REF!</definedName>
    <definedName name="kp" localSheetId="12">'[3]niveloba'!#REF!</definedName>
    <definedName name="kp">'[3]niveloba'!#REF!</definedName>
    <definedName name="ks">#REF!</definedName>
    <definedName name="ksael">#REF!</definedName>
    <definedName name="kx" localSheetId="7">'[2]niveloba'!#REF!</definedName>
    <definedName name="kx" localSheetId="12">'[2]niveloba'!#REF!</definedName>
    <definedName name="kx">'[2]niveloba'!#REF!</definedName>
    <definedName name="ljhggfdd23">#REF!</definedName>
    <definedName name="lki2654" localSheetId="7">#REF!</definedName>
    <definedName name="lki2654" localSheetId="12">#REF!</definedName>
    <definedName name="lki2654">#REF!</definedName>
    <definedName name="lkij">#REF!</definedName>
    <definedName name="lkijo" localSheetId="7">#REF!</definedName>
    <definedName name="lkijo" localSheetId="12">#REF!</definedName>
    <definedName name="lkijo">#REF!</definedName>
    <definedName name="lkiop">#REF!</definedName>
    <definedName name="lkiu">#REF!</definedName>
    <definedName name="lkj">#REF!</definedName>
    <definedName name="lkjbh624" localSheetId="7">'[13]8'!#REF!</definedName>
    <definedName name="lkjbh624" localSheetId="12">'[13]8'!#REF!</definedName>
    <definedName name="lkjbh624">'[13]8'!#REF!</definedName>
    <definedName name="lkjh">#REF!</definedName>
    <definedName name="lkjh1457" localSheetId="7">#REF!</definedName>
    <definedName name="lkjh1457" localSheetId="12">#REF!</definedName>
    <definedName name="lkjh1457">#REF!</definedName>
    <definedName name="lkjh545" localSheetId="7">#REF!</definedName>
    <definedName name="lkjh545" localSheetId="12">#REF!</definedName>
    <definedName name="lkjh545">#REF!</definedName>
    <definedName name="lkjh548321">#REF!</definedName>
    <definedName name="lkjhb1">#REF!</definedName>
    <definedName name="lkjhg514" localSheetId="7">#REF!</definedName>
    <definedName name="lkjhg514" localSheetId="12">#REF!</definedName>
    <definedName name="lkjhg514">#REF!</definedName>
    <definedName name="lkjhg9514" localSheetId="7">#REF!</definedName>
    <definedName name="lkjhg9514" localSheetId="12">#REF!</definedName>
    <definedName name="lkjhg9514">#REF!</definedName>
    <definedName name="lkjjhh">#REF!</definedName>
    <definedName name="lkkk5555" localSheetId="7">#REF!</definedName>
    <definedName name="lkkk5555" localSheetId="12">#REF!</definedName>
    <definedName name="lkkk5555">#REF!</definedName>
    <definedName name="lkm2">#REF!</definedName>
    <definedName name="lkma81">#REF!</definedName>
    <definedName name="lkmjn625" localSheetId="7">#REF!</definedName>
    <definedName name="lkmjn625" localSheetId="12">#REF!</definedName>
    <definedName name="lkmjn625">#REF!</definedName>
    <definedName name="lkoij5478" localSheetId="7">#REF!</definedName>
    <definedName name="lkoij5478" localSheetId="12">#REF!</definedName>
    <definedName name="lkoij5478">#REF!</definedName>
    <definedName name="lkoj124" localSheetId="7">#REF!</definedName>
    <definedName name="lkoj124" localSheetId="12">#REF!</definedName>
    <definedName name="lkoj124">#REF!</definedName>
    <definedName name="lkop548">#REF!</definedName>
    <definedName name="lll555" localSheetId="7">'[10]x1'!#REF!</definedName>
    <definedName name="lll555" localSheetId="12">'[10]x1'!#REF!</definedName>
    <definedName name="lll555">'[10]x1'!#REF!</definedName>
    <definedName name="llll54" localSheetId="7">#REF!</definedName>
    <definedName name="llll54" localSheetId="12">#REF!</definedName>
    <definedName name="llll54">#REF!</definedName>
    <definedName name="llll555" localSheetId="7">#REF!</definedName>
    <definedName name="llll555" localSheetId="12">#REF!</definedName>
    <definedName name="llll555">#REF!</definedName>
    <definedName name="lllll0000" localSheetId="7">#REF!</definedName>
    <definedName name="lllll0000" localSheetId="12">#REF!</definedName>
    <definedName name="lllll0000">#REF!</definedName>
    <definedName name="LMBVCX">#REF!</definedName>
    <definedName name="lmkijh2548">#REF!</definedName>
    <definedName name="lmkjn621" localSheetId="7">#REF!</definedName>
    <definedName name="lmkjn621" localSheetId="12">#REF!</definedName>
    <definedName name="lmkjn621">#REF!</definedName>
    <definedName name="lmuioa">#REF!</definedName>
    <definedName name="lmutaz">#REF!</definedName>
    <definedName name="lo3">#REF!</definedName>
    <definedName name="loiu">#REF!</definedName>
    <definedName name="lok" localSheetId="7">#REF!</definedName>
    <definedName name="lok" localSheetId="12">#REF!</definedName>
    <definedName name="lok">#REF!</definedName>
    <definedName name="lok1402">#REF!</definedName>
    <definedName name="loki254" localSheetId="7">#REF!</definedName>
    <definedName name="loki254" localSheetId="12">#REF!</definedName>
    <definedName name="loki254">#REF!</definedName>
    <definedName name="lokij2546" localSheetId="7">'[12]x2w'!#REF!</definedName>
    <definedName name="lokij2546" localSheetId="12">'[12]x2w'!#REF!</definedName>
    <definedName name="lokij2546">'[12]x2w'!#REF!</definedName>
    <definedName name="lokj">#REF!</definedName>
    <definedName name="lokj741">#REF!</definedName>
    <definedName name="lokpijuh1478">#REF!</definedName>
    <definedName name="lokpiuyt5487" localSheetId="7">#REF!</definedName>
    <definedName name="lokpiuyt5487" localSheetId="12">#REF!</definedName>
    <definedName name="lokpiuyt5487">#REF!</definedName>
    <definedName name="lomj" localSheetId="7">#REF!</definedName>
    <definedName name="lomj" localSheetId="12">#REF!</definedName>
    <definedName name="lomj">#REF!</definedName>
    <definedName name="lomz">#REF!</definedName>
    <definedName name="lopk2">#REF!</definedName>
    <definedName name="lozaq3">#REF!</definedName>
    <definedName name="lpl522" localSheetId="7">#REF!</definedName>
    <definedName name="lpl522" localSheetId="12">#REF!</definedName>
    <definedName name="lpl522">#REF!</definedName>
    <definedName name="lplo1424" localSheetId="7">#REF!</definedName>
    <definedName name="lplo1424" localSheetId="12">#REF!</definedName>
    <definedName name="lplo1424">#REF!</definedName>
    <definedName name="lpo">#REF!</definedName>
    <definedName name="lpoki">#REF!</definedName>
    <definedName name="lpokj548" localSheetId="7">#REF!</definedName>
    <definedName name="lpokj548" localSheetId="12">#REF!</definedName>
    <definedName name="lpokj548">#REF!</definedName>
    <definedName name="lpokl2654" localSheetId="7">#REF!</definedName>
    <definedName name="lpokl2654" localSheetId="12">#REF!</definedName>
    <definedName name="lpokl2654">#REF!</definedName>
    <definedName name="lqat">#REF!</definedName>
    <definedName name="lzo">#REF!</definedName>
    <definedName name="mbnvx">#REF!</definedName>
    <definedName name="mdshg" localSheetId="7">#REF!</definedName>
    <definedName name="mdshg" localSheetId="12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j56">#REF!</definedName>
    <definedName name="mji147" localSheetId="7">#REF!</definedName>
    <definedName name="mji147" localSheetId="12">#REF!</definedName>
    <definedName name="mji147">#REF!</definedName>
    <definedName name="mkh">#REF!</definedName>
    <definedName name="mmm111" localSheetId="7">#REF!</definedName>
    <definedName name="mmm111" localSheetId="12">#REF!</definedName>
    <definedName name="mmm111">#REF!</definedName>
    <definedName name="mmm1111222" localSheetId="7">'[10]x1'!#REF!</definedName>
    <definedName name="mmm1111222" localSheetId="12">'[10]x1'!#REF!</definedName>
    <definedName name="mmm1111222">'[10]x1'!#REF!</definedName>
    <definedName name="mmm1114" localSheetId="7">#REF!</definedName>
    <definedName name="mmm1114" localSheetId="12">#REF!</definedName>
    <definedName name="mmm1114">#REF!</definedName>
    <definedName name="mmmm13" localSheetId="7">#REF!</definedName>
    <definedName name="mmmm13" localSheetId="12">#REF!</definedName>
    <definedName name="mmmm13">#REF!</definedName>
    <definedName name="mmn" localSheetId="7">#REF!</definedName>
    <definedName name="mmn" localSheetId="12">#REF!</definedName>
    <definedName name="mmn">#REF!</definedName>
    <definedName name="mnbnv">#REF!</definedName>
    <definedName name="more">#REF!</definedName>
    <definedName name="mrewa">#REF!</definedName>
    <definedName name="nczxh21">#REF!</definedName>
    <definedName name="nmjh564" localSheetId="7">'[12]x1'!#REF!</definedName>
    <definedName name="nmjh564" localSheetId="12">'[12]x1'!#REF!</definedName>
    <definedName name="nmjh564">'[12]x1'!#REF!</definedName>
    <definedName name="nn22" localSheetId="7">#REF!</definedName>
    <definedName name="nn22" localSheetId="12">#REF!</definedName>
    <definedName name="nn22">#REF!</definedName>
    <definedName name="nnn333" localSheetId="7">#REF!</definedName>
    <definedName name="nnn333" localSheetId="12">#REF!</definedName>
    <definedName name="nnn333">#REF!</definedName>
    <definedName name="nnnn88">#REF!</definedName>
    <definedName name="nuaq">#REF!</definedName>
    <definedName name="o">#REF!</definedName>
    <definedName name="oiesd456" localSheetId="7">'[7]x#1'!#REF!</definedName>
    <definedName name="oiesd456" localSheetId="12">'[7]x#1'!#REF!</definedName>
    <definedName name="oiesd456">'[7]x#1'!#REF!</definedName>
    <definedName name="oik601" localSheetId="7">#REF!</definedName>
    <definedName name="oik601" localSheetId="12">#REF!</definedName>
    <definedName name="oik601">#REF!</definedName>
    <definedName name="oil36">#REF!</definedName>
    <definedName name="oil984">#REF!</definedName>
    <definedName name="oilkm365" localSheetId="7">#REF!</definedName>
    <definedName name="oilkm365" localSheetId="12">#REF!</definedName>
    <definedName name="oilkm365">#REF!</definedName>
    <definedName name="oiuu478" localSheetId="7">#REF!</definedName>
    <definedName name="oiuu478" localSheetId="12">#REF!</definedName>
    <definedName name="oiuu478">#REF!</definedName>
    <definedName name="oiuy">#REF!</definedName>
    <definedName name="ok547">#REF!</definedName>
    <definedName name="okil">#REF!</definedName>
    <definedName name="oklij21456" localSheetId="7">'[12]x1'!#REF!</definedName>
    <definedName name="oklij21456" localSheetId="12">'[12]x1'!#REF!</definedName>
    <definedName name="oklij21456">'[12]x1'!#REF!</definedName>
    <definedName name="oklphji" localSheetId="7">#REF!</definedName>
    <definedName name="oklphji" localSheetId="12">#REF!</definedName>
    <definedName name="oklphji">#REF!</definedName>
    <definedName name="okm44">#REF!</definedName>
    <definedName name="oknjh95147" localSheetId="7">'[13]8'!#REF!</definedName>
    <definedName name="oknjh95147" localSheetId="12">'[13]8'!#REF!</definedName>
    <definedName name="oknjh95147">'[13]8'!#REF!</definedName>
    <definedName name="olm">#REF!</definedName>
    <definedName name="olpl1457">#REF!</definedName>
    <definedName name="ooii">#REF!</definedName>
    <definedName name="oooo547">#REF!</definedName>
    <definedName name="oooo6">#REF!</definedName>
    <definedName name="ooooooii">#REF!</definedName>
    <definedName name="opi4">#REF!</definedName>
    <definedName name="opl">#REF!</definedName>
    <definedName name="opl321" localSheetId="7">#REF!</definedName>
    <definedName name="opl321" localSheetId="12">#REF!</definedName>
    <definedName name="opl321">#REF!</definedName>
    <definedName name="oplop321" localSheetId="7">#REF!</definedName>
    <definedName name="oplop321" localSheetId="12">#REF!</definedName>
    <definedName name="oplop321">#REF!</definedName>
    <definedName name="opuyu">#REF!</definedName>
    <definedName name="otxi">#REF!</definedName>
    <definedName name="ouyrfer458" localSheetId="7">#REF!</definedName>
    <definedName name="ouyrfer458" localSheetId="12">#REF!</definedName>
    <definedName name="ouyrfer458">#REF!</definedName>
    <definedName name="pazxs">#REF!</definedName>
    <definedName name="pi">#REF!</definedName>
    <definedName name="pirveli">#REF!</definedName>
    <definedName name="piyuytr1457" localSheetId="7">#REF!</definedName>
    <definedName name="piyuytr1457" localSheetId="12">#REF!</definedName>
    <definedName name="piyuytr1457">#REF!</definedName>
    <definedName name="pkmnj" localSheetId="7">#REF!</definedName>
    <definedName name="pkmnj" localSheetId="12">#REF!</definedName>
    <definedName name="pkmnj">#REF!</definedName>
    <definedName name="pkoi" localSheetId="7">#REF!</definedName>
    <definedName name="pkoi" localSheetId="12">#REF!</definedName>
    <definedName name="pkoi">#REF!</definedName>
    <definedName name="plki1457" localSheetId="7">#REF!</definedName>
    <definedName name="plki1457" localSheetId="12">#REF!</definedName>
    <definedName name="plki1457">#REF!</definedName>
    <definedName name="plkj621" localSheetId="7">#REF!</definedName>
    <definedName name="plkj621" localSheetId="12">#REF!</definedName>
    <definedName name="plkj621">#REF!</definedName>
    <definedName name="plkjl" localSheetId="7">#REF!</definedName>
    <definedName name="plkjl" localSheetId="12">#REF!</definedName>
    <definedName name="plkjl">#REF!</definedName>
    <definedName name="plkm8123">#REF!</definedName>
    <definedName name="plmnb95478">#REF!</definedName>
    <definedName name="plmz">#REF!</definedName>
    <definedName name="plok125" localSheetId="7">#REF!</definedName>
    <definedName name="plok125" localSheetId="12">#REF!</definedName>
    <definedName name="plok125">#REF!</definedName>
    <definedName name="plok265" localSheetId="7">#REF!</definedName>
    <definedName name="plok265" localSheetId="12">#REF!</definedName>
    <definedName name="plok265">#REF!</definedName>
    <definedName name="ploki1256">#REF!</definedName>
    <definedName name="plokj" localSheetId="7">#REF!</definedName>
    <definedName name="plokj" localSheetId="12">#REF!</definedName>
    <definedName name="plokj">#REF!</definedName>
    <definedName name="plokj2143" localSheetId="7">#REF!</definedName>
    <definedName name="plokj2143" localSheetId="12">#REF!</definedName>
    <definedName name="plokj2143">#REF!</definedName>
    <definedName name="plokju21548" localSheetId="7">#REF!</definedName>
    <definedName name="plokju21548" localSheetId="12">#REF!</definedName>
    <definedName name="plokju21548">#REF!</definedName>
    <definedName name="pm2">#REF!</definedName>
    <definedName name="po69">#REF!</definedName>
    <definedName name="poi">#REF!</definedName>
    <definedName name="poi54">#REF!</definedName>
    <definedName name="poi6">#REF!</definedName>
    <definedName name="poiliu4587" localSheetId="7">#REF!</definedName>
    <definedName name="poiliu4587" localSheetId="12">#REF!</definedName>
    <definedName name="poiliu4587">#REF!</definedName>
    <definedName name="poim5">#REF!</definedName>
    <definedName name="poiu" localSheetId="7">#REF!</definedName>
    <definedName name="poiu" localSheetId="12">#REF!</definedName>
    <definedName name="poiu">#REF!</definedName>
    <definedName name="poiu87">#REF!</definedName>
    <definedName name="poiuy">#REF!</definedName>
    <definedName name="pok7845" localSheetId="7">#REF!</definedName>
    <definedName name="pok7845" localSheetId="12">#REF!</definedName>
    <definedName name="pok7845">#REF!</definedName>
    <definedName name="pokcds" localSheetId="7">#REF!</definedName>
    <definedName name="pokcds" localSheetId="12">#REF!</definedName>
    <definedName name="pokcds">#REF!</definedName>
    <definedName name="pokgde478" localSheetId="7">'[13]8'!#REF!</definedName>
    <definedName name="pokgde478" localSheetId="12">'[13]8'!#REF!</definedName>
    <definedName name="pokgde478">'[13]8'!#REF!</definedName>
    <definedName name="pokli456" localSheetId="7">#REF!</definedName>
    <definedName name="pokli456" localSheetId="12">#REF!</definedName>
    <definedName name="pokli456">#REF!</definedName>
    <definedName name="pol2">#REF!</definedName>
    <definedName name="poli">#REF!</definedName>
    <definedName name="polkijnmbg">#REF!</definedName>
    <definedName name="polo25" localSheetId="7">#REF!</definedName>
    <definedName name="polo25" localSheetId="12">#REF!</definedName>
    <definedName name="polo25">#REF!</definedName>
    <definedName name="ppp">#REF!</definedName>
    <definedName name="ppp3">'[5]x r '!$F$174</definedName>
    <definedName name="ppp9">#REF!</definedName>
    <definedName name="_xlnm.Print_Area" localSheetId="4">'2--1'!$A$1:$W$153</definedName>
    <definedName name="_xlnm.Print_Area" localSheetId="7">'2-4'!$A$1:$H$50</definedName>
    <definedName name="_xlnm.Print_Area" localSheetId="12">'4'!$A$1:$H$49</definedName>
    <definedName name="_xlnm.Print_Area" localSheetId="0">'K (3)'!$A$1:$E$77</definedName>
    <definedName name="putrew85" localSheetId="7">#REF!</definedName>
    <definedName name="putrew85" localSheetId="12">#REF!</definedName>
    <definedName name="putrew85">#REF!</definedName>
    <definedName name="pxaq" localSheetId="7">#REF!</definedName>
    <definedName name="pxaq" localSheetId="12">#REF!</definedName>
    <definedName name="pxaq">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qwtryj65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 localSheetId="7">#REF!</definedName>
    <definedName name="rwqa10" localSheetId="12">#REF!</definedName>
    <definedName name="rwqa10">#REF!</definedName>
    <definedName name="rxu">#REF!</definedName>
    <definedName name="sderfg1478" localSheetId="7">#REF!</definedName>
    <definedName name="sderfg1478" localSheetId="12">#REF!</definedName>
    <definedName name="sderfg1478">#REF!</definedName>
    <definedName name="sdxza">#REF!</definedName>
    <definedName name="svidi">#REF!</definedName>
    <definedName name="tea">#REF!</definedName>
    <definedName name="tertmeti">#REF!</definedName>
    <definedName name="tgtgt">#REF!</definedName>
    <definedName name="tormeti">#REF!</definedName>
    <definedName name="tre589">#REF!</definedName>
    <definedName name="trfgdwq65478">#REF!</definedName>
    <definedName name="tri">#REF!</definedName>
    <definedName name="ttty">#REF!</definedName>
    <definedName name="ty859">#REF!</definedName>
    <definedName name="tytu" localSheetId="7">#REF!</definedName>
    <definedName name="tytu" localSheetId="12">#REF!</definedName>
    <definedName name="tytu">#REF!</definedName>
    <definedName name="ubez">#REF!</definedName>
    <definedName name="uhn369">#REF!</definedName>
    <definedName name="uijkl254">#REF!</definedName>
    <definedName name="uio2" localSheetId="7">#REF!</definedName>
    <definedName name="uio2" localSheetId="12">#REF!</definedName>
    <definedName name="uio2">#REF!</definedName>
    <definedName name="uiok">#REF!</definedName>
    <definedName name="uiop564" localSheetId="7">'[10]x1'!#REF!</definedName>
    <definedName name="uiop564" localSheetId="12">'[10]x1'!#REF!</definedName>
    <definedName name="uiop564">'[10]x1'!#REF!</definedName>
    <definedName name="uiyv">#REF!</definedName>
    <definedName name="ukjlo25" localSheetId="7">#REF!</definedName>
    <definedName name="ukjlo25" localSheetId="12">#REF!</definedName>
    <definedName name="ukjlo25">#REF!</definedName>
    <definedName name="uqapo896" localSheetId="7">#REF!</definedName>
    <definedName name="uqapo896" localSheetId="12">#REF!</definedName>
    <definedName name="uqapo896">#REF!</definedName>
    <definedName name="uuuu4" localSheetId="7">#REF!</definedName>
    <definedName name="uuuu4" localSheetId="12">#REF!</definedName>
    <definedName name="uuuu4">#REF!</definedName>
    <definedName name="uyikj265" localSheetId="7">#REF!</definedName>
    <definedName name="uyikj265" localSheetId="12">#REF!</definedName>
    <definedName name="uyikj265">#REF!</definedName>
    <definedName name="uyt">#REF!</definedName>
    <definedName name="uytn">#REF!</definedName>
    <definedName name="uytyhjk56">#REF!</definedName>
    <definedName name="uyuy321" localSheetId="7">#REF!</definedName>
    <definedName name="uyuy321" localSheetId="12">#REF!</definedName>
    <definedName name="uyuy321">#REF!</definedName>
    <definedName name="vbcx">#REF!</definedName>
    <definedName name="vbnm12">#REF!</definedName>
    <definedName name="wqr75">#REF!</definedName>
    <definedName name="xdrt">#REF!</definedName>
    <definedName name="xuti">#REF!</definedName>
    <definedName name="xxcv" localSheetId="7">'[3]niveloba'!#REF!</definedName>
    <definedName name="xxcv" localSheetId="12">'[3]niveloba'!#REF!</definedName>
    <definedName name="xxcv">'[3]niveloba'!#REF!</definedName>
    <definedName name="ytrer7">#REF!</definedName>
    <definedName name="ytrrjh56">#REF!</definedName>
    <definedName name="ytui458" localSheetId="7">'[7]x#2'!#REF!</definedName>
    <definedName name="ytui458" localSheetId="12">'[7]x#2'!#REF!</definedName>
    <definedName name="ytui458">'[7]x#2'!#REF!</definedName>
    <definedName name="yu621" localSheetId="7">#REF!</definedName>
    <definedName name="yu621" localSheetId="12">#REF!</definedName>
    <definedName name="yu621">#REF!</definedName>
    <definedName name="yui56">#REF!</definedName>
    <definedName name="yyyy333">#REF!</definedName>
    <definedName name="zzzz444" localSheetId="7">#REF!</definedName>
    <definedName name="zzzz444" localSheetId="12">#REF!</definedName>
    <definedName name="zzzz444">#REF!</definedName>
    <definedName name="лллл" localSheetId="7">#REF!</definedName>
    <definedName name="лллл" localSheetId="12">#REF!</definedName>
    <definedName name="лллл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<sst xmlns="http://schemas.openxmlformats.org/spreadsheetml/2006/main" count="1913" uniqueCount="493">
  <si>
    <t xml:space="preserve">SromiTi danaxarjebi </t>
  </si>
  <si>
    <t>sxvadasxva manqanebi</t>
  </si>
  <si>
    <t>sxva masalebi</t>
  </si>
  <si>
    <t xml:space="preserve"> samSeneblo resursebis mixedviT pirdapiri danaxarjebis jami</t>
  </si>
  <si>
    <t xml:space="preserve">    1. SromiTi resursebi</t>
  </si>
  <si>
    <t xml:space="preserve">    2. samSeneblo manqanebi</t>
  </si>
  <si>
    <t>3. Mmaterialuri resursebi</t>
  </si>
  <si>
    <t>#</t>
  </si>
  <si>
    <t>safuZveli</t>
  </si>
  <si>
    <t>samuSaos dasaxeleba</t>
  </si>
  <si>
    <t>sul</t>
  </si>
  <si>
    <t>kvm</t>
  </si>
  <si>
    <t>kbm</t>
  </si>
  <si>
    <t>lari</t>
  </si>
  <si>
    <t>jami</t>
  </si>
  <si>
    <t>raodenoba</t>
  </si>
  <si>
    <t>c</t>
  </si>
  <si>
    <t>SromiTi danaxarjebi</t>
  </si>
  <si>
    <t>kg</t>
  </si>
  <si>
    <t>-</t>
  </si>
  <si>
    <t>l</t>
  </si>
  <si>
    <t>lariı</t>
  </si>
  <si>
    <t>cali</t>
  </si>
  <si>
    <t xml:space="preserve">saxarjTaRricxvo mogeba </t>
  </si>
  <si>
    <t>ganzomilebis erTeuli</t>
  </si>
  <si>
    <t>saxarjT-aRricxvo Rirebuleba</t>
  </si>
  <si>
    <t>ganzomilebis erTeulze</t>
  </si>
  <si>
    <t>saproeqto monacemebze</t>
  </si>
  <si>
    <t>kac/sT</t>
  </si>
  <si>
    <t>m</t>
  </si>
  <si>
    <t>manqanebi</t>
  </si>
  <si>
    <t>sxvadasxva masalebi</t>
  </si>
  <si>
    <t>sabazro</t>
  </si>
  <si>
    <t>saxarjTaRricxvo Rirebuleba</t>
  </si>
  <si>
    <t>Raris amotexva sadenis qveS</t>
  </si>
  <si>
    <t>Raris amovseba</t>
  </si>
  <si>
    <t xml:space="preserve">spilenZisZarRviani sadenis gayvana </t>
  </si>
  <si>
    <t>Cafluli tipis CamrTvelebis montaJi</t>
  </si>
  <si>
    <t>Cafluli tipis Stefseluri rozetis montaJi</t>
  </si>
  <si>
    <t>Stefseluri rozeti</t>
  </si>
  <si>
    <t>lokalur-resursuli uwyisis jami</t>
  </si>
  <si>
    <t>1. SromiTi resursebi</t>
  </si>
  <si>
    <t>2. samSeneblo manqanebi</t>
  </si>
  <si>
    <t xml:space="preserve"> 3. materialuri resursebi</t>
  </si>
  <si>
    <t>samSeneblo resursebis mixedviT pirdapiri danaxarjebis jami</t>
  </si>
  <si>
    <t>l.r.x.  #1/1</t>
  </si>
  <si>
    <t>l.r.x.  #1/2</t>
  </si>
  <si>
    <t>zednadebi xarjebi</t>
  </si>
  <si>
    <t>10c</t>
  </si>
  <si>
    <t>ventili</t>
  </si>
  <si>
    <t>WanWiki qanCiT</t>
  </si>
  <si>
    <t xml:space="preserve"> </t>
  </si>
  <si>
    <t>s.n.daw 8_409_2</t>
  </si>
  <si>
    <t>sadeni ppv-2X2,5 kvmm</t>
  </si>
  <si>
    <t>s.n.daw 8_407_1</t>
  </si>
  <si>
    <t>mili d-25mm</t>
  </si>
  <si>
    <t xml:space="preserve">CamrTveli </t>
  </si>
  <si>
    <t>s.n.daw 8_591_1</t>
  </si>
  <si>
    <t>hermetuli CamrTvelebis montaJi</t>
  </si>
  <si>
    <t>s.n.daw 8_534_1</t>
  </si>
  <si>
    <t>kolofi</t>
  </si>
  <si>
    <t>s.n.daw 8_591_8</t>
  </si>
  <si>
    <t>hermetuli  Stefseluri rozetis montaJi</t>
  </si>
  <si>
    <t>s.n.daw 8_593_1</t>
  </si>
  <si>
    <t>sanaTi naTuriT</t>
  </si>
  <si>
    <t>l.r.x.  #1/3</t>
  </si>
  <si>
    <t xml:space="preserve">100m    </t>
  </si>
  <si>
    <t xml:space="preserve">samS. Nn. da w. 16_6_2  </t>
  </si>
  <si>
    <t>plastmasis fasonuri  nawilebi</t>
  </si>
  <si>
    <t>fasonuri  nawilebi</t>
  </si>
  <si>
    <t>kronSteini</t>
  </si>
  <si>
    <t>sxvadasxva masala</t>
  </si>
  <si>
    <t xml:space="preserve">samS. nN. da  w. 18_5-3  </t>
  </si>
  <si>
    <t>ormagi regulirebis onkanebi (radiatoris)</t>
  </si>
  <si>
    <t xml:space="preserve"> cali</t>
  </si>
  <si>
    <t>onkani</t>
  </si>
  <si>
    <t>miltuCi</t>
  </si>
  <si>
    <t xml:space="preserve">samS .n N. da  w. 18_5-3  </t>
  </si>
  <si>
    <t>sul xarjTaRricxvis jami</t>
  </si>
  <si>
    <t>3. materialuri resursebi</t>
  </si>
  <si>
    <t>pirdapiri danaxarjebis jami</t>
  </si>
  <si>
    <t>jami zednadeb xarjebTan erTad</t>
  </si>
  <si>
    <t xml:space="preserve">                                                                                                           3.01.2006</t>
  </si>
  <si>
    <t>gegmiuri dagroveba</t>
  </si>
  <si>
    <t>sxva masalebi ( ankerebi ф10)</t>
  </si>
  <si>
    <t>1 ტ</t>
  </si>
  <si>
    <t>ელექტროდი</t>
  </si>
  <si>
    <t>s.n.da w.    15-168-7</t>
  </si>
  <si>
    <t xml:space="preserve">s.n.daw   6-1-1                                                                                                                                                                                                                 </t>
  </si>
  <si>
    <t xml:space="preserve">ს.ნ.და წ.46-15-2                                                                                                                                                                                                         </t>
  </si>
  <si>
    <t>საბაზრო</t>
  </si>
  <si>
    <t>არსებული ფანჯრის ბლოკების რეგულირება</t>
  </si>
  <si>
    <t>კვმ</t>
  </si>
  <si>
    <t>შრომითი დანახარჯები</t>
  </si>
  <si>
    <t>კაც/სთ</t>
  </si>
  <si>
    <t>სხვადასხვა მანქანები</t>
  </si>
  <si>
    <t>ლ</t>
  </si>
  <si>
    <t>კბმ</t>
  </si>
  <si>
    <t>ლარიı</t>
  </si>
  <si>
    <t>სამშენებლო ნანგრევების გატანა შენობიდან და ა/მანქანებზე დატვირთვა</t>
  </si>
  <si>
    <t>კუბ.მ.</t>
  </si>
  <si>
    <t xml:space="preserve">შრომითი დანახარჯები </t>
  </si>
  <si>
    <t xml:space="preserve">სამშენებლო ნანგრევების გატანა ა/მანქანებით </t>
  </si>
  <si>
    <t>ტ</t>
  </si>
  <si>
    <t>ცემენტის ხსნარი წყობის</t>
  </si>
  <si>
    <t>ცალი</t>
  </si>
  <si>
    <t>სხვა მასალები</t>
  </si>
  <si>
    <t>ლარი</t>
  </si>
  <si>
    <t>გრუნტი ანტიკოროზიული</t>
  </si>
  <si>
    <t>კგ</t>
  </si>
  <si>
    <t>საღებავი ლითობის ანტიკოროზიული</t>
  </si>
  <si>
    <t>ბეტონის ტუმბო</t>
  </si>
  <si>
    <t>ცემენტის მჭიმის მოწყობა 4-5 სმ სისქის ლითონის ბადეზე</t>
  </si>
  <si>
    <t>ცემენტის ხსნარი მოსაპირკეთებელი</t>
  </si>
  <si>
    <t xml:space="preserve">    წებო-ცემენტი ჰიდროსაიზოლაციო</t>
  </si>
  <si>
    <t>ლამინირებული  პარკეტის იატაკის მოწყობა, პლინტუსებით აქსესურებით</t>
  </si>
  <si>
    <t xml:space="preserve">ლამინირებული პარკეტი აქსესუარებით, პლინტუსებით, ქვესაგებით </t>
  </si>
  <si>
    <t>ხსნარის ტუმბო 1 კუბ/სთ</t>
  </si>
  <si>
    <t>მან/სთ</t>
  </si>
  <si>
    <t>ქვიშა ცემენტის  ხსნარი</t>
  </si>
  <si>
    <t>ფითხი</t>
  </si>
  <si>
    <t xml:space="preserve"> სამშენებლო რესურსების მიხედვით პირდაპირი დანახარჯების ჯამი</t>
  </si>
  <si>
    <t xml:space="preserve">    1. შრომითი რესურსები</t>
  </si>
  <si>
    <t xml:space="preserve">    2. სამშენებლო მანქანები</t>
  </si>
  <si>
    <t>3. მატერიალური რესურსები</t>
  </si>
  <si>
    <t>ზედნადები ხარჯები</t>
  </si>
  <si>
    <t>ჯამი</t>
  </si>
  <si>
    <t xml:space="preserve">სახარჯთაღრიცხვო მოგება </t>
  </si>
  <si>
    <t>სულ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</si>
  <si>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</si>
  <si>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</si>
  <si>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</si>
  <si>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</si>
  <si>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</si>
  <si>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</si>
  <si>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</si>
  <si>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ც</t>
  </si>
  <si>
    <t xml:space="preserve">ს.ნ.და წ.                                                                                                                                                                                                      </t>
  </si>
  <si>
    <t>არსებული თაბაშირმუყაოს ჭერის დემონტაჟი</t>
  </si>
  <si>
    <t>კედლის წყობა 40*20*10 სატიხრე  ბეტონის ბლოკებით, ღიობის შევსება</t>
  </si>
  <si>
    <t>კედლები</t>
  </si>
  <si>
    <t>mili d-32mm</t>
  </si>
  <si>
    <t>s.n.daw 8_525_2</t>
  </si>
  <si>
    <t>grunti ანტიკოროზიული</t>
  </si>
  <si>
    <t>ლითონის ელემენტების შეღებვა სპეც. ლითონის ანტიკოროზიული საღებავით</t>
  </si>
  <si>
    <t>გრძმ</t>
  </si>
  <si>
    <t xml:space="preserve">samS. nN. da w. 16_6_1 </t>
  </si>
  <si>
    <t xml:space="preserve">gaTbobis folgiani polieTilenis milis mowyoba d=20 mm  </t>
  </si>
  <si>
    <t xml:space="preserve">samS. Nn. da  w. 18_5--1  </t>
  </si>
  <si>
    <t>k=1.15</t>
  </si>
  <si>
    <t>ს.ნ.და წ. 46_30_2</t>
  </si>
  <si>
    <t>ბლოკი 40*20*10</t>
  </si>
  <si>
    <t>ხე მასალა</t>
  </si>
  <si>
    <t xml:space="preserve">იატაკზე ხელოვნური გრანიტის ფილების მოწყობა   ჰიდროსაიზოლაციო წებო-ცემენტით </t>
  </si>
  <si>
    <t>s.n.daw 46_21_1</t>
  </si>
  <si>
    <t>s.n.daw 46_22_5</t>
  </si>
  <si>
    <t>s.n.daw 8_402_2</t>
  </si>
  <si>
    <t>s.n.daw 8_591_2</t>
  </si>
  <si>
    <t>CamrTveli erTklaviSiani</t>
  </si>
  <si>
    <t>CamrTveli orklaviSiani</t>
  </si>
  <si>
    <t>s.n.daw 8_591_7</t>
  </si>
  <si>
    <t>ბეტონი B15</t>
  </si>
  <si>
    <t>იატაკები</t>
  </si>
  <si>
    <t xml:space="preserve">იატაკზე არსებული ღიობების შევსება რკინაბეტონით </t>
  </si>
  <si>
    <t>არმატურა</t>
  </si>
  <si>
    <t>ფარი ხის</t>
  </si>
  <si>
    <t>ხელ. გრანიტის პლინტუსების მოწყობა</t>
  </si>
  <si>
    <t>მოხვეწილი ხის პარკეტის იატაკის შეღებვა ლაქით</t>
  </si>
  <si>
    <t>ლაქი ნიტრო</t>
  </si>
  <si>
    <t>ფითხი ხის</t>
  </si>
  <si>
    <t>სხვადასხვა მასალები</t>
  </si>
  <si>
    <t xml:space="preserve">შიდა ფანჯრისა და კარის  ფერდოების შელესვა </t>
  </si>
  <si>
    <t>საღებავი მაღალხარისხოვანი საღებავი</t>
  </si>
  <si>
    <t>ცემენტის   ხსნარი</t>
  </si>
  <si>
    <t xml:space="preserve"> ჭერის შეღებვა წყალემულსიური საღებავით მაღალხარისხოვანი</t>
  </si>
  <si>
    <t>საღებავი მაღალხარისხოვანი</t>
  </si>
  <si>
    <t>კ-სთ</t>
  </si>
  <si>
    <t>ლაქი ზეთოვანი, პარკეტის გამხსნელით</t>
  </si>
  <si>
    <t>წებო პარკეტის</t>
  </si>
  <si>
    <t>ლოკალურ-რესურსული  ხარჯთაღრიცხვა №1/1</t>
  </si>
  <si>
    <t>saRebavi antikoroziuli</t>
  </si>
  <si>
    <t xml:space="preserve">ს.ნ.და წ. 46-32-3                                                                                                                                                                                                       </t>
  </si>
  <si>
    <t xml:space="preserve">ს.ნ.და წ.1-79_3                             </t>
  </si>
  <si>
    <t>ს.ნ.და წ. 8-3</t>
  </si>
  <si>
    <t>ს.ნ.და წ.  8-15-1</t>
  </si>
  <si>
    <t>ს.ნ.და წ.  15-164-8</t>
  </si>
  <si>
    <r>
      <t xml:space="preserve">ს.ნ.და წ. 9-5-4 </t>
    </r>
    <r>
      <rPr>
        <b/>
        <sz val="8"/>
        <rFont val="Sylfaen"/>
        <family val="1"/>
      </rPr>
      <t>misadagebiT</t>
    </r>
  </si>
  <si>
    <t xml:space="preserve">ს.ნ.და წ.   6-16-1                                                                                                                                                                                                                 </t>
  </si>
  <si>
    <t xml:space="preserve">ს.ნ.და წ. 11-8--1-2                                                                                                                                                                                                                 </t>
  </si>
  <si>
    <t>ს.ნ.და წ. 11-20-3</t>
  </si>
  <si>
    <t>ს.ნ.და წ. 11-36-3</t>
  </si>
  <si>
    <r>
      <t xml:space="preserve">ს.ნ.და წ.11-27-7 </t>
    </r>
    <r>
      <rPr>
        <b/>
        <sz val="8"/>
        <rFont val="Sylfaen"/>
        <family val="1"/>
      </rPr>
      <t>misadagebiT</t>
    </r>
  </si>
  <si>
    <r>
      <t xml:space="preserve">ს.ნ.და წ.11-27-6  </t>
    </r>
    <r>
      <rPr>
        <b/>
        <sz val="8"/>
        <rFont val="Sylfaen"/>
        <family val="1"/>
      </rPr>
      <t>misadagebiT</t>
    </r>
  </si>
  <si>
    <t>ს.ნ.და წ.  15-160-3</t>
  </si>
  <si>
    <t xml:space="preserve">ს.ნ.და წ. 15-168-6--8                                                                                                                                                                                                            </t>
  </si>
  <si>
    <t>ს.ნ.და წ. 15-56-1</t>
  </si>
  <si>
    <t xml:space="preserve">  saerTo samSeneblo samuSaoebze  saarqivo sammarTvelos administraciuli Senobis pirveli sarTulis sacavis oTaxis centraluri  gaTbobis  mowyobaze</t>
  </si>
  <si>
    <t>4 c 40X60</t>
  </si>
  <si>
    <t>440 l</t>
  </si>
  <si>
    <t xml:space="preserve">ხელოვნური გრანიტის ფილები                                                                                                                                                                   </t>
  </si>
  <si>
    <t>კ-1,15</t>
  </si>
  <si>
    <t>k-1,15</t>
  </si>
  <si>
    <t xml:space="preserve">kuTxovana 50X50X3 mm;                 kuTxovana 50X50X5 mm; </t>
  </si>
  <si>
    <t xml:space="preserve"> პარკეტი ხის აქსესუარებით,</t>
  </si>
  <si>
    <t>არსებული იატაკის დემონტაჟი</t>
  </si>
  <si>
    <t>ხის პარკეტის ჩამატება</t>
  </si>
  <si>
    <t xml:space="preserve">ხის პარკეტის იატაკის  მოხვეწა (№5 ოთახი) </t>
  </si>
  <si>
    <t>ბეტონის პანდუსის მოწყობა  ბეტონი B15 არსებული</t>
  </si>
  <si>
    <t xml:space="preserve">შიდა კედლების, კარისა და ფანჯრის ფერდოების  შეღებვა მაღალხარისხოვანი საღებავით, </t>
  </si>
  <si>
    <t xml:space="preserve"> შიდა არსებული და ახალი კედლების  მაღალხარისხოვანი შელესვა ქვიშა ცემენტის ხსნარით </t>
  </si>
  <si>
    <t>ვერტიკალური ფარდაჟალუზების მოწყობა</t>
  </si>
  <si>
    <t>radiatori პანელური 2 მ</t>
  </si>
  <si>
    <t xml:space="preserve"> liTonis Taroebis (stelaJebis)  mowyobaze</t>
  </si>
  <si>
    <r>
      <t xml:space="preserve">სახანძრო ყუთი წყლის ჰიდრანტებისთვის (50*50*20 სმ) </t>
    </r>
    <r>
      <rPr>
        <sz val="10"/>
        <rFont val="AcadNusx"/>
        <family val="0"/>
      </rPr>
      <t>V</t>
    </r>
    <r>
      <rPr>
        <sz val="10"/>
        <rFont val="Sylfaen"/>
        <family val="1"/>
      </rPr>
      <t>I სართულზე</t>
    </r>
  </si>
  <si>
    <t>სავენტილაციო არხების დემონტაჟი</t>
  </si>
  <si>
    <t>ცელოფანი</t>
  </si>
  <si>
    <r>
      <t xml:space="preserve">სახანძრო ბალონები დატუმბული  </t>
    </r>
    <r>
      <rPr>
        <sz val="10"/>
        <rFont val="Times New Roman"/>
        <family val="1"/>
      </rPr>
      <t>АБЦ</t>
    </r>
  </si>
  <si>
    <t>k=1,15</t>
  </si>
  <si>
    <t>sndaw 12_8_1</t>
  </si>
  <si>
    <t xml:space="preserve"> 100 GgrZm</t>
  </si>
  <si>
    <t>k-sT</t>
  </si>
  <si>
    <t>samagrebeli uJangavi SurupebiT</t>
  </si>
  <si>
    <t>feradi Tunuqis  Zabri</t>
  </si>
  <si>
    <t>arsebuli  saxuravis perimetrze wamoweva  wyalSemkrebi Rarebis demontaJi-montaJisaTvis</t>
  </si>
  <si>
    <t>100 კვმ</t>
  </si>
  <si>
    <t>feradi Tunuqis  muxli</t>
  </si>
  <si>
    <t>ავტოამწე</t>
  </si>
  <si>
    <t>მანქ/სთ</t>
  </si>
  <si>
    <t xml:space="preserve">LliTonis ახალი Taroebis (stelaJebis) mowyoba </t>
  </si>
  <si>
    <t>liTonis detalebis damuSaveba da SeRebva (არსებული და ახალი სტელაჟები, ლითონის კარადები)</t>
  </si>
  <si>
    <t>ექსპერტიზის ხარჯები  1,7%</t>
  </si>
  <si>
    <t>მე-6 სართულის ფონდსაცავიდან დოკუმენტაციის გატანა და რემონტის შემდეგ შემოტანა არქივის თანამშრომლების ზედამხედველობის ქვეშ</t>
  </si>
  <si>
    <t>არსებული ღარების შეცვლა feradi Tunuqis wyalSemkrebi Rarebiთ  ძაბრების დაყენებით</t>
  </si>
  <si>
    <t>samfaza avtomaturi amomrTvelis montaJi 50a</t>
  </si>
  <si>
    <t>avtomaturi amomrTveli 50a</t>
  </si>
  <si>
    <t>sadeni  ПУНП-2X2,5 kvmm</t>
  </si>
  <si>
    <t xml:space="preserve"> loTonis milebSi    spilenZisZarRviani sadenis gayvana </t>
  </si>
  <si>
    <t>liTonis milis damagreba kedelze da Werze</t>
  </si>
  <si>
    <t>gamanawilebeli kolofis montaJi CamrTvelebisaTvis</t>
  </si>
  <si>
    <r>
      <t xml:space="preserve"> hermetuli civi naTebis  sanaTis  gamocvla damcavi badiT </t>
    </r>
  </si>
  <si>
    <t>s.n.daw 8_605_1</t>
  </si>
  <si>
    <t xml:space="preserve"> sanaTis da WaRis dakideba</t>
  </si>
  <si>
    <t>WaRi samsanaTiani</t>
  </si>
  <si>
    <t>naTura</t>
  </si>
  <si>
    <t>kolonuri kondecioneris montaJi</t>
  </si>
  <si>
    <t>kolonuri kondecioneri</t>
  </si>
  <si>
    <t>vvg- 4X16 spilenZisZarRviani kabelis gayvana kondecionerebisaTvis</t>
  </si>
  <si>
    <t>kabeli vvg-4X16 spilenZisZarRviani</t>
  </si>
  <si>
    <t xml:space="preserve">zednadebi xarjebi SromiT danaxarjebze 75%                               </t>
  </si>
  <si>
    <t>gegmiuri dagroveba 10%</t>
  </si>
  <si>
    <t>q. baTumSi  saarqivo  sammarTvelos  Senobis                                                                                                                                                              el. ganaTebaze</t>
  </si>
  <si>
    <t>liTonis milis demontaJi</t>
  </si>
  <si>
    <t xml:space="preserve">liTonis milis damagreba kedelze </t>
  </si>
  <si>
    <t xml:space="preserve"> hermetuli civi naTebis  sanaTis  demontaJi da montaJi</t>
  </si>
  <si>
    <t>k=1.3</t>
  </si>
  <si>
    <r>
      <t xml:space="preserve"> hermetuli civi naTebis  sanaTis montaJi damcavi badiT </t>
    </r>
  </si>
  <si>
    <t>WaRi oTxsanaTiani</t>
  </si>
  <si>
    <t>dRis ganaTebis sanaTis montaJi kedelze</t>
  </si>
  <si>
    <t>dRis ganaTebis sanaTi</t>
  </si>
  <si>
    <t xml:space="preserve">zednadebi xarjebi 75%                               </t>
  </si>
  <si>
    <t>q. baTumSi  saarqivo  sammarTvelos  Senobis  VI  sarTulis                                                                                                                                                            sust denebze</t>
  </si>
  <si>
    <t xml:space="preserve"> SromiTi danaxarjebi</t>
  </si>
  <si>
    <t>moZraobis deteqtoris montaJi</t>
  </si>
  <si>
    <t>moZraobis deteqtori</t>
  </si>
  <si>
    <t>kabelis montaJi</t>
  </si>
  <si>
    <r>
      <t xml:space="preserve">saxanZro signalizaciis kabeli </t>
    </r>
  </si>
  <si>
    <r>
      <t xml:space="preserve"> signalizaciis kabeli</t>
    </r>
  </si>
  <si>
    <t>plastmasis sakabelo arxi</t>
  </si>
  <si>
    <t>1. SromiTi danaxarjebi</t>
  </si>
  <si>
    <t xml:space="preserve">   3. materialuri resursebi</t>
  </si>
  <si>
    <t>zedanadebi xarjebi samontaJo  samuSaoebze 65%</t>
  </si>
  <si>
    <t>gegmiuri dagroveba 8%</t>
  </si>
  <si>
    <t>ს.ნ.და წ.   8-15-1</t>
  </si>
  <si>
    <t>კარ-ფანჯრები</t>
  </si>
  <si>
    <t>მეტალოპლასტმასის კარის ბლოკის მოწყობა ; აქსესუარებით</t>
  </si>
  <si>
    <t>მეტალოპლასტმასის ფანჯრის ბლოკები, დამატებით ევროგაღების მექანიზმით; აქსესუარებით</t>
  </si>
  <si>
    <t xml:space="preserve">ს.ნ.და წ.   11-8--1-2                                                                                                                                                                                                                 </t>
  </si>
  <si>
    <t xml:space="preserve">ცემენტის მჭიმის მოწყობა 4-5 სმ სისქის </t>
  </si>
  <si>
    <t>ს.ნ.და წ.   11-20-3</t>
  </si>
  <si>
    <t xml:space="preserve"> იატაკზე კერამიკული ფილების მოწყობა წებო-ცემენტით ხაოიანი ზედაპირით </t>
  </si>
  <si>
    <t xml:space="preserve">კერამიკული ფილები ხაოიანი ზედაპირით                                                                                                                                                                                                             </t>
  </si>
  <si>
    <t xml:space="preserve">    წებო-ცემენტი </t>
  </si>
  <si>
    <t>ჭერის მოწყობის სამუშაოები</t>
  </si>
  <si>
    <t xml:space="preserve">ს.ნ.და წ.   15-168-6--8                                                                                                                                                                                                            </t>
  </si>
  <si>
    <t>შეკიდული ჭერის მოწყობა პლასტიკატით აქსესუარებით ლითონის კარკასზე</t>
  </si>
  <si>
    <t>ს.ნ.და წ.  15-55-9</t>
  </si>
  <si>
    <t>ბადე ბათქაშის</t>
  </si>
  <si>
    <t xml:space="preserve"> კედლების მოპირკეთება კერამიკული ფილებით წებო-ცემენტით </t>
  </si>
  <si>
    <t xml:space="preserve">კერამიკული ფილები                                                                                                                                                                                                              </t>
  </si>
  <si>
    <t>ს.ნ.და წ.   15-168-7</t>
  </si>
  <si>
    <t>ტიხრების წყობა 40*20*20 სატიხრე  ბეტონის ბლოკებით</t>
  </si>
  <si>
    <t>ბლოკი 40*20*20</t>
  </si>
  <si>
    <t>ღიობის შევსება, კედლის წყობა 40*20*10 სატიხრე  ბეტონის ბლოკებით, ღიობის შევსება</t>
  </si>
  <si>
    <r>
      <t xml:space="preserve">ს.ნ.და წ. 9-5-4 </t>
    </r>
    <r>
      <rPr>
        <b/>
        <sz val="8"/>
        <rFont val="Sylfaen"/>
        <family val="1"/>
      </rPr>
      <t>მისადაგებით</t>
    </r>
  </si>
  <si>
    <t>არსებული კარის ბლოკების დემონტაჟი     (3 ცალი)</t>
  </si>
  <si>
    <t xml:space="preserve"> კედლებიდან  ძველი  საღებავის მოცილება, ადგილ ადგილ ბათქაში ჩამოყრა</t>
  </si>
  <si>
    <t>ვერტიკალური ფარდა ჟალუზების მოწყობა</t>
  </si>
  <si>
    <t>კედლების მოპირკეთების სამუშაოები</t>
  </si>
  <si>
    <t>მე-3 სართულის ფონდსაცავიდან დოკუმენტაციის  I სართულის ფონდსაცავებზში ჩატანა  და დასაწყობება არქივის თანამშრომლების ზედამხედველობის ქვეშ</t>
  </si>
  <si>
    <t>კელდის დაშლა</t>
  </si>
  <si>
    <t>lokalur-resursuli  xarjTaRricxva #3/4</t>
  </si>
  <si>
    <t xml:space="preserve"> პანელური 2 მ სიგრძის რადიატორის მოწყობა</t>
  </si>
  <si>
    <t>lokalur-resursuli  xarjTaRricxva  #3/3</t>
  </si>
  <si>
    <t>lokalur-resursuli  xarjTaRricxva #2/4</t>
  </si>
  <si>
    <t>ლოკალურ-რესურსული  ხარჯთაღრიცხვა №2/1</t>
  </si>
  <si>
    <t>lokalur-resursuli  xarjTaRricxva #2/2</t>
  </si>
  <si>
    <t>lokalur-resursuli xarjTaRricxva #2/3</t>
  </si>
  <si>
    <t>ლოკალურ-რესურსული  ხარჯთაღრიცხვა №3/1</t>
  </si>
  <si>
    <t>ლოკალურ-რესურსული  ხარჯთაღრიცხვა №4</t>
  </si>
  <si>
    <t>მდფ კარის ბლოკის მოწყობა 2 ცალი</t>
  </si>
  <si>
    <t>ლითონის კარის ბლოკის მოწყობა  აქსესუარებით 1 ცალი</t>
  </si>
  <si>
    <t>ლითონის კარის ბლოკის მოწყობა  აქსესუარებით 2 ცალი</t>
  </si>
  <si>
    <t>ლითონის კარის ბლოკის მოწყობა  აქსესუარებით წვრილბადიანი 1 ცალი</t>
  </si>
  <si>
    <t>ლითონის ბადეზე</t>
  </si>
  <si>
    <t>ღიობის გამოტეხვა</t>
  </si>
  <si>
    <t>liTonis detalebis damuSaveba da SeRebva (არსებული და ახალი სტელაჟები)</t>
  </si>
  <si>
    <t>sadeni  ppv-2X2,5 kvmm</t>
  </si>
  <si>
    <t xml:space="preserve"> sanaTis montaJi kedelze</t>
  </si>
  <si>
    <t xml:space="preserve"> sanaTi</t>
  </si>
  <si>
    <t>WaRi montaJi</t>
  </si>
  <si>
    <t>WaRi eqvssanaTiani</t>
  </si>
  <si>
    <t xml:space="preserve"> split kondecioneris montaJi</t>
  </si>
  <si>
    <t xml:space="preserve"> split kondecioneri</t>
  </si>
  <si>
    <t>split kondecioneris montaJi</t>
  </si>
  <si>
    <t>split kondecioneri</t>
  </si>
  <si>
    <t>samisamarTo (saxanZro) bolis  deteqtoris montaJi</t>
  </si>
  <si>
    <t xml:space="preserve">ს.ნ.და წ. 46-16-2                                                                                                                                                                                                   </t>
  </si>
  <si>
    <t>თაბაშირმუყაოს ჭერის  მოწყობა თეთრი  1,2*2,5 მ თაბაშირმუყაოს  12,5 მმ სისქის ფილებით ლითონის პროფილებზე</t>
  </si>
  <si>
    <t xml:space="preserve">s.n.da w. 46-37-5                                                                                                                                                                                                        </t>
  </si>
  <si>
    <t>arsebuli Senobis demontaJi, TanmimdevrobiT dangreva-daSla, vargisi masalebis gadarCeba da dasawyobeba, samSeneblo nagvis datvirTva da gatana manqanebiT</t>
  </si>
  <si>
    <t>100 kub.m sivrciTi moculoba</t>
  </si>
  <si>
    <t xml:space="preserve">სახურავი </t>
  </si>
  <si>
    <t>s.n.daw.   10-11</t>
  </si>
  <si>
    <t>sndaw    10_38_3</t>
  </si>
  <si>
    <t>sndaw 10_37_3</t>
  </si>
  <si>
    <r>
      <t xml:space="preserve">s.n.daw. 12-6-1 </t>
    </r>
    <r>
      <rPr>
        <b/>
        <sz val="8"/>
        <rFont val="AcadNusx"/>
        <family val="0"/>
      </rPr>
      <t>misadagebiT</t>
    </r>
  </si>
  <si>
    <t>t</t>
  </si>
  <si>
    <t>s.n.da w.    1-80-3</t>
  </si>
  <si>
    <t xml:space="preserve">miwis damuSaveba xeliT  III kategoriis gruntSi </t>
  </si>
  <si>
    <t xml:space="preserve">kac/sT    </t>
  </si>
  <si>
    <t>s.n.da w.   1-78</t>
  </si>
  <si>
    <t xml:space="preserve"> gruntis ukuCayra </t>
  </si>
  <si>
    <t>s.n.da w.   1-80-3</t>
  </si>
  <si>
    <t xml:space="preserve">zedmeti gruntis datvirTva da transportireba </t>
  </si>
  <si>
    <t>srf</t>
  </si>
  <si>
    <t xml:space="preserve">zedmeti gruntis transportireba </t>
  </si>
  <si>
    <t>s.n.da w.       6-1-20 misad</t>
  </si>
  <si>
    <r>
      <t xml:space="preserve">monoliTuri rk.betonis lenturi         saZirkvlis mowyoba               betoni </t>
    </r>
    <r>
      <rPr>
        <b/>
        <sz val="10"/>
        <rFont val="Arial Cyr"/>
        <family val="0"/>
      </rPr>
      <t>B15</t>
    </r>
    <r>
      <rPr>
        <b/>
        <sz val="10"/>
        <rFont val="AcadNusx"/>
        <family val="0"/>
      </rPr>
      <t xml:space="preserve"> </t>
    </r>
  </si>
  <si>
    <t>betonis tumbo</t>
  </si>
  <si>
    <t>kub.m.</t>
  </si>
  <si>
    <r>
      <t xml:space="preserve">betoni </t>
    </r>
    <r>
      <rPr>
        <b/>
        <sz val="10"/>
        <rFont val="Arial Cyr"/>
        <family val="0"/>
      </rPr>
      <t>B15</t>
    </r>
  </si>
  <si>
    <t>armatura</t>
  </si>
  <si>
    <t>fari xis</t>
  </si>
  <si>
    <t>xe masala</t>
  </si>
  <si>
    <t>s.n.da w.  6-12-4 misad</t>
  </si>
  <si>
    <r>
      <t xml:space="preserve">monoliTuri rkinabetonis ნულოვანი sartyeli mowyoba  betoni </t>
    </r>
    <r>
      <rPr>
        <b/>
        <sz val="10"/>
        <rFont val="Arial Cyr"/>
        <family val="0"/>
      </rPr>
      <t>B20</t>
    </r>
    <r>
      <rPr>
        <b/>
        <sz val="10"/>
        <rFont val="AcadNusx"/>
        <family val="0"/>
      </rPr>
      <t xml:space="preserve"> </t>
    </r>
  </si>
  <si>
    <r>
      <t xml:space="preserve">betoni </t>
    </r>
    <r>
      <rPr>
        <b/>
        <sz val="10"/>
        <rFont val="Arial Cyr"/>
        <family val="0"/>
      </rPr>
      <t>B</t>
    </r>
    <r>
      <rPr>
        <b/>
        <sz val="10"/>
        <rFont val="AcadNusx"/>
        <family val="0"/>
      </rPr>
      <t>20</t>
    </r>
  </si>
  <si>
    <t>eleqtrodi</t>
  </si>
  <si>
    <r>
      <t xml:space="preserve">monoliTuri rkinabetonis sartyeli mowyoba  betoni </t>
    </r>
    <r>
      <rPr>
        <b/>
        <sz val="10"/>
        <rFont val="Arial Cyr"/>
        <family val="0"/>
      </rPr>
      <t>B20</t>
    </r>
    <r>
      <rPr>
        <b/>
        <sz val="10"/>
        <rFont val="AcadNusx"/>
        <family val="0"/>
      </rPr>
      <t xml:space="preserve"> </t>
    </r>
  </si>
  <si>
    <t>sn da w  6-16-1</t>
  </si>
  <si>
    <r>
      <t xml:space="preserve">rkinabetonis monoliTuri gadaxurvis filis mowyoba betoni В20 </t>
    </r>
  </si>
  <si>
    <t xml:space="preserve">betoni В20 </t>
  </si>
  <si>
    <t>xis fari</t>
  </si>
  <si>
    <t>kv.m.</t>
  </si>
  <si>
    <t>s.ndaw  22-8-1</t>
  </si>
  <si>
    <t>20 მმ-ნი წყალსადენის პოლიეთილენის მილების მოწყობა</t>
  </si>
  <si>
    <t>1 კმ</t>
  </si>
  <si>
    <t>მანქანები</t>
  </si>
  <si>
    <t>მილი, დ-20მმ</t>
  </si>
  <si>
    <t>მ</t>
  </si>
  <si>
    <t>s.ndaw  16-6-1</t>
  </si>
  <si>
    <t>50 მმ-ნი წყალსადენის პოლიეთილენის მილების მოწყობა</t>
  </si>
  <si>
    <t xml:space="preserve">100 m </t>
  </si>
  <si>
    <t>მილი, დ-50მმ</t>
  </si>
  <si>
    <t>s.ndaw    16--6-2</t>
  </si>
  <si>
    <t xml:space="preserve">100 მმ-ნი კანალიზაციის პლასტმასის მილების მოწყობა </t>
  </si>
  <si>
    <t>100 მ</t>
  </si>
  <si>
    <t>მილი, დ-100მმ</t>
  </si>
  <si>
    <t>s.ndaw 17--1--4</t>
  </si>
  <si>
    <t xml:space="preserve"> პირსაბანის მოწყობა</t>
  </si>
  <si>
    <t>კომპ</t>
  </si>
  <si>
    <t>პირსაბანი</t>
  </si>
  <si>
    <t>კომპლ</t>
  </si>
  <si>
    <t>17--1-1</t>
  </si>
  <si>
    <t>s.ndaw    22--23-1</t>
  </si>
  <si>
    <t>პლასტმასის ფასონური ნაწილები</t>
  </si>
  <si>
    <t>10ც</t>
  </si>
  <si>
    <t>ფასონური ნაწილები</t>
  </si>
  <si>
    <t>s.ndaw    17--1-8</t>
  </si>
  <si>
    <t>ტრაპის მონტაჟი დ-50 მმ</t>
  </si>
  <si>
    <t>ტრაპი, დ50მმ</t>
  </si>
  <si>
    <t>s.ndaw    22--27-1</t>
  </si>
  <si>
    <t>წყალსადენის შეჭრა არსებულ ქსელში</t>
  </si>
  <si>
    <t>შეჭრა</t>
  </si>
  <si>
    <t>მილი, დ20მმ</t>
  </si>
  <si>
    <t>s.ndaw    16--12-1</t>
  </si>
  <si>
    <t>ვენტილი, დ-20მმ</t>
  </si>
  <si>
    <t>s.ndaw    17--3--3</t>
  </si>
  <si>
    <t>წყალშემრევი ხელსაბანებისთვის</t>
  </si>
  <si>
    <t>s.ndaw    20--22-1</t>
  </si>
  <si>
    <t>გამწოვი ვენტილატორის მონტაჟი მილებით</t>
  </si>
  <si>
    <t>ვენტილიატორი</t>
  </si>
  <si>
    <t>ლოკალურ-რესურსული უწყისის ჯამი</t>
  </si>
  <si>
    <t>1. შრომითი რესურსები</t>
  </si>
  <si>
    <t>2. სამშენებლო მანქანები</t>
  </si>
  <si>
    <t>მატერიალური რესურსები</t>
  </si>
  <si>
    <t>სამშენებლო რესურსების მიხედვით პირდაპირი დანახარჯების ჯამი</t>
  </si>
  <si>
    <t xml:space="preserve">გეგმიური დაგროვება </t>
  </si>
  <si>
    <t>lokalur-resursuli xarjTaRricxva #1/3</t>
  </si>
  <si>
    <t>genuas TefSi mოwyoბა</t>
  </si>
  <si>
    <t>genuas TefSi</t>
  </si>
  <si>
    <t>sndaw    11-1-11</t>
  </si>
  <si>
    <t xml:space="preserve">0,00 m niSnulze betonis 10 sm sisqis safuZvlis mowyoba В15 klasis betoniT armaturis badeze </t>
  </si>
  <si>
    <t>betoni В15</t>
  </si>
  <si>
    <t xml:space="preserve"> შიდა ძველი კედლების   მაღალხარისხოვანი შელესვა ქვიშა ცემენტის ხსნარით </t>
  </si>
  <si>
    <t>ფასადი</t>
  </si>
  <si>
    <t>s.n.da w.15-52-1</t>
  </si>
  <si>
    <t xml:space="preserve">ფასადის კედლების ადგილა დგილ მაღალხარისხოვანი შელესვა ქვიშაცემენტის ხსნარით </t>
  </si>
  <si>
    <t>ხსნარის ტუმბო 3 კბმ/სთ</t>
  </si>
  <si>
    <t>ხსნარი ცემენტის მოსაპირკეთებელი</t>
  </si>
  <si>
    <t xml:space="preserve">გარე ფანჯრისა და კარის  ფერდოების შელესვა </t>
  </si>
  <si>
    <t xml:space="preserve">s.n.da w.  15-168-7 </t>
  </si>
  <si>
    <t>ფასადის შეღებვა ფასადის მაღალხარისხოვანი  წყალემულსიური საღებავით</t>
  </si>
  <si>
    <t xml:space="preserve"> საღებავი წყალემულსიური, წყალმედეგი, სილიკონიანი</t>
  </si>
  <si>
    <t>ფითხი ფასადის</t>
  </si>
  <si>
    <t>s.n.da w.8-22-1</t>
  </si>
  <si>
    <t>ინვენტარული ხარაჩოების მოწყობა და დაშლა</t>
  </si>
  <si>
    <t>100         კვმ</t>
  </si>
  <si>
    <t>ხარაჩოს ლითონის დეტალები</t>
  </si>
  <si>
    <t>ხარაჩოს ხის დეტალები</t>
  </si>
  <si>
    <t>ხის ფენილი</t>
  </si>
  <si>
    <t xml:space="preserve">ცემენტის მჭიმის მოწყობა 4-5 სმ სისქის ლითონის ბადეზე </t>
  </si>
  <si>
    <t>ხის სანივნივე სისტემის მოწყობა</t>
  </si>
  <si>
    <t xml:space="preserve">ხე მასალა </t>
  </si>
  <si>
    <t>პასტა ანტისეპტიკური</t>
  </si>
  <si>
    <t>ტოლი რუსული</t>
  </si>
  <si>
    <t>შესაკრავი მავთული</t>
  </si>
  <si>
    <t>ლურსმანი</t>
  </si>
  <si>
    <t>ხის კონსტრუქციების ანტისეპტირება</t>
  </si>
  <si>
    <t>100      კვმ</t>
  </si>
  <si>
    <t xml:space="preserve">ხსნარი ანტისეპტიკური         </t>
  </si>
  <si>
    <t>ხის კონსტრუქციების დამუშავება ხანძარსაწინააღმდეგო ხსნარით</t>
  </si>
  <si>
    <t xml:space="preserve">ხსნარი ცეცხლგამძლე          </t>
  </si>
  <si>
    <t xml:space="preserve">0,5 მმ სისქის პროფილირებული ფერადი თუნუქის   სახურავის მოწყობა ხის  მოლარტყვის მოწყობით </t>
  </si>
  <si>
    <t xml:space="preserve">100    კვმ </t>
  </si>
  <si>
    <t>0,5 მმ სისქის პროფილირებული ფერადი თუნუქი</t>
  </si>
  <si>
    <t>მეტალოკრამიტის გლუვი ფურცლებით</t>
  </si>
  <si>
    <t xml:space="preserve">ნაჭედი </t>
  </si>
  <si>
    <t>მეტალოკრამიტის შურუპი 1 კვმ-ზე 6 ცალი</t>
  </si>
  <si>
    <t>ანკერი</t>
  </si>
  <si>
    <t>სნ და წ  15-52-3</t>
  </si>
  <si>
    <t>lokalur-resursuli xarjTaRricxva #3/2</t>
  </si>
  <si>
    <r>
      <t>samisamarTo (saxanZro) bolis deteqtori</t>
    </r>
  </si>
  <si>
    <t>აჭარის ავტონომიური რესპუბლიკის მთავრობის საქვეუწყებო დაწესებულება - საარქივო სამმართველოს შენობის მიმდებარე ტერიტორიაზე სანკვანძის მშენებლობაზე</t>
  </si>
  <si>
    <t>lokalur-resursuli xarjTaRricxva #1/2</t>
  </si>
  <si>
    <t xml:space="preserve">ხის სტელაჟების მოწყობა აქსესუარებით </t>
  </si>
  <si>
    <t xml:space="preserve"> liTonis Taroebis (stelaJebis)  mowyobaze (VI სართულზე)</t>
  </si>
  <si>
    <t>აჭარის ავტონომიური რესპუბლიკის მთავრობის საქვეუწყებო დაწესებულება - საარქივო სამმართველოს შენობის მიმდებარე ტერიტორიაზე santeqnikur samuSaoebze</t>
  </si>
  <si>
    <t>plastmasis mili ფოლგიანი d=20mm</t>
  </si>
  <si>
    <t>ventilი რადიატორის</t>
  </si>
  <si>
    <t>q. baTumSi  saarqivo  sammarTvelos  sankvanZis el. ganaTebaze</t>
  </si>
  <si>
    <t xml:space="preserve">ღარი ფერადი თუნუქის </t>
  </si>
  <si>
    <t xml:space="preserve">საერთო სამშენებლო სამუშაოებზე საარქივო სამმართველოს ტერიტორიული ორგანო - ქობულეთის არქივის წყალსარინი ღარების სარემონტო სარეკონსტრუქციო სამუშაოებზე
</t>
  </si>
  <si>
    <t>აჭარის ავტონომიური რესპუბლიკის მთავრობის საქვეუწყებო დაწესებულება - საარქივო სამმართველოს შენობის მარჯვენა მხარეს კიბის უჯრედში და მარცხენა მხარეს პირველ სართულზე არსებულ ყოფილ საარქივო დოკუმენტების  დამუშავების ოთახებში ფონდსაცავების, მე-3 სართულზე დიგიტალიზაციისა და პირადი შემადგენლობის ფონდსაცავების თანამშრომელთა სამუშაო ოთახების, მე-6 სართულზე არსებული ტექნიკური , პარტიული, კინო–ვიდეო–ფოტო–ფონო ფონდსაცავებისა და საარქივო სამმართველოს ტერიტორიული ორგანო - ქობულეთის არქივის წყალსარინი ღარების სარემონტო სარეკონსტრუქციო სამუშაოებზე</t>
  </si>
  <si>
    <t>აჭარის ავტონომიური რესპუბლიკის მთავრობის საქვეუწყებო დაწესებულება -  საარქივო სამმართველოს შენობის მარჯვენა მხარეს კიბის უჯრედში და მარცხენა მხარეს პირველ სართულზე არსებულ ყოფილ საარქივო დოკუმენტების  დამუშავების ოთახებში ფონდსაცავების, მე-3 სართულზე დიგიტალიზაციის სარემონტო სარეკონსტრუქციო სამუშაოებზე</t>
  </si>
  <si>
    <t>საერთო სამშენებლო სამუშაოებზე პირადი შემადგენლობის ფონდსაცავების თანამშრომელთა სამუშაო ოთახების, მე-6 სართულზე არსებული ტექნიკური , პარტიული, კინო–ვიდეო–ფოტო–ფონო ფონდსაცავების  სარემონტო სარეკონსტრუქციო სამუშაოებზე</t>
  </si>
  <si>
    <t xml:space="preserve">ხელოვნური გრანიტის ფილები                                                                                                                                                                               </t>
  </si>
  <si>
    <t>ლითონის პროფილები ახალი მასალა</t>
  </si>
  <si>
    <t>არსებული ლითონის ორფრთიანი კარადების დახვრეტა და ლითონის თაროების ჩამატება, ატანა მე-6 სართულზე</t>
  </si>
  <si>
    <t xml:space="preserve">ხელოვნური გრანიტის ფილები                                                                                                                                                                     </t>
  </si>
  <si>
    <t>LliTonis სტელაჟების გადაკეთება ახალი მასალის დამატებით (ახალი მასალა 620 კგ)</t>
  </si>
  <si>
    <t>xarjTaRricxvis nomeri</t>
  </si>
  <si>
    <t xml:space="preserve">samuSaoTa dasaxeleba </t>
  </si>
  <si>
    <t>saerTo saxarjTaRricxvo Rirebuleba</t>
  </si>
  <si>
    <t>jami:</t>
  </si>
  <si>
    <t>damatebiTi Rirebulebis gadasaxadi 18 %</t>
  </si>
  <si>
    <t>sul  Rirebuleba</t>
  </si>
  <si>
    <t>l.r.x.  #2-1</t>
  </si>
  <si>
    <t>l.r.x.  #2-2</t>
  </si>
  <si>
    <t>l.r.x.  #2-3</t>
  </si>
  <si>
    <t>l.r.x.  #2-4</t>
  </si>
  <si>
    <t>l.r.x.  #3-1</t>
  </si>
  <si>
    <t>l.r.x.  #3-2</t>
  </si>
  <si>
    <t>l.r.x.  #3-3</t>
  </si>
  <si>
    <t>l.r.x.  #4</t>
  </si>
  <si>
    <t>l.r.x.  #3-4</t>
  </si>
  <si>
    <t>q. baTumSi  saarqivo  sammarTvelos  Senobis  VI  sarTulis  el. ganaTebaze</t>
  </si>
  <si>
    <t xml:space="preserve"> saerTo samSeneblo samuSaoebze  saarqivo sammarTvelos administraciuli Senobis pirveli sarTulis sacavis oTaxis centraluri  gaTbobis  mowyobaze</t>
  </si>
  <si>
    <t>liTonis Taroebis (stelaJebis)  mowyobaze</t>
  </si>
  <si>
    <t>საერთო სამშენებლო სამუშაოებზე საარქივო სამმართველოს ტერიტორიული ორგანო - ქობულეთის არქივის წყალსარინი ღარების სარემონტო სარეკონსტრუქციო სამუშაოებზე</t>
  </si>
  <si>
    <t>danarTi #2</t>
  </si>
  <si>
    <t>predendentis dasaxeleba ----------------------------</t>
  </si>
  <si>
    <t>pretendentis xelmowera: -----------------------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</si>
</sst>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0.0"/>
    <numFmt numFmtId="189" formatCode="0.000"/>
    <numFmt numFmtId="190" formatCode="0.0000"/>
    <numFmt numFmtId="191" formatCode="#,##0.000"/>
    <numFmt numFmtId="192" formatCode="#,##0.0"/>
    <numFmt numFmtId="193" formatCode="#,##0.0000"/>
    <numFmt numFmtId="194" formatCode="_-* #,##0_р_._-;\-* #,##0_р_._-;_-* &quot;-&quot;??_р_._-;_-@_-"/>
    <numFmt numFmtId="195" formatCode="_-* #,##0.0_р_._-;\-* #,##0.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"/>
    <numFmt numFmtId="201" formatCode="0.00000"/>
    <numFmt numFmtId="202" formatCode="#,##0.00000"/>
    <numFmt numFmtId="203" formatCode="#,##0.000000"/>
    <numFmt numFmtId="204" formatCode="#,##0.0000000"/>
  </numFmts>
  <fonts count="98">
    <font>
      <sz val="10"/>
      <name val="Arial Cyr"/>
      <family val="0"/>
    </font>
    <font>
      <sz val="12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name val="AcadNusx"/>
      <family val="0"/>
    </font>
    <font>
      <b/>
      <sz val="10"/>
      <name val="AcadNusx"/>
      <family val="0"/>
    </font>
    <font>
      <b/>
      <sz val="11"/>
      <name val="AcadNusx"/>
      <family val="0"/>
    </font>
    <font>
      <sz val="10"/>
      <color indexed="10"/>
      <name val="AcadNusx"/>
      <family val="0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sz val="10"/>
      <color indexed="12"/>
      <name val="AcadNusx"/>
      <family val="0"/>
    </font>
    <font>
      <b/>
      <sz val="10"/>
      <color indexed="10"/>
      <name val="AcadNusx"/>
      <family val="0"/>
    </font>
    <font>
      <b/>
      <sz val="10"/>
      <color indexed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b/>
      <sz val="9"/>
      <name val="AcadNusx"/>
      <family val="0"/>
    </font>
    <font>
      <sz val="10"/>
      <color indexed="48"/>
      <name val="AcadNusx"/>
      <family val="0"/>
    </font>
    <font>
      <sz val="8"/>
      <name val="Arial Cyr"/>
      <family val="0"/>
    </font>
    <font>
      <sz val="10"/>
      <color indexed="30"/>
      <name val="AcadNusx"/>
      <family val="0"/>
    </font>
    <font>
      <b/>
      <sz val="12"/>
      <name val="Simplex"/>
      <family val="0"/>
    </font>
    <font>
      <i/>
      <sz val="10"/>
      <name val="AcadNusx"/>
      <family val="0"/>
    </font>
    <font>
      <sz val="10"/>
      <name val="Sylfaen"/>
      <family val="1"/>
    </font>
    <font>
      <b/>
      <sz val="10"/>
      <name val="Sylfaen"/>
      <family val="1"/>
    </font>
    <font>
      <sz val="10"/>
      <color indexed="10"/>
      <name val="Sylfaen"/>
      <family val="1"/>
    </font>
    <font>
      <sz val="10"/>
      <color indexed="48"/>
      <name val="Sylfaen"/>
      <family val="1"/>
    </font>
    <font>
      <sz val="12"/>
      <name val="Sylfaen"/>
      <family val="1"/>
    </font>
    <font>
      <sz val="11"/>
      <name val="Sylfaen"/>
      <family val="1"/>
    </font>
    <font>
      <b/>
      <sz val="10"/>
      <color indexed="8"/>
      <name val="Sylfaen"/>
      <family val="1"/>
    </font>
    <font>
      <sz val="10"/>
      <color indexed="12"/>
      <name val="Sylfaen"/>
      <family val="1"/>
    </font>
    <font>
      <b/>
      <sz val="10"/>
      <color indexed="10"/>
      <name val="Sylfaen"/>
      <family val="1"/>
    </font>
    <font>
      <sz val="12"/>
      <color indexed="10"/>
      <name val="Sylfaen"/>
      <family val="1"/>
    </font>
    <font>
      <b/>
      <sz val="8"/>
      <name val="Sylfaen"/>
      <family val="1"/>
    </font>
    <font>
      <sz val="8"/>
      <name val="Sylfaen"/>
      <family val="1"/>
    </font>
    <font>
      <b/>
      <sz val="9"/>
      <name val="Sylfaen"/>
      <family val="1"/>
    </font>
    <font>
      <b/>
      <i/>
      <u val="single"/>
      <sz val="10"/>
      <name val="Sylfaen"/>
      <family val="1"/>
    </font>
    <font>
      <i/>
      <u val="single"/>
      <sz val="10"/>
      <name val="Sylfaen"/>
      <family val="1"/>
    </font>
    <font>
      <sz val="10"/>
      <color indexed="30"/>
      <name val="Sylfaen"/>
      <family val="1"/>
    </font>
    <font>
      <b/>
      <sz val="11"/>
      <name val="Sylfaen"/>
      <family val="1"/>
    </font>
    <font>
      <sz val="10"/>
      <name val="Times New Roman"/>
      <family val="1"/>
    </font>
    <font>
      <sz val="14"/>
      <name val="AcadNusx"/>
      <family val="0"/>
    </font>
    <font>
      <sz val="16"/>
      <name val="AcadNusx"/>
      <family val="0"/>
    </font>
    <font>
      <sz val="12"/>
      <name val="Calibri"/>
      <family val="2"/>
    </font>
    <font>
      <sz val="8"/>
      <name val="AcadNusx"/>
      <family val="0"/>
    </font>
    <font>
      <sz val="10"/>
      <color indexed="62"/>
      <name val="AcadNusx"/>
      <family val="0"/>
    </font>
    <font>
      <b/>
      <sz val="8"/>
      <name val="AcadNusx"/>
      <family val="0"/>
    </font>
    <font>
      <sz val="9"/>
      <name val="AcadNusx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4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0"/>
      <name val="Sylfaen"/>
      <family val="1"/>
    </font>
    <font>
      <sz val="11"/>
      <color indexed="10"/>
      <name val="Sylfaen"/>
      <family val="1"/>
    </font>
    <font>
      <sz val="10"/>
      <color indexed="62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b/>
      <sz val="10"/>
      <color rgb="FF00B0F0"/>
      <name val="Sylfaen"/>
      <family val="1"/>
    </font>
    <font>
      <sz val="11"/>
      <color rgb="FFFF0000"/>
      <name val="Sylfaen"/>
      <family val="1"/>
    </font>
    <font>
      <sz val="10"/>
      <color rgb="FF3942F5"/>
      <name val="AcadNusx"/>
      <family val="0"/>
    </font>
    <font>
      <sz val="10"/>
      <color theme="3" tint="0.39998000860214233"/>
      <name val="Sylfaen"/>
      <family val="1"/>
    </font>
    <font>
      <sz val="10"/>
      <color rgb="FFFF0000"/>
      <name val="AcadNusx"/>
      <family val="0"/>
    </font>
    <font>
      <sz val="10"/>
      <color theme="3" tint="0.39998000860214233"/>
      <name val="AcadNusx"/>
      <family val="0"/>
    </font>
    <font>
      <sz val="10"/>
      <color rgb="FF0070C0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2"/>
      <color rgb="FFFF0000"/>
      <name val="Sylfae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6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2" fontId="2" fillId="0" borderId="0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1" fontId="6" fillId="34" borderId="17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188" fontId="2" fillId="0" borderId="12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93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91" fontId="6" fillId="0" borderId="17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88" fontId="6" fillId="0" borderId="14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191" fontId="24" fillId="0" borderId="10" xfId="0" applyNumberFormat="1" applyFont="1" applyFill="1" applyBorder="1" applyAlignment="1">
      <alignment horizontal="center" vertical="center" wrapText="1"/>
    </xf>
    <xf numFmtId="193" fontId="25" fillId="0" borderId="12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9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 wrapText="1"/>
      <protection/>
    </xf>
    <xf numFmtId="2" fontId="8" fillId="0" borderId="10" xfId="66" applyNumberFormat="1" applyFont="1" applyFill="1" applyBorder="1" applyAlignment="1">
      <alignment horizontal="center" vertical="center" wrapText="1"/>
      <protection/>
    </xf>
    <xf numFmtId="1" fontId="8" fillId="0" borderId="10" xfId="66" applyNumberFormat="1" applyFont="1" applyFill="1" applyBorder="1" applyAlignment="1">
      <alignment horizontal="center" vertical="center" wrapText="1"/>
      <protection/>
    </xf>
    <xf numFmtId="0" fontId="2" fillId="0" borderId="11" xfId="66" applyFont="1" applyFill="1" applyBorder="1" applyAlignment="1">
      <alignment horizontal="center" vertical="center" wrapText="1"/>
      <protection/>
    </xf>
    <xf numFmtId="14" fontId="2" fillId="0" borderId="11" xfId="66" applyNumberFormat="1" applyFont="1" applyFill="1" applyBorder="1" applyAlignment="1">
      <alignment horizontal="center" vertical="center" wrapText="1"/>
      <protection/>
    </xf>
    <xf numFmtId="2" fontId="2" fillId="0" borderId="11" xfId="66" applyNumberFormat="1" applyFont="1" applyFill="1" applyBorder="1" applyAlignment="1">
      <alignment horizontal="center" vertical="center" wrapText="1"/>
      <protection/>
    </xf>
    <xf numFmtId="188" fontId="2" fillId="0" borderId="11" xfId="66" applyNumberFormat="1" applyFont="1" applyFill="1" applyBorder="1" applyAlignment="1">
      <alignment horizontal="center" vertical="center" wrapText="1"/>
      <protection/>
    </xf>
    <xf numFmtId="1" fontId="2" fillId="0" borderId="11" xfId="65" applyNumberFormat="1" applyFont="1" applyFill="1" applyBorder="1" applyAlignment="1">
      <alignment horizontal="center" vertical="center" wrapText="1"/>
      <protection/>
    </xf>
    <xf numFmtId="14" fontId="2" fillId="0" borderId="12" xfId="66" applyNumberFormat="1" applyFont="1" applyFill="1" applyBorder="1" applyAlignment="1">
      <alignment horizontal="center" vertical="center" wrapText="1"/>
      <protection/>
    </xf>
    <xf numFmtId="0" fontId="2" fillId="0" borderId="12" xfId="66" applyFont="1" applyFill="1" applyBorder="1" applyAlignment="1">
      <alignment horizontal="center" vertical="center" wrapText="1"/>
      <protection/>
    </xf>
    <xf numFmtId="2" fontId="2" fillId="0" borderId="12" xfId="66" applyNumberFormat="1" applyFont="1" applyFill="1" applyBorder="1" applyAlignment="1">
      <alignment horizontal="center" vertical="center" wrapText="1"/>
      <protection/>
    </xf>
    <xf numFmtId="1" fontId="2" fillId="0" borderId="12" xfId="65" applyNumberFormat="1" applyFont="1" applyFill="1" applyBorder="1" applyAlignment="1">
      <alignment horizontal="center" vertical="center" wrapText="1"/>
      <protection/>
    </xf>
    <xf numFmtId="188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2" fontId="29" fillId="0" borderId="12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188" fontId="22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88" fillId="0" borderId="1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textRotation="90" wrapText="1"/>
    </xf>
    <xf numFmtId="1" fontId="31" fillId="0" borderId="0" xfId="0" applyNumberFormat="1" applyFont="1" applyAlignment="1">
      <alignment horizontal="center" vertical="center" wrapText="1"/>
    </xf>
    <xf numFmtId="4" fontId="23" fillId="0" borderId="18" xfId="0" applyNumberFormat="1" applyFont="1" applyFill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Border="1" applyAlignment="1">
      <alignment horizontal="center" vertical="center" wrapText="1"/>
    </xf>
    <xf numFmtId="2" fontId="23" fillId="34" borderId="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189" fontId="24" fillId="0" borderId="24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189" fontId="24" fillId="0" borderId="27" xfId="0" applyNumberFormat="1" applyFont="1" applyBorder="1" applyAlignment="1">
      <alignment horizontal="center" vertical="center" wrapText="1"/>
    </xf>
    <xf numFmtId="192" fontId="22" fillId="0" borderId="28" xfId="0" applyNumberFormat="1" applyFont="1" applyBorder="1" applyAlignment="1">
      <alignment horizontal="center" vertical="center" wrapText="1"/>
    </xf>
    <xf numFmtId="189" fontId="26" fillId="0" borderId="0" xfId="0" applyNumberFormat="1" applyFont="1" applyFill="1" applyAlignment="1">
      <alignment horizontal="center" vertical="center" wrapText="1"/>
    </xf>
    <xf numFmtId="201" fontId="24" fillId="0" borderId="0" xfId="0" applyNumberFormat="1" applyFont="1" applyBorder="1" applyAlignment="1">
      <alignment horizontal="center" vertical="center" wrapText="1"/>
    </xf>
    <xf numFmtId="2" fontId="23" fillId="0" borderId="18" xfId="0" applyNumberFormat="1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2" fontId="88" fillId="0" borderId="17" xfId="0" applyNumberFormat="1" applyFont="1" applyFill="1" applyBorder="1" applyAlignment="1">
      <alignment horizontal="center" vertical="center" wrapText="1"/>
    </xf>
    <xf numFmtId="2" fontId="88" fillId="0" borderId="18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  <xf numFmtId="1" fontId="23" fillId="0" borderId="16" xfId="0" applyNumberFormat="1" applyFont="1" applyFill="1" applyBorder="1" applyAlignment="1">
      <alignment horizontal="center" vertical="center" wrapText="1"/>
    </xf>
    <xf numFmtId="192" fontId="23" fillId="0" borderId="17" xfId="0" applyNumberFormat="1" applyFont="1" applyFill="1" applyBorder="1" applyAlignment="1">
      <alignment horizontal="center" vertical="center" wrapText="1"/>
    </xf>
    <xf numFmtId="192" fontId="23" fillId="0" borderId="18" xfId="0" applyNumberFormat="1" applyFont="1" applyFill="1" applyBorder="1" applyAlignment="1">
      <alignment horizontal="center" vertical="center" wrapText="1"/>
    </xf>
    <xf numFmtId="188" fontId="22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88" fontId="22" fillId="0" borderId="11" xfId="0" applyNumberFormat="1" applyFont="1" applyFill="1" applyBorder="1" applyAlignment="1">
      <alignment horizontal="center" vertical="center" wrapText="1"/>
    </xf>
    <xf numFmtId="193" fontId="22" fillId="0" borderId="11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2" fontId="22" fillId="0" borderId="18" xfId="0" applyNumberFormat="1" applyFont="1" applyFill="1" applyBorder="1" applyAlignment="1">
      <alignment horizontal="center" vertical="center" wrapText="1"/>
    </xf>
    <xf numFmtId="4" fontId="23" fillId="0" borderId="29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189" fontId="24" fillId="0" borderId="0" xfId="0" applyNumberFormat="1" applyFont="1" applyBorder="1" applyAlignment="1">
      <alignment horizontal="center" vertical="center" wrapText="1"/>
    </xf>
    <xf numFmtId="193" fontId="22" fillId="0" borderId="12" xfId="0" applyNumberFormat="1" applyFont="1" applyFill="1" applyBorder="1" applyAlignment="1">
      <alignment horizontal="center" vertical="center" wrapText="1"/>
    </xf>
    <xf numFmtId="193" fontId="25" fillId="0" borderId="11" xfId="0" applyNumberFormat="1" applyFont="1" applyFill="1" applyBorder="1" applyAlignment="1">
      <alignment horizontal="center" vertical="center" wrapText="1"/>
    </xf>
    <xf numFmtId="191" fontId="25" fillId="0" borderId="11" xfId="0" applyNumberFormat="1" applyFont="1" applyFill="1" applyBorder="1" applyAlignment="1">
      <alignment horizontal="center" vertical="center" wrapText="1"/>
    </xf>
    <xf numFmtId="188" fontId="22" fillId="0" borderId="12" xfId="0" applyNumberFormat="1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190" fontId="24" fillId="0" borderId="10" xfId="0" applyNumberFormat="1" applyFont="1" applyFill="1" applyBorder="1" applyAlignment="1">
      <alignment horizontal="center" vertical="center" wrapText="1"/>
    </xf>
    <xf numFmtId="191" fontId="22" fillId="0" borderId="11" xfId="0" applyNumberFormat="1" applyFont="1" applyFill="1" applyBorder="1" applyAlignment="1">
      <alignment horizontal="center" vertical="center" wrapText="1"/>
    </xf>
    <xf numFmtId="191" fontId="22" fillId="0" borderId="12" xfId="0" applyNumberFormat="1" applyFont="1" applyFill="1" applyBorder="1" applyAlignment="1">
      <alignment horizontal="center" vertical="center" wrapText="1"/>
    </xf>
    <xf numFmtId="188" fontId="23" fillId="0" borderId="17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189" fontId="22" fillId="0" borderId="11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2" fontId="37" fillId="0" borderId="11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1" fontId="30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9" fontId="22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" fontId="22" fillId="0" borderId="29" xfId="0" applyNumberFormat="1" applyFont="1" applyFill="1" applyBorder="1" applyAlignment="1">
      <alignment horizontal="center" vertical="center" wrapText="1"/>
    </xf>
    <xf numFmtId="193" fontId="17" fillId="0" borderId="11" xfId="0" applyNumberFormat="1" applyFont="1" applyFill="1" applyBorder="1" applyAlignment="1">
      <alignment horizontal="center" vertical="center" wrapText="1"/>
    </xf>
    <xf numFmtId="191" fontId="8" fillId="0" borderId="10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textRotation="90" wrapText="1"/>
    </xf>
    <xf numFmtId="1" fontId="22" fillId="0" borderId="13" xfId="0" applyNumberFormat="1" applyFont="1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9" fillId="0" borderId="12" xfId="0" applyNumberFormat="1" applyFont="1" applyFill="1" applyBorder="1" applyAlignment="1">
      <alignment horizontal="center" vertical="center" wrapText="1"/>
    </xf>
    <xf numFmtId="1" fontId="23" fillId="0" borderId="30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" fontId="88" fillId="0" borderId="17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30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textRotation="90" wrapText="1"/>
    </xf>
    <xf numFmtId="1" fontId="2" fillId="0" borderId="13" xfId="0" applyNumberFormat="1" applyFont="1" applyBorder="1" applyAlignment="1">
      <alignment horizontal="center" vertical="center" wrapText="1"/>
    </xf>
    <xf numFmtId="1" fontId="6" fillId="34" borderId="3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3" fillId="34" borderId="11" xfId="0" applyNumberFormat="1" applyFont="1" applyFill="1" applyBorder="1" applyAlignment="1">
      <alignment horizontal="center" vertical="center" wrapText="1"/>
    </xf>
    <xf numFmtId="1" fontId="24" fillId="33" borderId="11" xfId="0" applyNumberFormat="1" applyFont="1" applyFill="1" applyBorder="1" applyAlignment="1">
      <alignment horizontal="center" vertical="center" wrapText="1"/>
    </xf>
    <xf numFmtId="1" fontId="29" fillId="33" borderId="11" xfId="0" applyNumberFormat="1" applyFont="1" applyFill="1" applyBorder="1" applyAlignment="1">
      <alignment horizontal="center" vertical="center" wrapText="1"/>
    </xf>
    <xf numFmtId="1" fontId="22" fillId="33" borderId="11" xfId="0" applyNumberFormat="1" applyFont="1" applyFill="1" applyBorder="1" applyAlignment="1">
      <alignment horizontal="center" vertical="center" wrapText="1"/>
    </xf>
    <xf numFmtId="189" fontId="2" fillId="0" borderId="0" xfId="0" applyNumberFormat="1" applyFont="1" applyAlignment="1">
      <alignment horizontal="center"/>
    </xf>
    <xf numFmtId="4" fontId="23" fillId="35" borderId="17" xfId="0" applyNumberFormat="1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 vertical="center" wrapText="1"/>
    </xf>
    <xf numFmtId="188" fontId="2" fillId="35" borderId="11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4" fontId="6" fillId="35" borderId="18" xfId="0" applyNumberFormat="1" applyFont="1" applyFill="1" applyBorder="1" applyAlignment="1">
      <alignment horizontal="center" vertical="center" wrapText="1"/>
    </xf>
    <xf numFmtId="191" fontId="6" fillId="35" borderId="17" xfId="0" applyNumberFormat="1" applyFont="1" applyFill="1" applyBorder="1" applyAlignment="1">
      <alignment horizontal="center" vertical="center" wrapText="1"/>
    </xf>
    <xf numFmtId="1" fontId="6" fillId="35" borderId="17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4" fontId="17" fillId="35" borderId="11" xfId="0" applyNumberFormat="1" applyFont="1" applyFill="1" applyBorder="1" applyAlignment="1">
      <alignment horizontal="center" vertical="center" wrapText="1"/>
    </xf>
    <xf numFmtId="1" fontId="17" fillId="35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" fontId="22" fillId="35" borderId="14" xfId="0" applyNumberFormat="1" applyFont="1" applyFill="1" applyBorder="1" applyAlignment="1">
      <alignment horizontal="center" vertical="center" wrapText="1"/>
    </xf>
    <xf numFmtId="4" fontId="23" fillId="35" borderId="14" xfId="0" applyNumberFormat="1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87" fillId="35" borderId="13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center" vertical="center" wrapText="1"/>
    </xf>
    <xf numFmtId="1" fontId="24" fillId="35" borderId="10" xfId="0" applyNumberFormat="1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 wrapText="1"/>
    </xf>
    <xf numFmtId="4" fontId="25" fillId="35" borderId="12" xfId="0" applyNumberFormat="1" applyFont="1" applyFill="1" applyBorder="1" applyAlignment="1">
      <alignment horizontal="center" vertical="center" wrapText="1"/>
    </xf>
    <xf numFmtId="1" fontId="25" fillId="35" borderId="12" xfId="0" applyNumberFormat="1" applyFont="1" applyFill="1" applyBorder="1" applyAlignment="1">
      <alignment horizontal="center" vertical="center" wrapText="1"/>
    </xf>
    <xf numFmtId="4" fontId="22" fillId="35" borderId="13" xfId="0" applyNumberFormat="1" applyFont="1" applyFill="1" applyBorder="1" applyAlignment="1">
      <alignment horizontal="center" vertical="center" wrapText="1"/>
    </xf>
    <xf numFmtId="2" fontId="8" fillId="0" borderId="10" xfId="65" applyNumberFormat="1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90" fillId="0" borderId="11" xfId="66" applyFont="1" applyFill="1" applyBorder="1" applyAlignment="1">
      <alignment horizontal="center" vertical="center" wrapText="1"/>
      <protection/>
    </xf>
    <xf numFmtId="2" fontId="90" fillId="0" borderId="11" xfId="66" applyNumberFormat="1" applyFont="1" applyFill="1" applyBorder="1" applyAlignment="1">
      <alignment horizontal="center" vertical="center" wrapText="1"/>
      <protection/>
    </xf>
    <xf numFmtId="1" fontId="90" fillId="0" borderId="11" xfId="66" applyNumberFormat="1" applyFont="1" applyFill="1" applyBorder="1" applyAlignment="1">
      <alignment horizontal="center" vertical="center" wrapText="1"/>
      <protection/>
    </xf>
    <xf numFmtId="0" fontId="2" fillId="0" borderId="11" xfId="66" applyFont="1" applyBorder="1" applyAlignment="1">
      <alignment horizontal="center" vertical="center" wrapText="1"/>
      <protection/>
    </xf>
    <xf numFmtId="0" fontId="90" fillId="0" borderId="11" xfId="0" applyFont="1" applyFill="1" applyBorder="1" applyAlignment="1">
      <alignment horizontal="center" vertical="center" wrapText="1"/>
    </xf>
    <xf numFmtId="2" fontId="90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3" xfId="66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4" fontId="90" fillId="0" borderId="11" xfId="0" applyNumberFormat="1" applyFont="1" applyFill="1" applyBorder="1" applyAlignment="1">
      <alignment horizontal="center" vertical="center" wrapText="1"/>
    </xf>
    <xf numFmtId="1" fontId="90" fillId="0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188" fontId="6" fillId="0" borderId="11" xfId="0" applyNumberFormat="1" applyFont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1" fontId="24" fillId="0" borderId="0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2" fontId="23" fillId="35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1" fontId="23" fillId="35" borderId="0" xfId="0" applyNumberFormat="1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1" fontId="23" fillId="35" borderId="17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1" fontId="24" fillId="37" borderId="16" xfId="0" applyNumberFormat="1" applyFont="1" applyFill="1" applyBorder="1" applyAlignment="1">
      <alignment horizontal="center" vertical="center" wrapText="1"/>
    </xf>
    <xf numFmtId="4" fontId="22" fillId="37" borderId="17" xfId="0" applyNumberFormat="1" applyFont="1" applyFill="1" applyBorder="1" applyAlignment="1">
      <alignment horizontal="center" vertical="center" wrapText="1"/>
    </xf>
    <xf numFmtId="188" fontId="22" fillId="0" borderId="0" xfId="0" applyNumberFormat="1" applyFont="1" applyFill="1" applyBorder="1" applyAlignment="1">
      <alignment horizontal="center" vertical="center" wrapText="1"/>
    </xf>
    <xf numFmtId="188" fontId="22" fillId="0" borderId="17" xfId="0" applyNumberFormat="1" applyFont="1" applyFill="1" applyBorder="1" applyAlignment="1">
      <alignment horizontal="center" vertical="center" wrapText="1"/>
    </xf>
    <xf numFmtId="188" fontId="23" fillId="0" borderId="18" xfId="0" applyNumberFormat="1" applyFont="1" applyFill="1" applyBorder="1" applyAlignment="1">
      <alignment horizontal="center" vertical="center" wrapText="1"/>
    </xf>
    <xf numFmtId="188" fontId="23" fillId="35" borderId="17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 wrapText="1"/>
    </xf>
    <xf numFmtId="189" fontId="37" fillId="0" borderId="11" xfId="0" applyNumberFormat="1" applyFont="1" applyFill="1" applyBorder="1" applyAlignment="1">
      <alignment horizontal="center" vertical="center" wrapText="1"/>
    </xf>
    <xf numFmtId="1" fontId="37" fillId="0" borderId="0" xfId="0" applyNumberFormat="1" applyFont="1" applyFill="1" applyBorder="1" applyAlignment="1">
      <alignment horizontal="center" vertical="center" wrapText="1"/>
    </xf>
    <xf numFmtId="4" fontId="23" fillId="0" borderId="23" xfId="0" applyNumberFormat="1" applyFont="1" applyFill="1" applyBorder="1" applyAlignment="1">
      <alignment horizontal="center" vertical="center" wrapText="1"/>
    </xf>
    <xf numFmtId="4" fontId="23" fillId="0" borderId="31" xfId="0" applyNumberFormat="1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4" fontId="91" fillId="0" borderId="11" xfId="0" applyNumberFormat="1" applyFont="1" applyFill="1" applyBorder="1" applyAlignment="1">
      <alignment horizontal="center" vertical="center" wrapText="1"/>
    </xf>
    <xf numFmtId="193" fontId="91" fillId="0" borderId="11" xfId="0" applyNumberFormat="1" applyFont="1" applyFill="1" applyBorder="1" applyAlignment="1">
      <alignment horizontal="center" vertical="center" wrapText="1"/>
    </xf>
    <xf numFmtId="1" fontId="91" fillId="0" borderId="11" xfId="0" applyNumberFormat="1" applyFont="1" applyFill="1" applyBorder="1" applyAlignment="1">
      <alignment horizontal="center" vertical="center" wrapText="1"/>
    </xf>
    <xf numFmtId="1" fontId="91" fillId="0" borderId="0" xfId="0" applyNumberFormat="1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4" fontId="23" fillId="35" borderId="18" xfId="0" applyNumberFormat="1" applyFont="1" applyFill="1" applyBorder="1" applyAlignment="1">
      <alignment horizontal="center" vertical="center" wrapText="1"/>
    </xf>
    <xf numFmtId="2" fontId="24" fillId="35" borderId="10" xfId="0" applyNumberFormat="1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center" wrapText="1"/>
    </xf>
    <xf numFmtId="2" fontId="29" fillId="35" borderId="12" xfId="0" applyNumberFormat="1" applyFont="1" applyFill="1" applyBorder="1" applyAlignment="1">
      <alignment horizontal="center" vertical="center" wrapText="1"/>
    </xf>
    <xf numFmtId="1" fontId="29" fillId="35" borderId="12" xfId="0" applyNumberFormat="1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1" fontId="23" fillId="35" borderId="16" xfId="0" applyNumberFormat="1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192" fontId="23" fillId="35" borderId="18" xfId="0" applyNumberFormat="1" applyFont="1" applyFill="1" applyBorder="1" applyAlignment="1">
      <alignment horizontal="center" vertical="center" wrapText="1"/>
    </xf>
    <xf numFmtId="1" fontId="22" fillId="35" borderId="15" xfId="0" applyNumberFormat="1" applyFont="1" applyFill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191" fontId="22" fillId="35" borderId="14" xfId="0" applyNumberFormat="1" applyFont="1" applyFill="1" applyBorder="1" applyAlignment="1">
      <alignment horizontal="center" vertical="center" wrapText="1"/>
    </xf>
    <xf numFmtId="2" fontId="22" fillId="35" borderId="14" xfId="0" applyNumberFormat="1" applyFont="1" applyFill="1" applyBorder="1" applyAlignment="1">
      <alignment horizontal="center" vertical="center" wrapText="1"/>
    </xf>
    <xf numFmtId="1" fontId="22" fillId="35" borderId="30" xfId="0" applyNumberFormat="1" applyFont="1" applyFill="1" applyBorder="1" applyAlignment="1">
      <alignment horizontal="center" vertical="center" wrapText="1"/>
    </xf>
    <xf numFmtId="1" fontId="22" fillId="35" borderId="32" xfId="0" applyNumberFormat="1" applyFont="1" applyFill="1" applyBorder="1" applyAlignment="1">
      <alignment horizontal="center" vertical="center" wrapText="1"/>
    </xf>
    <xf numFmtId="0" fontId="38" fillId="35" borderId="13" xfId="0" applyFont="1" applyFill="1" applyBorder="1" applyAlignment="1">
      <alignment horizontal="center" vertical="center" wrapText="1"/>
    </xf>
    <xf numFmtId="191" fontId="22" fillId="35" borderId="13" xfId="0" applyNumberFormat="1" applyFont="1" applyFill="1" applyBorder="1" applyAlignment="1">
      <alignment horizontal="center" vertical="center" wrapText="1"/>
    </xf>
    <xf numFmtId="2" fontId="22" fillId="35" borderId="13" xfId="0" applyNumberFormat="1" applyFont="1" applyFill="1" applyBorder="1" applyAlignment="1">
      <alignment horizontal="center" vertical="center" wrapText="1"/>
    </xf>
    <xf numFmtId="1" fontId="22" fillId="35" borderId="33" xfId="0" applyNumberFormat="1" applyFont="1" applyFill="1" applyBorder="1" applyAlignment="1">
      <alignment horizontal="center" vertical="center" wrapText="1"/>
    </xf>
    <xf numFmtId="1" fontId="22" fillId="35" borderId="34" xfId="0" applyNumberFormat="1" applyFont="1" applyFill="1" applyBorder="1" applyAlignment="1">
      <alignment horizontal="center" vertical="center" wrapText="1"/>
    </xf>
    <xf numFmtId="0" fontId="38" fillId="35" borderId="35" xfId="0" applyFont="1" applyFill="1" applyBorder="1" applyAlignment="1">
      <alignment horizontal="center" vertical="center" wrapText="1"/>
    </xf>
    <xf numFmtId="0" fontId="22" fillId="35" borderId="35" xfId="0" applyFont="1" applyFill="1" applyBorder="1" applyAlignment="1">
      <alignment horizontal="center" vertical="center" wrapText="1"/>
    </xf>
    <xf numFmtId="4" fontId="22" fillId="35" borderId="35" xfId="0" applyNumberFormat="1" applyFont="1" applyFill="1" applyBorder="1" applyAlignment="1">
      <alignment horizontal="center" vertical="center" wrapText="1"/>
    </xf>
    <xf numFmtId="191" fontId="22" fillId="35" borderId="35" xfId="0" applyNumberFormat="1" applyFont="1" applyFill="1" applyBorder="1" applyAlignment="1">
      <alignment horizontal="center" vertical="center" wrapText="1"/>
    </xf>
    <xf numFmtId="2" fontId="22" fillId="35" borderId="35" xfId="0" applyNumberFormat="1" applyFont="1" applyFill="1" applyBorder="1" applyAlignment="1">
      <alignment horizontal="center" vertical="center" wrapText="1"/>
    </xf>
    <xf numFmtId="1" fontId="22" fillId="35" borderId="36" xfId="0" applyNumberFormat="1" applyFont="1" applyFill="1" applyBorder="1" applyAlignment="1">
      <alignment horizontal="center" vertical="center" wrapText="1"/>
    </xf>
    <xf numFmtId="188" fontId="24" fillId="0" borderId="0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 wrapText="1"/>
    </xf>
    <xf numFmtId="4" fontId="90" fillId="0" borderId="12" xfId="0" applyNumberFormat="1" applyFont="1" applyFill="1" applyBorder="1" applyAlignment="1">
      <alignment horizontal="center" vertical="center" wrapText="1"/>
    </xf>
    <xf numFmtId="2" fontId="90" fillId="0" borderId="12" xfId="0" applyNumberFormat="1" applyFont="1" applyFill="1" applyBorder="1" applyAlignment="1">
      <alignment horizontal="center" vertical="center" wrapText="1"/>
    </xf>
    <xf numFmtId="1" fontId="90" fillId="0" borderId="12" xfId="0" applyNumberFormat="1" applyFont="1" applyFill="1" applyBorder="1" applyAlignment="1">
      <alignment horizontal="center" vertical="center" wrapText="1"/>
    </xf>
    <xf numFmtId="1" fontId="6" fillId="0" borderId="16" xfId="64" applyNumberFormat="1" applyFont="1" applyFill="1" applyBorder="1" applyAlignment="1">
      <alignment horizontal="center" vertical="center" wrapText="1"/>
      <protection/>
    </xf>
    <xf numFmtId="0" fontId="6" fillId="0" borderId="17" xfId="66" applyFont="1" applyFill="1" applyBorder="1" applyAlignment="1">
      <alignment horizontal="center" vertical="center" wrapText="1"/>
      <protection/>
    </xf>
    <xf numFmtId="0" fontId="6" fillId="0" borderId="18" xfId="66" applyFont="1" applyBorder="1" applyAlignment="1">
      <alignment horizontal="center" vertical="center" wrapText="1"/>
      <protection/>
    </xf>
    <xf numFmtId="0" fontId="6" fillId="0" borderId="18" xfId="66" applyFont="1" applyFill="1" applyBorder="1" applyAlignment="1">
      <alignment horizontal="center" vertical="center" wrapText="1"/>
      <protection/>
    </xf>
    <xf numFmtId="2" fontId="6" fillId="0" borderId="17" xfId="66" applyNumberFormat="1" applyFont="1" applyFill="1" applyBorder="1" applyAlignment="1">
      <alignment horizontal="center" vertical="center" wrapText="1"/>
      <protection/>
    </xf>
    <xf numFmtId="1" fontId="6" fillId="0" borderId="17" xfId="66" applyNumberFormat="1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" fontId="23" fillId="0" borderId="29" xfId="0" applyNumberFormat="1" applyFont="1" applyFill="1" applyBorder="1" applyAlignment="1">
      <alignment horizontal="center" vertical="center" wrapText="1"/>
    </xf>
    <xf numFmtId="1" fontId="22" fillId="0" borderId="37" xfId="0" applyNumberFormat="1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" fontId="93" fillId="0" borderId="11" xfId="0" applyNumberFormat="1" applyFont="1" applyFill="1" applyBorder="1" applyAlignment="1">
      <alignment horizontal="center" vertical="center" wrapText="1"/>
    </xf>
    <xf numFmtId="1" fontId="93" fillId="0" borderId="11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193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193" fontId="17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7" fillId="0" borderId="32" xfId="0" applyNumberFormat="1" applyFont="1" applyFill="1" applyBorder="1" applyAlignment="1">
      <alignment horizontal="center" vertical="center" wrapText="1"/>
    </xf>
    <xf numFmtId="1" fontId="17" fillId="0" borderId="3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 wrapText="1"/>
    </xf>
    <xf numFmtId="4" fontId="94" fillId="0" borderId="11" xfId="0" applyNumberFormat="1" applyFont="1" applyFill="1" applyBorder="1" applyAlignment="1">
      <alignment horizontal="center" vertical="center" wrapText="1"/>
    </xf>
    <xf numFmtId="2" fontId="94" fillId="0" borderId="11" xfId="0" applyNumberFormat="1" applyFont="1" applyFill="1" applyBorder="1" applyAlignment="1">
      <alignment horizontal="center" vertical="center" wrapText="1"/>
    </xf>
    <xf numFmtId="1" fontId="94" fillId="0" borderId="11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191" fontId="2" fillId="0" borderId="11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2" fontId="92" fillId="0" borderId="11" xfId="0" applyNumberFormat="1" applyFont="1" applyBorder="1" applyAlignment="1">
      <alignment horizontal="center" vertical="center" wrapText="1"/>
    </xf>
    <xf numFmtId="1" fontId="92" fillId="33" borderId="11" xfId="0" applyNumberFormat="1" applyFont="1" applyFill="1" applyBorder="1" applyAlignment="1">
      <alignment horizontal="center" vertical="center" wrapText="1"/>
    </xf>
    <xf numFmtId="0" fontId="94" fillId="0" borderId="11" xfId="0" applyFont="1" applyBorder="1" applyAlignment="1">
      <alignment horizontal="center" vertical="center" wrapText="1"/>
    </xf>
    <xf numFmtId="2" fontId="94" fillId="0" borderId="12" xfId="0" applyNumberFormat="1" applyFont="1" applyBorder="1" applyAlignment="1">
      <alignment horizontal="center" vertical="center" wrapText="1"/>
    </xf>
    <xf numFmtId="1" fontId="94" fillId="33" borderId="11" xfId="0" applyNumberFormat="1" applyFont="1" applyFill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95" fillId="0" borderId="21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 wrapText="1"/>
    </xf>
    <xf numFmtId="1" fontId="95" fillId="33" borderId="11" xfId="0" applyNumberFormat="1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1" fontId="96" fillId="0" borderId="11" xfId="0" applyNumberFormat="1" applyFont="1" applyBorder="1" applyAlignment="1">
      <alignment horizontal="center" vertical="center" wrapText="1"/>
    </xf>
    <xf numFmtId="1" fontId="12" fillId="33" borderId="11" xfId="0" applyNumberFormat="1" applyFont="1" applyFill="1" applyBorder="1" applyAlignment="1">
      <alignment horizontal="center" vertical="center" wrapText="1"/>
    </xf>
    <xf numFmtId="1" fontId="13" fillId="33" borderId="11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88" fontId="37" fillId="0" borderId="0" xfId="0" applyNumberFormat="1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center" vertical="center" wrapText="1"/>
    </xf>
    <xf numFmtId="4" fontId="22" fillId="0" borderId="18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191" fontId="23" fillId="0" borderId="18" xfId="0" applyNumberFormat="1" applyFont="1" applyFill="1" applyBorder="1" applyAlignment="1">
      <alignment horizontal="center" vertical="center" wrapText="1"/>
    </xf>
    <xf numFmtId="189" fontId="6" fillId="0" borderId="17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horizontal="center" vertical="center" wrapText="1"/>
    </xf>
    <xf numFmtId="191" fontId="22" fillId="0" borderId="18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23" fillId="39" borderId="0" xfId="0" applyFont="1" applyFill="1" applyAlignment="1">
      <alignment horizontal="center" vertical="center" wrapText="1"/>
    </xf>
    <xf numFmtId="0" fontId="27" fillId="39" borderId="0" xfId="0" applyFont="1" applyFill="1" applyAlignment="1">
      <alignment horizontal="center" vertical="center" wrapText="1"/>
    </xf>
    <xf numFmtId="0" fontId="22" fillId="39" borderId="0" xfId="0" applyFont="1" applyFill="1" applyBorder="1" applyAlignment="1">
      <alignment horizontal="center" vertical="center" wrapText="1"/>
    </xf>
    <xf numFmtId="0" fontId="22" fillId="39" borderId="0" xfId="0" applyFont="1" applyFill="1" applyBorder="1" applyAlignment="1">
      <alignment horizontal="center" vertical="center" textRotation="90" wrapText="1"/>
    </xf>
    <xf numFmtId="1" fontId="24" fillId="39" borderId="0" xfId="0" applyNumberFormat="1" applyFont="1" applyFill="1" applyBorder="1" applyAlignment="1">
      <alignment horizontal="center" vertical="center" wrapText="1"/>
    </xf>
    <xf numFmtId="0" fontId="26" fillId="39" borderId="0" xfId="0" applyFont="1" applyFill="1" applyAlignment="1">
      <alignment horizontal="center" vertical="center" wrapText="1"/>
    </xf>
    <xf numFmtId="0" fontId="0" fillId="39" borderId="0" xfId="0" applyFill="1" applyAlignment="1">
      <alignment/>
    </xf>
    <xf numFmtId="0" fontId="1" fillId="39" borderId="0" xfId="0" applyFont="1" applyFill="1" applyAlignment="1">
      <alignment horizontal="center" vertical="center" wrapText="1"/>
    </xf>
    <xf numFmtId="2" fontId="24" fillId="39" borderId="0" xfId="0" applyNumberFormat="1" applyFont="1" applyFill="1" applyBorder="1" applyAlignment="1">
      <alignment horizontal="center" vertical="center" wrapText="1"/>
    </xf>
    <xf numFmtId="188" fontId="24" fillId="39" borderId="0" xfId="0" applyNumberFormat="1" applyFont="1" applyFill="1" applyBorder="1" applyAlignment="1">
      <alignment horizontal="center" vertical="center" wrapText="1"/>
    </xf>
    <xf numFmtId="1" fontId="23" fillId="39" borderId="0" xfId="0" applyNumberFormat="1" applyFont="1" applyFill="1" applyBorder="1" applyAlignment="1">
      <alignment horizontal="center" vertical="center" wrapText="1"/>
    </xf>
    <xf numFmtId="1" fontId="30" fillId="39" borderId="0" xfId="0" applyNumberFormat="1" applyFont="1" applyFill="1" applyBorder="1" applyAlignment="1">
      <alignment horizontal="center" vertical="center" wrapText="1"/>
    </xf>
    <xf numFmtId="1" fontId="29" fillId="39" borderId="0" xfId="0" applyNumberFormat="1" applyFont="1" applyFill="1" applyBorder="1" applyAlignment="1">
      <alignment horizontal="center" vertical="center" wrapText="1"/>
    </xf>
    <xf numFmtId="1" fontId="22" fillId="39" borderId="0" xfId="0" applyNumberFormat="1" applyFont="1" applyFill="1" applyBorder="1" applyAlignment="1">
      <alignment horizontal="center" vertical="center" wrapText="1"/>
    </xf>
    <xf numFmtId="1" fontId="31" fillId="39" borderId="0" xfId="0" applyNumberFormat="1" applyFont="1" applyFill="1" applyAlignment="1">
      <alignment horizontal="center" vertical="center" wrapText="1"/>
    </xf>
    <xf numFmtId="2" fontId="23" fillId="39" borderId="0" xfId="0" applyNumberFormat="1" applyFont="1" applyFill="1" applyBorder="1" applyAlignment="1">
      <alignment horizontal="center" vertical="center" wrapText="1"/>
    </xf>
    <xf numFmtId="189" fontId="24" fillId="39" borderId="24" xfId="0" applyNumberFormat="1" applyFont="1" applyFill="1" applyBorder="1" applyAlignment="1">
      <alignment horizontal="center" vertical="center" wrapText="1"/>
    </xf>
    <xf numFmtId="0" fontId="22" fillId="39" borderId="25" xfId="0" applyFont="1" applyFill="1" applyBorder="1" applyAlignment="1">
      <alignment horizontal="center" vertical="center" wrapText="1"/>
    </xf>
    <xf numFmtId="189" fontId="24" fillId="39" borderId="27" xfId="0" applyNumberFormat="1" applyFont="1" applyFill="1" applyBorder="1" applyAlignment="1">
      <alignment horizontal="center" vertical="center" wrapText="1"/>
    </xf>
    <xf numFmtId="192" fontId="22" fillId="39" borderId="28" xfId="0" applyNumberFormat="1" applyFont="1" applyFill="1" applyBorder="1" applyAlignment="1">
      <alignment horizontal="center" vertical="center" wrapText="1"/>
    </xf>
    <xf numFmtId="189" fontId="26" fillId="39" borderId="0" xfId="0" applyNumberFormat="1" applyFont="1" applyFill="1" applyAlignment="1">
      <alignment horizontal="center" vertical="center" wrapText="1"/>
    </xf>
    <xf numFmtId="201" fontId="24" fillId="39" borderId="0" xfId="0" applyNumberFormat="1" applyFont="1" applyFill="1" applyBorder="1" applyAlignment="1">
      <alignment horizontal="center" vertical="center" wrapText="1"/>
    </xf>
    <xf numFmtId="2" fontId="26" fillId="39" borderId="0" xfId="0" applyNumberFormat="1" applyFont="1" applyFill="1" applyAlignment="1">
      <alignment horizontal="center" vertical="center" wrapText="1"/>
    </xf>
    <xf numFmtId="1" fontId="8" fillId="39" borderId="0" xfId="0" applyNumberFormat="1" applyFont="1" applyFill="1" applyBorder="1" applyAlignment="1">
      <alignment horizontal="center" vertical="center" wrapText="1"/>
    </xf>
    <xf numFmtId="190" fontId="24" fillId="39" borderId="0" xfId="0" applyNumberFormat="1" applyFont="1" applyFill="1" applyBorder="1" applyAlignment="1">
      <alignment horizontal="center" vertical="center" wrapText="1"/>
    </xf>
    <xf numFmtId="189" fontId="24" fillId="39" borderId="0" xfId="0" applyNumberFormat="1" applyFont="1" applyFill="1" applyBorder="1" applyAlignment="1">
      <alignment horizontal="center" vertical="center" wrapText="1"/>
    </xf>
    <xf numFmtId="4" fontId="22" fillId="39" borderId="0" xfId="0" applyNumberFormat="1" applyFont="1" applyFill="1" applyBorder="1" applyAlignment="1">
      <alignment horizontal="center" vertical="center" wrapText="1"/>
    </xf>
    <xf numFmtId="1" fontId="26" fillId="39" borderId="0" xfId="0" applyNumberFormat="1" applyFont="1" applyFill="1" applyAlignment="1">
      <alignment horizontal="center" vertical="center" wrapText="1"/>
    </xf>
    <xf numFmtId="188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  <xf numFmtId="0" fontId="5" fillId="39" borderId="40" xfId="0" applyNumberFormat="1" applyFont="1" applyFill="1" applyBorder="1" applyAlignment="1">
      <alignment horizontal="center" vertical="center" wrapText="1"/>
    </xf>
    <xf numFmtId="0" fontId="16" fillId="39" borderId="11" xfId="0" applyNumberFormat="1" applyFont="1" applyFill="1" applyBorder="1" applyAlignment="1">
      <alignment horizontal="center" vertical="center" wrapText="1"/>
    </xf>
    <xf numFmtId="0" fontId="6" fillId="39" borderId="11" xfId="0" applyNumberFormat="1" applyFont="1" applyFill="1" applyBorder="1" applyAlignment="1">
      <alignment horizontal="center" vertical="center" wrapText="1"/>
    </xf>
    <xf numFmtId="1" fontId="2" fillId="39" borderId="22" xfId="0" applyNumberFormat="1" applyFont="1" applyFill="1" applyBorder="1" applyAlignment="1">
      <alignment horizontal="center" vertical="center" wrapText="1"/>
    </xf>
    <xf numFmtId="2" fontId="16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0" fontId="1" fillId="39" borderId="41" xfId="0" applyNumberFormat="1" applyFont="1" applyFill="1" applyBorder="1" applyAlignment="1">
      <alignment horizontal="center" vertical="center" wrapText="1"/>
    </xf>
    <xf numFmtId="2" fontId="46" fillId="39" borderId="42" xfId="0" applyNumberFormat="1" applyFont="1" applyFill="1" applyBorder="1" applyAlignment="1">
      <alignment horizontal="center" vertical="center" wrapText="1"/>
    </xf>
    <xf numFmtId="2" fontId="2" fillId="39" borderId="42" xfId="0" applyNumberFormat="1" applyFont="1" applyFill="1" applyBorder="1" applyAlignment="1">
      <alignment horizontal="center" vertical="center" wrapText="1"/>
    </xf>
    <xf numFmtId="1" fontId="2" fillId="39" borderId="43" xfId="0" applyNumberFormat="1" applyFont="1" applyFill="1" applyBorder="1" applyAlignment="1">
      <alignment horizontal="center" vertical="center" wrapText="1"/>
    </xf>
    <xf numFmtId="0" fontId="6" fillId="39" borderId="44" xfId="0" applyFont="1" applyFill="1" applyBorder="1" applyAlignment="1">
      <alignment horizontal="center" vertical="center" wrapText="1"/>
    </xf>
    <xf numFmtId="1" fontId="6" fillId="39" borderId="44" xfId="0" applyNumberFormat="1" applyFont="1" applyFill="1" applyBorder="1" applyAlignment="1">
      <alignment horizontal="center" vertical="center" wrapText="1"/>
    </xf>
    <xf numFmtId="179" fontId="2" fillId="39" borderId="44" xfId="42" applyNumberFormat="1" applyFont="1" applyFill="1" applyBorder="1" applyAlignment="1">
      <alignment horizontal="center" vertical="center" wrapText="1"/>
    </xf>
    <xf numFmtId="179" fontId="2" fillId="39" borderId="45" xfId="42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" fillId="39" borderId="46" xfId="0" applyNumberFormat="1" applyFont="1" applyFill="1" applyBorder="1" applyAlignment="1">
      <alignment horizontal="center" vertical="center" wrapText="1"/>
    </xf>
    <xf numFmtId="0" fontId="1" fillId="39" borderId="40" xfId="0" applyNumberFormat="1" applyFont="1" applyFill="1" applyBorder="1" applyAlignment="1">
      <alignment horizontal="center" vertical="center" wrapText="1"/>
    </xf>
    <xf numFmtId="0" fontId="46" fillId="39" borderId="26" xfId="0" applyNumberFormat="1" applyFont="1" applyFill="1" applyBorder="1" applyAlignment="1">
      <alignment horizontal="center" vertical="center" wrapText="1"/>
    </xf>
    <xf numFmtId="0" fontId="46" fillId="39" borderId="11" xfId="0" applyNumberFormat="1" applyFont="1" applyFill="1" applyBorder="1" applyAlignment="1">
      <alignment horizontal="center" vertical="center" wrapText="1"/>
    </xf>
    <xf numFmtId="0" fontId="2" fillId="39" borderId="26" xfId="0" applyNumberFormat="1" applyFont="1" applyFill="1" applyBorder="1" applyAlignment="1">
      <alignment horizontal="center" vertical="center" wrapText="1"/>
    </xf>
    <xf numFmtId="0" fontId="2" fillId="39" borderId="11" xfId="0" applyNumberFormat="1" applyFont="1" applyFill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4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188" fontId="22" fillId="0" borderId="48" xfId="0" applyNumberFormat="1" applyFont="1" applyFill="1" applyBorder="1" applyAlignment="1">
      <alignment horizontal="center" vertical="center" wrapText="1"/>
    </xf>
    <xf numFmtId="1" fontId="23" fillId="0" borderId="16" xfId="0" applyNumberFormat="1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1" fontId="23" fillId="0" borderId="29" xfId="0" applyNumberFormat="1" applyFont="1" applyFill="1" applyBorder="1" applyAlignment="1">
      <alignment horizontal="center" vertical="center" wrapText="1"/>
    </xf>
    <xf numFmtId="188" fontId="22" fillId="0" borderId="20" xfId="0" applyNumberFormat="1" applyFont="1" applyFill="1" applyBorder="1" applyAlignment="1">
      <alignment horizontal="center" vertical="center" wrapText="1"/>
    </xf>
    <xf numFmtId="188" fontId="22" fillId="0" borderId="49" xfId="0" applyNumberFormat="1" applyFont="1" applyFill="1" applyBorder="1" applyAlignment="1">
      <alignment horizontal="center" vertical="center" wrapText="1"/>
    </xf>
    <xf numFmtId="188" fontId="22" fillId="0" borderId="38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6" fillId="0" borderId="21" xfId="0" applyFont="1" applyBorder="1" applyAlignment="1">
      <alignment horizontal="center" vertical="center" wrapText="1"/>
    </xf>
    <xf numFmtId="0" fontId="96" fillId="0" borderId="5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188" fontId="22" fillId="0" borderId="16" xfId="0" applyNumberFormat="1" applyFont="1" applyFill="1" applyBorder="1" applyAlignment="1">
      <alignment horizontal="center" vertical="center" wrapText="1"/>
    </xf>
    <xf numFmtId="188" fontId="22" fillId="0" borderId="18" xfId="0" applyNumberFormat="1" applyFont="1" applyFill="1" applyBorder="1" applyAlignment="1">
      <alignment horizontal="center" vertical="center" wrapText="1"/>
    </xf>
    <xf numFmtId="188" fontId="22" fillId="0" borderId="29" xfId="0" applyNumberFormat="1" applyFont="1" applyFill="1" applyBorder="1" applyAlignment="1">
      <alignment horizontal="center" vertical="center" wrapText="1"/>
    </xf>
    <xf numFmtId="1" fontId="22" fillId="0" borderId="16" xfId="0" applyNumberFormat="1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 wrapText="1"/>
    </xf>
    <xf numFmtId="1" fontId="2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39" borderId="5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39" borderId="0" xfId="0" applyFont="1" applyFill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3" xfId="63"/>
    <cellStyle name="Обычный_22-BARI" xfId="64"/>
    <cellStyle name="Обычный_eras 50-52" xfId="65"/>
    <cellStyle name="Обычный_ruruas 9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RQIvi%20stiqia%202016\Documents%20and%20Settings\Tamari\Desktop\SUQUR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RQIvi%20stiqia%202016\Documents%20and%20Settings\Tamari\Desktop\AXALI%20MSENEBLOBA\m%20%20a%20b%20a%20s%20i%20z%20e%20i%201%20xl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RQIvi%20stiqia%202016\Documents%20and%20Settings\Tamari\Desktop\AXALI%20MSENEBLOBA\gogebasvili.%2022%20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RQIvi%20stiqia%202016\Documents%20and%20Settings\Tamari\Desktop\FOTI\SUQURA.%20bolo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RQIvi%20stiqia%202016\Documents%20and%20Settings\Tamari\Desktop\proeqti%202006-III\a-x-II%20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RQIvi%20stiqia%202016\Documents%20and%20Settings\Tamari\Desktop\K%20E%20D%20A\bulv%20%20gamwvaneba%204x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RQIvi%20stiqia%202016\Documents%20and%20Settings\Tamari\Desktop\AXALI%20MSENEBLOBA\gogebasvili.%20%2018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"/>
      <sheetName val="O"/>
      <sheetName val="1"/>
      <sheetName val="2 "/>
      <sheetName val="3"/>
      <sheetName val="4"/>
      <sheetName val="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  <sheetName val="gx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view="pageBreakPreview" zoomScaleSheetLayoutView="100" workbookViewId="0" topLeftCell="A1">
      <selection activeCell="A4" sqref="A4:E4"/>
    </sheetView>
  </sheetViews>
  <sheetFormatPr defaultColWidth="9.00390625" defaultRowHeight="12.75"/>
  <cols>
    <col min="1" max="1" width="6.00390625" style="1" customWidth="1"/>
    <col min="2" max="2" width="10.625" style="1" customWidth="1"/>
    <col min="3" max="3" width="52.375" style="1" customWidth="1"/>
    <col min="4" max="4" width="8.25390625" style="1" customWidth="1"/>
    <col min="5" max="5" width="14.25390625" style="1" customWidth="1"/>
    <col min="6" max="16384" width="9.125" style="1" customWidth="1"/>
  </cols>
  <sheetData>
    <row r="1" ht="2.25" customHeight="1"/>
    <row r="2" spans="1:5" ht="30.75" customHeight="1">
      <c r="A2" s="576" t="s">
        <v>490</v>
      </c>
      <c r="B2" s="576"/>
      <c r="C2" s="576"/>
      <c r="D2" s="576"/>
      <c r="E2" s="576"/>
    </row>
    <row r="3" spans="1:5" ht="30.75" customHeight="1">
      <c r="A3" s="570"/>
      <c r="B3" s="570"/>
      <c r="C3" s="577" t="s">
        <v>491</v>
      </c>
      <c r="D3" s="577"/>
      <c r="E3" s="570"/>
    </row>
    <row r="4" spans="1:5" ht="140.25" customHeight="1">
      <c r="A4" s="667" t="s">
        <v>463</v>
      </c>
      <c r="B4" s="667"/>
      <c r="C4" s="667"/>
      <c r="D4" s="667"/>
      <c r="E4" s="667"/>
    </row>
    <row r="5" spans="1:5" ht="33" customHeight="1">
      <c r="A5" s="46"/>
      <c r="B5" s="46"/>
      <c r="C5" s="46"/>
      <c r="D5" s="46"/>
      <c r="E5" s="46"/>
    </row>
    <row r="6" spans="1:5" ht="33" customHeight="1" thickBot="1">
      <c r="A6" s="46"/>
      <c r="B6" s="46"/>
      <c r="C6" s="46"/>
      <c r="D6" s="46"/>
      <c r="E6" s="46"/>
    </row>
    <row r="7" spans="1:5" ht="33" customHeight="1">
      <c r="A7" s="578" t="s">
        <v>7</v>
      </c>
      <c r="B7" s="580" t="s">
        <v>471</v>
      </c>
      <c r="C7" s="582" t="s">
        <v>472</v>
      </c>
      <c r="D7" s="582" t="s">
        <v>24</v>
      </c>
      <c r="E7" s="584" t="s">
        <v>473</v>
      </c>
    </row>
    <row r="8" spans="1:5" ht="36" customHeight="1">
      <c r="A8" s="579"/>
      <c r="B8" s="581"/>
      <c r="C8" s="583"/>
      <c r="D8" s="583"/>
      <c r="E8" s="585"/>
    </row>
    <row r="9" spans="1:5" ht="21" customHeight="1">
      <c r="A9" s="556">
        <v>1</v>
      </c>
      <c r="B9" s="557">
        <v>2</v>
      </c>
      <c r="C9" s="558">
        <v>3</v>
      </c>
      <c r="D9" s="558">
        <v>4</v>
      </c>
      <c r="E9" s="566">
        <v>5</v>
      </c>
    </row>
    <row r="10" spans="1:5" ht="66.75" customHeight="1">
      <c r="A10" s="556">
        <v>1</v>
      </c>
      <c r="B10" s="6" t="s">
        <v>45</v>
      </c>
      <c r="C10" s="558" t="s">
        <v>453</v>
      </c>
      <c r="D10" s="559" t="s">
        <v>13</v>
      </c>
      <c r="E10" s="567">
        <f>'1--1'!H199</f>
        <v>0</v>
      </c>
    </row>
    <row r="11" spans="1:5" ht="38.25" customHeight="1">
      <c r="A11" s="556">
        <v>2</v>
      </c>
      <c r="B11" s="6" t="s">
        <v>46</v>
      </c>
      <c r="C11" s="558" t="s">
        <v>460</v>
      </c>
      <c r="D11" s="559" t="s">
        <v>13</v>
      </c>
      <c r="E11" s="567">
        <f>'1--2'!J27</f>
        <v>0</v>
      </c>
    </row>
    <row r="12" spans="1:5" ht="56.25" customHeight="1">
      <c r="A12" s="556">
        <v>3</v>
      </c>
      <c r="B12" s="6" t="s">
        <v>65</v>
      </c>
      <c r="C12" s="558" t="s">
        <v>457</v>
      </c>
      <c r="D12" s="559" t="s">
        <v>13</v>
      </c>
      <c r="E12" s="567">
        <f>'1-3'!J68</f>
        <v>0</v>
      </c>
    </row>
    <row r="13" spans="1:5" ht="129.75" customHeight="1">
      <c r="A13" s="556">
        <v>4</v>
      </c>
      <c r="B13" s="6" t="s">
        <v>477</v>
      </c>
      <c r="C13" s="558" t="s">
        <v>464</v>
      </c>
      <c r="D13" s="559" t="s">
        <v>13</v>
      </c>
      <c r="E13" s="567">
        <f>'2--1'!H129</f>
        <v>0</v>
      </c>
    </row>
    <row r="14" spans="1:5" ht="62.25" customHeight="1">
      <c r="A14" s="556">
        <v>5</v>
      </c>
      <c r="B14" s="6" t="s">
        <v>478</v>
      </c>
      <c r="C14" s="558" t="s">
        <v>487</v>
      </c>
      <c r="D14" s="559" t="s">
        <v>13</v>
      </c>
      <c r="E14" s="567">
        <f>'2--2'!H61</f>
        <v>0</v>
      </c>
    </row>
    <row r="15" spans="1:5" ht="46.5" customHeight="1">
      <c r="A15" s="556">
        <v>6</v>
      </c>
      <c r="B15" s="6" t="s">
        <v>479</v>
      </c>
      <c r="C15" s="558" t="s">
        <v>250</v>
      </c>
      <c r="D15" s="559" t="s">
        <v>13</v>
      </c>
      <c r="E15" s="567">
        <f>'2-3'!J77</f>
        <v>0</v>
      </c>
    </row>
    <row r="16" spans="1:5" ht="38.25" customHeight="1">
      <c r="A16" s="556">
        <v>7</v>
      </c>
      <c r="B16" s="6" t="s">
        <v>480</v>
      </c>
      <c r="C16" s="558" t="s">
        <v>488</v>
      </c>
      <c r="D16" s="559" t="s">
        <v>13</v>
      </c>
      <c r="E16" s="567">
        <f>'2-4'!H48</f>
        <v>0</v>
      </c>
    </row>
    <row r="17" spans="1:5" ht="98.25" customHeight="1">
      <c r="A17" s="556">
        <v>8</v>
      </c>
      <c r="B17" s="6" t="s">
        <v>481</v>
      </c>
      <c r="C17" s="558" t="s">
        <v>465</v>
      </c>
      <c r="D17" s="559" t="s">
        <v>13</v>
      </c>
      <c r="E17" s="567">
        <f>'3--1'!H148</f>
        <v>0</v>
      </c>
    </row>
    <row r="18" spans="1:5" ht="38.25" customHeight="1">
      <c r="A18" s="556">
        <v>9</v>
      </c>
      <c r="B18" s="6" t="s">
        <v>482</v>
      </c>
      <c r="C18" s="558" t="s">
        <v>486</v>
      </c>
      <c r="D18" s="559" t="s">
        <v>13</v>
      </c>
      <c r="E18" s="567">
        <f>'3-2'!J74</f>
        <v>0</v>
      </c>
    </row>
    <row r="19" spans="1:5" ht="48.75" customHeight="1">
      <c r="A19" s="556">
        <v>10</v>
      </c>
      <c r="B19" s="6" t="s">
        <v>483</v>
      </c>
      <c r="C19" s="558" t="s">
        <v>260</v>
      </c>
      <c r="D19" s="559" t="s">
        <v>13</v>
      </c>
      <c r="E19" s="567">
        <f>'3-3'!H32</f>
        <v>0</v>
      </c>
    </row>
    <row r="20" spans="1:5" ht="38.25" customHeight="1">
      <c r="A20" s="556">
        <v>11</v>
      </c>
      <c r="B20" s="6" t="s">
        <v>485</v>
      </c>
      <c r="C20" s="558" t="s">
        <v>456</v>
      </c>
      <c r="D20" s="559" t="s">
        <v>13</v>
      </c>
      <c r="E20" s="567">
        <f>'3-4'!H45</f>
        <v>0</v>
      </c>
    </row>
    <row r="21" spans="1:5" ht="58.5" customHeight="1">
      <c r="A21" s="556">
        <v>12</v>
      </c>
      <c r="B21" s="6" t="s">
        <v>484</v>
      </c>
      <c r="C21" s="558" t="s">
        <v>489</v>
      </c>
      <c r="D21" s="559" t="s">
        <v>13</v>
      </c>
      <c r="E21" s="567">
        <f>4!H25</f>
        <v>0</v>
      </c>
    </row>
    <row r="22" spans="1:5" ht="38.25" customHeight="1">
      <c r="A22" s="556">
        <v>13</v>
      </c>
      <c r="B22" s="557"/>
      <c r="C22" s="558" t="s">
        <v>230</v>
      </c>
      <c r="D22" s="559" t="s">
        <v>13</v>
      </c>
      <c r="E22" s="566"/>
    </row>
    <row r="23" spans="1:5" ht="30.75" customHeight="1">
      <c r="A23" s="556"/>
      <c r="B23" s="560"/>
      <c r="C23" s="561" t="s">
        <v>474</v>
      </c>
      <c r="D23" s="559" t="s">
        <v>13</v>
      </c>
      <c r="E23" s="568">
        <f>SUM(E10:E22)</f>
        <v>0</v>
      </c>
    </row>
    <row r="24" spans="1:5" ht="26.25" customHeight="1">
      <c r="A24" s="556"/>
      <c r="B24" s="560"/>
      <c r="C24" s="561" t="s">
        <v>475</v>
      </c>
      <c r="D24" s="559"/>
      <c r="E24" s="568">
        <f>E23*18/100</f>
        <v>0</v>
      </c>
    </row>
    <row r="25" spans="1:5" ht="15.75" customHeight="1" thickBot="1">
      <c r="A25" s="562"/>
      <c r="B25" s="563"/>
      <c r="C25" s="564" t="s">
        <v>476</v>
      </c>
      <c r="D25" s="565" t="s">
        <v>13</v>
      </c>
      <c r="E25" s="569">
        <f>SUM(E23:E24)</f>
        <v>0</v>
      </c>
    </row>
    <row r="26" spans="1:5" ht="24" customHeight="1">
      <c r="A26" s="555"/>
      <c r="B26" s="555"/>
      <c r="C26" s="555"/>
      <c r="D26" s="555"/>
      <c r="E26" s="555"/>
    </row>
    <row r="27" spans="1:5" ht="61.5" customHeight="1">
      <c r="A27" s="555"/>
      <c r="B27" s="555"/>
      <c r="C27" s="575" t="s">
        <v>492</v>
      </c>
      <c r="D27" s="555"/>
      <c r="E27" s="555"/>
    </row>
    <row r="28" spans="1:5" ht="123" customHeight="1">
      <c r="A28" s="555"/>
      <c r="B28" s="555"/>
      <c r="C28" s="555"/>
      <c r="D28" s="555"/>
      <c r="E28" s="555"/>
    </row>
    <row r="29" spans="1:5" ht="51.75" customHeight="1">
      <c r="A29" s="555"/>
      <c r="B29" s="555"/>
      <c r="C29" s="555"/>
      <c r="D29" s="555"/>
      <c r="E29" s="555"/>
    </row>
    <row r="30" spans="1:5" ht="48" customHeight="1">
      <c r="A30" s="555"/>
      <c r="B30" s="555"/>
      <c r="C30" s="555"/>
      <c r="D30" s="555"/>
      <c r="E30" s="555"/>
    </row>
    <row r="31" spans="1:5" ht="36.75" customHeight="1" hidden="1">
      <c r="A31" s="555"/>
      <c r="B31" s="555"/>
      <c r="C31" s="555"/>
      <c r="D31" s="555"/>
      <c r="E31" s="555"/>
    </row>
    <row r="32" spans="1:6" ht="15.75" customHeight="1">
      <c r="A32" s="555"/>
      <c r="B32" s="555"/>
      <c r="C32" s="555"/>
      <c r="D32" s="555"/>
      <c r="E32" s="555"/>
      <c r="F32" s="11"/>
    </row>
    <row r="33" spans="1:5" ht="16.5" customHeight="1">
      <c r="A33" s="555"/>
      <c r="B33" s="555"/>
      <c r="C33" s="555"/>
      <c r="D33" s="555"/>
      <c r="E33" s="555"/>
    </row>
    <row r="34" spans="1:5" ht="16.5" customHeight="1">
      <c r="A34" s="555"/>
      <c r="B34" s="555"/>
      <c r="C34" s="555"/>
      <c r="D34" s="555"/>
      <c r="E34" s="555"/>
    </row>
    <row r="35" spans="1:5" ht="16.5" customHeight="1">
      <c r="A35" s="555"/>
      <c r="B35" s="555"/>
      <c r="C35" s="555"/>
      <c r="D35" s="555"/>
      <c r="E35" s="555"/>
    </row>
    <row r="36" spans="1:5" ht="16.5" customHeight="1">
      <c r="A36" s="555"/>
      <c r="B36" s="555"/>
      <c r="C36" s="555"/>
      <c r="D36" s="555"/>
      <c r="E36" s="555"/>
    </row>
    <row r="37" spans="1:5" ht="16.5" customHeight="1">
      <c r="A37" s="555"/>
      <c r="B37" s="555"/>
      <c r="C37" s="555"/>
      <c r="D37" s="555"/>
      <c r="E37" s="555"/>
    </row>
    <row r="38" spans="1:5" ht="16.5" customHeight="1">
      <c r="A38" s="555"/>
      <c r="B38" s="555"/>
      <c r="C38" s="555"/>
      <c r="D38" s="555"/>
      <c r="E38" s="555"/>
    </row>
    <row r="39" spans="1:5" ht="16.5" customHeight="1">
      <c r="A39" s="555"/>
      <c r="B39" s="555"/>
      <c r="C39" s="555"/>
      <c r="D39" s="555"/>
      <c r="E39" s="555"/>
    </row>
    <row r="40" spans="1:5" ht="16.5" customHeight="1">
      <c r="A40" s="555"/>
      <c r="B40" s="555"/>
      <c r="C40" s="555"/>
      <c r="D40" s="555"/>
      <c r="E40" s="555"/>
    </row>
    <row r="41" spans="1:5" ht="16.5" customHeight="1">
      <c r="A41" s="555"/>
      <c r="B41" s="555"/>
      <c r="C41" s="555"/>
      <c r="D41" s="555"/>
      <c r="E41" s="555"/>
    </row>
    <row r="42" spans="1:5" ht="16.5" customHeight="1">
      <c r="A42" s="555"/>
      <c r="B42" s="555"/>
      <c r="C42" s="555"/>
      <c r="D42" s="555"/>
      <c r="E42" s="555"/>
    </row>
    <row r="43" spans="1:5" ht="16.5" customHeight="1">
      <c r="A43" s="555"/>
      <c r="B43" s="555"/>
      <c r="C43" s="555"/>
      <c r="D43" s="555"/>
      <c r="E43" s="555"/>
    </row>
    <row r="44" spans="1:5" ht="16.5" customHeight="1">
      <c r="A44" s="555"/>
      <c r="B44" s="555"/>
      <c r="C44" s="555"/>
      <c r="D44" s="555"/>
      <c r="E44" s="555"/>
    </row>
    <row r="45" spans="1:5" ht="16.5" customHeight="1">
      <c r="A45" s="555"/>
      <c r="B45" s="555"/>
      <c r="C45" s="555"/>
      <c r="D45" s="555"/>
      <c r="E45" s="555"/>
    </row>
    <row r="46" spans="1:5" ht="32.25" customHeight="1">
      <c r="A46" s="555"/>
      <c r="B46" s="555"/>
      <c r="C46" s="555"/>
      <c r="D46" s="555"/>
      <c r="E46" s="555"/>
    </row>
    <row r="47" spans="1:5" ht="15.75" customHeight="1">
      <c r="A47" s="555"/>
      <c r="B47" s="555"/>
      <c r="C47" s="555"/>
      <c r="D47" s="555"/>
      <c r="E47" s="555"/>
    </row>
    <row r="48" spans="1:5" ht="15.75" customHeight="1">
      <c r="A48" s="555"/>
      <c r="B48" s="555"/>
      <c r="C48" s="555"/>
      <c r="D48" s="555"/>
      <c r="E48" s="555"/>
    </row>
    <row r="49" spans="1:5" ht="15.75" customHeight="1">
      <c r="A49" s="555"/>
      <c r="B49" s="555"/>
      <c r="C49" s="555"/>
      <c r="D49" s="555"/>
      <c r="E49" s="555"/>
    </row>
    <row r="50" spans="1:5" ht="27.75" customHeight="1">
      <c r="A50" s="555"/>
      <c r="B50" s="555"/>
      <c r="C50" s="555"/>
      <c r="D50" s="555"/>
      <c r="E50" s="555"/>
    </row>
    <row r="51" spans="1:5" ht="20.25" customHeight="1">
      <c r="A51" s="555"/>
      <c r="B51" s="555"/>
      <c r="C51" s="555"/>
      <c r="D51" s="555"/>
      <c r="E51" s="555"/>
    </row>
    <row r="52" spans="1:5" ht="20.25" customHeight="1">
      <c r="A52" s="555"/>
      <c r="B52" s="555"/>
      <c r="C52" s="555"/>
      <c r="D52" s="555"/>
      <c r="E52" s="555"/>
    </row>
    <row r="53" spans="1:5" ht="20.25" customHeight="1">
      <c r="A53" s="555"/>
      <c r="B53" s="555"/>
      <c r="C53" s="555"/>
      <c r="D53" s="555"/>
      <c r="E53" s="555"/>
    </row>
    <row r="54" spans="1:5" ht="29.25" customHeight="1">
      <c r="A54" s="555"/>
      <c r="B54" s="555"/>
      <c r="C54" s="555"/>
      <c r="D54" s="555"/>
      <c r="E54" s="555"/>
    </row>
    <row r="55" spans="1:5" ht="18" customHeight="1">
      <c r="A55" s="555"/>
      <c r="B55" s="555"/>
      <c r="C55" s="555"/>
      <c r="D55" s="555"/>
      <c r="E55" s="555"/>
    </row>
    <row r="56" spans="1:5" ht="18" customHeight="1">
      <c r="A56" s="555"/>
      <c r="B56" s="555"/>
      <c r="C56" s="555"/>
      <c r="D56" s="555"/>
      <c r="E56" s="555"/>
    </row>
    <row r="57" spans="1:5" ht="47.25" customHeight="1">
      <c r="A57" s="555"/>
      <c r="B57" s="555"/>
      <c r="C57" s="555"/>
      <c r="D57" s="555"/>
      <c r="E57" s="555"/>
    </row>
    <row r="58" spans="1:5" ht="24" customHeight="1">
      <c r="A58" s="555"/>
      <c r="B58" s="555"/>
      <c r="C58" s="555"/>
      <c r="D58" s="555"/>
      <c r="E58" s="555"/>
    </row>
    <row r="59" spans="1:5" ht="24" customHeight="1">
      <c r="A59" s="555"/>
      <c r="B59" s="555"/>
      <c r="C59" s="555"/>
      <c r="D59" s="555"/>
      <c r="E59" s="555"/>
    </row>
    <row r="60" spans="1:6" ht="24" customHeight="1">
      <c r="A60" s="555"/>
      <c r="B60" s="555"/>
      <c r="C60" s="555"/>
      <c r="D60" s="555"/>
      <c r="E60" s="555"/>
      <c r="F60" s="11"/>
    </row>
    <row r="61" spans="1:5" ht="30.75" customHeight="1">
      <c r="A61" s="555"/>
      <c r="B61" s="555"/>
      <c r="C61" s="555"/>
      <c r="D61" s="555"/>
      <c r="E61" s="555"/>
    </row>
    <row r="62" spans="1:6" ht="19.5" customHeight="1">
      <c r="A62" s="555"/>
      <c r="B62" s="555"/>
      <c r="C62" s="555"/>
      <c r="D62" s="555"/>
      <c r="E62" s="555"/>
      <c r="F62" s="80"/>
    </row>
    <row r="63" spans="1:5" ht="19.5" customHeight="1">
      <c r="A63" s="555"/>
      <c r="B63" s="555"/>
      <c r="C63" s="555"/>
      <c r="D63" s="555"/>
      <c r="E63" s="555"/>
    </row>
    <row r="64" spans="1:6" ht="19.5" customHeight="1">
      <c r="A64" s="555"/>
      <c r="B64" s="555"/>
      <c r="C64" s="555"/>
      <c r="D64" s="555"/>
      <c r="E64" s="555"/>
      <c r="F64" s="80"/>
    </row>
    <row r="65" spans="1:5" ht="19.5" customHeight="1">
      <c r="A65" s="7"/>
      <c r="B65" s="7"/>
      <c r="C65" s="39"/>
      <c r="D65" s="40"/>
      <c r="E65" s="40"/>
    </row>
    <row r="66" spans="1:5" ht="19.5" customHeight="1">
      <c r="A66" s="7"/>
      <c r="B66" s="7"/>
      <c r="C66" s="39"/>
      <c r="D66" s="40"/>
      <c r="E66" s="40"/>
    </row>
    <row r="67" spans="1:5" ht="33.75" customHeight="1">
      <c r="A67" s="5"/>
      <c r="B67" s="5"/>
      <c r="C67" s="16"/>
      <c r="D67" s="16"/>
      <c r="E67" s="16"/>
    </row>
    <row r="68" spans="1:5" ht="24.75" customHeight="1">
      <c r="A68" s="5"/>
      <c r="B68" s="5"/>
      <c r="C68" s="16"/>
      <c r="D68" s="16"/>
      <c r="E68" s="16"/>
    </row>
    <row r="69" spans="1:5" ht="36" customHeight="1">
      <c r="A69" s="5"/>
      <c r="B69" s="5"/>
      <c r="C69" s="16"/>
      <c r="D69" s="16"/>
      <c r="E69" s="16"/>
    </row>
    <row r="70" spans="1:2" ht="19.5" customHeight="1">
      <c r="A70" s="5"/>
      <c r="B70" s="5"/>
    </row>
    <row r="71" spans="1:5" ht="19.5" customHeight="1">
      <c r="A71" s="5"/>
      <c r="B71" s="5"/>
      <c r="C71" s="5"/>
      <c r="D71" s="5"/>
      <c r="E71" s="5"/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</sheetData>
  <sheetProtection/>
  <mergeCells count="8">
    <mergeCell ref="A2:E2"/>
    <mergeCell ref="A4:E4"/>
    <mergeCell ref="C3:D3"/>
    <mergeCell ref="A7:A8"/>
    <mergeCell ref="B7:B8"/>
    <mergeCell ref="C7:C8"/>
    <mergeCell ref="D7:D8"/>
    <mergeCell ref="E7:E8"/>
  </mergeCells>
  <printOptions horizontalCentered="1"/>
  <pageMargins left="0.63" right="0.52" top="0.3937007874015748" bottom="0.3937007874015748" header="0.5118110236220472" footer="0.5118110236220472"/>
  <pageSetup horizontalDpi="300" verticalDpi="3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O4" sqref="O4"/>
    </sheetView>
  </sheetViews>
  <sheetFormatPr defaultColWidth="9.00390625" defaultRowHeight="12.75"/>
  <cols>
    <col min="1" max="1" width="4.375" style="1" customWidth="1"/>
    <col min="2" max="2" width="10.375" style="1" customWidth="1"/>
    <col min="3" max="4" width="9.125" style="1" customWidth="1"/>
    <col min="5" max="5" width="23.625" style="1" customWidth="1"/>
    <col min="6" max="6" width="6.75390625" style="1" customWidth="1"/>
    <col min="7" max="7" width="6.25390625" style="1" customWidth="1"/>
    <col min="8" max="8" width="7.375" style="1" customWidth="1"/>
    <col min="9" max="9" width="8.125" style="1" customWidth="1"/>
    <col min="10" max="10" width="9.25390625" style="1" customWidth="1"/>
    <col min="11" max="11" width="9.125" style="1" customWidth="1"/>
    <col min="12" max="12" width="12.25390625" style="1" bestFit="1" customWidth="1"/>
    <col min="13" max="13" width="10.375" style="1" bestFit="1" customWidth="1"/>
    <col min="14" max="14" width="12.375" style="1" bestFit="1" customWidth="1"/>
    <col min="15" max="16384" width="9.125" style="1" customWidth="1"/>
  </cols>
  <sheetData>
    <row r="1" spans="1:9" ht="27.75" customHeight="1">
      <c r="A1" s="651" t="s">
        <v>451</v>
      </c>
      <c r="B1" s="651"/>
      <c r="C1" s="651"/>
      <c r="D1" s="651"/>
      <c r="E1" s="651"/>
      <c r="F1" s="651"/>
      <c r="G1" s="651"/>
      <c r="H1" s="651"/>
      <c r="I1" s="651"/>
    </row>
    <row r="2" spans="1:10" ht="40.5" customHeight="1">
      <c r="A2" s="662" t="s">
        <v>486</v>
      </c>
      <c r="B2" s="662"/>
      <c r="C2" s="662"/>
      <c r="D2" s="662"/>
      <c r="E2" s="662"/>
      <c r="F2" s="662"/>
      <c r="G2" s="662"/>
      <c r="H2" s="662"/>
      <c r="I2" s="662"/>
      <c r="J2" s="662"/>
    </row>
    <row r="3" spans="1:10" ht="33" customHeight="1">
      <c r="A3" s="621" t="s">
        <v>7</v>
      </c>
      <c r="B3" s="623" t="s">
        <v>8</v>
      </c>
      <c r="C3" s="624" t="s">
        <v>9</v>
      </c>
      <c r="D3" s="656"/>
      <c r="E3" s="657"/>
      <c r="F3" s="623" t="s">
        <v>24</v>
      </c>
      <c r="G3" s="611" t="s">
        <v>15</v>
      </c>
      <c r="H3" s="661"/>
      <c r="I3" s="611" t="s">
        <v>33</v>
      </c>
      <c r="J3" s="661"/>
    </row>
    <row r="4" spans="1:10" ht="93" customHeight="1">
      <c r="A4" s="655"/>
      <c r="B4" s="655"/>
      <c r="C4" s="658"/>
      <c r="D4" s="659"/>
      <c r="E4" s="660"/>
      <c r="F4" s="655"/>
      <c r="G4" s="13" t="s">
        <v>26</v>
      </c>
      <c r="H4" s="13" t="s">
        <v>27</v>
      </c>
      <c r="I4" s="13" t="s">
        <v>26</v>
      </c>
      <c r="J4" s="13" t="s">
        <v>10</v>
      </c>
    </row>
    <row r="5" spans="1:10" ht="14.25" customHeight="1">
      <c r="A5" s="43">
        <v>1</v>
      </c>
      <c r="B5" s="43">
        <v>2</v>
      </c>
      <c r="C5" s="663">
        <v>3</v>
      </c>
      <c r="D5" s="664"/>
      <c r="E5" s="661"/>
      <c r="F5" s="43">
        <v>4</v>
      </c>
      <c r="G5" s="43">
        <v>5</v>
      </c>
      <c r="H5" s="43">
        <v>6</v>
      </c>
      <c r="I5" s="43">
        <v>7</v>
      </c>
      <c r="J5" s="43">
        <v>8</v>
      </c>
    </row>
    <row r="6" spans="1:11" ht="40.5" customHeight="1">
      <c r="A6" s="44">
        <v>1</v>
      </c>
      <c r="B6" s="44" t="s">
        <v>142</v>
      </c>
      <c r="C6" s="652" t="s">
        <v>233</v>
      </c>
      <c r="D6" s="653"/>
      <c r="E6" s="654"/>
      <c r="F6" s="44" t="s">
        <v>16</v>
      </c>
      <c r="G6" s="44"/>
      <c r="H6" s="44">
        <v>2</v>
      </c>
      <c r="I6" s="44"/>
      <c r="J6" s="327">
        <f>SUM(J7:J9)</f>
        <v>0</v>
      </c>
      <c r="K6" s="2"/>
    </row>
    <row r="7" spans="1:13" ht="21.75" customHeight="1">
      <c r="A7" s="4">
        <f>A6+0.1</f>
        <v>1.1</v>
      </c>
      <c r="B7" s="4"/>
      <c r="C7" s="611" t="s">
        <v>17</v>
      </c>
      <c r="D7" s="612"/>
      <c r="E7" s="613"/>
      <c r="F7" s="328" t="s">
        <v>28</v>
      </c>
      <c r="G7" s="328">
        <v>2.3</v>
      </c>
      <c r="H7" s="328">
        <f>H6*G7</f>
        <v>4.6</v>
      </c>
      <c r="I7" s="328"/>
      <c r="J7" s="329">
        <f>H7*I7</f>
        <v>0</v>
      </c>
      <c r="K7" s="2"/>
      <c r="M7" s="327"/>
    </row>
    <row r="8" spans="1:11" ht="25.5" customHeight="1">
      <c r="A8" s="4">
        <f>A7+0.1</f>
        <v>1.2</v>
      </c>
      <c r="B8" s="4"/>
      <c r="C8" s="611" t="s">
        <v>30</v>
      </c>
      <c r="D8" s="612"/>
      <c r="E8" s="613"/>
      <c r="F8" s="38" t="s">
        <v>20</v>
      </c>
      <c r="G8" s="38">
        <v>0.06</v>
      </c>
      <c r="H8" s="9">
        <f>H6*G8</f>
        <v>0.12</v>
      </c>
      <c r="I8" s="38"/>
      <c r="J8" s="330">
        <f>H8*I8</f>
        <v>0</v>
      </c>
      <c r="K8" s="2"/>
    </row>
    <row r="9" spans="1:11" ht="20.25" customHeight="1">
      <c r="A9" s="4">
        <f>A8+0.1</f>
        <v>1.3</v>
      </c>
      <c r="B9" s="4"/>
      <c r="C9" s="611" t="s">
        <v>234</v>
      </c>
      <c r="D9" s="612"/>
      <c r="E9" s="613"/>
      <c r="F9" s="4" t="s">
        <v>16</v>
      </c>
      <c r="G9" s="4"/>
      <c r="H9" s="4">
        <v>2</v>
      </c>
      <c r="I9" s="4"/>
      <c r="J9" s="45">
        <f>H9*I9</f>
        <v>0</v>
      </c>
      <c r="K9" s="2"/>
    </row>
    <row r="10" spans="1:12" ht="35.25" customHeight="1">
      <c r="A10" s="44">
        <v>2</v>
      </c>
      <c r="B10" s="44" t="s">
        <v>156</v>
      </c>
      <c r="C10" s="652" t="s">
        <v>36</v>
      </c>
      <c r="D10" s="653"/>
      <c r="E10" s="654"/>
      <c r="F10" s="44" t="s">
        <v>29</v>
      </c>
      <c r="G10" s="44"/>
      <c r="H10" s="44">
        <v>70</v>
      </c>
      <c r="I10" s="44"/>
      <c r="J10" s="327">
        <f>SUM(J11:J13)</f>
        <v>0</v>
      </c>
      <c r="K10" s="2"/>
      <c r="L10" s="2"/>
    </row>
    <row r="11" spans="1:11" ht="27" customHeight="1">
      <c r="A11" s="4">
        <f>A10+0.1</f>
        <v>2.1</v>
      </c>
      <c r="B11" s="331"/>
      <c r="C11" s="611" t="s">
        <v>17</v>
      </c>
      <c r="D11" s="612"/>
      <c r="E11" s="613"/>
      <c r="F11" s="328" t="s">
        <v>28</v>
      </c>
      <c r="G11" s="328">
        <v>0.15</v>
      </c>
      <c r="H11" s="328">
        <f>H10*G11</f>
        <v>10.5</v>
      </c>
      <c r="I11" s="328"/>
      <c r="J11" s="329">
        <f>H11*I11</f>
        <v>0</v>
      </c>
      <c r="K11" s="2"/>
    </row>
    <row r="12" spans="1:11" ht="25.5" customHeight="1">
      <c r="A12" s="4">
        <f>A11+0.1</f>
        <v>2.2</v>
      </c>
      <c r="B12" s="331"/>
      <c r="C12" s="611" t="s">
        <v>30</v>
      </c>
      <c r="D12" s="612"/>
      <c r="E12" s="613"/>
      <c r="F12" s="38" t="s">
        <v>20</v>
      </c>
      <c r="G12" s="38">
        <v>0.037</v>
      </c>
      <c r="H12" s="38">
        <f>H10*G12</f>
        <v>2.59</v>
      </c>
      <c r="I12" s="38"/>
      <c r="J12" s="330">
        <f>H12*I12</f>
        <v>0</v>
      </c>
      <c r="K12" s="2"/>
    </row>
    <row r="13" spans="1:11" ht="25.5" customHeight="1">
      <c r="A13" s="4">
        <f>A12+0.1</f>
        <v>2.3</v>
      </c>
      <c r="B13" s="331"/>
      <c r="C13" s="611" t="s">
        <v>235</v>
      </c>
      <c r="D13" s="612"/>
      <c r="E13" s="613"/>
      <c r="F13" s="4" t="s">
        <v>29</v>
      </c>
      <c r="G13" s="4"/>
      <c r="H13" s="4">
        <v>70</v>
      </c>
      <c r="I13" s="15"/>
      <c r="J13" s="45">
        <f>H13*I13</f>
        <v>0</v>
      </c>
      <c r="K13" s="2"/>
    </row>
    <row r="14" spans="1:12" ht="67.5" customHeight="1">
      <c r="A14" s="44">
        <v>3</v>
      </c>
      <c r="B14" s="44" t="s">
        <v>52</v>
      </c>
      <c r="C14" s="652" t="s">
        <v>236</v>
      </c>
      <c r="D14" s="653"/>
      <c r="E14" s="654"/>
      <c r="F14" s="44" t="s">
        <v>29</v>
      </c>
      <c r="G14" s="44"/>
      <c r="H14" s="44">
        <v>1100</v>
      </c>
      <c r="I14" s="44"/>
      <c r="J14" s="327">
        <f>SUM(J15:J17)</f>
        <v>0</v>
      </c>
      <c r="K14" s="2"/>
      <c r="L14" s="2"/>
    </row>
    <row r="15" spans="1:11" ht="27" customHeight="1">
      <c r="A15" s="4">
        <f>A14+0.1</f>
        <v>3.1</v>
      </c>
      <c r="B15" s="331"/>
      <c r="C15" s="611" t="s">
        <v>17</v>
      </c>
      <c r="D15" s="612"/>
      <c r="E15" s="613"/>
      <c r="F15" s="328" t="s">
        <v>28</v>
      </c>
      <c r="G15" s="328">
        <v>0.15</v>
      </c>
      <c r="H15" s="328">
        <f>H14*G15</f>
        <v>165</v>
      </c>
      <c r="I15" s="328"/>
      <c r="J15" s="329">
        <f>H15*I15</f>
        <v>0</v>
      </c>
      <c r="K15" s="2"/>
    </row>
    <row r="16" spans="1:11" ht="25.5" customHeight="1">
      <c r="A16" s="4">
        <f>A15+0.1</f>
        <v>3.2</v>
      </c>
      <c r="B16" s="331"/>
      <c r="C16" s="611" t="s">
        <v>30</v>
      </c>
      <c r="D16" s="612"/>
      <c r="E16" s="613"/>
      <c r="F16" s="38" t="s">
        <v>20</v>
      </c>
      <c r="G16" s="38">
        <v>0.037</v>
      </c>
      <c r="H16" s="38">
        <f>H14*G16</f>
        <v>40.7</v>
      </c>
      <c r="I16" s="38"/>
      <c r="J16" s="330">
        <f>H16*I16</f>
        <v>0</v>
      </c>
      <c r="K16" s="2"/>
    </row>
    <row r="17" spans="1:11" ht="25.5" customHeight="1">
      <c r="A17" s="4">
        <f>A16+0.1</f>
        <v>3.3</v>
      </c>
      <c r="B17" s="331"/>
      <c r="C17" s="611" t="s">
        <v>53</v>
      </c>
      <c r="D17" s="612"/>
      <c r="E17" s="613"/>
      <c r="F17" s="4" t="s">
        <v>29</v>
      </c>
      <c r="G17" s="4"/>
      <c r="H17" s="4">
        <v>1100</v>
      </c>
      <c r="I17" s="4"/>
      <c r="J17" s="45">
        <f>H17*I17</f>
        <v>0</v>
      </c>
      <c r="K17" s="2"/>
    </row>
    <row r="18" spans="1:11" ht="34.5" customHeight="1">
      <c r="A18" s="44">
        <v>4</v>
      </c>
      <c r="B18" s="44" t="s">
        <v>54</v>
      </c>
      <c r="C18" s="652" t="s">
        <v>237</v>
      </c>
      <c r="D18" s="653"/>
      <c r="E18" s="654"/>
      <c r="F18" s="44" t="s">
        <v>29</v>
      </c>
      <c r="G18" s="44"/>
      <c r="H18" s="44">
        <v>300</v>
      </c>
      <c r="I18" s="44"/>
      <c r="J18" s="327">
        <f>SUM(J19:J22)</f>
        <v>0</v>
      </c>
      <c r="K18" s="2"/>
    </row>
    <row r="19" spans="1:11" ht="27.75" customHeight="1">
      <c r="A19" s="4">
        <f>A18+0.1</f>
        <v>4.1</v>
      </c>
      <c r="B19" s="332"/>
      <c r="C19" s="611" t="s">
        <v>17</v>
      </c>
      <c r="D19" s="612"/>
      <c r="E19" s="613"/>
      <c r="F19" s="328" t="s">
        <v>28</v>
      </c>
      <c r="G19" s="328">
        <v>0.55</v>
      </c>
      <c r="H19" s="328">
        <f>H18*G19</f>
        <v>165</v>
      </c>
      <c r="I19" s="328"/>
      <c r="J19" s="329">
        <f>H19*I19</f>
        <v>0</v>
      </c>
      <c r="K19" s="2"/>
    </row>
    <row r="20" spans="1:11" ht="28.5" customHeight="1">
      <c r="A20" s="4">
        <f>A19+0.1</f>
        <v>4.2</v>
      </c>
      <c r="B20" s="332"/>
      <c r="C20" s="611" t="s">
        <v>30</v>
      </c>
      <c r="D20" s="612"/>
      <c r="E20" s="613"/>
      <c r="F20" s="38" t="s">
        <v>20</v>
      </c>
      <c r="G20" s="38">
        <v>0.35</v>
      </c>
      <c r="H20" s="38">
        <f>H18*G20</f>
        <v>105</v>
      </c>
      <c r="I20" s="38"/>
      <c r="J20" s="330">
        <f>H20*I20</f>
        <v>0</v>
      </c>
      <c r="K20" s="2"/>
    </row>
    <row r="21" spans="1:11" ht="26.25" customHeight="1">
      <c r="A21" s="4">
        <f>A20+0.1</f>
        <v>4.3</v>
      </c>
      <c r="B21" s="332"/>
      <c r="C21" s="611" t="s">
        <v>55</v>
      </c>
      <c r="D21" s="612"/>
      <c r="E21" s="613"/>
      <c r="F21" s="4" t="s">
        <v>29</v>
      </c>
      <c r="G21" s="4"/>
      <c r="H21" s="4">
        <v>240</v>
      </c>
      <c r="I21" s="4"/>
      <c r="J21" s="45">
        <f>H21*I21</f>
        <v>0</v>
      </c>
      <c r="K21" s="2"/>
    </row>
    <row r="22" spans="1:11" ht="26.25" customHeight="1">
      <c r="A22" s="4">
        <f>A21+0.1</f>
        <v>4.4</v>
      </c>
      <c r="B22" s="332"/>
      <c r="C22" s="611" t="s">
        <v>141</v>
      </c>
      <c r="D22" s="612"/>
      <c r="E22" s="613"/>
      <c r="F22" s="4" t="s">
        <v>29</v>
      </c>
      <c r="G22" s="4"/>
      <c r="H22" s="4">
        <v>60</v>
      </c>
      <c r="I22" s="4"/>
      <c r="J22" s="45">
        <f>H22*I22</f>
        <v>0</v>
      </c>
      <c r="K22" s="2"/>
    </row>
    <row r="23" spans="1:11" ht="34.5" customHeight="1">
      <c r="A23" s="44">
        <v>5</v>
      </c>
      <c r="B23" s="44" t="s">
        <v>57</v>
      </c>
      <c r="C23" s="652" t="s">
        <v>58</v>
      </c>
      <c r="D23" s="653"/>
      <c r="E23" s="654"/>
      <c r="F23" s="44" t="s">
        <v>16</v>
      </c>
      <c r="G23" s="44"/>
      <c r="H23" s="44">
        <v>38</v>
      </c>
      <c r="I23" s="44"/>
      <c r="J23" s="327">
        <f>SUM(J24:J27)</f>
        <v>0</v>
      </c>
      <c r="K23" s="2"/>
    </row>
    <row r="24" spans="1:11" ht="27.75" customHeight="1">
      <c r="A24" s="4">
        <f>A23+0.1</f>
        <v>5.1</v>
      </c>
      <c r="B24" s="332"/>
      <c r="C24" s="611" t="s">
        <v>17</v>
      </c>
      <c r="D24" s="612"/>
      <c r="E24" s="613"/>
      <c r="F24" s="328" t="s">
        <v>28</v>
      </c>
      <c r="G24" s="328">
        <v>0.35</v>
      </c>
      <c r="H24" s="328">
        <f>H23*G24</f>
        <v>13.3</v>
      </c>
      <c r="I24" s="328"/>
      <c r="J24" s="329">
        <f>H24*I24</f>
        <v>0</v>
      </c>
      <c r="K24" s="2"/>
    </row>
    <row r="25" spans="1:11" ht="28.5" customHeight="1">
      <c r="A25" s="4">
        <f>A24+0.1</f>
        <v>5.2</v>
      </c>
      <c r="B25" s="332"/>
      <c r="C25" s="611" t="s">
        <v>30</v>
      </c>
      <c r="D25" s="612"/>
      <c r="E25" s="613"/>
      <c r="F25" s="38" t="s">
        <v>20</v>
      </c>
      <c r="G25" s="38">
        <v>0.004</v>
      </c>
      <c r="H25" s="38">
        <f>H23*G25</f>
        <v>0.152</v>
      </c>
      <c r="I25" s="38"/>
      <c r="J25" s="330">
        <f>H25*I25</f>
        <v>0</v>
      </c>
      <c r="K25" s="2"/>
    </row>
    <row r="26" spans="1:11" ht="28.5" customHeight="1">
      <c r="A26" s="4">
        <f>A25+0.1</f>
        <v>5.3</v>
      </c>
      <c r="B26" s="332"/>
      <c r="C26" s="611" t="s">
        <v>158</v>
      </c>
      <c r="D26" s="612"/>
      <c r="E26" s="613"/>
      <c r="F26" s="4" t="s">
        <v>16</v>
      </c>
      <c r="G26" s="4"/>
      <c r="H26" s="4">
        <v>35</v>
      </c>
      <c r="I26" s="4"/>
      <c r="J26" s="45">
        <f>H26*I26</f>
        <v>0</v>
      </c>
      <c r="K26" s="2"/>
    </row>
    <row r="27" spans="1:11" ht="26.25" customHeight="1">
      <c r="A27" s="4">
        <f>A26+0.1</f>
        <v>5.4</v>
      </c>
      <c r="B27" s="332"/>
      <c r="C27" s="611" t="s">
        <v>159</v>
      </c>
      <c r="D27" s="612"/>
      <c r="E27" s="613"/>
      <c r="F27" s="4" t="s">
        <v>16</v>
      </c>
      <c r="G27" s="4"/>
      <c r="H27" s="4">
        <v>3</v>
      </c>
      <c r="I27" s="4"/>
      <c r="J27" s="45">
        <f>H27*I27</f>
        <v>0</v>
      </c>
      <c r="K27" s="2"/>
    </row>
    <row r="28" spans="1:11" ht="56.25" customHeight="1">
      <c r="A28" s="44">
        <v>6</v>
      </c>
      <c r="B28" s="44" t="s">
        <v>59</v>
      </c>
      <c r="C28" s="652" t="s">
        <v>238</v>
      </c>
      <c r="D28" s="653"/>
      <c r="E28" s="654"/>
      <c r="F28" s="44" t="s">
        <v>16</v>
      </c>
      <c r="G28" s="44"/>
      <c r="H28" s="44">
        <v>40</v>
      </c>
      <c r="I28" s="44"/>
      <c r="J28" s="327">
        <f>SUM(J29:J31)</f>
        <v>0</v>
      </c>
      <c r="K28" s="2"/>
    </row>
    <row r="29" spans="1:11" ht="30" customHeight="1">
      <c r="A29" s="4">
        <f>A28+0.1</f>
        <v>6.1</v>
      </c>
      <c r="B29" s="331"/>
      <c r="C29" s="611" t="s">
        <v>17</v>
      </c>
      <c r="D29" s="612"/>
      <c r="E29" s="613"/>
      <c r="F29" s="328" t="s">
        <v>28</v>
      </c>
      <c r="G29" s="328">
        <v>2</v>
      </c>
      <c r="H29" s="328">
        <f>H28*G29</f>
        <v>80</v>
      </c>
      <c r="I29" s="328"/>
      <c r="J29" s="329">
        <f>H29*I29</f>
        <v>0</v>
      </c>
      <c r="K29" s="2"/>
    </row>
    <row r="30" spans="1:11" ht="29.25" customHeight="1">
      <c r="A30" s="4">
        <f>A29+0.1</f>
        <v>6.2</v>
      </c>
      <c r="B30" s="331"/>
      <c r="C30" s="611" t="s">
        <v>30</v>
      </c>
      <c r="D30" s="612"/>
      <c r="E30" s="613"/>
      <c r="F30" s="38" t="s">
        <v>20</v>
      </c>
      <c r="G30" s="38">
        <v>0.07</v>
      </c>
      <c r="H30" s="38">
        <f>H28*G30</f>
        <v>2.8</v>
      </c>
      <c r="I30" s="38"/>
      <c r="J30" s="330">
        <f>H30*I30</f>
        <v>0</v>
      </c>
      <c r="K30" s="2"/>
    </row>
    <row r="31" spans="1:11" ht="31.5" customHeight="1">
      <c r="A31" s="4">
        <f>A30+0.1</f>
        <v>6.3</v>
      </c>
      <c r="B31" s="331"/>
      <c r="C31" s="611" t="s">
        <v>60</v>
      </c>
      <c r="D31" s="612"/>
      <c r="E31" s="613"/>
      <c r="F31" s="4" t="s">
        <v>16</v>
      </c>
      <c r="G31" s="4"/>
      <c r="H31" s="4">
        <v>40</v>
      </c>
      <c r="I31" s="4"/>
      <c r="J31" s="45">
        <f>H31*I31</f>
        <v>0</v>
      </c>
      <c r="K31" s="2"/>
    </row>
    <row r="32" spans="1:11" ht="42" customHeight="1">
      <c r="A32" s="44">
        <v>7</v>
      </c>
      <c r="B32" s="44" t="s">
        <v>61</v>
      </c>
      <c r="C32" s="652" t="s">
        <v>62</v>
      </c>
      <c r="D32" s="653"/>
      <c r="E32" s="654"/>
      <c r="F32" s="44" t="s">
        <v>16</v>
      </c>
      <c r="G32" s="44"/>
      <c r="H32" s="44">
        <v>27</v>
      </c>
      <c r="I32" s="44"/>
      <c r="J32" s="327">
        <f>SUM(J33:J35)</f>
        <v>0</v>
      </c>
      <c r="K32" s="2"/>
    </row>
    <row r="33" spans="1:11" ht="30" customHeight="1">
      <c r="A33" s="4">
        <f>A32+0.1</f>
        <v>7.1</v>
      </c>
      <c r="B33" s="331"/>
      <c r="C33" s="611" t="s">
        <v>17</v>
      </c>
      <c r="D33" s="612"/>
      <c r="E33" s="613"/>
      <c r="F33" s="328" t="s">
        <v>28</v>
      </c>
      <c r="G33" s="328">
        <v>0.39</v>
      </c>
      <c r="H33" s="328">
        <f>H32*G33</f>
        <v>10.53</v>
      </c>
      <c r="I33" s="328"/>
      <c r="J33" s="329">
        <f>H33*I33</f>
        <v>0</v>
      </c>
      <c r="K33" s="2"/>
    </row>
    <row r="34" spans="1:11" ht="29.25" customHeight="1">
      <c r="A34" s="4">
        <f>A33+0.1</f>
        <v>7.2</v>
      </c>
      <c r="B34" s="331"/>
      <c r="C34" s="611" t="s">
        <v>30</v>
      </c>
      <c r="D34" s="612"/>
      <c r="E34" s="613"/>
      <c r="F34" s="38" t="s">
        <v>20</v>
      </c>
      <c r="G34" s="38">
        <v>0.011</v>
      </c>
      <c r="H34" s="38">
        <f>H32*G34</f>
        <v>0.297</v>
      </c>
      <c r="I34" s="38"/>
      <c r="J34" s="330">
        <f>H34*I34</f>
        <v>0</v>
      </c>
      <c r="K34" s="2"/>
    </row>
    <row r="35" spans="1:11" ht="31.5" customHeight="1">
      <c r="A35" s="4">
        <f>A34+0.1</f>
        <v>7.3</v>
      </c>
      <c r="B35" s="331"/>
      <c r="C35" s="611" t="s">
        <v>39</v>
      </c>
      <c r="D35" s="612"/>
      <c r="E35" s="613"/>
      <c r="F35" s="4" t="s">
        <v>16</v>
      </c>
      <c r="G35" s="4"/>
      <c r="H35" s="4">
        <v>27</v>
      </c>
      <c r="I35" s="4"/>
      <c r="J35" s="45">
        <f>H35*I35</f>
        <v>0</v>
      </c>
      <c r="K35" s="2"/>
    </row>
    <row r="36" spans="1:11" ht="34.5" customHeight="1">
      <c r="A36" s="44">
        <v>8</v>
      </c>
      <c r="B36" s="44" t="s">
        <v>157</v>
      </c>
      <c r="C36" s="652" t="s">
        <v>37</v>
      </c>
      <c r="D36" s="653"/>
      <c r="E36" s="654"/>
      <c r="F36" s="44" t="s">
        <v>16</v>
      </c>
      <c r="G36" s="44"/>
      <c r="H36" s="44">
        <v>8</v>
      </c>
      <c r="I36" s="44"/>
      <c r="J36" s="327">
        <f>SUM(J37:J39)</f>
        <v>0</v>
      </c>
      <c r="K36" s="2"/>
    </row>
    <row r="37" spans="1:11" ht="27.75" customHeight="1">
      <c r="A37" s="4">
        <f>A36+0.1</f>
        <v>8.1</v>
      </c>
      <c r="B37" s="332"/>
      <c r="C37" s="611" t="s">
        <v>17</v>
      </c>
      <c r="D37" s="612"/>
      <c r="E37" s="613"/>
      <c r="F37" s="328" t="s">
        <v>28</v>
      </c>
      <c r="G37" s="328">
        <v>0.23</v>
      </c>
      <c r="H37" s="328">
        <f>H36*G37</f>
        <v>1.84</v>
      </c>
      <c r="I37" s="328"/>
      <c r="J37" s="329">
        <f>H37*I37</f>
        <v>0</v>
      </c>
      <c r="K37" s="2"/>
    </row>
    <row r="38" spans="1:11" ht="28.5" customHeight="1">
      <c r="A38" s="4">
        <f>A37+0.1</f>
        <v>8.2</v>
      </c>
      <c r="B38" s="332"/>
      <c r="C38" s="611" t="s">
        <v>30</v>
      </c>
      <c r="D38" s="612"/>
      <c r="E38" s="613"/>
      <c r="F38" s="38" t="s">
        <v>20</v>
      </c>
      <c r="G38" s="38">
        <v>0.005</v>
      </c>
      <c r="H38" s="38">
        <f>H36*G38</f>
        <v>0.04</v>
      </c>
      <c r="I38" s="38"/>
      <c r="J38" s="330">
        <f>H38*I38</f>
        <v>0</v>
      </c>
      <c r="K38" s="2"/>
    </row>
    <row r="39" spans="1:11" ht="26.25" customHeight="1">
      <c r="A39" s="4">
        <f>A38+0.1</f>
        <v>8.3</v>
      </c>
      <c r="B39" s="332"/>
      <c r="C39" s="611" t="s">
        <v>56</v>
      </c>
      <c r="D39" s="612"/>
      <c r="E39" s="613"/>
      <c r="F39" s="4" t="s">
        <v>16</v>
      </c>
      <c r="G39" s="4"/>
      <c r="H39" s="4">
        <v>8</v>
      </c>
      <c r="I39" s="4"/>
      <c r="J39" s="45">
        <f>H39*I39</f>
        <v>0</v>
      </c>
      <c r="K39" s="2"/>
    </row>
    <row r="40" spans="1:11" ht="56.25" customHeight="1">
      <c r="A40" s="44">
        <v>9</v>
      </c>
      <c r="B40" s="44" t="s">
        <v>160</v>
      </c>
      <c r="C40" s="652" t="s">
        <v>38</v>
      </c>
      <c r="D40" s="653"/>
      <c r="E40" s="654"/>
      <c r="F40" s="44" t="s">
        <v>16</v>
      </c>
      <c r="G40" s="44"/>
      <c r="H40" s="44">
        <v>15</v>
      </c>
      <c r="I40" s="44"/>
      <c r="J40" s="327">
        <f>SUM(J41:J43)</f>
        <v>0</v>
      </c>
      <c r="K40" s="2"/>
    </row>
    <row r="41" spans="1:11" ht="30" customHeight="1">
      <c r="A41" s="4">
        <f>A40+0.1</f>
        <v>9.1</v>
      </c>
      <c r="B41" s="331"/>
      <c r="C41" s="611" t="s">
        <v>17</v>
      </c>
      <c r="D41" s="612"/>
      <c r="E41" s="613"/>
      <c r="F41" s="328" t="s">
        <v>28</v>
      </c>
      <c r="G41" s="328">
        <v>0.25</v>
      </c>
      <c r="H41" s="328">
        <f>H40*G41</f>
        <v>3.75</v>
      </c>
      <c r="I41" s="328"/>
      <c r="J41" s="329">
        <f>H41*I41</f>
        <v>0</v>
      </c>
      <c r="K41" s="2"/>
    </row>
    <row r="42" spans="1:11" ht="29.25" customHeight="1">
      <c r="A42" s="4">
        <f>A41+0.1</f>
        <v>9.2</v>
      </c>
      <c r="B42" s="331"/>
      <c r="C42" s="611" t="s">
        <v>30</v>
      </c>
      <c r="D42" s="612"/>
      <c r="E42" s="613"/>
      <c r="F42" s="38" t="s">
        <v>20</v>
      </c>
      <c r="G42" s="38">
        <v>0.002</v>
      </c>
      <c r="H42" s="38">
        <f>H40*G42</f>
        <v>0.03</v>
      </c>
      <c r="I42" s="38"/>
      <c r="J42" s="330">
        <f>H42*I42</f>
        <v>0</v>
      </c>
      <c r="K42" s="2"/>
    </row>
    <row r="43" spans="1:11" ht="31.5" customHeight="1">
      <c r="A43" s="4">
        <f>A42+0.1</f>
        <v>9.3</v>
      </c>
      <c r="B43" s="331"/>
      <c r="C43" s="611" t="s">
        <v>39</v>
      </c>
      <c r="D43" s="612"/>
      <c r="E43" s="613"/>
      <c r="F43" s="4" t="s">
        <v>16</v>
      </c>
      <c r="G43" s="4"/>
      <c r="H43" s="4">
        <v>15</v>
      </c>
      <c r="I43" s="4"/>
      <c r="J43" s="45">
        <f>H43*I43</f>
        <v>0</v>
      </c>
      <c r="K43" s="2"/>
    </row>
    <row r="44" spans="1:11" ht="51" customHeight="1">
      <c r="A44" s="44">
        <v>10</v>
      </c>
      <c r="B44" s="44" t="s">
        <v>63</v>
      </c>
      <c r="C44" s="652" t="s">
        <v>239</v>
      </c>
      <c r="D44" s="653"/>
      <c r="E44" s="654"/>
      <c r="F44" s="44" t="s">
        <v>16</v>
      </c>
      <c r="G44" s="44"/>
      <c r="H44" s="44">
        <v>131</v>
      </c>
      <c r="I44" s="44"/>
      <c r="J44" s="327">
        <f>SUM(J45:J47)</f>
        <v>0</v>
      </c>
      <c r="K44" s="2"/>
    </row>
    <row r="45" spans="1:11" ht="33" customHeight="1">
      <c r="A45" s="4">
        <f>A44+0.1</f>
        <v>10.1</v>
      </c>
      <c r="B45" s="331"/>
      <c r="C45" s="611" t="s">
        <v>17</v>
      </c>
      <c r="D45" s="612"/>
      <c r="E45" s="613"/>
      <c r="F45" s="328" t="s">
        <v>28</v>
      </c>
      <c r="G45" s="328">
        <v>0.66</v>
      </c>
      <c r="H45" s="328">
        <f>H44*G45</f>
        <v>86.46</v>
      </c>
      <c r="I45" s="328"/>
      <c r="J45" s="329">
        <f>H45*I45</f>
        <v>0</v>
      </c>
      <c r="K45" s="2"/>
    </row>
    <row r="46" spans="1:11" ht="28.5" customHeight="1">
      <c r="A46" s="4">
        <f>A45+0.1</f>
        <v>10.2</v>
      </c>
      <c r="B46" s="331"/>
      <c r="C46" s="611" t="s">
        <v>30</v>
      </c>
      <c r="D46" s="612"/>
      <c r="E46" s="613"/>
      <c r="F46" s="38" t="s">
        <v>20</v>
      </c>
      <c r="G46" s="38">
        <v>0.51</v>
      </c>
      <c r="H46" s="38">
        <f>H44*G46</f>
        <v>66.81</v>
      </c>
      <c r="I46" s="38"/>
      <c r="J46" s="330">
        <f>H46*I46</f>
        <v>0</v>
      </c>
      <c r="K46" s="2"/>
    </row>
    <row r="47" spans="1:11" ht="28.5" customHeight="1">
      <c r="A47" s="4">
        <f>A46+0.1</f>
        <v>10.3</v>
      </c>
      <c r="B47" s="331"/>
      <c r="C47" s="611" t="s">
        <v>64</v>
      </c>
      <c r="D47" s="612"/>
      <c r="E47" s="613"/>
      <c r="F47" s="4" t="s">
        <v>16</v>
      </c>
      <c r="G47" s="4"/>
      <c r="H47" s="4">
        <v>131</v>
      </c>
      <c r="I47" s="4"/>
      <c r="J47" s="45">
        <f>H47*I47</f>
        <v>0</v>
      </c>
      <c r="K47" s="2"/>
    </row>
    <row r="48" spans="1:11" ht="34.5" customHeight="1">
      <c r="A48" s="44">
        <v>11</v>
      </c>
      <c r="B48" s="44" t="s">
        <v>240</v>
      </c>
      <c r="C48" s="652" t="s">
        <v>241</v>
      </c>
      <c r="D48" s="653"/>
      <c r="E48" s="654"/>
      <c r="F48" s="44" t="s">
        <v>16</v>
      </c>
      <c r="G48" s="44"/>
      <c r="H48" s="44">
        <v>20</v>
      </c>
      <c r="I48" s="44"/>
      <c r="J48" s="327">
        <f>SUM(J49:J53)</f>
        <v>0</v>
      </c>
      <c r="K48" s="2"/>
    </row>
    <row r="49" spans="1:11" ht="33" customHeight="1">
      <c r="A49" s="4">
        <f>A48+0.1</f>
        <v>11.1</v>
      </c>
      <c r="B49" s="331"/>
      <c r="C49" s="611" t="s">
        <v>17</v>
      </c>
      <c r="D49" s="612"/>
      <c r="E49" s="613"/>
      <c r="F49" s="328" t="s">
        <v>28</v>
      </c>
      <c r="G49" s="328">
        <v>2.3</v>
      </c>
      <c r="H49" s="328">
        <f>H48*G49</f>
        <v>46</v>
      </c>
      <c r="I49" s="328"/>
      <c r="J49" s="329">
        <f>H49*I49</f>
        <v>0</v>
      </c>
      <c r="K49" s="2"/>
    </row>
    <row r="50" spans="1:11" ht="28.5" customHeight="1">
      <c r="A50" s="4">
        <f>A49+0.1</f>
        <v>11.2</v>
      </c>
      <c r="B50" s="331"/>
      <c r="C50" s="611" t="s">
        <v>30</v>
      </c>
      <c r="D50" s="612"/>
      <c r="E50" s="613"/>
      <c r="F50" s="38" t="s">
        <v>20</v>
      </c>
      <c r="G50" s="38">
        <v>0.96</v>
      </c>
      <c r="H50" s="38">
        <f>H48*G50</f>
        <v>19.2</v>
      </c>
      <c r="I50" s="38"/>
      <c r="J50" s="330">
        <f>H50*I50</f>
        <v>0</v>
      </c>
      <c r="K50" s="2"/>
    </row>
    <row r="51" spans="1:11" ht="28.5" customHeight="1">
      <c r="A51" s="4">
        <f>A50+0.1</f>
        <v>11.3</v>
      </c>
      <c r="B51" s="331"/>
      <c r="C51" s="611" t="s">
        <v>64</v>
      </c>
      <c r="D51" s="612"/>
      <c r="E51" s="613"/>
      <c r="F51" s="4" t="s">
        <v>16</v>
      </c>
      <c r="G51" s="4"/>
      <c r="H51" s="4">
        <v>16</v>
      </c>
      <c r="I51" s="4"/>
      <c r="J51" s="45">
        <f>H51*I51</f>
        <v>0</v>
      </c>
      <c r="K51" s="2"/>
    </row>
    <row r="52" spans="1:11" ht="28.5" customHeight="1">
      <c r="A52" s="4">
        <f>A51+0.1</f>
        <v>11.4</v>
      </c>
      <c r="B52" s="331"/>
      <c r="C52" s="611" t="s">
        <v>242</v>
      </c>
      <c r="D52" s="612"/>
      <c r="E52" s="613"/>
      <c r="F52" s="4" t="s">
        <v>16</v>
      </c>
      <c r="G52" s="4"/>
      <c r="H52" s="4">
        <v>4</v>
      </c>
      <c r="I52" s="4"/>
      <c r="J52" s="45">
        <f>H52*I52</f>
        <v>0</v>
      </c>
      <c r="K52" s="2"/>
    </row>
    <row r="53" spans="1:11" ht="28.5" customHeight="1">
      <c r="A53" s="4">
        <f>A52+0.1</f>
        <v>11.5</v>
      </c>
      <c r="B53" s="331"/>
      <c r="C53" s="611" t="s">
        <v>243</v>
      </c>
      <c r="D53" s="612"/>
      <c r="E53" s="613"/>
      <c r="F53" s="4" t="s">
        <v>16</v>
      </c>
      <c r="G53" s="4"/>
      <c r="H53" s="4">
        <v>12</v>
      </c>
      <c r="I53" s="4"/>
      <c r="J53" s="45">
        <f>H53*I53</f>
        <v>0</v>
      </c>
      <c r="K53" s="2"/>
    </row>
    <row r="54" spans="1:11" ht="34.5" customHeight="1">
      <c r="A54" s="44">
        <v>12</v>
      </c>
      <c r="B54" s="44" t="s">
        <v>240</v>
      </c>
      <c r="C54" s="652" t="s">
        <v>244</v>
      </c>
      <c r="D54" s="653"/>
      <c r="E54" s="654"/>
      <c r="F54" s="44" t="s">
        <v>16</v>
      </c>
      <c r="G54" s="44"/>
      <c r="H54" s="44">
        <v>2</v>
      </c>
      <c r="I54" s="44"/>
      <c r="J54" s="327">
        <f>SUM(J55:J57)</f>
        <v>0</v>
      </c>
      <c r="K54" s="2"/>
    </row>
    <row r="55" spans="1:11" ht="33" customHeight="1">
      <c r="A55" s="4">
        <f>A54+0.1</f>
        <v>12.1</v>
      </c>
      <c r="B55" s="331"/>
      <c r="C55" s="611" t="s">
        <v>17</v>
      </c>
      <c r="D55" s="612"/>
      <c r="E55" s="613"/>
      <c r="F55" s="328" t="s">
        <v>28</v>
      </c>
      <c r="G55" s="328">
        <v>32.5</v>
      </c>
      <c r="H55" s="328">
        <f>H54*G55</f>
        <v>65</v>
      </c>
      <c r="I55" s="328"/>
      <c r="J55" s="329">
        <f>H55*I55</f>
        <v>0</v>
      </c>
      <c r="K55" s="2"/>
    </row>
    <row r="56" spans="1:11" ht="28.5" customHeight="1">
      <c r="A56" s="4">
        <f>A55+0.1</f>
        <v>12.2</v>
      </c>
      <c r="B56" s="331"/>
      <c r="C56" s="611" t="s">
        <v>30</v>
      </c>
      <c r="D56" s="612"/>
      <c r="E56" s="613"/>
      <c r="F56" s="38" t="s">
        <v>20</v>
      </c>
      <c r="G56" s="38">
        <v>1.5</v>
      </c>
      <c r="H56" s="38">
        <f>H54*G56</f>
        <v>3</v>
      </c>
      <c r="I56" s="38"/>
      <c r="J56" s="330">
        <f>H56*I56</f>
        <v>0</v>
      </c>
      <c r="K56" s="2"/>
    </row>
    <row r="57" spans="1:11" ht="28.5" customHeight="1">
      <c r="A57" s="4">
        <f>A56+0.1</f>
        <v>12.3</v>
      </c>
      <c r="B57" s="331"/>
      <c r="C57" s="611" t="s">
        <v>245</v>
      </c>
      <c r="D57" s="612"/>
      <c r="E57" s="613"/>
      <c r="F57" s="4" t="s">
        <v>16</v>
      </c>
      <c r="G57" s="4"/>
      <c r="H57" s="4">
        <v>2</v>
      </c>
      <c r="I57" s="4"/>
      <c r="J57" s="45">
        <f>H57*I57</f>
        <v>0</v>
      </c>
      <c r="K57" s="2"/>
    </row>
    <row r="58" spans="1:11" ht="34.5" customHeight="1">
      <c r="A58" s="44">
        <v>12</v>
      </c>
      <c r="B58" s="415" t="s">
        <v>32</v>
      </c>
      <c r="C58" s="652" t="s">
        <v>323</v>
      </c>
      <c r="D58" s="653"/>
      <c r="E58" s="654"/>
      <c r="F58" s="44" t="s">
        <v>16</v>
      </c>
      <c r="G58" s="44"/>
      <c r="H58" s="44">
        <v>1</v>
      </c>
      <c r="I58" s="44"/>
      <c r="J58" s="327">
        <f>SUM(J59:J61)</f>
        <v>0</v>
      </c>
      <c r="K58" s="2"/>
    </row>
    <row r="59" spans="1:11" ht="33" customHeight="1">
      <c r="A59" s="4">
        <f>A58+0.1</f>
        <v>12.1</v>
      </c>
      <c r="B59" s="331"/>
      <c r="C59" s="611" t="s">
        <v>17</v>
      </c>
      <c r="D59" s="612"/>
      <c r="E59" s="613"/>
      <c r="F59" s="328" t="s">
        <v>28</v>
      </c>
      <c r="G59" s="328">
        <v>18.2</v>
      </c>
      <c r="H59" s="328">
        <f>H58*G59</f>
        <v>18.2</v>
      </c>
      <c r="I59" s="328"/>
      <c r="J59" s="329">
        <f>H59*I59</f>
        <v>0</v>
      </c>
      <c r="K59" s="2"/>
    </row>
    <row r="60" spans="1:11" ht="28.5" customHeight="1">
      <c r="A60" s="4">
        <f>A59+0.1</f>
        <v>12.2</v>
      </c>
      <c r="B60" s="331"/>
      <c r="C60" s="611" t="s">
        <v>30</v>
      </c>
      <c r="D60" s="612"/>
      <c r="E60" s="613"/>
      <c r="F60" s="38" t="s">
        <v>20</v>
      </c>
      <c r="G60" s="38">
        <v>1.5</v>
      </c>
      <c r="H60" s="38">
        <f>H58*G60</f>
        <v>1.5</v>
      </c>
      <c r="I60" s="38"/>
      <c r="J60" s="330">
        <f>H60*I60</f>
        <v>0</v>
      </c>
      <c r="K60" s="2"/>
    </row>
    <row r="61" spans="1:11" ht="28.5" customHeight="1">
      <c r="A61" s="4">
        <f>A60+0.1</f>
        <v>12.3</v>
      </c>
      <c r="B61" s="331"/>
      <c r="C61" s="611" t="s">
        <v>324</v>
      </c>
      <c r="D61" s="612"/>
      <c r="E61" s="613"/>
      <c r="F61" s="4" t="s">
        <v>16</v>
      </c>
      <c r="G61" s="4"/>
      <c r="H61" s="4">
        <v>1</v>
      </c>
      <c r="I61" s="4"/>
      <c r="J61" s="45">
        <f>H61*I61</f>
        <v>0</v>
      </c>
      <c r="K61" s="2"/>
    </row>
    <row r="62" spans="1:12" ht="53.25" customHeight="1">
      <c r="A62" s="44">
        <v>13</v>
      </c>
      <c r="B62" s="44" t="s">
        <v>156</v>
      </c>
      <c r="C62" s="652" t="s">
        <v>246</v>
      </c>
      <c r="D62" s="653"/>
      <c r="E62" s="654"/>
      <c r="F62" s="44" t="s">
        <v>29</v>
      </c>
      <c r="G62" s="44"/>
      <c r="H62" s="44">
        <v>200</v>
      </c>
      <c r="I62" s="44"/>
      <c r="J62" s="327">
        <f>SUM(J63:J65)</f>
        <v>0</v>
      </c>
      <c r="K62" s="2"/>
      <c r="L62" s="2"/>
    </row>
    <row r="63" spans="1:11" ht="27" customHeight="1">
      <c r="A63" s="4">
        <f>A62+0.1</f>
        <v>13.1</v>
      </c>
      <c r="B63" s="331"/>
      <c r="C63" s="611" t="s">
        <v>17</v>
      </c>
      <c r="D63" s="612"/>
      <c r="E63" s="613"/>
      <c r="F63" s="328" t="s">
        <v>28</v>
      </c>
      <c r="G63" s="328">
        <v>0.15</v>
      </c>
      <c r="H63" s="328">
        <f>H62*G63</f>
        <v>30</v>
      </c>
      <c r="I63" s="328"/>
      <c r="J63" s="329">
        <f>H63*I63</f>
        <v>0</v>
      </c>
      <c r="K63" s="2"/>
    </row>
    <row r="64" spans="1:11" ht="25.5" customHeight="1">
      <c r="A64" s="4">
        <f>A63+0.1</f>
        <v>13.2</v>
      </c>
      <c r="B64" s="331"/>
      <c r="C64" s="611" t="s">
        <v>30</v>
      </c>
      <c r="D64" s="612"/>
      <c r="E64" s="613"/>
      <c r="F64" s="38" t="s">
        <v>20</v>
      </c>
      <c r="G64" s="38">
        <v>0.037</v>
      </c>
      <c r="H64" s="38">
        <f>H62*G64</f>
        <v>7.4</v>
      </c>
      <c r="I64" s="38"/>
      <c r="J64" s="330">
        <f>H64*I64</f>
        <v>0</v>
      </c>
      <c r="K64" s="2"/>
    </row>
    <row r="65" spans="1:11" ht="25.5" customHeight="1">
      <c r="A65" s="4">
        <f>A64+0.1</f>
        <v>13.3</v>
      </c>
      <c r="B65" s="331"/>
      <c r="C65" s="611" t="s">
        <v>247</v>
      </c>
      <c r="D65" s="612"/>
      <c r="E65" s="613"/>
      <c r="F65" s="4" t="s">
        <v>29</v>
      </c>
      <c r="G65" s="4"/>
      <c r="H65" s="4">
        <v>200</v>
      </c>
      <c r="I65" s="15"/>
      <c r="J65" s="45">
        <f>H65*I65</f>
        <v>0</v>
      </c>
      <c r="K65" s="2"/>
    </row>
    <row r="66" spans="1:10" ht="33.75" customHeight="1">
      <c r="A66" s="44"/>
      <c r="B66" s="44"/>
      <c r="C66" s="652" t="s">
        <v>40</v>
      </c>
      <c r="D66" s="653"/>
      <c r="E66" s="654"/>
      <c r="F66" s="4" t="s">
        <v>13</v>
      </c>
      <c r="G66" s="44"/>
      <c r="H66" s="44"/>
      <c r="I66" s="44"/>
      <c r="J66" s="327">
        <f>J6+J14+J18+J23+J28+J32+J44+J48+J10+J54+J62+J36+J40+J58</f>
        <v>0</v>
      </c>
    </row>
    <row r="67" spans="1:10" ht="31.5" customHeight="1">
      <c r="A67" s="4"/>
      <c r="B67" s="331"/>
      <c r="C67" s="611" t="s">
        <v>41</v>
      </c>
      <c r="D67" s="612"/>
      <c r="E67" s="613"/>
      <c r="F67" s="4" t="s">
        <v>13</v>
      </c>
      <c r="G67" s="328"/>
      <c r="H67" s="328"/>
      <c r="I67" s="328"/>
      <c r="J67" s="329">
        <f>J7+J11+J15+J19+J24+J29+J33+J45+J49+J55+J63+J37+J41+J59</f>
        <v>0</v>
      </c>
    </row>
    <row r="68" spans="1:10" ht="27" customHeight="1">
      <c r="A68" s="4"/>
      <c r="B68" s="331"/>
      <c r="C68" s="611" t="s">
        <v>42</v>
      </c>
      <c r="D68" s="612"/>
      <c r="E68" s="613"/>
      <c r="F68" s="4" t="s">
        <v>13</v>
      </c>
      <c r="G68" s="38"/>
      <c r="H68" s="38"/>
      <c r="I68" s="38"/>
      <c r="J68" s="330">
        <f>J8+J12+J16+J20+J25+J30+J34+J46+J50+J56+J64+J38+J42</f>
        <v>0</v>
      </c>
    </row>
    <row r="69" spans="1:10" ht="29.25" customHeight="1">
      <c r="A69" s="4"/>
      <c r="B69" s="331"/>
      <c r="C69" s="611" t="s">
        <v>43</v>
      </c>
      <c r="D69" s="612"/>
      <c r="E69" s="613"/>
      <c r="F69" s="4" t="s">
        <v>13</v>
      </c>
      <c r="G69" s="4"/>
      <c r="H69" s="4"/>
      <c r="I69" s="4"/>
      <c r="J69" s="45">
        <f>J66-J67-J68</f>
        <v>0</v>
      </c>
    </row>
    <row r="70" spans="1:10" ht="34.5" customHeight="1">
      <c r="A70" s="4"/>
      <c r="B70" s="4"/>
      <c r="C70" s="611" t="s">
        <v>44</v>
      </c>
      <c r="D70" s="612"/>
      <c r="E70" s="613"/>
      <c r="F70" s="4" t="s">
        <v>13</v>
      </c>
      <c r="G70" s="4"/>
      <c r="H70" s="4"/>
      <c r="I70" s="4"/>
      <c r="J70" s="45">
        <f>J67+J68+J69</f>
        <v>0</v>
      </c>
    </row>
    <row r="71" spans="1:10" ht="31.5" customHeight="1">
      <c r="A71" s="4"/>
      <c r="B71" s="331"/>
      <c r="C71" s="611" t="s">
        <v>248</v>
      </c>
      <c r="D71" s="612"/>
      <c r="E71" s="613"/>
      <c r="F71" s="4" t="s">
        <v>13</v>
      </c>
      <c r="G71" s="4"/>
      <c r="H71" s="4"/>
      <c r="I71" s="4"/>
      <c r="J71" s="45">
        <f>J67*0.75</f>
        <v>0</v>
      </c>
    </row>
    <row r="72" spans="1:10" ht="29.25" customHeight="1">
      <c r="A72" s="4"/>
      <c r="B72" s="331"/>
      <c r="C72" s="611" t="s">
        <v>14</v>
      </c>
      <c r="D72" s="612"/>
      <c r="E72" s="613"/>
      <c r="F72" s="4" t="s">
        <v>13</v>
      </c>
      <c r="G72" s="4"/>
      <c r="H72" s="4"/>
      <c r="I72" s="4"/>
      <c r="J72" s="45">
        <f>J70+J71</f>
        <v>0</v>
      </c>
    </row>
    <row r="73" spans="1:10" ht="28.5" customHeight="1">
      <c r="A73" s="4"/>
      <c r="B73" s="331"/>
      <c r="C73" s="611" t="s">
        <v>249</v>
      </c>
      <c r="D73" s="612"/>
      <c r="E73" s="613"/>
      <c r="F73" s="4" t="s">
        <v>13</v>
      </c>
      <c r="G73" s="4"/>
      <c r="H73" s="4"/>
      <c r="I73" s="4"/>
      <c r="J73" s="45">
        <f>J72*0.1</f>
        <v>0</v>
      </c>
    </row>
    <row r="74" spans="1:10" ht="30" customHeight="1">
      <c r="A74" s="4"/>
      <c r="B74" s="331"/>
      <c r="C74" s="611" t="s">
        <v>10</v>
      </c>
      <c r="D74" s="612"/>
      <c r="E74" s="613"/>
      <c r="F74" s="4" t="s">
        <v>13</v>
      </c>
      <c r="G74" s="4"/>
      <c r="H74" s="4"/>
      <c r="I74" s="4"/>
      <c r="J74" s="45">
        <f>J72+J73</f>
        <v>0</v>
      </c>
    </row>
    <row r="75" ht="36" customHeight="1"/>
    <row r="76" spans="3:9" ht="16.5">
      <c r="C76" s="651" t="s">
        <v>492</v>
      </c>
      <c r="D76" s="651"/>
      <c r="E76" s="651"/>
      <c r="G76" s="651"/>
      <c r="H76" s="651"/>
      <c r="I76" s="651"/>
    </row>
  </sheetData>
  <sheetProtection/>
  <mergeCells count="80">
    <mergeCell ref="C11:E11"/>
    <mergeCell ref="C14:E14"/>
    <mergeCell ref="I3:J3"/>
    <mergeCell ref="C6:E6"/>
    <mergeCell ref="C7:E7"/>
    <mergeCell ref="C8:E8"/>
    <mergeCell ref="C10:E10"/>
    <mergeCell ref="C5:E5"/>
    <mergeCell ref="C16:E16"/>
    <mergeCell ref="C15:E15"/>
    <mergeCell ref="C24:E24"/>
    <mergeCell ref="C26:E26"/>
    <mergeCell ref="C20:E20"/>
    <mergeCell ref="C17:E17"/>
    <mergeCell ref="C25:E25"/>
    <mergeCell ref="C22:E22"/>
    <mergeCell ref="C27:E27"/>
    <mergeCell ref="C38:E38"/>
    <mergeCell ref="C39:E39"/>
    <mergeCell ref="C32:E32"/>
    <mergeCell ref="C28:E28"/>
    <mergeCell ref="C19:E19"/>
    <mergeCell ref="C21:E21"/>
    <mergeCell ref="C51:E51"/>
    <mergeCell ref="C53:E53"/>
    <mergeCell ref="C12:E12"/>
    <mergeCell ref="C13:E13"/>
    <mergeCell ref="C29:E29"/>
    <mergeCell ref="C23:E23"/>
    <mergeCell ref="C18:E18"/>
    <mergeCell ref="C31:E31"/>
    <mergeCell ref="C43:E43"/>
    <mergeCell ref="C30:E30"/>
    <mergeCell ref="C54:E54"/>
    <mergeCell ref="C60:E60"/>
    <mergeCell ref="C55:E55"/>
    <mergeCell ref="C44:E44"/>
    <mergeCell ref="C45:E45"/>
    <mergeCell ref="C46:E46"/>
    <mergeCell ref="C47:E47"/>
    <mergeCell ref="C48:E48"/>
    <mergeCell ref="C52:E52"/>
    <mergeCell ref="C56:E56"/>
    <mergeCell ref="C49:E49"/>
    <mergeCell ref="C50:E50"/>
    <mergeCell ref="C33:E33"/>
    <mergeCell ref="C34:E34"/>
    <mergeCell ref="C35:E35"/>
    <mergeCell ref="C36:E36"/>
    <mergeCell ref="C37:E37"/>
    <mergeCell ref="C57:E57"/>
    <mergeCell ref="C58:E58"/>
    <mergeCell ref="C59:E59"/>
    <mergeCell ref="C62:E62"/>
    <mergeCell ref="C64:E64"/>
    <mergeCell ref="C9:E9"/>
    <mergeCell ref="C61:E61"/>
    <mergeCell ref="C40:E40"/>
    <mergeCell ref="C41:E41"/>
    <mergeCell ref="C42:E42"/>
    <mergeCell ref="A1:I1"/>
    <mergeCell ref="A3:A4"/>
    <mergeCell ref="B3:B4"/>
    <mergeCell ref="C3:E4"/>
    <mergeCell ref="F3:F4"/>
    <mergeCell ref="G3:H3"/>
    <mergeCell ref="A2:J2"/>
    <mergeCell ref="C63:E63"/>
    <mergeCell ref="C65:E65"/>
    <mergeCell ref="C66:E66"/>
    <mergeCell ref="C67:E67"/>
    <mergeCell ref="C68:E68"/>
    <mergeCell ref="C69:E69"/>
    <mergeCell ref="G76:I76"/>
    <mergeCell ref="C70:E70"/>
    <mergeCell ref="C71:E71"/>
    <mergeCell ref="C72:E72"/>
    <mergeCell ref="C73:E73"/>
    <mergeCell ref="C74:E74"/>
    <mergeCell ref="C76:E76"/>
  </mergeCells>
  <printOptions/>
  <pageMargins left="0.47" right="0.2" top="0.36" bottom="0.33" header="0.3" footer="0.3"/>
  <pageSetup horizontalDpi="600" verticalDpi="600" orientation="portrait" paperSize="9" scale="99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25">
      <selection activeCell="C35" sqref="C35"/>
    </sheetView>
  </sheetViews>
  <sheetFormatPr defaultColWidth="9.00390625" defaultRowHeight="12.75"/>
  <cols>
    <col min="1" max="1" width="4.25390625" style="1" customWidth="1"/>
    <col min="2" max="2" width="9.00390625" style="1" customWidth="1"/>
    <col min="3" max="3" width="43.125" style="1" customWidth="1"/>
    <col min="4" max="4" width="7.75390625" style="1" customWidth="1"/>
    <col min="5" max="5" width="6.75390625" style="1" customWidth="1"/>
    <col min="6" max="6" width="7.625" style="1" customWidth="1"/>
    <col min="7" max="7" width="6.75390625" style="1" customWidth="1"/>
    <col min="8" max="8" width="8.75390625" style="1" customWidth="1"/>
    <col min="9" max="9" width="10.375" style="1" bestFit="1" customWidth="1"/>
    <col min="10" max="10" width="9.25390625" style="1" customWidth="1"/>
    <col min="11" max="11" width="12.25390625" style="1" bestFit="1" customWidth="1"/>
    <col min="12" max="16384" width="9.125" style="1" customWidth="1"/>
  </cols>
  <sheetData>
    <row r="2" spans="1:8" ht="25.5" customHeight="1">
      <c r="A2" s="666" t="s">
        <v>302</v>
      </c>
      <c r="B2" s="666"/>
      <c r="C2" s="666"/>
      <c r="D2" s="666"/>
      <c r="E2" s="666"/>
      <c r="F2" s="666"/>
      <c r="G2" s="666"/>
      <c r="H2" s="666"/>
    </row>
    <row r="3" spans="1:8" ht="33" customHeight="1">
      <c r="A3" s="651" t="s">
        <v>260</v>
      </c>
      <c r="B3" s="651"/>
      <c r="C3" s="651"/>
      <c r="D3" s="651"/>
      <c r="E3" s="651"/>
      <c r="F3" s="651"/>
      <c r="G3" s="651"/>
      <c r="H3" s="651"/>
    </row>
    <row r="4" spans="1:8" ht="44.25" customHeight="1">
      <c r="A4" s="621" t="s">
        <v>7</v>
      </c>
      <c r="B4" s="623" t="s">
        <v>8</v>
      </c>
      <c r="C4" s="621" t="s">
        <v>9</v>
      </c>
      <c r="D4" s="623" t="s">
        <v>24</v>
      </c>
      <c r="E4" s="611" t="s">
        <v>15</v>
      </c>
      <c r="F4" s="613"/>
      <c r="G4" s="416" t="s">
        <v>25</v>
      </c>
      <c r="H4" s="417"/>
    </row>
    <row r="5" spans="1:8" ht="81.75" customHeight="1">
      <c r="A5" s="645"/>
      <c r="B5" s="646"/>
      <c r="C5" s="645"/>
      <c r="D5" s="649"/>
      <c r="E5" s="13" t="s">
        <v>26</v>
      </c>
      <c r="F5" s="13" t="s">
        <v>27</v>
      </c>
      <c r="G5" s="13" t="s">
        <v>26</v>
      </c>
      <c r="H5" s="334" t="s">
        <v>10</v>
      </c>
    </row>
    <row r="6" spans="1:8" ht="12.75" customHeight="1">
      <c r="A6" s="3">
        <v>1</v>
      </c>
      <c r="B6" s="3">
        <v>2</v>
      </c>
      <c r="C6" s="3">
        <v>3</v>
      </c>
      <c r="D6" s="4">
        <v>4</v>
      </c>
      <c r="E6" s="4">
        <v>5</v>
      </c>
      <c r="F6" s="4">
        <v>6</v>
      </c>
      <c r="G6" s="4">
        <v>7</v>
      </c>
      <c r="H6" s="3">
        <v>8</v>
      </c>
    </row>
    <row r="7" spans="1:9" ht="35.25" customHeight="1">
      <c r="A7" s="6">
        <v>1</v>
      </c>
      <c r="B7" s="4" t="s">
        <v>32</v>
      </c>
      <c r="C7" s="44" t="s">
        <v>325</v>
      </c>
      <c r="D7" s="6" t="s">
        <v>16</v>
      </c>
      <c r="E7" s="4"/>
      <c r="F7" s="335">
        <v>12</v>
      </c>
      <c r="G7" s="8"/>
      <c r="H7" s="336">
        <f>SUM(H8:H10)</f>
        <v>0</v>
      </c>
      <c r="I7" s="2"/>
    </row>
    <row r="8" spans="1:9" ht="21.75" customHeight="1">
      <c r="A8" s="4">
        <f>A7+0.1</f>
        <v>1.1</v>
      </c>
      <c r="B8" s="4"/>
      <c r="C8" s="43" t="s">
        <v>261</v>
      </c>
      <c r="D8" s="328" t="s">
        <v>28</v>
      </c>
      <c r="E8" s="328">
        <v>2</v>
      </c>
      <c r="F8" s="333">
        <f>F7*E8</f>
        <v>24</v>
      </c>
      <c r="G8" s="333"/>
      <c r="H8" s="337">
        <f>F8*G8</f>
        <v>0</v>
      </c>
      <c r="I8" s="2"/>
    </row>
    <row r="9" spans="1:9" ht="21.75" customHeight="1">
      <c r="A9" s="4">
        <f>A8+0.1</f>
        <v>1.2</v>
      </c>
      <c r="B9" s="4"/>
      <c r="C9" s="43" t="s">
        <v>30</v>
      </c>
      <c r="D9" s="38" t="s">
        <v>20</v>
      </c>
      <c r="E9" s="38">
        <v>0.09</v>
      </c>
      <c r="F9" s="38">
        <f>E9*F7</f>
        <v>1.08</v>
      </c>
      <c r="G9" s="38"/>
      <c r="H9" s="259">
        <f>F9*G9</f>
        <v>0</v>
      </c>
      <c r="I9" s="2"/>
    </row>
    <row r="10" spans="1:9" ht="33" customHeight="1">
      <c r="A10" s="4">
        <f>A9+0.1</f>
        <v>1.3</v>
      </c>
      <c r="B10" s="4"/>
      <c r="C10" s="43" t="s">
        <v>452</v>
      </c>
      <c r="D10" s="4" t="s">
        <v>16</v>
      </c>
      <c r="E10" s="4"/>
      <c r="F10" s="4">
        <v>12</v>
      </c>
      <c r="G10" s="4"/>
      <c r="H10" s="12">
        <f>F10*G10</f>
        <v>0</v>
      </c>
      <c r="I10" s="2"/>
    </row>
    <row r="11" spans="1:9" ht="35.25" customHeight="1">
      <c r="A11" s="6">
        <v>2</v>
      </c>
      <c r="B11" s="4" t="s">
        <v>32</v>
      </c>
      <c r="C11" s="44" t="s">
        <v>262</v>
      </c>
      <c r="D11" s="6" t="s">
        <v>16</v>
      </c>
      <c r="E11" s="4"/>
      <c r="F11" s="335">
        <v>24</v>
      </c>
      <c r="G11" s="8"/>
      <c r="H11" s="336">
        <f>SUM(H12:H14)</f>
        <v>0</v>
      </c>
      <c r="I11" s="2"/>
    </row>
    <row r="12" spans="1:9" ht="21.75" customHeight="1">
      <c r="A12" s="4">
        <f>A11+0.1</f>
        <v>2.1</v>
      </c>
      <c r="B12" s="4"/>
      <c r="C12" s="43" t="s">
        <v>261</v>
      </c>
      <c r="D12" s="328" t="s">
        <v>28</v>
      </c>
      <c r="E12" s="328">
        <v>2</v>
      </c>
      <c r="F12" s="333">
        <f>F11*E12</f>
        <v>48</v>
      </c>
      <c r="G12" s="333"/>
      <c r="H12" s="337">
        <f>F12*G12</f>
        <v>0</v>
      </c>
      <c r="I12" s="2"/>
    </row>
    <row r="13" spans="1:9" ht="21.75" customHeight="1">
      <c r="A13" s="4">
        <f>A12+0.1</f>
        <v>2.2</v>
      </c>
      <c r="B13" s="4"/>
      <c r="C13" s="43" t="s">
        <v>30</v>
      </c>
      <c r="D13" s="38" t="s">
        <v>20</v>
      </c>
      <c r="E13" s="38">
        <v>0.09</v>
      </c>
      <c r="F13" s="38">
        <f>E13*F11</f>
        <v>2.16</v>
      </c>
      <c r="G13" s="38"/>
      <c r="H13" s="259">
        <f>F13*G13</f>
        <v>0</v>
      </c>
      <c r="I13" s="2"/>
    </row>
    <row r="14" spans="1:9" ht="33" customHeight="1">
      <c r="A14" s="4">
        <f>A13+0.1</f>
        <v>2.3</v>
      </c>
      <c r="B14" s="4"/>
      <c r="C14" s="43" t="s">
        <v>263</v>
      </c>
      <c r="D14" s="4" t="s">
        <v>16</v>
      </c>
      <c r="E14" s="4"/>
      <c r="F14" s="4">
        <v>24</v>
      </c>
      <c r="G14" s="4"/>
      <c r="H14" s="12">
        <f>F14*G14</f>
        <v>0</v>
      </c>
      <c r="I14" s="2"/>
    </row>
    <row r="15" spans="1:9" ht="36" customHeight="1">
      <c r="A15" s="6">
        <v>3</v>
      </c>
      <c r="B15" s="4" t="s">
        <v>32</v>
      </c>
      <c r="C15" s="44" t="s">
        <v>264</v>
      </c>
      <c r="D15" s="6" t="s">
        <v>29</v>
      </c>
      <c r="E15" s="4"/>
      <c r="F15" s="335">
        <v>350</v>
      </c>
      <c r="G15" s="8"/>
      <c r="H15" s="336">
        <f>SUM(H16:H19)</f>
        <v>0</v>
      </c>
      <c r="I15" s="2"/>
    </row>
    <row r="16" spans="1:9" ht="28.5" customHeight="1">
      <c r="A16" s="4">
        <f>A15+0.1</f>
        <v>3.1</v>
      </c>
      <c r="B16" s="4"/>
      <c r="C16" s="43" t="s">
        <v>261</v>
      </c>
      <c r="D16" s="328" t="s">
        <v>28</v>
      </c>
      <c r="E16" s="328">
        <v>0.3</v>
      </c>
      <c r="F16" s="333">
        <f>F15*E16</f>
        <v>105</v>
      </c>
      <c r="G16" s="333"/>
      <c r="H16" s="337">
        <f>F16*G16</f>
        <v>0</v>
      </c>
      <c r="I16" s="2"/>
    </row>
    <row r="17" spans="1:9" ht="21.75" customHeight="1">
      <c r="A17" s="4">
        <f>A16+0.1</f>
        <v>3.2</v>
      </c>
      <c r="B17" s="4"/>
      <c r="C17" s="43" t="s">
        <v>30</v>
      </c>
      <c r="D17" s="38" t="s">
        <v>20</v>
      </c>
      <c r="E17" s="38">
        <v>0.0041</v>
      </c>
      <c r="F17" s="38">
        <f>E17*F15</f>
        <v>1.435</v>
      </c>
      <c r="G17" s="38"/>
      <c r="H17" s="259">
        <f>F17*G17</f>
        <v>0</v>
      </c>
      <c r="I17" s="2"/>
    </row>
    <row r="18" spans="1:9" ht="34.5" customHeight="1">
      <c r="A18" s="4">
        <f>A17+0.1</f>
        <v>3.3</v>
      </c>
      <c r="B18" s="4"/>
      <c r="C18" s="43" t="s">
        <v>265</v>
      </c>
      <c r="D18" s="4" t="s">
        <v>29</v>
      </c>
      <c r="E18" s="4"/>
      <c r="F18" s="8">
        <v>200</v>
      </c>
      <c r="G18" s="15"/>
      <c r="H18" s="338">
        <f>F18*G18</f>
        <v>0</v>
      </c>
      <c r="I18" s="2"/>
    </row>
    <row r="19" spans="1:9" ht="34.5" customHeight="1">
      <c r="A19" s="4">
        <f>A18+0.1</f>
        <v>3.4</v>
      </c>
      <c r="B19" s="4"/>
      <c r="C19" s="43" t="s">
        <v>266</v>
      </c>
      <c r="D19" s="4" t="s">
        <v>29</v>
      </c>
      <c r="E19" s="4"/>
      <c r="F19" s="8">
        <v>150</v>
      </c>
      <c r="G19" s="15"/>
      <c r="H19" s="338">
        <f>F19*G19</f>
        <v>0</v>
      </c>
      <c r="I19" s="2"/>
    </row>
    <row r="20" spans="1:9" ht="36" customHeight="1">
      <c r="A20" s="6">
        <v>4</v>
      </c>
      <c r="B20" s="4" t="s">
        <v>32</v>
      </c>
      <c r="C20" s="44" t="s">
        <v>267</v>
      </c>
      <c r="D20" s="6" t="s">
        <v>29</v>
      </c>
      <c r="E20" s="4"/>
      <c r="F20" s="335">
        <v>50</v>
      </c>
      <c r="G20" s="8"/>
      <c r="H20" s="336">
        <f>SUM(H21:H23)</f>
        <v>0</v>
      </c>
      <c r="I20" s="2"/>
    </row>
    <row r="21" spans="1:9" ht="28.5" customHeight="1">
      <c r="A21" s="4">
        <f>A20+0.1</f>
        <v>4.1</v>
      </c>
      <c r="B21" s="4"/>
      <c r="C21" s="43" t="s">
        <v>261</v>
      </c>
      <c r="D21" s="328" t="s">
        <v>28</v>
      </c>
      <c r="E21" s="328">
        <v>0.2</v>
      </c>
      <c r="F21" s="333">
        <f>F20*E21</f>
        <v>10</v>
      </c>
      <c r="G21" s="333"/>
      <c r="H21" s="337">
        <f>F21*G21</f>
        <v>0</v>
      </c>
      <c r="I21" s="2"/>
    </row>
    <row r="22" spans="1:9" ht="21.75" customHeight="1">
      <c r="A22" s="4">
        <f>A21+0.1</f>
        <v>4.2</v>
      </c>
      <c r="B22" s="4"/>
      <c r="C22" s="43" t="s">
        <v>30</v>
      </c>
      <c r="D22" s="38" t="s">
        <v>20</v>
      </c>
      <c r="E22" s="38">
        <v>0.0041</v>
      </c>
      <c r="F22" s="38">
        <f>E22*F20</f>
        <v>0.205</v>
      </c>
      <c r="G22" s="38"/>
      <c r="H22" s="259">
        <f>F22*G22</f>
        <v>0</v>
      </c>
      <c r="I22" s="2"/>
    </row>
    <row r="23" spans="1:9" ht="34.5" customHeight="1">
      <c r="A23" s="4">
        <f>A22+0.1</f>
        <v>4.3</v>
      </c>
      <c r="B23" s="4"/>
      <c r="C23" s="43" t="s">
        <v>267</v>
      </c>
      <c r="D23" s="4" t="s">
        <v>29</v>
      </c>
      <c r="E23" s="4"/>
      <c r="F23" s="8">
        <v>50</v>
      </c>
      <c r="G23" s="15"/>
      <c r="H23" s="338">
        <f>F23*G23</f>
        <v>0</v>
      </c>
      <c r="I23" s="2"/>
    </row>
    <row r="24" spans="1:8" ht="37.5" customHeight="1">
      <c r="A24" s="339"/>
      <c r="B24" s="3"/>
      <c r="C24" s="44" t="s">
        <v>40</v>
      </c>
      <c r="D24" s="4"/>
      <c r="E24" s="4"/>
      <c r="F24" s="4"/>
      <c r="G24" s="4"/>
      <c r="H24" s="42">
        <f>H7+H15+H11+H20</f>
        <v>0</v>
      </c>
    </row>
    <row r="25" spans="1:10" ht="24.75" customHeight="1">
      <c r="A25" s="339"/>
      <c r="B25" s="6"/>
      <c r="C25" s="44" t="s">
        <v>268</v>
      </c>
      <c r="D25" s="4" t="s">
        <v>13</v>
      </c>
      <c r="E25" s="4"/>
      <c r="F25" s="4"/>
      <c r="G25" s="4"/>
      <c r="H25" s="337">
        <f>H8+H12+H16+H21</f>
        <v>0</v>
      </c>
      <c r="J25" s="11"/>
    </row>
    <row r="26" spans="1:10" ht="24.75" customHeight="1">
      <c r="A26" s="4"/>
      <c r="B26" s="6"/>
      <c r="C26" s="44" t="s">
        <v>42</v>
      </c>
      <c r="D26" s="4" t="s">
        <v>13</v>
      </c>
      <c r="E26" s="328"/>
      <c r="F26" s="333"/>
      <c r="G26" s="333"/>
      <c r="H26" s="259">
        <f>H9+H13+H17+H22</f>
        <v>0</v>
      </c>
      <c r="J26" s="11"/>
    </row>
    <row r="27" spans="1:8" ht="20.25" customHeight="1">
      <c r="A27" s="4"/>
      <c r="B27" s="4"/>
      <c r="C27" s="44" t="s">
        <v>269</v>
      </c>
      <c r="D27" s="4" t="s">
        <v>13</v>
      </c>
      <c r="E27" s="38"/>
      <c r="F27" s="9"/>
      <c r="G27" s="9"/>
      <c r="H27" s="12">
        <f>H24-H25-H26</f>
        <v>0</v>
      </c>
    </row>
    <row r="28" spans="1:8" ht="48" customHeight="1">
      <c r="A28" s="4"/>
      <c r="B28" s="4"/>
      <c r="C28" s="44" t="s">
        <v>44</v>
      </c>
      <c r="D28" s="4" t="s">
        <v>13</v>
      </c>
      <c r="E28" s="4"/>
      <c r="F28" s="8"/>
      <c r="G28" s="8"/>
      <c r="H28" s="42">
        <f>SUM(H25:H27)</f>
        <v>0</v>
      </c>
    </row>
    <row r="29" spans="1:10" ht="36" customHeight="1">
      <c r="A29" s="4"/>
      <c r="B29" s="4"/>
      <c r="C29" s="44" t="s">
        <v>270</v>
      </c>
      <c r="D29" s="4" t="s">
        <v>13</v>
      </c>
      <c r="E29" s="4"/>
      <c r="F29" s="8"/>
      <c r="G29" s="8"/>
      <c r="H29" s="12">
        <f>H25*0.65</f>
        <v>0</v>
      </c>
      <c r="J29" s="2"/>
    </row>
    <row r="30" spans="1:11" ht="35.25" customHeight="1">
      <c r="A30" s="43"/>
      <c r="B30" s="4"/>
      <c r="C30" s="44" t="s">
        <v>14</v>
      </c>
      <c r="D30" s="4" t="s">
        <v>13</v>
      </c>
      <c r="E30" s="4"/>
      <c r="F30" s="8"/>
      <c r="G30" s="8"/>
      <c r="H30" s="12">
        <f>H28+H29</f>
        <v>0</v>
      </c>
      <c r="J30" s="2"/>
      <c r="K30" s="2"/>
    </row>
    <row r="31" spans="1:10" ht="22.5" customHeight="1">
      <c r="A31" s="43"/>
      <c r="B31" s="340"/>
      <c r="C31" s="44" t="s">
        <v>271</v>
      </c>
      <c r="D31" s="4" t="s">
        <v>13</v>
      </c>
      <c r="E31" s="4"/>
      <c r="F31" s="8"/>
      <c r="G31" s="8"/>
      <c r="H31" s="12">
        <f>H30*0.08</f>
        <v>0</v>
      </c>
      <c r="J31" s="2"/>
    </row>
    <row r="32" spans="1:10" ht="19.5" customHeight="1">
      <c r="A32" s="43"/>
      <c r="B32" s="4"/>
      <c r="C32" s="44" t="s">
        <v>10</v>
      </c>
      <c r="D32" s="4" t="s">
        <v>13</v>
      </c>
      <c r="E32" s="4"/>
      <c r="F32" s="4"/>
      <c r="G32" s="4"/>
      <c r="H32" s="12">
        <f>H30+H31</f>
        <v>0</v>
      </c>
      <c r="I32" s="2"/>
      <c r="J32" s="2"/>
    </row>
    <row r="33" spans="1:9" ht="16.5">
      <c r="A33" s="341"/>
      <c r="B33" s="342"/>
      <c r="C33" s="341"/>
      <c r="D33" s="7"/>
      <c r="E33" s="7"/>
      <c r="F33" s="7"/>
      <c r="G33" s="7"/>
      <c r="H33" s="10"/>
      <c r="I33" s="2"/>
    </row>
    <row r="34" spans="1:10" ht="24" customHeight="1">
      <c r="A34" s="341"/>
      <c r="B34" s="342"/>
      <c r="C34" s="341"/>
      <c r="D34" s="7"/>
      <c r="E34" s="665"/>
      <c r="F34" s="665"/>
      <c r="G34" s="665"/>
      <c r="H34" s="10"/>
      <c r="I34" s="2"/>
      <c r="J34" s="11"/>
    </row>
    <row r="35" spans="2:10" ht="23.25" customHeight="1">
      <c r="B35" s="342"/>
      <c r="C35" s="575" t="s">
        <v>492</v>
      </c>
      <c r="J35" s="11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</sheetData>
  <sheetProtection/>
  <mergeCells count="8">
    <mergeCell ref="E34:G34"/>
    <mergeCell ref="A2:H2"/>
    <mergeCell ref="A3:H3"/>
    <mergeCell ref="A4:A5"/>
    <mergeCell ref="B4:B5"/>
    <mergeCell ref="C4:C5"/>
    <mergeCell ref="D4:D5"/>
    <mergeCell ref="E4:F4"/>
  </mergeCells>
  <printOptions/>
  <pageMargins left="0.7" right="0.22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37">
      <selection activeCell="C48" sqref="C48"/>
    </sheetView>
  </sheetViews>
  <sheetFormatPr defaultColWidth="9.00390625" defaultRowHeight="12.75"/>
  <cols>
    <col min="1" max="1" width="4.75390625" style="1" customWidth="1"/>
    <col min="2" max="2" width="10.375" style="1" customWidth="1"/>
    <col min="3" max="3" width="40.75390625" style="1" customWidth="1"/>
    <col min="4" max="4" width="7.625" style="1" customWidth="1"/>
    <col min="5" max="7" width="7.75390625" style="1" customWidth="1"/>
    <col min="8" max="8" width="7.75390625" style="2" customWidth="1"/>
    <col min="9" max="16384" width="9.125" style="1" customWidth="1"/>
  </cols>
  <sheetData>
    <row r="1" spans="1:8" ht="27" customHeight="1">
      <c r="A1" s="648" t="s">
        <v>300</v>
      </c>
      <c r="B1" s="648"/>
      <c r="C1" s="648"/>
      <c r="D1" s="648"/>
      <c r="E1" s="648"/>
      <c r="F1" s="648"/>
      <c r="G1" s="648"/>
      <c r="H1" s="648"/>
    </row>
    <row r="2" spans="1:8" ht="45.75" customHeight="1">
      <c r="A2" s="650" t="s">
        <v>456</v>
      </c>
      <c r="B2" s="650"/>
      <c r="C2" s="650"/>
      <c r="D2" s="650"/>
      <c r="E2" s="650"/>
      <c r="F2" s="650"/>
      <c r="G2" s="650"/>
      <c r="H2" s="650"/>
    </row>
    <row r="3" spans="1:8" ht="63" customHeight="1">
      <c r="A3" s="621" t="s">
        <v>7</v>
      </c>
      <c r="B3" s="623" t="s">
        <v>8</v>
      </c>
      <c r="C3" s="621" t="s">
        <v>9</v>
      </c>
      <c r="D3" s="623" t="s">
        <v>24</v>
      </c>
      <c r="E3" s="611" t="s">
        <v>15</v>
      </c>
      <c r="F3" s="613"/>
      <c r="G3" s="611" t="s">
        <v>25</v>
      </c>
      <c r="H3" s="613"/>
    </row>
    <row r="4" spans="1:8" ht="100.5" customHeight="1">
      <c r="A4" s="645"/>
      <c r="B4" s="646"/>
      <c r="C4" s="645"/>
      <c r="D4" s="649"/>
      <c r="E4" s="13" t="s">
        <v>26</v>
      </c>
      <c r="F4" s="13" t="s">
        <v>27</v>
      </c>
      <c r="G4" s="13" t="s">
        <v>26</v>
      </c>
      <c r="H4" s="253" t="s">
        <v>10</v>
      </c>
    </row>
    <row r="5" spans="1:8" ht="16.5" customHeight="1" thickBot="1">
      <c r="A5" s="50">
        <v>1</v>
      </c>
      <c r="B5" s="50">
        <v>2</v>
      </c>
      <c r="C5" s="50">
        <v>3</v>
      </c>
      <c r="D5" s="48">
        <v>4</v>
      </c>
      <c r="E5" s="48">
        <v>5</v>
      </c>
      <c r="F5" s="48">
        <v>6</v>
      </c>
      <c r="G5" s="48">
        <v>7</v>
      </c>
      <c r="H5" s="254">
        <v>8</v>
      </c>
    </row>
    <row r="6" spans="1:8" ht="53.25" customHeight="1" thickBot="1">
      <c r="A6" s="82">
        <v>1</v>
      </c>
      <c r="B6" s="65" t="s">
        <v>32</v>
      </c>
      <c r="C6" s="66" t="s">
        <v>228</v>
      </c>
      <c r="D6" s="65" t="s">
        <v>85</v>
      </c>
      <c r="E6" s="68"/>
      <c r="F6" s="90">
        <v>1.1</v>
      </c>
      <c r="G6" s="68"/>
      <c r="H6" s="69">
        <f>SUM(H7:H13)</f>
        <v>0</v>
      </c>
    </row>
    <row r="7" spans="1:8" ht="16.5" customHeight="1">
      <c r="A7" s="49">
        <f aca="true" t="shared" si="0" ref="A7:A19">A6+0.1</f>
        <v>1.1</v>
      </c>
      <c r="B7" s="73" t="s">
        <v>32</v>
      </c>
      <c r="C7" s="51" t="s">
        <v>17</v>
      </c>
      <c r="D7" s="51" t="s">
        <v>28</v>
      </c>
      <c r="E7" s="54">
        <v>62.6</v>
      </c>
      <c r="F7" s="75">
        <f>F6*E7</f>
        <v>68.86</v>
      </c>
      <c r="G7" s="54"/>
      <c r="H7" s="58">
        <f aca="true" t="shared" si="1" ref="H7:H13">G7*F7</f>
        <v>0</v>
      </c>
    </row>
    <row r="8" spans="1:8" ht="16.5" customHeight="1">
      <c r="A8" s="17">
        <f t="shared" si="0"/>
        <v>1.2</v>
      </c>
      <c r="B8" s="20"/>
      <c r="C8" s="18" t="s">
        <v>1</v>
      </c>
      <c r="D8" s="18" t="s">
        <v>21</v>
      </c>
      <c r="E8" s="22">
        <v>1</v>
      </c>
      <c r="F8" s="22">
        <f>F6*E8</f>
        <v>1.1</v>
      </c>
      <c r="G8" s="22"/>
      <c r="H8" s="24">
        <f t="shared" si="1"/>
        <v>0</v>
      </c>
    </row>
    <row r="9" spans="1:8" ht="46.5" customHeight="1">
      <c r="A9" s="17">
        <f t="shared" si="0"/>
        <v>1.3</v>
      </c>
      <c r="B9" s="20"/>
      <c r="C9" s="17" t="s">
        <v>202</v>
      </c>
      <c r="D9" s="17" t="s">
        <v>103</v>
      </c>
      <c r="E9" s="23" t="s">
        <v>19</v>
      </c>
      <c r="F9" s="23">
        <v>1.1</v>
      </c>
      <c r="G9" s="23"/>
      <c r="H9" s="25">
        <f t="shared" si="1"/>
        <v>0</v>
      </c>
    </row>
    <row r="10" spans="1:8" ht="33.75" customHeight="1" hidden="1">
      <c r="A10" s="17">
        <f t="shared" si="0"/>
        <v>1.4</v>
      </c>
      <c r="B10" s="20"/>
      <c r="C10" s="17"/>
      <c r="D10" s="17"/>
      <c r="E10" s="26"/>
      <c r="F10" s="26"/>
      <c r="G10" s="23"/>
      <c r="H10" s="25"/>
    </row>
    <row r="11" spans="1:8" ht="19.5" customHeight="1" hidden="1" thickBot="1">
      <c r="A11" s="17">
        <f t="shared" si="0"/>
        <v>1.5</v>
      </c>
      <c r="B11" s="20"/>
      <c r="C11" s="17"/>
      <c r="D11" s="17"/>
      <c r="E11" s="26"/>
      <c r="F11" s="21"/>
      <c r="G11" s="23"/>
      <c r="H11" s="25"/>
    </row>
    <row r="12" spans="1:8" ht="19.5" customHeight="1">
      <c r="A12" s="17">
        <f t="shared" si="0"/>
        <v>1.6</v>
      </c>
      <c r="B12" s="70"/>
      <c r="C12" s="55" t="s">
        <v>86</v>
      </c>
      <c r="D12" s="55" t="s">
        <v>18</v>
      </c>
      <c r="E12" s="76" t="s">
        <v>19</v>
      </c>
      <c r="F12" s="76">
        <v>7</v>
      </c>
      <c r="G12" s="71"/>
      <c r="H12" s="25">
        <f t="shared" si="1"/>
        <v>0</v>
      </c>
    </row>
    <row r="13" spans="1:8" ht="19.5" customHeight="1" thickBot="1">
      <c r="A13" s="55">
        <f t="shared" si="0"/>
        <v>1.7</v>
      </c>
      <c r="B13" s="70"/>
      <c r="C13" s="55" t="s">
        <v>84</v>
      </c>
      <c r="D13" s="55" t="s">
        <v>13</v>
      </c>
      <c r="E13" s="71">
        <v>2.78</v>
      </c>
      <c r="F13" s="71">
        <f>F6*E13</f>
        <v>3.06</v>
      </c>
      <c r="G13" s="71"/>
      <c r="H13" s="72">
        <f t="shared" si="1"/>
        <v>0</v>
      </c>
    </row>
    <row r="14" spans="1:8" ht="51" customHeight="1" thickBot="1">
      <c r="A14" s="82">
        <f>A6+1</f>
        <v>2</v>
      </c>
      <c r="B14" s="65" t="s">
        <v>32</v>
      </c>
      <c r="C14" s="66" t="s">
        <v>470</v>
      </c>
      <c r="D14" s="65" t="s">
        <v>85</v>
      </c>
      <c r="E14" s="68"/>
      <c r="F14" s="90">
        <v>6.5</v>
      </c>
      <c r="G14" s="68"/>
      <c r="H14" s="106">
        <f>SUM(H15:H19)</f>
        <v>0</v>
      </c>
    </row>
    <row r="15" spans="1:8" ht="19.5" customHeight="1">
      <c r="A15" s="49">
        <f t="shared" si="0"/>
        <v>2.1</v>
      </c>
      <c r="B15" s="73" t="s">
        <v>32</v>
      </c>
      <c r="C15" s="51" t="s">
        <v>17</v>
      </c>
      <c r="D15" s="51" t="s">
        <v>28</v>
      </c>
      <c r="E15" s="54">
        <f>62.6*0.6</f>
        <v>37.56</v>
      </c>
      <c r="F15" s="75">
        <f>F14*E15</f>
        <v>244.14</v>
      </c>
      <c r="G15" s="54"/>
      <c r="H15" s="58">
        <f aca="true" t="shared" si="2" ref="H15:H20">G15*F15</f>
        <v>0</v>
      </c>
    </row>
    <row r="16" spans="1:8" ht="19.5" customHeight="1">
      <c r="A16" s="17">
        <f t="shared" si="0"/>
        <v>2.2</v>
      </c>
      <c r="B16" s="20" t="s">
        <v>90</v>
      </c>
      <c r="C16" s="18" t="s">
        <v>1</v>
      </c>
      <c r="D16" s="18" t="s">
        <v>21</v>
      </c>
      <c r="E16" s="22">
        <f>1*0.6</f>
        <v>0.6</v>
      </c>
      <c r="F16" s="22">
        <f>F14*E16</f>
        <v>3.9</v>
      </c>
      <c r="G16" s="22"/>
      <c r="H16" s="24">
        <f t="shared" si="2"/>
        <v>0</v>
      </c>
    </row>
    <row r="17" spans="1:8" ht="19.5" customHeight="1">
      <c r="A17" s="17">
        <f t="shared" si="0"/>
        <v>2.3</v>
      </c>
      <c r="B17" s="20"/>
      <c r="C17" s="17" t="s">
        <v>467</v>
      </c>
      <c r="D17" s="17" t="s">
        <v>103</v>
      </c>
      <c r="E17" s="23" t="s">
        <v>19</v>
      </c>
      <c r="F17" s="23">
        <v>0.62</v>
      </c>
      <c r="G17" s="23"/>
      <c r="H17" s="25">
        <f t="shared" si="2"/>
        <v>0</v>
      </c>
    </row>
    <row r="18" spans="1:8" ht="19.5" customHeight="1">
      <c r="A18" s="17">
        <v>2.4</v>
      </c>
      <c r="B18" s="70"/>
      <c r="C18" s="55" t="s">
        <v>86</v>
      </c>
      <c r="D18" s="55" t="s">
        <v>18</v>
      </c>
      <c r="E18" s="76" t="s">
        <v>19</v>
      </c>
      <c r="F18" s="76">
        <v>22</v>
      </c>
      <c r="G18" s="71"/>
      <c r="H18" s="25">
        <f t="shared" si="2"/>
        <v>0</v>
      </c>
    </row>
    <row r="19" spans="1:8" ht="19.5" customHeight="1" thickBot="1">
      <c r="A19" s="17">
        <f t="shared" si="0"/>
        <v>2.5</v>
      </c>
      <c r="B19" s="70"/>
      <c r="C19" s="55" t="s">
        <v>84</v>
      </c>
      <c r="D19" s="55" t="s">
        <v>13</v>
      </c>
      <c r="E19" s="71">
        <v>2.78</v>
      </c>
      <c r="F19" s="71">
        <f>F14*E19</f>
        <v>18.07</v>
      </c>
      <c r="G19" s="71"/>
      <c r="H19" s="72">
        <f t="shared" si="2"/>
        <v>0</v>
      </c>
    </row>
    <row r="20" spans="1:8" ht="47.25" customHeight="1" thickBot="1">
      <c r="A20" s="82">
        <f>A14+1</f>
        <v>3</v>
      </c>
      <c r="B20" s="65" t="s">
        <v>32</v>
      </c>
      <c r="C20" s="66" t="s">
        <v>455</v>
      </c>
      <c r="D20" s="65" t="s">
        <v>105</v>
      </c>
      <c r="E20" s="68"/>
      <c r="F20" s="90">
        <v>2</v>
      </c>
      <c r="G20" s="68"/>
      <c r="H20" s="106">
        <f t="shared" si="2"/>
        <v>0</v>
      </c>
    </row>
    <row r="21" spans="1:8" ht="19.5" customHeight="1" hidden="1">
      <c r="A21" s="49"/>
      <c r="B21" s="73"/>
      <c r="C21" s="51"/>
      <c r="D21" s="51"/>
      <c r="E21" s="54"/>
      <c r="F21" s="75"/>
      <c r="G21" s="54"/>
      <c r="H21" s="58"/>
    </row>
    <row r="22" spans="1:8" ht="19.5" customHeight="1" hidden="1">
      <c r="A22" s="17"/>
      <c r="B22" s="20"/>
      <c r="C22" s="18"/>
      <c r="D22" s="18"/>
      <c r="E22" s="22"/>
      <c r="F22" s="22"/>
      <c r="G22" s="22"/>
      <c r="H22" s="24"/>
    </row>
    <row r="23" spans="1:8" ht="19.5" customHeight="1" hidden="1">
      <c r="A23" s="17"/>
      <c r="B23" s="20"/>
      <c r="C23" s="17"/>
      <c r="D23" s="17"/>
      <c r="E23" s="23"/>
      <c r="F23" s="23"/>
      <c r="G23" s="23"/>
      <c r="H23" s="25"/>
    </row>
    <row r="24" spans="1:8" ht="19.5" customHeight="1" hidden="1">
      <c r="A24" s="17"/>
      <c r="B24" s="20"/>
      <c r="C24" s="17"/>
      <c r="D24" s="17"/>
      <c r="E24" s="26"/>
      <c r="F24" s="26"/>
      <c r="G24" s="23"/>
      <c r="H24" s="25"/>
    </row>
    <row r="25" spans="1:8" ht="19.5" customHeight="1" hidden="1">
      <c r="A25" s="17"/>
      <c r="B25" s="20"/>
      <c r="C25" s="17"/>
      <c r="D25" s="17"/>
      <c r="E25" s="26"/>
      <c r="F25" s="21"/>
      <c r="G25" s="23"/>
      <c r="H25" s="25"/>
    </row>
    <row r="26" spans="1:8" ht="19.5" customHeight="1" hidden="1">
      <c r="A26" s="17"/>
      <c r="B26" s="70"/>
      <c r="C26" s="55"/>
      <c r="D26" s="55"/>
      <c r="E26" s="76"/>
      <c r="F26" s="76"/>
      <c r="G26" s="71"/>
      <c r="H26" s="25"/>
    </row>
    <row r="27" spans="1:8" ht="19.5" customHeight="1" hidden="1" thickBot="1">
      <c r="A27" s="55"/>
      <c r="B27" s="70"/>
      <c r="C27" s="55"/>
      <c r="D27" s="55"/>
      <c r="E27" s="71"/>
      <c r="F27" s="71"/>
      <c r="G27" s="71"/>
      <c r="H27" s="72"/>
    </row>
    <row r="28" spans="1:8" ht="19.5" customHeight="1" hidden="1">
      <c r="A28" s="29"/>
      <c r="B28" s="273"/>
      <c r="C28" s="29"/>
      <c r="D28" s="29"/>
      <c r="E28" s="274"/>
      <c r="F28" s="274"/>
      <c r="G28" s="274"/>
      <c r="H28" s="47"/>
    </row>
    <row r="29" spans="1:8" ht="19.5" customHeight="1" hidden="1">
      <c r="A29" s="29"/>
      <c r="B29" s="273"/>
      <c r="C29" s="29"/>
      <c r="D29" s="29"/>
      <c r="E29" s="274"/>
      <c r="F29" s="274"/>
      <c r="G29" s="274"/>
      <c r="H29" s="47"/>
    </row>
    <row r="30" spans="1:8" ht="19.5" customHeight="1" hidden="1" thickBot="1">
      <c r="A30" s="29"/>
      <c r="B30" s="273"/>
      <c r="C30" s="29"/>
      <c r="D30" s="29"/>
      <c r="E30" s="274"/>
      <c r="F30" s="274"/>
      <c r="G30" s="274"/>
      <c r="H30" s="47"/>
    </row>
    <row r="31" spans="1:8" ht="54" customHeight="1" thickBot="1">
      <c r="A31" s="64">
        <f>A20+1</f>
        <v>4</v>
      </c>
      <c r="B31" s="81" t="s">
        <v>87</v>
      </c>
      <c r="C31" s="66" t="s">
        <v>315</v>
      </c>
      <c r="D31" s="67" t="s">
        <v>92</v>
      </c>
      <c r="E31" s="68"/>
      <c r="F31" s="67">
        <v>603</v>
      </c>
      <c r="G31" s="68"/>
      <c r="H31" s="106">
        <f>SUM(H32:H36)</f>
        <v>0</v>
      </c>
    </row>
    <row r="32" spans="1:8" ht="20.25" customHeight="1">
      <c r="A32" s="49">
        <f>A31+0.1</f>
        <v>4.1</v>
      </c>
      <c r="B32" s="51" t="s">
        <v>201</v>
      </c>
      <c r="C32" s="51" t="s">
        <v>17</v>
      </c>
      <c r="D32" s="51" t="s">
        <v>28</v>
      </c>
      <c r="E32" s="236">
        <f>65.8/100*1.15</f>
        <v>0.757</v>
      </c>
      <c r="F32" s="75">
        <f>F31*E32</f>
        <v>456.47</v>
      </c>
      <c r="G32" s="54"/>
      <c r="H32" s="58">
        <f>G32*F32</f>
        <v>0</v>
      </c>
    </row>
    <row r="33" spans="1:8" ht="20.25" customHeight="1">
      <c r="A33" s="17">
        <f>A32+0.1</f>
        <v>4.2</v>
      </c>
      <c r="B33" s="18" t="s">
        <v>201</v>
      </c>
      <c r="C33" s="18" t="s">
        <v>1</v>
      </c>
      <c r="D33" s="18" t="s">
        <v>21</v>
      </c>
      <c r="E33" s="235">
        <f>0.01*1.15</f>
        <v>0.0115</v>
      </c>
      <c r="F33" s="28">
        <f>F31*E33</f>
        <v>6.93</v>
      </c>
      <c r="G33" s="22"/>
      <c r="H33" s="24">
        <f>G33*F33</f>
        <v>0</v>
      </c>
    </row>
    <row r="34" spans="1:8" ht="20.25" customHeight="1">
      <c r="A34" s="17">
        <f>A33+0.1</f>
        <v>4.3</v>
      </c>
      <c r="B34" s="18"/>
      <c r="C34" s="17" t="s">
        <v>143</v>
      </c>
      <c r="D34" s="17" t="s">
        <v>18</v>
      </c>
      <c r="E34" s="23" t="s">
        <v>19</v>
      </c>
      <c r="F34" s="26">
        <f>F31*0.15*1.45</f>
        <v>131.15</v>
      </c>
      <c r="G34" s="23"/>
      <c r="H34" s="25">
        <f>G34*F34</f>
        <v>0</v>
      </c>
    </row>
    <row r="35" spans="1:8" ht="20.25" customHeight="1">
      <c r="A35" s="17">
        <f>A34+0.1</f>
        <v>4.4</v>
      </c>
      <c r="B35" s="35"/>
      <c r="C35" s="17" t="s">
        <v>180</v>
      </c>
      <c r="D35" s="23" t="s">
        <v>18</v>
      </c>
      <c r="E35" s="23" t="s">
        <v>19</v>
      </c>
      <c r="F35" s="26">
        <f>F31*0.15*1.55</f>
        <v>140.2</v>
      </c>
      <c r="G35" s="23"/>
      <c r="H35" s="25">
        <f>G35*F35</f>
        <v>0</v>
      </c>
    </row>
    <row r="36" spans="1:8" ht="20.25" customHeight="1">
      <c r="A36" s="17">
        <f>A35+0.1</f>
        <v>4.5</v>
      </c>
      <c r="B36" s="35"/>
      <c r="C36" s="17" t="s">
        <v>2</v>
      </c>
      <c r="D36" s="23" t="s">
        <v>13</v>
      </c>
      <c r="E36" s="83">
        <f>1.6/100</f>
        <v>0.016</v>
      </c>
      <c r="F36" s="26">
        <f>F31*E36</f>
        <v>9.65</v>
      </c>
      <c r="G36" s="23"/>
      <c r="H36" s="25">
        <f>G36*F36</f>
        <v>0</v>
      </c>
    </row>
    <row r="37" spans="1:8" ht="44.25" customHeight="1">
      <c r="A37" s="4"/>
      <c r="B37" s="4"/>
      <c r="C37" s="6" t="s">
        <v>3</v>
      </c>
      <c r="D37" s="6" t="s">
        <v>13</v>
      </c>
      <c r="E37" s="4"/>
      <c r="F37" s="4"/>
      <c r="G37" s="4"/>
      <c r="H37" s="27">
        <f>H31+H6+H20+H14</f>
        <v>0</v>
      </c>
    </row>
    <row r="38" spans="1:8" ht="18.75" customHeight="1">
      <c r="A38" s="4"/>
      <c r="B38" s="4"/>
      <c r="C38" s="32" t="s">
        <v>4</v>
      </c>
      <c r="D38" s="4" t="s">
        <v>13</v>
      </c>
      <c r="E38" s="4"/>
      <c r="F38" s="4"/>
      <c r="G38" s="4"/>
      <c r="H38" s="30">
        <f>H32+H7</f>
        <v>0</v>
      </c>
    </row>
    <row r="39" spans="1:8" ht="18.75" customHeight="1">
      <c r="A39" s="4"/>
      <c r="B39" s="4"/>
      <c r="C39" s="32" t="s">
        <v>5</v>
      </c>
      <c r="D39" s="4" t="s">
        <v>13</v>
      </c>
      <c r="E39" s="4"/>
      <c r="F39" s="4"/>
      <c r="G39" s="4"/>
      <c r="H39" s="31">
        <f>H33+H8</f>
        <v>0</v>
      </c>
    </row>
    <row r="40" spans="1:8" ht="18.75" customHeight="1">
      <c r="A40" s="4"/>
      <c r="B40" s="4"/>
      <c r="C40" s="4" t="s">
        <v>6</v>
      </c>
      <c r="D40" s="4" t="s">
        <v>13</v>
      </c>
      <c r="E40" s="4"/>
      <c r="F40" s="4"/>
      <c r="G40" s="4"/>
      <c r="H40" s="25">
        <f>H37-H38-H39</f>
        <v>0</v>
      </c>
    </row>
    <row r="41" spans="1:8" ht="44.25" customHeight="1">
      <c r="A41" s="4"/>
      <c r="B41" s="4"/>
      <c r="C41" s="6" t="s">
        <v>3</v>
      </c>
      <c r="D41" s="4" t="s">
        <v>13</v>
      </c>
      <c r="E41" s="4"/>
      <c r="F41" s="4"/>
      <c r="G41" s="4"/>
      <c r="H41" s="27">
        <f>SUM(H38:H40)</f>
        <v>0</v>
      </c>
    </row>
    <row r="42" spans="1:8" ht="16.5" customHeight="1">
      <c r="A42" s="4"/>
      <c r="B42" s="4"/>
      <c r="C42" s="4" t="s">
        <v>47</v>
      </c>
      <c r="D42" s="33">
        <v>0.1</v>
      </c>
      <c r="E42" s="4"/>
      <c r="F42" s="4"/>
      <c r="G42" s="4"/>
      <c r="H42" s="25">
        <f>D42*H41</f>
        <v>0</v>
      </c>
    </row>
    <row r="43" spans="1:8" ht="16.5" customHeight="1">
      <c r="A43" s="4"/>
      <c r="B43" s="4"/>
      <c r="C43" s="4" t="s">
        <v>14</v>
      </c>
      <c r="D43" s="4" t="s">
        <v>13</v>
      </c>
      <c r="E43" s="4"/>
      <c r="F43" s="4"/>
      <c r="G43" s="4"/>
      <c r="H43" s="27">
        <f>SUM(H41:H42)</f>
        <v>0</v>
      </c>
    </row>
    <row r="44" spans="1:8" ht="16.5" customHeight="1">
      <c r="A44" s="4"/>
      <c r="B44" s="4"/>
      <c r="C44" s="4" t="s">
        <v>23</v>
      </c>
      <c r="D44" s="33">
        <v>0.08</v>
      </c>
      <c r="E44" s="4"/>
      <c r="F44" s="4"/>
      <c r="G44" s="4"/>
      <c r="H44" s="25">
        <f>H43*D44</f>
        <v>0</v>
      </c>
    </row>
    <row r="45" spans="1:8" ht="16.5" customHeight="1">
      <c r="A45" s="4"/>
      <c r="B45" s="4"/>
      <c r="C45" s="6" t="s">
        <v>10</v>
      </c>
      <c r="D45" s="4" t="s">
        <v>13</v>
      </c>
      <c r="E45" s="4"/>
      <c r="F45" s="4"/>
      <c r="G45" s="4"/>
      <c r="H45" s="27">
        <f>H44+H43</f>
        <v>0</v>
      </c>
    </row>
    <row r="46" spans="1:8" ht="16.5" customHeight="1">
      <c r="A46" s="7"/>
      <c r="B46" s="7"/>
      <c r="C46" s="36"/>
      <c r="D46" s="7"/>
      <c r="E46" s="7"/>
      <c r="F46" s="7"/>
      <c r="G46" s="7"/>
      <c r="H46" s="37"/>
    </row>
    <row r="47" spans="1:8" ht="16.5" customHeight="1">
      <c r="A47" s="7"/>
      <c r="B47" s="7"/>
      <c r="C47" s="36"/>
      <c r="D47" s="7"/>
      <c r="E47" s="630"/>
      <c r="F47" s="630"/>
      <c r="G47" s="630"/>
      <c r="H47" s="37"/>
    </row>
    <row r="48" spans="1:8" ht="16.5" customHeight="1">
      <c r="A48" s="7"/>
      <c r="B48" s="7"/>
      <c r="C48" s="575" t="s">
        <v>492</v>
      </c>
      <c r="D48" s="7"/>
      <c r="E48" s="7"/>
      <c r="F48" s="7"/>
      <c r="G48" s="7"/>
      <c r="H48" s="37"/>
    </row>
    <row r="49" spans="1:8" s="34" customFormat="1" ht="16.5" customHeight="1">
      <c r="A49" s="7"/>
      <c r="B49" s="7"/>
      <c r="C49" s="36"/>
      <c r="D49" s="7"/>
      <c r="E49" s="7"/>
      <c r="F49" s="7"/>
      <c r="G49" s="7"/>
      <c r="H49" s="37"/>
    </row>
    <row r="50" spans="1:8" s="34" customFormat="1" ht="16.5" customHeight="1">
      <c r="A50" s="7"/>
      <c r="B50" s="7"/>
      <c r="C50" s="36"/>
      <c r="D50" s="7"/>
      <c r="E50" s="7"/>
      <c r="F50" s="7"/>
      <c r="G50" s="7"/>
      <c r="H50" s="37"/>
    </row>
    <row r="51" spans="1:8" s="34" customFormat="1" ht="16.5" customHeight="1">
      <c r="A51" s="7"/>
      <c r="B51" s="7"/>
      <c r="C51" s="36"/>
      <c r="D51" s="7"/>
      <c r="E51" s="7"/>
      <c r="F51" s="7"/>
      <c r="G51" s="7"/>
      <c r="H51" s="37"/>
    </row>
    <row r="52" spans="1:8" s="34" customFormat="1" ht="16.5" customHeight="1">
      <c r="A52" s="7"/>
      <c r="B52" s="7"/>
      <c r="C52" s="36"/>
      <c r="D52" s="7"/>
      <c r="E52" s="7"/>
      <c r="F52" s="7"/>
      <c r="G52" s="7"/>
      <c r="H52" s="37"/>
    </row>
    <row r="53" spans="1:8" s="34" customFormat="1" ht="16.5" customHeight="1">
      <c r="A53" s="7"/>
      <c r="B53" s="7"/>
      <c r="C53" s="36"/>
      <c r="D53" s="7"/>
      <c r="E53" s="7"/>
      <c r="F53" s="7"/>
      <c r="G53" s="7"/>
      <c r="H53" s="37"/>
    </row>
    <row r="54" spans="1:8" s="34" customFormat="1" ht="16.5" customHeight="1">
      <c r="A54" s="7"/>
      <c r="B54" s="7"/>
      <c r="C54" s="36"/>
      <c r="D54" s="7"/>
      <c r="E54" s="7"/>
      <c r="F54" s="7"/>
      <c r="G54" s="7"/>
      <c r="H54" s="37"/>
    </row>
    <row r="55" spans="1:8" s="34" customFormat="1" ht="16.5" customHeight="1">
      <c r="A55" s="7"/>
      <c r="B55" s="7"/>
      <c r="C55" s="36"/>
      <c r="D55" s="7"/>
      <c r="E55" s="7"/>
      <c r="F55" s="7"/>
      <c r="G55" s="7"/>
      <c r="H55" s="37"/>
    </row>
    <row r="56" spans="1:8" s="34" customFormat="1" ht="16.5" customHeight="1">
      <c r="A56" s="7"/>
      <c r="B56" s="7"/>
      <c r="C56" s="36"/>
      <c r="D56" s="7"/>
      <c r="E56" s="7"/>
      <c r="F56" s="7"/>
      <c r="G56" s="7"/>
      <c r="H56" s="37"/>
    </row>
    <row r="57" spans="1:8" s="34" customFormat="1" ht="16.5" customHeight="1">
      <c r="A57" s="7"/>
      <c r="B57" s="7"/>
      <c r="C57" s="36"/>
      <c r="D57" s="7"/>
      <c r="E57" s="7"/>
      <c r="F57" s="7"/>
      <c r="G57" s="7"/>
      <c r="H57" s="37"/>
    </row>
    <row r="58" spans="1:8" s="34" customFormat="1" ht="16.5" customHeight="1">
      <c r="A58" s="7"/>
      <c r="B58" s="7"/>
      <c r="C58" s="36"/>
      <c r="D58" s="7"/>
      <c r="E58" s="7"/>
      <c r="F58" s="7"/>
      <c r="G58" s="7"/>
      <c r="H58" s="37"/>
    </row>
    <row r="59" spans="1:8" s="34" customFormat="1" ht="16.5" customHeight="1">
      <c r="A59" s="7"/>
      <c r="B59" s="7"/>
      <c r="C59" s="36"/>
      <c r="D59" s="7"/>
      <c r="E59" s="7"/>
      <c r="F59" s="7"/>
      <c r="G59" s="7"/>
      <c r="H59" s="37"/>
    </row>
    <row r="60" spans="1:8" s="34" customFormat="1" ht="16.5" customHeight="1">
      <c r="A60" s="7"/>
      <c r="B60" s="7"/>
      <c r="C60" s="36"/>
      <c r="D60" s="7"/>
      <c r="E60" s="7"/>
      <c r="F60" s="7"/>
      <c r="G60" s="7"/>
      <c r="H60" s="37"/>
    </row>
    <row r="61" spans="1:8" s="34" customFormat="1" ht="16.5" customHeight="1">
      <c r="A61" s="7"/>
      <c r="B61" s="7"/>
      <c r="C61" s="36"/>
      <c r="D61" s="7"/>
      <c r="E61" s="7"/>
      <c r="F61" s="7"/>
      <c r="G61" s="7"/>
      <c r="H61" s="37"/>
    </row>
    <row r="62" spans="1:8" s="34" customFormat="1" ht="16.5" customHeight="1">
      <c r="A62" s="7"/>
      <c r="B62" s="7"/>
      <c r="C62" s="36"/>
      <c r="D62" s="7"/>
      <c r="E62" s="7"/>
      <c r="F62" s="7"/>
      <c r="G62" s="7"/>
      <c r="H62" s="37"/>
    </row>
    <row r="63" spans="1:8" s="34" customFormat="1" ht="16.5" customHeight="1">
      <c r="A63" s="7"/>
      <c r="B63" s="7"/>
      <c r="C63" s="36"/>
      <c r="D63" s="7"/>
      <c r="E63" s="7"/>
      <c r="F63" s="7"/>
      <c r="G63" s="7"/>
      <c r="H63" s="37"/>
    </row>
    <row r="64" spans="1:8" s="34" customFormat="1" ht="16.5" customHeight="1">
      <c r="A64" s="7"/>
      <c r="B64" s="7"/>
      <c r="C64" s="36"/>
      <c r="D64" s="7"/>
      <c r="E64" s="7"/>
      <c r="F64" s="7"/>
      <c r="G64" s="7"/>
      <c r="H64" s="37"/>
    </row>
    <row r="65" spans="1:8" ht="16.5" customHeight="1">
      <c r="A65" s="7"/>
      <c r="B65" s="7"/>
      <c r="C65" s="36"/>
      <c r="D65" s="7"/>
      <c r="E65" s="7"/>
      <c r="F65" s="7"/>
      <c r="G65" s="7"/>
      <c r="H65" s="37"/>
    </row>
    <row r="66" spans="1:8" ht="16.5" customHeight="1">
      <c r="A66" s="7"/>
      <c r="B66" s="7"/>
      <c r="C66" s="36"/>
      <c r="D66" s="7"/>
      <c r="E66" s="7"/>
      <c r="F66" s="7"/>
      <c r="G66" s="7"/>
      <c r="H66" s="37"/>
    </row>
    <row r="67" spans="1:8" ht="16.5" customHeight="1">
      <c r="A67" s="7"/>
      <c r="B67" s="7"/>
      <c r="C67" s="36"/>
      <c r="D67" s="7"/>
      <c r="E67" s="7"/>
      <c r="F67" s="7"/>
      <c r="G67" s="7"/>
      <c r="H67" s="37"/>
    </row>
    <row r="68" spans="1:8" ht="16.5" customHeight="1">
      <c r="A68" s="7"/>
      <c r="B68" s="7"/>
      <c r="C68" s="36"/>
      <c r="D68" s="7"/>
      <c r="E68" s="7"/>
      <c r="F68" s="7"/>
      <c r="G68" s="7"/>
      <c r="H68" s="37"/>
    </row>
    <row r="69" spans="1:8" ht="16.5" customHeight="1">
      <c r="A69" s="7"/>
      <c r="B69" s="7"/>
      <c r="C69" s="36"/>
      <c r="D69" s="7"/>
      <c r="E69" s="7"/>
      <c r="F69" s="7"/>
      <c r="G69" s="7"/>
      <c r="H69" s="37"/>
    </row>
  </sheetData>
  <sheetProtection/>
  <mergeCells count="9">
    <mergeCell ref="A1:H1"/>
    <mergeCell ref="A2:H2"/>
    <mergeCell ref="E47:G47"/>
    <mergeCell ref="A3:A4"/>
    <mergeCell ref="B3:B4"/>
    <mergeCell ref="C3:C4"/>
    <mergeCell ref="D3:D4"/>
    <mergeCell ref="E3:F3"/>
    <mergeCell ref="G3:H3"/>
  </mergeCells>
  <printOptions/>
  <pageMargins left="0.7" right="0.24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SheetLayoutView="100" zoomScalePageLayoutView="75" workbookViewId="0" topLeftCell="A16">
      <selection activeCell="C38" sqref="C38"/>
    </sheetView>
  </sheetViews>
  <sheetFormatPr defaultColWidth="9.00390625" defaultRowHeight="12.75"/>
  <cols>
    <col min="1" max="1" width="3.25390625" style="157" customWidth="1"/>
    <col min="2" max="2" width="10.00390625" style="157" customWidth="1"/>
    <col min="3" max="3" width="42.75390625" style="157" customWidth="1"/>
    <col min="4" max="4" width="7.625" style="157" customWidth="1"/>
    <col min="5" max="5" width="7.375" style="157" customWidth="1"/>
    <col min="6" max="6" width="7.625" style="157" customWidth="1"/>
    <col min="7" max="7" width="7.875" style="157" customWidth="1"/>
    <col min="8" max="8" width="11.875" style="223" customWidth="1"/>
    <col min="9" max="16384" width="9.125" style="91" customWidth="1"/>
  </cols>
  <sheetData>
    <row r="1" spans="1:8" ht="33.75" customHeight="1">
      <c r="A1" s="605" t="s">
        <v>308</v>
      </c>
      <c r="B1" s="605"/>
      <c r="C1" s="605"/>
      <c r="D1" s="605"/>
      <c r="E1" s="605"/>
      <c r="F1" s="605"/>
      <c r="G1" s="605"/>
      <c r="H1" s="605"/>
    </row>
    <row r="2" spans="1:8" ht="60.75" customHeight="1">
      <c r="A2" s="606" t="s">
        <v>462</v>
      </c>
      <c r="B2" s="606"/>
      <c r="C2" s="606"/>
      <c r="D2" s="606"/>
      <c r="E2" s="606"/>
      <c r="F2" s="606"/>
      <c r="G2" s="606"/>
      <c r="H2" s="606"/>
    </row>
    <row r="3" spans="1:8" ht="60.75" customHeight="1">
      <c r="A3" s="607" t="s">
        <v>7</v>
      </c>
      <c r="B3" s="609" t="s">
        <v>129</v>
      </c>
      <c r="C3" s="607" t="s">
        <v>130</v>
      </c>
      <c r="D3" s="609" t="s">
        <v>131</v>
      </c>
      <c r="E3" s="587" t="s">
        <v>132</v>
      </c>
      <c r="F3" s="588"/>
      <c r="G3" s="587" t="s">
        <v>133</v>
      </c>
      <c r="H3" s="588"/>
    </row>
    <row r="4" spans="1:8" ht="74.25" customHeight="1">
      <c r="A4" s="608"/>
      <c r="B4" s="610"/>
      <c r="C4" s="608"/>
      <c r="D4" s="610"/>
      <c r="E4" s="159" t="s">
        <v>134</v>
      </c>
      <c r="F4" s="159" t="s">
        <v>135</v>
      </c>
      <c r="G4" s="159" t="s">
        <v>134</v>
      </c>
      <c r="H4" s="237" t="s">
        <v>128</v>
      </c>
    </row>
    <row r="5" spans="1:8" ht="16.5" customHeight="1" thickBot="1">
      <c r="A5" s="155">
        <v>1</v>
      </c>
      <c r="B5" s="155">
        <v>2</v>
      </c>
      <c r="C5" s="155">
        <v>3</v>
      </c>
      <c r="D5" s="137">
        <v>4</v>
      </c>
      <c r="E5" s="137">
        <v>5</v>
      </c>
      <c r="F5" s="137">
        <v>6</v>
      </c>
      <c r="G5" s="137">
        <v>7</v>
      </c>
      <c r="H5" s="238">
        <v>8</v>
      </c>
    </row>
    <row r="6" spans="1:8" ht="53.25" customHeight="1" thickBot="1">
      <c r="A6" s="64" t="e">
        <f>#REF!+1</f>
        <v>#REF!</v>
      </c>
      <c r="B6" s="81" t="s">
        <v>32</v>
      </c>
      <c r="C6" s="66" t="s">
        <v>223</v>
      </c>
      <c r="D6" s="67" t="s">
        <v>224</v>
      </c>
      <c r="E6" s="68"/>
      <c r="F6" s="67">
        <f>0.51*2</f>
        <v>1.02</v>
      </c>
      <c r="G6" s="68"/>
      <c r="H6" s="106">
        <f>SUM(H7:H9)</f>
        <v>0</v>
      </c>
    </row>
    <row r="7" spans="1:8" ht="20.25" customHeight="1">
      <c r="A7" s="119" t="e">
        <f>A6+0.1</f>
        <v>#REF!</v>
      </c>
      <c r="B7" s="51" t="s">
        <v>217</v>
      </c>
      <c r="C7" s="51" t="s">
        <v>17</v>
      </c>
      <c r="D7" s="54" t="s">
        <v>28</v>
      </c>
      <c r="E7" s="54">
        <f>15.9*1.15</f>
        <v>18.29</v>
      </c>
      <c r="F7" s="75">
        <f>F6*E7</f>
        <v>18.66</v>
      </c>
      <c r="G7" s="312"/>
      <c r="H7" s="58">
        <f>G7*F7</f>
        <v>0</v>
      </c>
    </row>
    <row r="8" spans="1:8" ht="20.25" customHeight="1">
      <c r="A8" s="21" t="e">
        <f>A7+0.1</f>
        <v>#REF!</v>
      </c>
      <c r="B8" s="18" t="s">
        <v>217</v>
      </c>
      <c r="C8" s="318" t="s">
        <v>1</v>
      </c>
      <c r="D8" s="318" t="s">
        <v>21</v>
      </c>
      <c r="E8" s="325">
        <f>1.7*1.15</f>
        <v>1.96</v>
      </c>
      <c r="F8" s="319">
        <f>F6*E8</f>
        <v>2</v>
      </c>
      <c r="G8" s="325"/>
      <c r="H8" s="326">
        <f>G8*F8</f>
        <v>0</v>
      </c>
    </row>
    <row r="9" spans="1:8" ht="20.25" customHeight="1" thickBot="1">
      <c r="A9" s="21" t="e">
        <f>A8+0.1</f>
        <v>#REF!</v>
      </c>
      <c r="B9" s="404"/>
      <c r="C9" s="405" t="s">
        <v>226</v>
      </c>
      <c r="D9" s="405" t="s">
        <v>227</v>
      </c>
      <c r="E9" s="406"/>
      <c r="F9" s="407">
        <v>8</v>
      </c>
      <c r="G9" s="406"/>
      <c r="H9" s="408">
        <f>G9*F9</f>
        <v>0</v>
      </c>
    </row>
    <row r="10" spans="1:8" ht="57.75" customHeight="1" thickBot="1">
      <c r="A10" s="409" t="e">
        <f>A6+1</f>
        <v>#REF!</v>
      </c>
      <c r="B10" s="410" t="s">
        <v>218</v>
      </c>
      <c r="C10" s="411" t="s">
        <v>232</v>
      </c>
      <c r="D10" s="65" t="s">
        <v>219</v>
      </c>
      <c r="E10" s="412"/>
      <c r="F10" s="413">
        <v>0.51</v>
      </c>
      <c r="G10" s="412"/>
      <c r="H10" s="414">
        <f>SUM(H11:H16)</f>
        <v>0</v>
      </c>
    </row>
    <row r="11" spans="1:8" ht="13.5">
      <c r="A11" s="554" t="e">
        <f aca="true" t="shared" si="0" ref="A11:A16">A10+0.1</f>
        <v>#REF!</v>
      </c>
      <c r="B11" s="107"/>
      <c r="C11" s="51" t="s">
        <v>17</v>
      </c>
      <c r="D11" s="313" t="s">
        <v>220</v>
      </c>
      <c r="E11" s="108">
        <f>1.15*28.6+28.6*0.6</f>
        <v>50.05</v>
      </c>
      <c r="F11" s="108">
        <f>E11*F10</f>
        <v>25.53</v>
      </c>
      <c r="G11" s="312"/>
      <c r="H11" s="109">
        <f aca="true" t="shared" si="1" ref="H11:H16">F11*G11</f>
        <v>0</v>
      </c>
    </row>
    <row r="12" spans="1:8" ht="13.5">
      <c r="A12" s="107" t="e">
        <f t="shared" si="0"/>
        <v>#REF!</v>
      </c>
      <c r="B12" s="110"/>
      <c r="C12" s="41" t="s">
        <v>1</v>
      </c>
      <c r="D12" s="314" t="s">
        <v>20</v>
      </c>
      <c r="E12" s="314">
        <v>0.41</v>
      </c>
      <c r="F12" s="315">
        <f>F10*E12</f>
        <v>0.21</v>
      </c>
      <c r="G12" s="315"/>
      <c r="H12" s="316">
        <f t="shared" si="1"/>
        <v>0</v>
      </c>
    </row>
    <row r="13" spans="1:8" ht="13.5">
      <c r="A13" s="107" t="e">
        <f t="shared" si="0"/>
        <v>#REF!</v>
      </c>
      <c r="B13" s="111"/>
      <c r="C13" s="317" t="s">
        <v>221</v>
      </c>
      <c r="D13" s="110" t="s">
        <v>16</v>
      </c>
      <c r="E13" s="112"/>
      <c r="F13" s="112">
        <f>F10*100*3</f>
        <v>153</v>
      </c>
      <c r="G13" s="110"/>
      <c r="H13" s="114">
        <f t="shared" si="1"/>
        <v>0</v>
      </c>
    </row>
    <row r="14" spans="1:8" ht="13.5">
      <c r="A14" s="107" t="e">
        <f t="shared" si="0"/>
        <v>#REF!</v>
      </c>
      <c r="B14" s="115"/>
      <c r="C14" s="317" t="s">
        <v>461</v>
      </c>
      <c r="D14" s="116" t="s">
        <v>29</v>
      </c>
      <c r="E14" s="117">
        <v>100</v>
      </c>
      <c r="F14" s="117">
        <f>E14*F10</f>
        <v>51</v>
      </c>
      <c r="G14" s="113"/>
      <c r="H14" s="118">
        <f t="shared" si="1"/>
        <v>0</v>
      </c>
    </row>
    <row r="15" spans="1:8" ht="13.5">
      <c r="A15" s="107" t="e">
        <f t="shared" si="0"/>
        <v>#REF!</v>
      </c>
      <c r="B15" s="120"/>
      <c r="C15" s="17" t="s">
        <v>222</v>
      </c>
      <c r="D15" s="17" t="s">
        <v>16</v>
      </c>
      <c r="E15" s="26"/>
      <c r="F15" s="26">
        <v>4</v>
      </c>
      <c r="G15" s="21"/>
      <c r="H15" s="25">
        <f t="shared" si="1"/>
        <v>0</v>
      </c>
    </row>
    <row r="16" spans="1:8" ht="14.25" thickBot="1">
      <c r="A16" s="321" t="e">
        <f t="shared" si="0"/>
        <v>#REF!</v>
      </c>
      <c r="B16" s="320"/>
      <c r="C16" s="55" t="s">
        <v>225</v>
      </c>
      <c r="D16" s="55" t="s">
        <v>16</v>
      </c>
      <c r="E16" s="76"/>
      <c r="F16" s="76">
        <v>4</v>
      </c>
      <c r="G16" s="55"/>
      <c r="H16" s="72">
        <f t="shared" si="1"/>
        <v>0</v>
      </c>
    </row>
    <row r="17" spans="1:8" ht="49.5" customHeight="1" thickBot="1">
      <c r="A17" s="324"/>
      <c r="B17" s="299"/>
      <c r="C17" s="99" t="s">
        <v>121</v>
      </c>
      <c r="D17" s="99" t="s">
        <v>107</v>
      </c>
      <c r="E17" s="299"/>
      <c r="F17" s="299"/>
      <c r="G17" s="299"/>
      <c r="H17" s="242">
        <f>H10+H6</f>
        <v>0</v>
      </c>
    </row>
    <row r="18" spans="1:8" ht="21" customHeight="1">
      <c r="A18" s="102"/>
      <c r="B18" s="102"/>
      <c r="C18" s="322" t="s">
        <v>122</v>
      </c>
      <c r="D18" s="102" t="s">
        <v>107</v>
      </c>
      <c r="E18" s="102"/>
      <c r="F18" s="102"/>
      <c r="G18" s="102"/>
      <c r="H18" s="323">
        <f>H11+H7</f>
        <v>0</v>
      </c>
    </row>
    <row r="19" spans="1:8" ht="21" customHeight="1">
      <c r="A19" s="136"/>
      <c r="B19" s="136"/>
      <c r="C19" s="224" t="s">
        <v>123</v>
      </c>
      <c r="D19" s="136" t="s">
        <v>107</v>
      </c>
      <c r="E19" s="136"/>
      <c r="F19" s="136"/>
      <c r="G19" s="136"/>
      <c r="H19" s="249">
        <f>H12+H8+H9</f>
        <v>0</v>
      </c>
    </row>
    <row r="20" spans="1:8" ht="21" customHeight="1">
      <c r="A20" s="136"/>
      <c r="B20" s="136"/>
      <c r="C20" s="136" t="s">
        <v>124</v>
      </c>
      <c r="D20" s="136" t="s">
        <v>107</v>
      </c>
      <c r="E20" s="136"/>
      <c r="F20" s="136"/>
      <c r="G20" s="136"/>
      <c r="H20" s="247">
        <f>H17-H18-H19</f>
        <v>0</v>
      </c>
    </row>
    <row r="21" spans="1:8" ht="44.25" customHeight="1">
      <c r="A21" s="136"/>
      <c r="B21" s="136"/>
      <c r="C21" s="121" t="s">
        <v>121</v>
      </c>
      <c r="D21" s="136" t="s">
        <v>107</v>
      </c>
      <c r="E21" s="136"/>
      <c r="F21" s="136"/>
      <c r="G21" s="136"/>
      <c r="H21" s="233">
        <f>H20+H19+H18</f>
        <v>0</v>
      </c>
    </row>
    <row r="22" spans="1:8" ht="27.75" customHeight="1">
      <c r="A22" s="136"/>
      <c r="B22" s="136"/>
      <c r="C22" s="136" t="s">
        <v>125</v>
      </c>
      <c r="D22" s="228">
        <v>0.1</v>
      </c>
      <c r="E22" s="136"/>
      <c r="F22" s="136"/>
      <c r="G22" s="136"/>
      <c r="H22" s="247">
        <f>D22*H21</f>
        <v>0</v>
      </c>
    </row>
    <row r="23" spans="1:8" ht="27.75" customHeight="1">
      <c r="A23" s="136"/>
      <c r="B23" s="136"/>
      <c r="C23" s="136" t="s">
        <v>126</v>
      </c>
      <c r="D23" s="136" t="s">
        <v>107</v>
      </c>
      <c r="E23" s="136"/>
      <c r="F23" s="136"/>
      <c r="G23" s="136"/>
      <c r="H23" s="233">
        <f>H22+H21</f>
        <v>0</v>
      </c>
    </row>
    <row r="24" spans="1:8" ht="27.75" customHeight="1">
      <c r="A24" s="136"/>
      <c r="B24" s="136"/>
      <c r="C24" s="136" t="s">
        <v>127</v>
      </c>
      <c r="D24" s="228">
        <v>0.08</v>
      </c>
      <c r="E24" s="136"/>
      <c r="F24" s="136"/>
      <c r="G24" s="136"/>
      <c r="H24" s="247">
        <f>H23*D24</f>
        <v>0</v>
      </c>
    </row>
    <row r="25" spans="1:8" ht="27.75" customHeight="1">
      <c r="A25" s="136"/>
      <c r="B25" s="136"/>
      <c r="C25" s="121" t="s">
        <v>128</v>
      </c>
      <c r="D25" s="136" t="s">
        <v>107</v>
      </c>
      <c r="E25" s="136"/>
      <c r="F25" s="136"/>
      <c r="G25" s="136"/>
      <c r="H25" s="233">
        <f>SUM(H23:H24)</f>
        <v>0</v>
      </c>
    </row>
    <row r="26" spans="1:8" ht="16.5" customHeight="1">
      <c r="A26" s="229"/>
      <c r="B26" s="229"/>
      <c r="C26" s="230"/>
      <c r="D26" s="229"/>
      <c r="E26" s="229"/>
      <c r="F26" s="229"/>
      <c r="G26" s="229"/>
      <c r="H26" s="222"/>
    </row>
    <row r="27" spans="1:8" ht="16.5" customHeight="1">
      <c r="A27" s="229"/>
      <c r="B27" s="229"/>
      <c r="C27" s="230"/>
      <c r="D27" s="229"/>
      <c r="E27" s="229"/>
      <c r="F27" s="229"/>
      <c r="G27" s="229"/>
      <c r="H27" s="222"/>
    </row>
    <row r="28" spans="1:8" ht="16.5" customHeight="1">
      <c r="A28" s="229"/>
      <c r="B28" s="229"/>
      <c r="C28" s="575" t="s">
        <v>492</v>
      </c>
      <c r="D28" s="229"/>
      <c r="E28" s="586"/>
      <c r="F28" s="586"/>
      <c r="G28" s="586"/>
      <c r="H28" s="222"/>
    </row>
    <row r="29" spans="1:8" ht="16.5" customHeight="1">
      <c r="A29" s="229"/>
      <c r="B29" s="229"/>
      <c r="C29" s="230"/>
      <c r="D29" s="229"/>
      <c r="E29" s="229"/>
      <c r="F29" s="229"/>
      <c r="G29" s="229"/>
      <c r="H29" s="222"/>
    </row>
    <row r="30" spans="1:8" ht="16.5" customHeight="1">
      <c r="A30" s="229"/>
      <c r="B30" s="229"/>
      <c r="C30" s="230"/>
      <c r="D30" s="229"/>
      <c r="E30" s="229"/>
      <c r="F30" s="229"/>
      <c r="G30" s="229"/>
      <c r="H30" s="222"/>
    </row>
    <row r="31" spans="1:8" ht="16.5" customHeight="1">
      <c r="A31" s="229"/>
      <c r="B31" s="229"/>
      <c r="C31" s="230"/>
      <c r="D31" s="229"/>
      <c r="E31" s="229"/>
      <c r="F31" s="229"/>
      <c r="G31" s="229"/>
      <c r="H31" s="222"/>
    </row>
    <row r="32" spans="1:8" s="157" customFormat="1" ht="16.5" customHeight="1">
      <c r="A32" s="229"/>
      <c r="B32" s="229"/>
      <c r="C32" s="230"/>
      <c r="D32" s="229"/>
      <c r="E32" s="229"/>
      <c r="F32" s="229"/>
      <c r="G32" s="229"/>
      <c r="H32" s="222"/>
    </row>
    <row r="33" spans="1:8" s="157" customFormat="1" ht="16.5" customHeight="1">
      <c r="A33" s="229"/>
      <c r="B33" s="229"/>
      <c r="C33" s="230"/>
      <c r="D33" s="229"/>
      <c r="E33" s="229"/>
      <c r="F33" s="229"/>
      <c r="G33" s="229"/>
      <c r="H33" s="222"/>
    </row>
    <row r="34" spans="1:8" s="157" customFormat="1" ht="16.5" customHeight="1">
      <c r="A34" s="229"/>
      <c r="B34" s="229"/>
      <c r="C34" s="230"/>
      <c r="D34" s="229"/>
      <c r="E34" s="229"/>
      <c r="F34" s="229"/>
      <c r="G34" s="229"/>
      <c r="H34" s="222"/>
    </row>
    <row r="35" spans="1:8" s="157" customFormat="1" ht="16.5" customHeight="1">
      <c r="A35" s="229"/>
      <c r="B35" s="229"/>
      <c r="C35" s="230"/>
      <c r="D35" s="229"/>
      <c r="E35" s="229"/>
      <c r="F35" s="229"/>
      <c r="G35" s="229"/>
      <c r="H35" s="222"/>
    </row>
    <row r="36" spans="1:8" s="157" customFormat="1" ht="16.5" customHeight="1">
      <c r="A36" s="229"/>
      <c r="B36" s="229"/>
      <c r="C36" s="230"/>
      <c r="D36" s="229"/>
      <c r="E36" s="229"/>
      <c r="F36" s="229"/>
      <c r="G36" s="229"/>
      <c r="H36" s="222"/>
    </row>
    <row r="37" spans="1:8" s="157" customFormat="1" ht="16.5" customHeight="1">
      <c r="A37" s="229"/>
      <c r="B37" s="229"/>
      <c r="C37" s="230"/>
      <c r="D37" s="229"/>
      <c r="E37" s="229"/>
      <c r="F37" s="229"/>
      <c r="G37" s="229"/>
      <c r="H37" s="222"/>
    </row>
    <row r="38" spans="1:8" s="157" customFormat="1" ht="16.5" customHeight="1">
      <c r="A38" s="229"/>
      <c r="B38" s="229"/>
      <c r="C38" s="230"/>
      <c r="D38" s="229"/>
      <c r="E38" s="229"/>
      <c r="F38" s="229"/>
      <c r="G38" s="229"/>
      <c r="H38" s="222"/>
    </row>
    <row r="39" spans="1:8" s="157" customFormat="1" ht="16.5" customHeight="1">
      <c r="A39" s="229"/>
      <c r="B39" s="229"/>
      <c r="C39" s="230"/>
      <c r="D39" s="229"/>
      <c r="E39" s="229"/>
      <c r="F39" s="229"/>
      <c r="G39" s="229"/>
      <c r="H39" s="222"/>
    </row>
    <row r="40" spans="1:8" s="157" customFormat="1" ht="16.5" customHeight="1">
      <c r="A40" s="229"/>
      <c r="B40" s="229"/>
      <c r="C40" s="230"/>
      <c r="D40" s="229"/>
      <c r="E40" s="229"/>
      <c r="F40" s="229"/>
      <c r="G40" s="229"/>
      <c r="H40" s="222"/>
    </row>
    <row r="41" spans="1:8" s="157" customFormat="1" ht="16.5" customHeight="1">
      <c r="A41" s="229"/>
      <c r="B41" s="229"/>
      <c r="C41" s="230"/>
      <c r="D41" s="229"/>
      <c r="E41" s="229"/>
      <c r="F41" s="229"/>
      <c r="G41" s="229"/>
      <c r="H41" s="222"/>
    </row>
    <row r="42" spans="1:8" s="157" customFormat="1" ht="16.5" customHeight="1">
      <c r="A42" s="229"/>
      <c r="B42" s="229"/>
      <c r="C42" s="230"/>
      <c r="D42" s="229"/>
      <c r="E42" s="229"/>
      <c r="F42" s="229"/>
      <c r="G42" s="229"/>
      <c r="H42" s="222"/>
    </row>
    <row r="43" spans="1:8" s="157" customFormat="1" ht="16.5" customHeight="1">
      <c r="A43" s="229"/>
      <c r="B43" s="229"/>
      <c r="C43" s="230"/>
      <c r="D43" s="229"/>
      <c r="E43" s="229"/>
      <c r="F43" s="229"/>
      <c r="G43" s="229"/>
      <c r="H43" s="222"/>
    </row>
    <row r="44" spans="1:8" s="157" customFormat="1" ht="16.5" customHeight="1">
      <c r="A44" s="229"/>
      <c r="B44" s="229"/>
      <c r="C44" s="230"/>
      <c r="D44" s="229"/>
      <c r="E44" s="229"/>
      <c r="F44" s="229"/>
      <c r="G44" s="229"/>
      <c r="H44" s="222"/>
    </row>
    <row r="45" spans="1:8" s="157" customFormat="1" ht="16.5" customHeight="1">
      <c r="A45" s="229"/>
      <c r="B45" s="229"/>
      <c r="C45" s="230"/>
      <c r="D45" s="229"/>
      <c r="E45" s="229"/>
      <c r="F45" s="229"/>
      <c r="G45" s="229"/>
      <c r="H45" s="222"/>
    </row>
    <row r="46" spans="1:8" s="157" customFormat="1" ht="16.5" customHeight="1">
      <c r="A46" s="229"/>
      <c r="B46" s="229"/>
      <c r="C46" s="230"/>
      <c r="D46" s="229"/>
      <c r="E46" s="229"/>
      <c r="F46" s="229"/>
      <c r="G46" s="229"/>
      <c r="H46" s="222"/>
    </row>
    <row r="47" spans="1:8" s="157" customFormat="1" ht="16.5" customHeight="1">
      <c r="A47" s="229"/>
      <c r="B47" s="229"/>
      <c r="C47" s="230"/>
      <c r="D47" s="229"/>
      <c r="E47" s="229"/>
      <c r="F47" s="229"/>
      <c r="G47" s="229"/>
      <c r="H47" s="222"/>
    </row>
    <row r="48" spans="1:8" s="157" customFormat="1" ht="16.5" customHeight="1">
      <c r="A48" s="229"/>
      <c r="B48" s="229"/>
      <c r="C48" s="230"/>
      <c r="D48" s="229"/>
      <c r="E48" s="229"/>
      <c r="F48" s="229"/>
      <c r="G48" s="229"/>
      <c r="H48" s="222"/>
    </row>
    <row r="49" spans="1:8" s="157" customFormat="1" ht="16.5" customHeight="1">
      <c r="A49" s="229"/>
      <c r="B49" s="229"/>
      <c r="C49" s="230"/>
      <c r="D49" s="229"/>
      <c r="E49" s="229"/>
      <c r="F49" s="229"/>
      <c r="G49" s="229"/>
      <c r="H49" s="222"/>
    </row>
  </sheetData>
  <sheetProtection/>
  <mergeCells count="9">
    <mergeCell ref="A1:H1"/>
    <mergeCell ref="A2:H2"/>
    <mergeCell ref="E28:G28"/>
    <mergeCell ref="A3:A4"/>
    <mergeCell ref="B3:B4"/>
    <mergeCell ref="C3:C4"/>
    <mergeCell ref="D3:D4"/>
    <mergeCell ref="E3:F3"/>
    <mergeCell ref="G3:H3"/>
  </mergeCells>
  <printOptions/>
  <pageMargins left="0.22" right="0.2" top="0.35433070866141736" bottom="0.31496062992125984" header="0.35433070866141736" footer="0.31496062992125984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9"/>
  <sheetViews>
    <sheetView zoomScalePageLayoutView="0" workbookViewId="0" topLeftCell="A180">
      <selection activeCell="C201" sqref="C201"/>
    </sheetView>
  </sheetViews>
  <sheetFormatPr defaultColWidth="9.00390625" defaultRowHeight="12.75"/>
  <cols>
    <col min="1" max="1" width="4.75390625" style="157" customWidth="1"/>
    <col min="2" max="2" width="11.00390625" style="157" customWidth="1"/>
    <col min="3" max="3" width="40.125" style="157" customWidth="1"/>
    <col min="4" max="4" width="7.625" style="157" customWidth="1"/>
    <col min="5" max="5" width="7.875" style="157" customWidth="1"/>
    <col min="6" max="6" width="9.00390625" style="157" customWidth="1"/>
    <col min="7" max="7" width="8.75390625" style="157" customWidth="1"/>
    <col min="8" max="10" width="8.00390625" style="157" customWidth="1"/>
    <col min="11" max="11" width="8.00390625" style="91" customWidth="1"/>
    <col min="12" max="12" width="8.00390625" style="531" customWidth="1"/>
    <col min="13" max="13" width="8.00390625" style="91" customWidth="1"/>
    <col min="14" max="14" width="21.125" style="91" customWidth="1"/>
    <col min="15" max="15" width="8.00390625" style="91" customWidth="1"/>
    <col min="16" max="16" width="7.125" style="157" customWidth="1"/>
    <col min="17" max="17" width="12.00390625" style="157" customWidth="1"/>
    <col min="18" max="18" width="13.125" style="91" bestFit="1" customWidth="1"/>
    <col min="19" max="19" width="12.625" style="91" bestFit="1" customWidth="1"/>
    <col min="20" max="16384" width="9.125" style="91" customWidth="1"/>
  </cols>
  <sheetData>
    <row r="1" spans="1:15" ht="29.25" customHeight="1">
      <c r="A1" s="605" t="s">
        <v>179</v>
      </c>
      <c r="B1" s="605"/>
      <c r="C1" s="605"/>
      <c r="D1" s="605"/>
      <c r="E1" s="605"/>
      <c r="F1" s="605"/>
      <c r="G1" s="605"/>
      <c r="H1" s="605"/>
      <c r="I1" s="156"/>
      <c r="J1" s="156"/>
      <c r="K1" s="93"/>
      <c r="L1" s="526"/>
      <c r="M1" s="93"/>
      <c r="N1" s="93"/>
      <c r="O1" s="93"/>
    </row>
    <row r="2" spans="1:15" ht="42" customHeight="1">
      <c r="A2" s="606" t="s">
        <v>453</v>
      </c>
      <c r="B2" s="606"/>
      <c r="C2" s="606"/>
      <c r="D2" s="606"/>
      <c r="E2" s="606"/>
      <c r="F2" s="606"/>
      <c r="G2" s="606"/>
      <c r="H2" s="606"/>
      <c r="I2" s="158"/>
      <c r="J2" s="158"/>
      <c r="K2" s="158"/>
      <c r="L2" s="527"/>
      <c r="M2" s="158"/>
      <c r="N2" s="158"/>
      <c r="O2" s="158"/>
    </row>
    <row r="3" spans="1:15" ht="54" customHeight="1">
      <c r="A3" s="607" t="s">
        <v>7</v>
      </c>
      <c r="B3" s="609" t="s">
        <v>129</v>
      </c>
      <c r="C3" s="607" t="s">
        <v>130</v>
      </c>
      <c r="D3" s="609" t="s">
        <v>131</v>
      </c>
      <c r="E3" s="587" t="s">
        <v>132</v>
      </c>
      <c r="F3" s="588"/>
      <c r="G3" s="587" t="s">
        <v>133</v>
      </c>
      <c r="H3" s="588"/>
      <c r="I3" s="229"/>
      <c r="J3" s="229"/>
      <c r="K3" s="153"/>
      <c r="L3" s="528"/>
      <c r="M3" s="153"/>
      <c r="N3" s="153"/>
      <c r="O3" s="153"/>
    </row>
    <row r="4" spans="1:18" ht="74.25" customHeight="1">
      <c r="A4" s="608"/>
      <c r="B4" s="610"/>
      <c r="C4" s="608"/>
      <c r="D4" s="610"/>
      <c r="E4" s="159" t="s">
        <v>134</v>
      </c>
      <c r="F4" s="159" t="s">
        <v>135</v>
      </c>
      <c r="G4" s="159" t="s">
        <v>134</v>
      </c>
      <c r="H4" s="343" t="s">
        <v>128</v>
      </c>
      <c r="I4" s="344"/>
      <c r="J4" s="344"/>
      <c r="K4" s="160"/>
      <c r="L4" s="529"/>
      <c r="M4" s="160"/>
      <c r="N4" s="160"/>
      <c r="O4" s="160"/>
      <c r="R4" s="161"/>
    </row>
    <row r="5" spans="1:15" ht="16.5" customHeight="1" thickBot="1">
      <c r="A5" s="155">
        <v>1</v>
      </c>
      <c r="B5" s="155">
        <v>2</v>
      </c>
      <c r="C5" s="155">
        <v>3</v>
      </c>
      <c r="D5" s="137">
        <v>4</v>
      </c>
      <c r="E5" s="137">
        <v>5</v>
      </c>
      <c r="F5" s="137">
        <v>6</v>
      </c>
      <c r="G5" s="137">
        <v>7</v>
      </c>
      <c r="H5" s="155">
        <v>8</v>
      </c>
      <c r="I5" s="229"/>
      <c r="J5" s="229"/>
      <c r="K5" s="153"/>
      <c r="L5" s="528"/>
      <c r="M5" s="153"/>
      <c r="N5" s="153"/>
      <c r="O5" s="153"/>
    </row>
    <row r="6" spans="1:15" ht="47.25" customHeight="1" hidden="1" thickBot="1">
      <c r="A6" s="154"/>
      <c r="B6" s="85"/>
      <c r="C6" s="141"/>
      <c r="D6" s="85"/>
      <c r="E6" s="162"/>
      <c r="F6" s="266"/>
      <c r="G6" s="162"/>
      <c r="H6" s="239"/>
      <c r="I6" s="222"/>
      <c r="J6" s="222"/>
      <c r="K6" s="164"/>
      <c r="L6" s="530"/>
      <c r="M6" s="164"/>
      <c r="N6" s="165"/>
      <c r="O6" s="153"/>
    </row>
    <row r="7" spans="1:15" ht="16.5" customHeight="1" hidden="1">
      <c r="A7" s="102"/>
      <c r="B7" s="144"/>
      <c r="C7" s="103"/>
      <c r="D7" s="103"/>
      <c r="E7" s="105"/>
      <c r="F7" s="105"/>
      <c r="G7" s="132"/>
      <c r="H7" s="240"/>
      <c r="I7" s="345"/>
      <c r="J7" s="345"/>
      <c r="K7" s="166"/>
      <c r="L7" s="530"/>
      <c r="M7" s="166"/>
      <c r="N7" s="166"/>
      <c r="O7" s="153"/>
    </row>
    <row r="8" spans="1:15" ht="16.5" customHeight="1" hidden="1" thickBot="1">
      <c r="A8" s="137"/>
      <c r="B8" s="133"/>
      <c r="C8" s="133"/>
      <c r="D8" s="142"/>
      <c r="E8" s="167"/>
      <c r="F8" s="167"/>
      <c r="G8" s="167"/>
      <c r="H8" s="241"/>
      <c r="I8" s="345"/>
      <c r="J8" s="226"/>
      <c r="K8" s="166"/>
      <c r="L8" s="530"/>
      <c r="M8" s="166"/>
      <c r="N8" s="166"/>
      <c r="O8" s="153"/>
    </row>
    <row r="9" spans="1:15" ht="44.25" customHeight="1" hidden="1" thickBot="1">
      <c r="A9" s="154"/>
      <c r="B9" s="85"/>
      <c r="C9" s="141"/>
      <c r="D9" s="85"/>
      <c r="E9" s="162"/>
      <c r="F9" s="266"/>
      <c r="G9" s="162"/>
      <c r="H9" s="239"/>
      <c r="I9" s="345"/>
      <c r="J9" s="222"/>
      <c r="K9" s="166"/>
      <c r="L9" s="530"/>
      <c r="M9" s="166"/>
      <c r="N9" s="166"/>
      <c r="O9" s="153"/>
    </row>
    <row r="10" spans="1:15" ht="16.5" customHeight="1" hidden="1">
      <c r="A10" s="102"/>
      <c r="B10" s="144"/>
      <c r="C10" s="103"/>
      <c r="D10" s="103"/>
      <c r="E10" s="105"/>
      <c r="F10" s="105"/>
      <c r="G10" s="132"/>
      <c r="H10" s="240"/>
      <c r="I10" s="345"/>
      <c r="J10" s="345"/>
      <c r="K10" s="166"/>
      <c r="L10" s="530"/>
      <c r="M10" s="166"/>
      <c r="N10" s="166"/>
      <c r="O10" s="153"/>
    </row>
    <row r="11" spans="1:15" ht="16.5" customHeight="1" hidden="1" thickBot="1">
      <c r="A11" s="137"/>
      <c r="B11" s="133"/>
      <c r="C11" s="133"/>
      <c r="D11" s="142"/>
      <c r="E11" s="167"/>
      <c r="F11" s="167"/>
      <c r="G11" s="167"/>
      <c r="H11" s="241"/>
      <c r="I11" s="345"/>
      <c r="J11" s="226"/>
      <c r="K11" s="166"/>
      <c r="L11" s="530"/>
      <c r="M11" s="166"/>
      <c r="N11" s="166"/>
      <c r="O11" s="153"/>
    </row>
    <row r="12" spans="1:15" s="157" customFormat="1" ht="45" customHeight="1" hidden="1" thickBot="1">
      <c r="A12" s="98"/>
      <c r="B12" s="99"/>
      <c r="C12" s="99"/>
      <c r="D12" s="346"/>
      <c r="E12" s="347"/>
      <c r="F12" s="301"/>
      <c r="G12" s="347"/>
      <c r="H12" s="242"/>
      <c r="I12" s="345"/>
      <c r="J12" s="222"/>
      <c r="K12" s="166"/>
      <c r="L12" s="530"/>
      <c r="M12" s="345"/>
      <c r="N12" s="345"/>
      <c r="O12" s="229"/>
    </row>
    <row r="13" spans="1:15" s="157" customFormat="1" ht="16.5" customHeight="1" hidden="1" thickBot="1">
      <c r="A13" s="102"/>
      <c r="B13" s="144"/>
      <c r="C13" s="103"/>
      <c r="D13" s="132"/>
      <c r="E13" s="96"/>
      <c r="F13" s="132"/>
      <c r="G13" s="132"/>
      <c r="H13" s="240"/>
      <c r="I13" s="345"/>
      <c r="J13" s="345"/>
      <c r="K13" s="166"/>
      <c r="L13" s="530"/>
      <c r="M13" s="345"/>
      <c r="N13" s="345"/>
      <c r="O13" s="229"/>
    </row>
    <row r="14" spans="1:15" ht="49.5" customHeight="1" hidden="1" thickBot="1">
      <c r="A14" s="188"/>
      <c r="B14" s="85"/>
      <c r="C14" s="141"/>
      <c r="D14" s="146"/>
      <c r="E14" s="162"/>
      <c r="F14" s="266"/>
      <c r="G14" s="162"/>
      <c r="H14" s="239"/>
      <c r="I14" s="345"/>
      <c r="J14" s="222"/>
      <c r="K14" s="166"/>
      <c r="L14" s="530"/>
      <c r="M14" s="166"/>
      <c r="N14" s="166"/>
      <c r="O14" s="348"/>
    </row>
    <row r="15" spans="1:15" ht="16.5" customHeight="1" hidden="1">
      <c r="A15" s="102"/>
      <c r="B15" s="103"/>
      <c r="C15" s="103"/>
      <c r="D15" s="132"/>
      <c r="E15" s="96"/>
      <c r="F15" s="132"/>
      <c r="G15" s="132"/>
      <c r="H15" s="240"/>
      <c r="I15" s="345"/>
      <c r="J15" s="345"/>
      <c r="K15" s="166"/>
      <c r="L15" s="530"/>
      <c r="M15" s="166"/>
      <c r="N15" s="166"/>
      <c r="O15" s="153"/>
    </row>
    <row r="16" spans="1:15" ht="16.5" customHeight="1" hidden="1" thickBot="1">
      <c r="A16" s="137"/>
      <c r="B16" s="133"/>
      <c r="C16" s="133"/>
      <c r="D16" s="134"/>
      <c r="E16" s="97"/>
      <c r="F16" s="134"/>
      <c r="G16" s="134"/>
      <c r="H16" s="243"/>
      <c r="I16" s="345"/>
      <c r="J16" s="349"/>
      <c r="K16" s="166"/>
      <c r="L16" s="530"/>
      <c r="M16" s="166"/>
      <c r="N16" s="166"/>
      <c r="O16" s="153"/>
    </row>
    <row r="17" spans="1:17" ht="34.5" customHeight="1" hidden="1" thickBot="1">
      <c r="A17" s="154"/>
      <c r="B17" s="85"/>
      <c r="C17" s="141"/>
      <c r="D17" s="85"/>
      <c r="E17" s="162"/>
      <c r="F17" s="146"/>
      <c r="G17" s="162"/>
      <c r="H17" s="239"/>
      <c r="I17" s="345"/>
      <c r="J17" s="166"/>
      <c r="K17" s="153"/>
      <c r="M17" s="157"/>
      <c r="P17" s="91"/>
      <c r="Q17" s="91"/>
    </row>
    <row r="18" spans="1:17" ht="16.5" customHeight="1" hidden="1">
      <c r="A18" s="102"/>
      <c r="B18" s="144"/>
      <c r="C18" s="103"/>
      <c r="D18" s="103"/>
      <c r="E18" s="105"/>
      <c r="F18" s="105"/>
      <c r="G18" s="132"/>
      <c r="H18" s="240"/>
      <c r="I18" s="345"/>
      <c r="J18" s="166"/>
      <c r="K18" s="153"/>
      <c r="M18" s="157"/>
      <c r="P18" s="91"/>
      <c r="Q18" s="91"/>
    </row>
    <row r="19" spans="1:17" ht="16.5" customHeight="1" hidden="1" thickBot="1">
      <c r="A19" s="137"/>
      <c r="B19" s="133"/>
      <c r="C19" s="133"/>
      <c r="D19" s="142"/>
      <c r="E19" s="167"/>
      <c r="F19" s="167"/>
      <c r="G19" s="167"/>
      <c r="H19" s="241"/>
      <c r="I19" s="345"/>
      <c r="J19" s="166"/>
      <c r="K19" s="153"/>
      <c r="M19" s="157"/>
      <c r="P19" s="91"/>
      <c r="Q19" s="91"/>
    </row>
    <row r="20" spans="1:15" ht="49.5" customHeight="1" hidden="1" thickBot="1">
      <c r="A20" s="154"/>
      <c r="B20" s="85"/>
      <c r="C20" s="141"/>
      <c r="D20" s="85"/>
      <c r="E20" s="141"/>
      <c r="F20" s="350"/>
      <c r="G20" s="176"/>
      <c r="H20" s="239"/>
      <c r="I20" s="345"/>
      <c r="J20" s="222"/>
      <c r="K20" s="166"/>
      <c r="L20" s="530"/>
      <c r="M20" s="166"/>
      <c r="N20" s="166"/>
      <c r="O20" s="153"/>
    </row>
    <row r="21" spans="1:15" ht="89.25" customHeight="1" thickBot="1">
      <c r="A21" s="82">
        <v>1</v>
      </c>
      <c r="B21" s="65" t="s">
        <v>328</v>
      </c>
      <c r="C21" s="66" t="s">
        <v>329</v>
      </c>
      <c r="D21" s="140" t="s">
        <v>330</v>
      </c>
      <c r="E21" s="422"/>
      <c r="F21" s="423">
        <v>0.1</v>
      </c>
      <c r="G21" s="68"/>
      <c r="H21" s="424">
        <f>H22+H23</f>
        <v>0</v>
      </c>
      <c r="I21" s="345"/>
      <c r="J21" s="345"/>
      <c r="K21" s="166"/>
      <c r="L21" s="530"/>
      <c r="M21" s="166"/>
      <c r="N21" s="166"/>
      <c r="O21" s="351"/>
    </row>
    <row r="22" spans="1:12" ht="15">
      <c r="A22" s="49">
        <f>A21+0.1</f>
        <v>1.1</v>
      </c>
      <c r="B22" s="51" t="s">
        <v>217</v>
      </c>
      <c r="C22" s="51" t="s">
        <v>17</v>
      </c>
      <c r="D22" s="51" t="s">
        <v>28</v>
      </c>
      <c r="E22" s="425">
        <f>2.28*1.15</f>
        <v>2.622</v>
      </c>
      <c r="F22" s="426">
        <f>F21*E22</f>
        <v>0.2622</v>
      </c>
      <c r="G22" s="54"/>
      <c r="H22" s="58">
        <f>G22*F22</f>
        <v>0</v>
      </c>
      <c r="I22" s="345"/>
      <c r="L22" s="532"/>
    </row>
    <row r="23" spans="1:12" ht="17.25" customHeight="1" thickBot="1">
      <c r="A23" s="17">
        <f>A22+0.1</f>
        <v>1.2</v>
      </c>
      <c r="B23" s="18" t="s">
        <v>217</v>
      </c>
      <c r="C23" s="427" t="s">
        <v>1</v>
      </c>
      <c r="D23" s="427" t="s">
        <v>21</v>
      </c>
      <c r="E23" s="428">
        <f>70.15*1.15</f>
        <v>80.6725</v>
      </c>
      <c r="F23" s="427">
        <f>F21*E23</f>
        <v>8.06725</v>
      </c>
      <c r="G23" s="429"/>
      <c r="H23" s="430">
        <f>G23*F23</f>
        <v>0</v>
      </c>
      <c r="I23" s="345"/>
      <c r="L23" s="532"/>
    </row>
    <row r="24" spans="1:12" s="1" customFormat="1" ht="35.25" customHeight="1" thickBot="1">
      <c r="A24" s="438">
        <f>A21+1</f>
        <v>2</v>
      </c>
      <c r="B24" s="439" t="s">
        <v>337</v>
      </c>
      <c r="C24" s="140" t="s">
        <v>338</v>
      </c>
      <c r="D24" s="140" t="s">
        <v>97</v>
      </c>
      <c r="E24" s="231"/>
      <c r="F24" s="232">
        <v>2.15</v>
      </c>
      <c r="G24" s="231"/>
      <c r="H24" s="424">
        <f>H25</f>
        <v>0</v>
      </c>
      <c r="I24" s="345"/>
      <c r="L24" s="533"/>
    </row>
    <row r="25" spans="1:12" s="1" customFormat="1" ht="27" customHeight="1" thickBot="1">
      <c r="A25" s="440">
        <f>A24+0.1</f>
        <v>2.1</v>
      </c>
      <c r="B25" s="441" t="s">
        <v>217</v>
      </c>
      <c r="C25" s="442" t="s">
        <v>17</v>
      </c>
      <c r="D25" s="443" t="s">
        <v>339</v>
      </c>
      <c r="E25" s="441">
        <f>206/100*1.15</f>
        <v>2.369</v>
      </c>
      <c r="F25" s="444">
        <f>F24*E25</f>
        <v>5.09</v>
      </c>
      <c r="G25" s="441"/>
      <c r="H25" s="434">
        <f>G25*F25</f>
        <v>0</v>
      </c>
      <c r="I25" s="345"/>
      <c r="J25" s="445"/>
      <c r="L25" s="533"/>
    </row>
    <row r="26" spans="1:12" s="1" customFormat="1" ht="54" customHeight="1" hidden="1">
      <c r="A26" s="438"/>
      <c r="B26" s="439"/>
      <c r="C26" s="140"/>
      <c r="D26" s="422"/>
      <c r="E26" s="422"/>
      <c r="F26" s="422"/>
      <c r="G26" s="422"/>
      <c r="H26" s="424"/>
      <c r="I26" s="345"/>
      <c r="L26" s="533"/>
    </row>
    <row r="27" spans="1:12" s="1" customFormat="1" ht="18.75" customHeight="1" hidden="1">
      <c r="A27" s="49"/>
      <c r="B27" s="51"/>
      <c r="C27" s="446"/>
      <c r="D27" s="441"/>
      <c r="E27" s="75"/>
      <c r="F27" s="54"/>
      <c r="G27" s="54"/>
      <c r="H27" s="58"/>
      <c r="I27" s="345"/>
      <c r="L27" s="533"/>
    </row>
    <row r="28" spans="1:12" s="1" customFormat="1" ht="18.75" customHeight="1" hidden="1">
      <c r="A28" s="49"/>
      <c r="B28" s="51"/>
      <c r="C28" s="18"/>
      <c r="D28" s="447"/>
      <c r="E28" s="235"/>
      <c r="F28" s="22"/>
      <c r="G28" s="22"/>
      <c r="H28" s="24"/>
      <c r="I28" s="345"/>
      <c r="L28" s="533"/>
    </row>
    <row r="29" spans="1:12" s="1" customFormat="1" ht="18.75" customHeight="1" hidden="1">
      <c r="A29" s="440"/>
      <c r="B29" s="51"/>
      <c r="C29" s="18"/>
      <c r="D29" s="22"/>
      <c r="E29" s="235"/>
      <c r="F29" s="22"/>
      <c r="G29" s="22"/>
      <c r="H29" s="24"/>
      <c r="I29" s="345"/>
      <c r="L29" s="533"/>
    </row>
    <row r="30" spans="1:12" s="1" customFormat="1" ht="31.5" customHeight="1" hidden="1">
      <c r="A30" s="34"/>
      <c r="B30" s="34"/>
      <c r="C30" s="34"/>
      <c r="D30" s="34"/>
      <c r="E30" s="34"/>
      <c r="F30" s="34"/>
      <c r="G30" s="34"/>
      <c r="H30" s="34"/>
      <c r="I30" s="345"/>
      <c r="L30" s="533"/>
    </row>
    <row r="31" spans="1:12" s="1" customFormat="1" ht="16.5" customHeight="1" hidden="1">
      <c r="A31" s="34"/>
      <c r="B31" s="34"/>
      <c r="C31" s="34"/>
      <c r="D31" s="34"/>
      <c r="E31" s="34"/>
      <c r="F31" s="34"/>
      <c r="G31" s="34"/>
      <c r="H31" s="34"/>
      <c r="I31" s="345"/>
      <c r="L31" s="533"/>
    </row>
    <row r="32" spans="1:12" s="1" customFormat="1" ht="16.5" customHeight="1" hidden="1">
      <c r="A32" s="34"/>
      <c r="B32" s="34"/>
      <c r="C32" s="34"/>
      <c r="D32" s="34"/>
      <c r="E32" s="34"/>
      <c r="F32" s="34"/>
      <c r="G32" s="34"/>
      <c r="H32" s="34"/>
      <c r="I32" s="345"/>
      <c r="L32" s="533"/>
    </row>
    <row r="33" spans="1:12" s="1" customFormat="1" ht="18.75" customHeight="1" hidden="1">
      <c r="A33" s="29"/>
      <c r="B33" s="448"/>
      <c r="C33" s="449"/>
      <c r="D33" s="450"/>
      <c r="E33" s="451"/>
      <c r="F33" s="452"/>
      <c r="G33" s="453"/>
      <c r="H33" s="454"/>
      <c r="I33" s="345"/>
      <c r="L33" s="533"/>
    </row>
    <row r="34" spans="1:12" s="1" customFormat="1" ht="18.75" customHeight="1" hidden="1">
      <c r="A34" s="29"/>
      <c r="B34" s="448"/>
      <c r="C34" s="449"/>
      <c r="D34" s="450"/>
      <c r="E34" s="451"/>
      <c r="F34" s="452"/>
      <c r="G34" s="453"/>
      <c r="H34" s="454"/>
      <c r="I34" s="345"/>
      <c r="L34" s="533"/>
    </row>
    <row r="35" spans="1:12" s="1" customFormat="1" ht="18.75" customHeight="1" hidden="1">
      <c r="A35" s="29"/>
      <c r="B35" s="448"/>
      <c r="C35" s="449"/>
      <c r="D35" s="450"/>
      <c r="E35" s="451"/>
      <c r="F35" s="452"/>
      <c r="G35" s="453"/>
      <c r="H35" s="454"/>
      <c r="I35" s="345"/>
      <c r="L35" s="533"/>
    </row>
    <row r="36" spans="1:12" s="1" customFormat="1" ht="18.75" customHeight="1" hidden="1">
      <c r="A36" s="29"/>
      <c r="B36" s="448"/>
      <c r="C36" s="449"/>
      <c r="D36" s="450"/>
      <c r="E36" s="451"/>
      <c r="F36" s="452"/>
      <c r="G36" s="453"/>
      <c r="H36" s="454"/>
      <c r="I36" s="345"/>
      <c r="L36" s="533"/>
    </row>
    <row r="37" spans="1:12" s="1" customFormat="1" ht="18.75" customHeight="1" hidden="1">
      <c r="A37" s="29"/>
      <c r="B37" s="448"/>
      <c r="C37" s="449"/>
      <c r="D37" s="450"/>
      <c r="E37" s="451"/>
      <c r="F37" s="452"/>
      <c r="G37" s="453"/>
      <c r="H37" s="454"/>
      <c r="I37" s="345"/>
      <c r="L37" s="533"/>
    </row>
    <row r="38" spans="1:12" s="1" customFormat="1" ht="18.75" customHeight="1" hidden="1">
      <c r="A38" s="29"/>
      <c r="B38" s="448"/>
      <c r="C38" s="449"/>
      <c r="D38" s="450"/>
      <c r="E38" s="451"/>
      <c r="F38" s="452"/>
      <c r="G38" s="453"/>
      <c r="H38" s="454"/>
      <c r="I38" s="345"/>
      <c r="L38" s="533"/>
    </row>
    <row r="39" spans="1:12" s="1" customFormat="1" ht="43.5" customHeight="1" hidden="1">
      <c r="A39" s="82"/>
      <c r="B39" s="81"/>
      <c r="C39" s="140"/>
      <c r="D39" s="422"/>
      <c r="E39" s="455"/>
      <c r="F39" s="363"/>
      <c r="G39" s="456"/>
      <c r="H39" s="424"/>
      <c r="I39" s="345"/>
      <c r="L39" s="533"/>
    </row>
    <row r="40" spans="1:12" s="1" customFormat="1" ht="30" customHeight="1" hidden="1">
      <c r="A40" s="440"/>
      <c r="B40" s="441"/>
      <c r="C40" s="446"/>
      <c r="D40" s="441"/>
      <c r="E40" s="441"/>
      <c r="F40" s="444"/>
      <c r="G40" s="441"/>
      <c r="H40" s="434"/>
      <c r="I40" s="345"/>
      <c r="L40" s="533"/>
    </row>
    <row r="41" spans="1:12" s="1" customFormat="1" ht="32.25" customHeight="1" thickBot="1">
      <c r="A41" s="106">
        <f>A24+1</f>
        <v>3</v>
      </c>
      <c r="B41" s="81" t="s">
        <v>340</v>
      </c>
      <c r="C41" s="65" t="s">
        <v>341</v>
      </c>
      <c r="D41" s="67" t="s">
        <v>12</v>
      </c>
      <c r="E41" s="457"/>
      <c r="F41" s="363">
        <v>0.5</v>
      </c>
      <c r="G41" s="457"/>
      <c r="H41" s="106">
        <f>H42</f>
        <v>0</v>
      </c>
      <c r="I41" s="345"/>
      <c r="L41" s="533"/>
    </row>
    <row r="42" spans="1:12" s="1" customFormat="1" ht="24" customHeight="1" thickBot="1">
      <c r="A42" s="49">
        <f>A41+0.1</f>
        <v>3.1</v>
      </c>
      <c r="B42" s="51" t="s">
        <v>217</v>
      </c>
      <c r="C42" s="458" t="s">
        <v>17</v>
      </c>
      <c r="D42" s="51" t="s">
        <v>28</v>
      </c>
      <c r="E42" s="51">
        <v>1.21</v>
      </c>
      <c r="F42" s="51">
        <f>F41*E42</f>
        <v>0.605</v>
      </c>
      <c r="G42" s="51"/>
      <c r="H42" s="58">
        <f>G42*F42</f>
        <v>0</v>
      </c>
      <c r="I42" s="345"/>
      <c r="L42" s="533"/>
    </row>
    <row r="43" spans="1:12" ht="35.25" customHeight="1" thickBot="1">
      <c r="A43" s="106">
        <f>A41+1</f>
        <v>4</v>
      </c>
      <c r="B43" s="81" t="s">
        <v>342</v>
      </c>
      <c r="C43" s="65" t="s">
        <v>343</v>
      </c>
      <c r="D43" s="65" t="s">
        <v>12</v>
      </c>
      <c r="E43" s="65"/>
      <c r="F43" s="363">
        <v>1.65</v>
      </c>
      <c r="G43" s="65"/>
      <c r="H43" s="106">
        <f>H44+H45</f>
        <v>0</v>
      </c>
      <c r="I43" s="345"/>
      <c r="L43" s="532"/>
    </row>
    <row r="44" spans="1:12" ht="17.25" customHeight="1">
      <c r="A44" s="49">
        <f>A43+0.1</f>
        <v>4.1</v>
      </c>
      <c r="B44" s="51" t="s">
        <v>200</v>
      </c>
      <c r="C44" s="458" t="s">
        <v>17</v>
      </c>
      <c r="D44" s="51" t="s">
        <v>28</v>
      </c>
      <c r="E44" s="51">
        <f>2.06*1.15</f>
        <v>2.369</v>
      </c>
      <c r="F44" s="51">
        <f>F43*E44</f>
        <v>3.90885</v>
      </c>
      <c r="G44" s="51"/>
      <c r="H44" s="58">
        <f>G44*F44</f>
        <v>0</v>
      </c>
      <c r="I44" s="345"/>
      <c r="L44" s="532"/>
    </row>
    <row r="45" spans="1:12" ht="15.75" customHeight="1" thickBot="1">
      <c r="A45" s="17">
        <f>A44+0.1</f>
        <v>4.2</v>
      </c>
      <c r="B45" s="459" t="s">
        <v>344</v>
      </c>
      <c r="C45" s="460" t="s">
        <v>345</v>
      </c>
      <c r="D45" s="461" t="s">
        <v>336</v>
      </c>
      <c r="E45" s="460" t="s">
        <v>19</v>
      </c>
      <c r="F45" s="462">
        <f>F43*1.7</f>
        <v>2.81</v>
      </c>
      <c r="G45" s="460"/>
      <c r="H45" s="463">
        <f>G45*F45</f>
        <v>0</v>
      </c>
      <c r="I45" s="345"/>
      <c r="L45" s="532"/>
    </row>
    <row r="46" spans="1:12" s="1" customFormat="1" ht="46.5" customHeight="1" thickBot="1">
      <c r="A46" s="106">
        <f>A44+1</f>
        <v>5</v>
      </c>
      <c r="B46" s="81" t="s">
        <v>346</v>
      </c>
      <c r="C46" s="82" t="s">
        <v>347</v>
      </c>
      <c r="D46" s="65" t="s">
        <v>12</v>
      </c>
      <c r="E46" s="464"/>
      <c r="F46" s="363">
        <v>1.65</v>
      </c>
      <c r="G46" s="455"/>
      <c r="H46" s="106">
        <f>SUM(H47:H54)</f>
        <v>0</v>
      </c>
      <c r="I46" s="345"/>
      <c r="L46" s="533"/>
    </row>
    <row r="47" spans="1:12" s="1" customFormat="1" ht="16.5" customHeight="1">
      <c r="A47" s="119">
        <f aca="true" t="shared" si="0" ref="A47:A54">A46+0.1</f>
        <v>5.1</v>
      </c>
      <c r="B47" s="465" t="s">
        <v>32</v>
      </c>
      <c r="C47" s="51" t="s">
        <v>17</v>
      </c>
      <c r="D47" s="54" t="s">
        <v>28</v>
      </c>
      <c r="E47" s="54">
        <v>3.78</v>
      </c>
      <c r="F47" s="75">
        <f>F46*E47</f>
        <v>6.24</v>
      </c>
      <c r="G47" s="51"/>
      <c r="H47" s="58">
        <f>G47*F47</f>
        <v>0</v>
      </c>
      <c r="I47" s="345"/>
      <c r="L47" s="533"/>
    </row>
    <row r="48" spans="1:12" s="1" customFormat="1" ht="16.5" customHeight="1">
      <c r="A48" s="119">
        <f t="shared" si="0"/>
        <v>5.2</v>
      </c>
      <c r="B48" s="20"/>
      <c r="C48" s="18" t="s">
        <v>1</v>
      </c>
      <c r="D48" s="22" t="s">
        <v>21</v>
      </c>
      <c r="E48" s="22">
        <v>0.92</v>
      </c>
      <c r="F48" s="22">
        <f>F46*E48</f>
        <v>1.52</v>
      </c>
      <c r="G48" s="22"/>
      <c r="H48" s="24">
        <f>G48*F48</f>
        <v>0</v>
      </c>
      <c r="I48" s="345"/>
      <c r="L48" s="533"/>
    </row>
    <row r="49" spans="1:12" s="1" customFormat="1" ht="16.5" customHeight="1">
      <c r="A49" s="119">
        <f t="shared" si="0"/>
        <v>5.3</v>
      </c>
      <c r="B49" s="20"/>
      <c r="C49" s="447" t="s">
        <v>348</v>
      </c>
      <c r="D49" s="447" t="s">
        <v>349</v>
      </c>
      <c r="E49" s="447">
        <v>1.015</v>
      </c>
      <c r="F49" s="466">
        <f>E49*F46</f>
        <v>1.67</v>
      </c>
      <c r="G49" s="447"/>
      <c r="H49" s="31">
        <f>F49*G49</f>
        <v>0</v>
      </c>
      <c r="I49" s="345"/>
      <c r="L49" s="533"/>
    </row>
    <row r="50" spans="1:12" s="1" customFormat="1" ht="16.5" customHeight="1" thickBot="1">
      <c r="A50" s="119">
        <f t="shared" si="0"/>
        <v>5.4</v>
      </c>
      <c r="B50" s="20"/>
      <c r="C50" s="17" t="s">
        <v>350</v>
      </c>
      <c r="D50" s="23" t="s">
        <v>12</v>
      </c>
      <c r="E50" s="467">
        <v>1.02</v>
      </c>
      <c r="F50" s="71">
        <f>F46*E50</f>
        <v>1.68</v>
      </c>
      <c r="G50" s="468"/>
      <c r="H50" s="25">
        <f>G50*F50</f>
        <v>0</v>
      </c>
      <c r="I50" s="345"/>
      <c r="L50" s="533"/>
    </row>
    <row r="51" spans="1:12" s="1" customFormat="1" ht="16.5" customHeight="1" thickBot="1">
      <c r="A51" s="119">
        <f t="shared" si="0"/>
        <v>5.5</v>
      </c>
      <c r="B51" s="20"/>
      <c r="C51" s="17" t="s">
        <v>351</v>
      </c>
      <c r="D51" s="23" t="s">
        <v>18</v>
      </c>
      <c r="E51" s="467" t="s">
        <v>19</v>
      </c>
      <c r="F51" s="431">
        <f>F46*60</f>
        <v>99</v>
      </c>
      <c r="G51" s="468"/>
      <c r="H51" s="25">
        <f>G51*F51</f>
        <v>0</v>
      </c>
      <c r="I51" s="345"/>
      <c r="L51" s="533"/>
    </row>
    <row r="52" spans="1:12" s="1" customFormat="1" ht="16.5" customHeight="1">
      <c r="A52" s="119">
        <f t="shared" si="0"/>
        <v>5.6</v>
      </c>
      <c r="B52" s="20"/>
      <c r="C52" s="17" t="s">
        <v>352</v>
      </c>
      <c r="D52" s="17" t="s">
        <v>11</v>
      </c>
      <c r="E52" s="23">
        <v>0.7</v>
      </c>
      <c r="F52" s="435">
        <f>F46*E52</f>
        <v>1.16</v>
      </c>
      <c r="G52" s="23"/>
      <c r="H52" s="25">
        <f>G52*F52</f>
        <v>0</v>
      </c>
      <c r="I52" s="345"/>
      <c r="L52" s="533"/>
    </row>
    <row r="53" spans="1:12" s="1" customFormat="1" ht="16.5" customHeight="1">
      <c r="A53" s="119">
        <f t="shared" si="0"/>
        <v>5.7</v>
      </c>
      <c r="B53" s="20"/>
      <c r="C53" s="17" t="s">
        <v>353</v>
      </c>
      <c r="D53" s="17" t="s">
        <v>12</v>
      </c>
      <c r="E53" s="469">
        <f>1.44/100</f>
        <v>0.014</v>
      </c>
      <c r="F53" s="23">
        <f>F46*E53</f>
        <v>0.02</v>
      </c>
      <c r="G53" s="23"/>
      <c r="H53" s="25">
        <f>G53*F53</f>
        <v>0</v>
      </c>
      <c r="I53" s="345"/>
      <c r="L53" s="533"/>
    </row>
    <row r="54" spans="1:12" s="1" customFormat="1" ht="16.5" customHeight="1" thickBot="1">
      <c r="A54" s="119">
        <f t="shared" si="0"/>
        <v>5.8</v>
      </c>
      <c r="B54" s="70"/>
      <c r="C54" s="55" t="s">
        <v>2</v>
      </c>
      <c r="D54" s="55" t="s">
        <v>21</v>
      </c>
      <c r="E54" s="71">
        <v>0.6</v>
      </c>
      <c r="F54" s="71">
        <f>F46*E54</f>
        <v>0.99</v>
      </c>
      <c r="G54" s="71"/>
      <c r="H54" s="25">
        <f>G54*F54</f>
        <v>0</v>
      </c>
      <c r="I54" s="345"/>
      <c r="L54" s="533"/>
    </row>
    <row r="55" spans="1:12" s="1" customFormat="1" ht="45" customHeight="1" thickBot="1">
      <c r="A55" s="106">
        <f>A46+1</f>
        <v>6</v>
      </c>
      <c r="B55" s="65" t="s">
        <v>354</v>
      </c>
      <c r="C55" s="66" t="s">
        <v>355</v>
      </c>
      <c r="D55" s="65" t="s">
        <v>12</v>
      </c>
      <c r="E55" s="457"/>
      <c r="F55" s="363">
        <v>0.6</v>
      </c>
      <c r="G55" s="457"/>
      <c r="H55" s="470">
        <f>SUM(H56:H64)</f>
        <v>0</v>
      </c>
      <c r="I55" s="345"/>
      <c r="L55" s="533"/>
    </row>
    <row r="56" spans="1:12" s="1" customFormat="1" ht="16.5" customHeight="1">
      <c r="A56" s="119">
        <f aca="true" t="shared" si="1" ref="A56:A64">A55+0.1</f>
        <v>6.1</v>
      </c>
      <c r="B56" s="49" t="s">
        <v>32</v>
      </c>
      <c r="C56" s="51" t="s">
        <v>17</v>
      </c>
      <c r="D56" s="54" t="s">
        <v>28</v>
      </c>
      <c r="E56" s="54">
        <v>11.1</v>
      </c>
      <c r="F56" s="75">
        <f>F55*E56</f>
        <v>6.66</v>
      </c>
      <c r="G56" s="51"/>
      <c r="H56" s="58">
        <f>G56*F56</f>
        <v>0</v>
      </c>
      <c r="I56" s="345"/>
      <c r="L56" s="533"/>
    </row>
    <row r="57" spans="1:12" s="1" customFormat="1" ht="16.5" customHeight="1">
      <c r="A57" s="21">
        <f t="shared" si="1"/>
        <v>6.2</v>
      </c>
      <c r="B57" s="17"/>
      <c r="C57" s="18" t="s">
        <v>1</v>
      </c>
      <c r="D57" s="22" t="s">
        <v>21</v>
      </c>
      <c r="E57" s="22">
        <v>0.96</v>
      </c>
      <c r="F57" s="22">
        <f>F55*E57</f>
        <v>0.58</v>
      </c>
      <c r="G57" s="22"/>
      <c r="H57" s="24">
        <f>G57*F57</f>
        <v>0</v>
      </c>
      <c r="I57" s="345"/>
      <c r="L57" s="533"/>
    </row>
    <row r="58" spans="1:12" s="1" customFormat="1" ht="16.5" customHeight="1">
      <c r="A58" s="21">
        <f t="shared" si="1"/>
        <v>6.3</v>
      </c>
      <c r="B58" s="17"/>
      <c r="C58" s="447" t="s">
        <v>348</v>
      </c>
      <c r="D58" s="447" t="s">
        <v>349</v>
      </c>
      <c r="E58" s="447">
        <v>1.015</v>
      </c>
      <c r="F58" s="471">
        <f>E58*F55</f>
        <v>0.61</v>
      </c>
      <c r="G58" s="447"/>
      <c r="H58" s="31">
        <f>F58*G58</f>
        <v>0</v>
      </c>
      <c r="I58" s="345"/>
      <c r="L58" s="533"/>
    </row>
    <row r="59" spans="1:12" s="1" customFormat="1" ht="16.5" customHeight="1" thickBot="1">
      <c r="A59" s="21">
        <f t="shared" si="1"/>
        <v>6.4</v>
      </c>
      <c r="B59" s="17"/>
      <c r="C59" s="17" t="s">
        <v>356</v>
      </c>
      <c r="D59" s="23" t="s">
        <v>12</v>
      </c>
      <c r="E59" s="469">
        <v>1.015</v>
      </c>
      <c r="F59" s="71">
        <f>F55*E59</f>
        <v>0.61</v>
      </c>
      <c r="G59" s="23"/>
      <c r="H59" s="25">
        <f aca="true" t="shared" si="2" ref="H59:H64">G59*F59</f>
        <v>0</v>
      </c>
      <c r="I59" s="345"/>
      <c r="L59" s="533"/>
    </row>
    <row r="60" spans="1:12" s="1" customFormat="1" ht="16.5" customHeight="1" thickBot="1">
      <c r="A60" s="21">
        <f t="shared" si="1"/>
        <v>6.5</v>
      </c>
      <c r="B60" s="17"/>
      <c r="C60" s="17" t="s">
        <v>351</v>
      </c>
      <c r="D60" s="23" t="s">
        <v>18</v>
      </c>
      <c r="E60" s="467" t="s">
        <v>19</v>
      </c>
      <c r="F60" s="457">
        <f>F55*120</f>
        <v>72</v>
      </c>
      <c r="G60" s="468"/>
      <c r="H60" s="25">
        <f t="shared" si="2"/>
        <v>0</v>
      </c>
      <c r="I60" s="345"/>
      <c r="L60" s="533"/>
    </row>
    <row r="61" spans="1:12" s="1" customFormat="1" ht="16.5" customHeight="1">
      <c r="A61" s="21">
        <f t="shared" si="1"/>
        <v>6.6</v>
      </c>
      <c r="B61" s="17"/>
      <c r="C61" s="17" t="s">
        <v>352</v>
      </c>
      <c r="D61" s="17" t="s">
        <v>11</v>
      </c>
      <c r="E61" s="23">
        <v>2.05</v>
      </c>
      <c r="F61" s="435">
        <f>F55*E61</f>
        <v>1.23</v>
      </c>
      <c r="G61" s="23"/>
      <c r="H61" s="25">
        <f t="shared" si="2"/>
        <v>0</v>
      </c>
      <c r="I61" s="345"/>
      <c r="L61" s="533"/>
    </row>
    <row r="62" spans="1:12" s="1" customFormat="1" ht="16.5" customHeight="1">
      <c r="A62" s="21">
        <f t="shared" si="1"/>
        <v>6.7</v>
      </c>
      <c r="B62" s="17"/>
      <c r="C62" s="17" t="s">
        <v>353</v>
      </c>
      <c r="D62" s="17" t="s">
        <v>12</v>
      </c>
      <c r="E62" s="83">
        <f>0.3/100+2.78/100</f>
        <v>0.0308</v>
      </c>
      <c r="F62" s="23">
        <f>F55*E62</f>
        <v>0.02</v>
      </c>
      <c r="G62" s="23"/>
      <c r="H62" s="25">
        <f t="shared" si="2"/>
        <v>0</v>
      </c>
      <c r="I62" s="345"/>
      <c r="L62" s="533"/>
    </row>
    <row r="63" spans="1:12" s="1" customFormat="1" ht="16.5" customHeight="1">
      <c r="A63" s="21">
        <f t="shared" si="1"/>
        <v>6.8</v>
      </c>
      <c r="B63" s="55"/>
      <c r="C63" s="55" t="s">
        <v>357</v>
      </c>
      <c r="D63" s="55" t="s">
        <v>18</v>
      </c>
      <c r="E63" s="71">
        <v>1.7</v>
      </c>
      <c r="F63" s="71">
        <f>F55*E63</f>
        <v>1.02</v>
      </c>
      <c r="G63" s="71"/>
      <c r="H63" s="72">
        <f t="shared" si="2"/>
        <v>0</v>
      </c>
      <c r="I63" s="345"/>
      <c r="L63" s="533"/>
    </row>
    <row r="64" spans="1:12" s="1" customFormat="1" ht="16.5" customHeight="1" thickBot="1">
      <c r="A64" s="21">
        <f t="shared" si="1"/>
        <v>6.9</v>
      </c>
      <c r="B64" s="55"/>
      <c r="C64" s="55" t="s">
        <v>2</v>
      </c>
      <c r="D64" s="55" t="s">
        <v>21</v>
      </c>
      <c r="E64" s="71">
        <v>0.7</v>
      </c>
      <c r="F64" s="71">
        <f>F55*E64</f>
        <v>0.42</v>
      </c>
      <c r="G64" s="71"/>
      <c r="H64" s="72">
        <f t="shared" si="2"/>
        <v>0</v>
      </c>
      <c r="I64" s="345"/>
      <c r="L64" s="533"/>
    </row>
    <row r="65" spans="1:12" s="1" customFormat="1" ht="41.25" customHeight="1" thickBot="1">
      <c r="A65" s="106">
        <f>A55+1</f>
        <v>7</v>
      </c>
      <c r="B65" s="65" t="s">
        <v>354</v>
      </c>
      <c r="C65" s="66" t="s">
        <v>358</v>
      </c>
      <c r="D65" s="65" t="s">
        <v>12</v>
      </c>
      <c r="E65" s="457"/>
      <c r="F65" s="363">
        <v>0.28</v>
      </c>
      <c r="G65" s="457"/>
      <c r="H65" s="470">
        <f>SUM(H66:H74)</f>
        <v>0</v>
      </c>
      <c r="I65" s="345"/>
      <c r="L65" s="533"/>
    </row>
    <row r="66" spans="1:12" s="1" customFormat="1" ht="16.5" customHeight="1">
      <c r="A66" s="119">
        <f aca="true" t="shared" si="3" ref="A66:A74">A65+0.1</f>
        <v>7.1</v>
      </c>
      <c r="B66" s="49" t="s">
        <v>32</v>
      </c>
      <c r="C66" s="51" t="s">
        <v>17</v>
      </c>
      <c r="D66" s="54" t="s">
        <v>28</v>
      </c>
      <c r="E66" s="54">
        <v>14.7</v>
      </c>
      <c r="F66" s="75">
        <f>F65*E66</f>
        <v>4.12</v>
      </c>
      <c r="G66" s="51"/>
      <c r="H66" s="58">
        <f>G66*F66</f>
        <v>0</v>
      </c>
      <c r="I66" s="345"/>
      <c r="L66" s="533"/>
    </row>
    <row r="67" spans="1:12" s="1" customFormat="1" ht="16.5" customHeight="1">
      <c r="A67" s="21">
        <f t="shared" si="3"/>
        <v>7.2</v>
      </c>
      <c r="B67" s="17"/>
      <c r="C67" s="18" t="s">
        <v>1</v>
      </c>
      <c r="D67" s="22" t="s">
        <v>21</v>
      </c>
      <c r="E67" s="22">
        <v>1.21</v>
      </c>
      <c r="F67" s="22">
        <f>F65*E67</f>
        <v>0.34</v>
      </c>
      <c r="G67" s="22"/>
      <c r="H67" s="24">
        <f>G67*F67</f>
        <v>0</v>
      </c>
      <c r="I67" s="345"/>
      <c r="L67" s="533"/>
    </row>
    <row r="68" spans="1:12" s="1" customFormat="1" ht="16.5" customHeight="1">
      <c r="A68" s="21">
        <f t="shared" si="3"/>
        <v>7.3</v>
      </c>
      <c r="B68" s="17"/>
      <c r="C68" s="447" t="s">
        <v>348</v>
      </c>
      <c r="D68" s="447" t="s">
        <v>349</v>
      </c>
      <c r="E68" s="447">
        <v>1.015</v>
      </c>
      <c r="F68" s="471">
        <f>E68*F65</f>
        <v>0.28</v>
      </c>
      <c r="G68" s="447"/>
      <c r="H68" s="31">
        <f>F68*G68</f>
        <v>0</v>
      </c>
      <c r="I68" s="345"/>
      <c r="L68" s="533"/>
    </row>
    <row r="69" spans="1:12" s="1" customFormat="1" ht="16.5" customHeight="1" thickBot="1">
      <c r="A69" s="21">
        <f t="shared" si="3"/>
        <v>7.4</v>
      </c>
      <c r="B69" s="17"/>
      <c r="C69" s="17" t="s">
        <v>356</v>
      </c>
      <c r="D69" s="23" t="s">
        <v>12</v>
      </c>
      <c r="E69" s="469">
        <v>1.015</v>
      </c>
      <c r="F69" s="71">
        <f>F65*E69</f>
        <v>0.28</v>
      </c>
      <c r="G69" s="23"/>
      <c r="H69" s="25">
        <f aca="true" t="shared" si="4" ref="H69:H74">G69*F69</f>
        <v>0</v>
      </c>
      <c r="I69" s="345"/>
      <c r="L69" s="533"/>
    </row>
    <row r="70" spans="1:12" s="1" customFormat="1" ht="16.5" customHeight="1" thickBot="1">
      <c r="A70" s="21">
        <f t="shared" si="3"/>
        <v>7.5</v>
      </c>
      <c r="B70" s="17"/>
      <c r="C70" s="17" t="s">
        <v>351</v>
      </c>
      <c r="D70" s="23" t="s">
        <v>18</v>
      </c>
      <c r="E70" s="467" t="s">
        <v>19</v>
      </c>
      <c r="F70" s="457">
        <f>F65*120</f>
        <v>33.6</v>
      </c>
      <c r="G70" s="468"/>
      <c r="H70" s="25">
        <f t="shared" si="4"/>
        <v>0</v>
      </c>
      <c r="I70" s="345"/>
      <c r="L70" s="533"/>
    </row>
    <row r="71" spans="1:12" s="1" customFormat="1" ht="16.5" customHeight="1">
      <c r="A71" s="21">
        <f t="shared" si="3"/>
        <v>7.6</v>
      </c>
      <c r="B71" s="17"/>
      <c r="C71" s="17" t="s">
        <v>352</v>
      </c>
      <c r="D71" s="17" t="s">
        <v>11</v>
      </c>
      <c r="E71" s="23">
        <v>2.46</v>
      </c>
      <c r="F71" s="435">
        <f>F65*E71</f>
        <v>0.69</v>
      </c>
      <c r="G71" s="23"/>
      <c r="H71" s="25">
        <f t="shared" si="4"/>
        <v>0</v>
      </c>
      <c r="I71" s="345"/>
      <c r="L71" s="533"/>
    </row>
    <row r="72" spans="1:12" s="1" customFormat="1" ht="16.5" customHeight="1">
      <c r="A72" s="21">
        <f t="shared" si="3"/>
        <v>7.7</v>
      </c>
      <c r="B72" s="17"/>
      <c r="C72" s="17" t="s">
        <v>353</v>
      </c>
      <c r="D72" s="17" t="s">
        <v>12</v>
      </c>
      <c r="E72" s="83">
        <f>2.3/100</f>
        <v>0.023</v>
      </c>
      <c r="F72" s="23">
        <f>F65*E72</f>
        <v>0.01</v>
      </c>
      <c r="G72" s="23"/>
      <c r="H72" s="25">
        <f t="shared" si="4"/>
        <v>0</v>
      </c>
      <c r="I72" s="345"/>
      <c r="L72" s="533"/>
    </row>
    <row r="73" spans="1:12" s="1" customFormat="1" ht="16.5" customHeight="1">
      <c r="A73" s="21">
        <f t="shared" si="3"/>
        <v>7.8</v>
      </c>
      <c r="B73" s="55"/>
      <c r="C73" s="55" t="s">
        <v>357</v>
      </c>
      <c r="D73" s="55" t="s">
        <v>18</v>
      </c>
      <c r="E73" s="71">
        <v>3.3</v>
      </c>
      <c r="F73" s="71">
        <f>F65*E73</f>
        <v>0.92</v>
      </c>
      <c r="G73" s="71"/>
      <c r="H73" s="72">
        <f t="shared" si="4"/>
        <v>0</v>
      </c>
      <c r="I73" s="345"/>
      <c r="L73" s="533"/>
    </row>
    <row r="74" spans="1:12" s="1" customFormat="1" ht="16.5" customHeight="1" thickBot="1">
      <c r="A74" s="21">
        <f t="shared" si="3"/>
        <v>7.9</v>
      </c>
      <c r="B74" s="55"/>
      <c r="C74" s="55" t="s">
        <v>2</v>
      </c>
      <c r="D74" s="55" t="s">
        <v>21</v>
      </c>
      <c r="E74" s="71">
        <v>0.9</v>
      </c>
      <c r="F74" s="71">
        <f>F65*E74</f>
        <v>0.25</v>
      </c>
      <c r="G74" s="71"/>
      <c r="H74" s="72">
        <f t="shared" si="4"/>
        <v>0</v>
      </c>
      <c r="I74" s="345"/>
      <c r="L74" s="533"/>
    </row>
    <row r="75" spans="1:12" s="1" customFormat="1" ht="46.5" customHeight="1" thickBot="1">
      <c r="A75" s="64">
        <f>A65+1</f>
        <v>8</v>
      </c>
      <c r="B75" s="65" t="s">
        <v>359</v>
      </c>
      <c r="C75" s="66" t="s">
        <v>360</v>
      </c>
      <c r="D75" s="65" t="s">
        <v>12</v>
      </c>
      <c r="E75" s="66"/>
      <c r="F75" s="363">
        <v>0.41</v>
      </c>
      <c r="G75" s="472"/>
      <c r="H75" s="106">
        <f>SUM(H76:H83)</f>
        <v>0</v>
      </c>
      <c r="I75" s="345"/>
      <c r="L75" s="533"/>
    </row>
    <row r="76" spans="1:12" s="1" customFormat="1" ht="16.5" customHeight="1">
      <c r="A76" s="49">
        <f aca="true" t="shared" si="5" ref="A76:A83">A75+0.1</f>
        <v>8.1</v>
      </c>
      <c r="B76" s="49" t="s">
        <v>32</v>
      </c>
      <c r="C76" s="51" t="s">
        <v>17</v>
      </c>
      <c r="D76" s="51" t="s">
        <v>28</v>
      </c>
      <c r="E76" s="75">
        <f>840/100</f>
        <v>8.4</v>
      </c>
      <c r="F76" s="75">
        <f>F75*E76</f>
        <v>3.44</v>
      </c>
      <c r="G76" s="51"/>
      <c r="H76" s="58">
        <f aca="true" t="shared" si="6" ref="H76:H83">F76*G76</f>
        <v>0</v>
      </c>
      <c r="I76" s="345"/>
      <c r="L76" s="533"/>
    </row>
    <row r="77" spans="1:12" s="1" customFormat="1" ht="16.5" customHeight="1">
      <c r="A77" s="17">
        <f t="shared" si="5"/>
        <v>8.2</v>
      </c>
      <c r="B77" s="17"/>
      <c r="C77" s="447" t="s">
        <v>30</v>
      </c>
      <c r="D77" s="447" t="s">
        <v>20</v>
      </c>
      <c r="E77" s="447">
        <v>0.81</v>
      </c>
      <c r="F77" s="471">
        <f>F75*E77</f>
        <v>0.33</v>
      </c>
      <c r="G77" s="471"/>
      <c r="H77" s="31">
        <f t="shared" si="6"/>
        <v>0</v>
      </c>
      <c r="I77" s="345"/>
      <c r="L77" s="533"/>
    </row>
    <row r="78" spans="1:12" s="1" customFormat="1" ht="16.5" customHeight="1">
      <c r="A78" s="17">
        <f t="shared" si="5"/>
        <v>8.3</v>
      </c>
      <c r="B78" s="17"/>
      <c r="C78" s="447" t="s">
        <v>348</v>
      </c>
      <c r="D78" s="447" t="s">
        <v>349</v>
      </c>
      <c r="E78" s="447">
        <v>1.015</v>
      </c>
      <c r="F78" s="471">
        <f>E78*F75</f>
        <v>0.42</v>
      </c>
      <c r="G78" s="447"/>
      <c r="H78" s="31">
        <f>F78*G78</f>
        <v>0</v>
      </c>
      <c r="I78" s="345"/>
      <c r="L78" s="533"/>
    </row>
    <row r="79" spans="1:12" s="1" customFormat="1" ht="16.5" customHeight="1" thickBot="1">
      <c r="A79" s="17">
        <f t="shared" si="5"/>
        <v>8.4</v>
      </c>
      <c r="B79" s="17"/>
      <c r="C79" s="17" t="s">
        <v>361</v>
      </c>
      <c r="D79" s="17" t="s">
        <v>349</v>
      </c>
      <c r="E79" s="17">
        <f>101.5/100</f>
        <v>1.015</v>
      </c>
      <c r="F79" s="76">
        <f>E79*F75</f>
        <v>0.42</v>
      </c>
      <c r="G79" s="23"/>
      <c r="H79" s="25">
        <f t="shared" si="6"/>
        <v>0</v>
      </c>
      <c r="I79" s="345"/>
      <c r="L79" s="533"/>
    </row>
    <row r="80" spans="1:12" s="1" customFormat="1" ht="16.5" customHeight="1" thickBot="1">
      <c r="A80" s="17">
        <f t="shared" si="5"/>
        <v>8.5</v>
      </c>
      <c r="B80" s="17"/>
      <c r="C80" s="17" t="s">
        <v>351</v>
      </c>
      <c r="D80" s="17" t="s">
        <v>18</v>
      </c>
      <c r="E80" s="473" t="s">
        <v>19</v>
      </c>
      <c r="F80" s="65">
        <f>F75*120</f>
        <v>49.2</v>
      </c>
      <c r="G80" s="468"/>
      <c r="H80" s="25">
        <f t="shared" si="6"/>
        <v>0</v>
      </c>
      <c r="I80" s="345"/>
      <c r="L80" s="533"/>
    </row>
    <row r="81" spans="1:12" s="1" customFormat="1" ht="16.5" customHeight="1">
      <c r="A81" s="17">
        <f t="shared" si="5"/>
        <v>8.6</v>
      </c>
      <c r="B81" s="120"/>
      <c r="C81" s="17" t="s">
        <v>362</v>
      </c>
      <c r="D81" s="17" t="s">
        <v>363</v>
      </c>
      <c r="E81" s="17">
        <v>1.37</v>
      </c>
      <c r="F81" s="474">
        <f>E81*F75</f>
        <v>0.56</v>
      </c>
      <c r="G81" s="23"/>
      <c r="H81" s="25">
        <f t="shared" si="6"/>
        <v>0</v>
      </c>
      <c r="I81" s="345"/>
      <c r="L81" s="533"/>
    </row>
    <row r="82" spans="1:12" s="1" customFormat="1" ht="16.5" customHeight="1">
      <c r="A82" s="17">
        <f t="shared" si="5"/>
        <v>8.7</v>
      </c>
      <c r="B82" s="17"/>
      <c r="C82" s="17" t="s">
        <v>353</v>
      </c>
      <c r="D82" s="17" t="s">
        <v>349</v>
      </c>
      <c r="E82" s="17">
        <f>3.66/100</f>
        <v>0.0366</v>
      </c>
      <c r="F82" s="26">
        <f>E82*F75</f>
        <v>0.02</v>
      </c>
      <c r="G82" s="23"/>
      <c r="H82" s="25">
        <f t="shared" si="6"/>
        <v>0</v>
      </c>
      <c r="I82" s="345"/>
      <c r="L82" s="533"/>
    </row>
    <row r="83" spans="1:12" s="1" customFormat="1" ht="16.5" customHeight="1" thickBot="1">
      <c r="A83" s="17">
        <f t="shared" si="5"/>
        <v>8.8</v>
      </c>
      <c r="B83" s="55"/>
      <c r="C83" s="55" t="s">
        <v>31</v>
      </c>
      <c r="D83" s="55" t="s">
        <v>20</v>
      </c>
      <c r="E83" s="55">
        <v>0.39</v>
      </c>
      <c r="F83" s="76">
        <f>E83*F75</f>
        <v>0.16</v>
      </c>
      <c r="G83" s="76"/>
      <c r="H83" s="72">
        <f t="shared" si="6"/>
        <v>0</v>
      </c>
      <c r="I83" s="345"/>
      <c r="L83" s="533"/>
    </row>
    <row r="84" spans="1:15" ht="35.25" customHeight="1" hidden="1" thickBot="1">
      <c r="A84" s="154"/>
      <c r="B84" s="85"/>
      <c r="C84" s="141"/>
      <c r="D84" s="85"/>
      <c r="E84" s="141"/>
      <c r="F84" s="163"/>
      <c r="G84" s="176"/>
      <c r="H84" s="239"/>
      <c r="I84" s="345"/>
      <c r="J84" s="222"/>
      <c r="K84" s="166"/>
      <c r="L84" s="530"/>
      <c r="M84" s="166"/>
      <c r="N84" s="168"/>
      <c r="O84" s="153"/>
    </row>
    <row r="85" spans="1:15" ht="18.75" customHeight="1" thickBot="1">
      <c r="A85" s="589" t="s">
        <v>140</v>
      </c>
      <c r="B85" s="590"/>
      <c r="C85" s="590"/>
      <c r="D85" s="590"/>
      <c r="E85" s="590"/>
      <c r="F85" s="590"/>
      <c r="G85" s="590"/>
      <c r="H85" s="591"/>
      <c r="I85" s="345"/>
      <c r="J85" s="230"/>
      <c r="K85" s="166"/>
      <c r="L85" s="530"/>
      <c r="M85" s="166"/>
      <c r="N85" s="168"/>
      <c r="O85" s="153"/>
    </row>
    <row r="86" spans="1:15" ht="46.5" customHeight="1" thickBot="1">
      <c r="A86" s="352">
        <f>A75+1</f>
        <v>9</v>
      </c>
      <c r="B86" s="99" t="s">
        <v>272</v>
      </c>
      <c r="C86" s="99" t="s">
        <v>290</v>
      </c>
      <c r="D86" s="99" t="s">
        <v>97</v>
      </c>
      <c r="E86" s="346"/>
      <c r="F86" s="346">
        <f>7*2*0.2</f>
        <v>2.8</v>
      </c>
      <c r="G86" s="346"/>
      <c r="H86" s="242">
        <f>SUM(H87:H91)</f>
        <v>0</v>
      </c>
      <c r="I86" s="345"/>
      <c r="J86" s="353"/>
      <c r="K86" s="166"/>
      <c r="L86" s="530"/>
      <c r="M86" s="166"/>
      <c r="N86" s="166"/>
      <c r="O86" s="153"/>
    </row>
    <row r="87" spans="1:15" ht="16.5" customHeight="1">
      <c r="A87" s="102">
        <f>A86+0.1</f>
        <v>9.1</v>
      </c>
      <c r="B87" s="182" t="s">
        <v>200</v>
      </c>
      <c r="C87" s="103" t="s">
        <v>93</v>
      </c>
      <c r="D87" s="103" t="s">
        <v>94</v>
      </c>
      <c r="E87" s="132">
        <f>3.36*1.15</f>
        <v>3.86</v>
      </c>
      <c r="F87" s="105">
        <f>F86*E87</f>
        <v>10.81</v>
      </c>
      <c r="G87" s="178"/>
      <c r="H87" s="240">
        <f>G87*F87</f>
        <v>0</v>
      </c>
      <c r="I87" s="345"/>
      <c r="J87" s="436"/>
      <c r="K87" s="166"/>
      <c r="L87" s="530"/>
      <c r="M87" s="166"/>
      <c r="N87" s="166"/>
      <c r="O87" s="153"/>
    </row>
    <row r="88" spans="1:19" ht="16.5" customHeight="1">
      <c r="A88" s="136">
        <f>A87+0.1</f>
        <v>9.2</v>
      </c>
      <c r="B88" s="182" t="s">
        <v>200</v>
      </c>
      <c r="C88" s="135" t="s">
        <v>95</v>
      </c>
      <c r="D88" s="135" t="s">
        <v>98</v>
      </c>
      <c r="E88" s="147">
        <v>0.92</v>
      </c>
      <c r="F88" s="147">
        <f>F86*E88</f>
        <v>2.58</v>
      </c>
      <c r="G88" s="147"/>
      <c r="H88" s="246">
        <f>G88*F88</f>
        <v>0</v>
      </c>
      <c r="I88" s="345"/>
      <c r="J88" s="349"/>
      <c r="K88" s="166"/>
      <c r="L88" s="530"/>
      <c r="M88" s="166"/>
      <c r="N88" s="166"/>
      <c r="O88" s="153"/>
      <c r="P88" s="571"/>
      <c r="Q88" s="571"/>
      <c r="R88" s="92"/>
      <c r="S88" s="92"/>
    </row>
    <row r="89" spans="1:19" ht="16.5" customHeight="1">
      <c r="A89" s="136">
        <f>A88+0.1</f>
        <v>9.3</v>
      </c>
      <c r="B89" s="183"/>
      <c r="C89" s="136" t="s">
        <v>104</v>
      </c>
      <c r="D89" s="136" t="s">
        <v>97</v>
      </c>
      <c r="E89" s="149">
        <f>0.11</f>
        <v>0.11</v>
      </c>
      <c r="F89" s="149">
        <f>F86*E89</f>
        <v>0.31</v>
      </c>
      <c r="G89" s="149"/>
      <c r="H89" s="247">
        <f>G89*F89</f>
        <v>0</v>
      </c>
      <c r="I89" s="345"/>
      <c r="J89" s="227"/>
      <c r="K89" s="166"/>
      <c r="L89" s="530"/>
      <c r="M89" s="166"/>
      <c r="N89" s="166"/>
      <c r="O89" s="153"/>
      <c r="P89" s="571"/>
      <c r="Q89" s="571"/>
      <c r="R89" s="92"/>
      <c r="S89" s="92"/>
    </row>
    <row r="90" spans="1:19" ht="16.5" customHeight="1">
      <c r="A90" s="136">
        <f>A89+0.1</f>
        <v>9.4</v>
      </c>
      <c r="B90" s="183"/>
      <c r="C90" s="136" t="s">
        <v>291</v>
      </c>
      <c r="D90" s="136" t="s">
        <v>105</v>
      </c>
      <c r="E90" s="185">
        <v>62.5</v>
      </c>
      <c r="F90" s="185">
        <f>F86*E90</f>
        <v>175</v>
      </c>
      <c r="G90" s="149"/>
      <c r="H90" s="247">
        <f>G90*F90</f>
        <v>0</v>
      </c>
      <c r="I90" s="345"/>
      <c r="J90" s="227"/>
      <c r="K90" s="166"/>
      <c r="L90" s="530"/>
      <c r="M90" s="166"/>
      <c r="N90" s="166"/>
      <c r="O90" s="153"/>
      <c r="P90" s="571"/>
      <c r="Q90" s="571"/>
      <c r="R90" s="92"/>
      <c r="S90" s="92"/>
    </row>
    <row r="91" spans="1:19" ht="23.25" customHeight="1" thickBot="1">
      <c r="A91" s="136">
        <f>A90+0.1</f>
        <v>9.5</v>
      </c>
      <c r="B91" s="186"/>
      <c r="C91" s="137" t="s">
        <v>106</v>
      </c>
      <c r="D91" s="137" t="s">
        <v>107</v>
      </c>
      <c r="E91" s="150">
        <v>0.16</v>
      </c>
      <c r="F91" s="150">
        <f>F86*E91</f>
        <v>0.45</v>
      </c>
      <c r="G91" s="150"/>
      <c r="H91" s="248">
        <f>G91*F91</f>
        <v>0</v>
      </c>
      <c r="I91" s="345"/>
      <c r="J91" s="227"/>
      <c r="K91" s="166"/>
      <c r="L91" s="530"/>
      <c r="M91" s="166"/>
      <c r="N91" s="166"/>
      <c r="O91" s="153"/>
      <c r="P91" s="571"/>
      <c r="Q91" s="571"/>
      <c r="R91" s="92"/>
      <c r="S91" s="92"/>
    </row>
    <row r="92" spans="1:19" ht="23.25" customHeight="1" thickBot="1">
      <c r="A92" s="592" t="s">
        <v>273</v>
      </c>
      <c r="B92" s="593"/>
      <c r="C92" s="593"/>
      <c r="D92" s="593"/>
      <c r="E92" s="593"/>
      <c r="F92" s="593"/>
      <c r="G92" s="593"/>
      <c r="H92" s="594"/>
      <c r="I92" s="345"/>
      <c r="J92" s="229"/>
      <c r="K92" s="166"/>
      <c r="L92" s="530"/>
      <c r="M92" s="166"/>
      <c r="N92" s="168"/>
      <c r="O92" s="354"/>
      <c r="P92" s="572"/>
      <c r="Q92" s="572"/>
      <c r="R92" s="573"/>
      <c r="S92" s="573"/>
    </row>
    <row r="93" spans="1:19" ht="53.25" customHeight="1" thickBot="1">
      <c r="A93" s="188">
        <v>10</v>
      </c>
      <c r="B93" s="85" t="s">
        <v>90</v>
      </c>
      <c r="C93" s="141" t="s">
        <v>274</v>
      </c>
      <c r="D93" s="146" t="s">
        <v>92</v>
      </c>
      <c r="E93" s="138"/>
      <c r="F93" s="146">
        <f>0.9*2</f>
        <v>1.8</v>
      </c>
      <c r="G93" s="162"/>
      <c r="H93" s="239">
        <f>G93*F93</f>
        <v>0</v>
      </c>
      <c r="I93" s="345"/>
      <c r="J93" s="222"/>
      <c r="K93" s="166"/>
      <c r="L93" s="530"/>
      <c r="M93" s="166"/>
      <c r="N93" s="166"/>
      <c r="O93" s="153"/>
      <c r="P93" s="571"/>
      <c r="Q93" s="571"/>
      <c r="R93" s="92"/>
      <c r="S93" s="92"/>
    </row>
    <row r="94" spans="1:19" ht="53.25" customHeight="1" thickBot="1">
      <c r="A94" s="188">
        <f>A93+1</f>
        <v>11</v>
      </c>
      <c r="B94" s="85" t="s">
        <v>90</v>
      </c>
      <c r="C94" s="141" t="s">
        <v>275</v>
      </c>
      <c r="D94" s="146" t="s">
        <v>92</v>
      </c>
      <c r="E94" s="138"/>
      <c r="F94" s="146">
        <f>0.5*0.5</f>
        <v>0.25</v>
      </c>
      <c r="G94" s="162"/>
      <c r="H94" s="239">
        <f>G94*F94</f>
        <v>0</v>
      </c>
      <c r="I94" s="345"/>
      <c r="J94" s="222"/>
      <c r="K94" s="166"/>
      <c r="L94" s="530"/>
      <c r="M94" s="168"/>
      <c r="N94" s="92"/>
      <c r="O94" s="153"/>
      <c r="P94" s="571"/>
      <c r="Q94" s="571"/>
      <c r="R94" s="92"/>
      <c r="S94" s="574"/>
    </row>
    <row r="95" spans="1:19" ht="14.25" customHeight="1" thickBot="1">
      <c r="A95" s="592" t="s">
        <v>162</v>
      </c>
      <c r="B95" s="593"/>
      <c r="C95" s="593"/>
      <c r="D95" s="593"/>
      <c r="E95" s="593"/>
      <c r="F95" s="593"/>
      <c r="G95" s="593"/>
      <c r="H95" s="594"/>
      <c r="I95" s="345"/>
      <c r="J95" s="229"/>
      <c r="K95" s="166"/>
      <c r="L95" s="530"/>
      <c r="M95" s="166"/>
      <c r="N95" s="166"/>
      <c r="O95" s="153"/>
      <c r="P95" s="571"/>
      <c r="Q95" s="571"/>
      <c r="R95" s="92"/>
      <c r="S95" s="92"/>
    </row>
    <row r="96" spans="1:19" ht="43.5" customHeight="1" thickBot="1">
      <c r="A96" s="64">
        <v>12</v>
      </c>
      <c r="B96" s="65" t="s">
        <v>411</v>
      </c>
      <c r="C96" s="66" t="s">
        <v>412</v>
      </c>
      <c r="D96" s="525" t="s">
        <v>12</v>
      </c>
      <c r="E96" s="66"/>
      <c r="F96" s="363">
        <v>0.31</v>
      </c>
      <c r="G96" s="66"/>
      <c r="H96" s="106">
        <f>SUM(H97:H101)</f>
        <v>0</v>
      </c>
      <c r="I96" s="345"/>
      <c r="J96" s="229"/>
      <c r="K96" s="166"/>
      <c r="L96" s="530"/>
      <c r="M96" s="166"/>
      <c r="N96" s="166"/>
      <c r="O96" s="153"/>
      <c r="P96" s="571"/>
      <c r="Q96" s="571"/>
      <c r="R96" s="92"/>
      <c r="S96" s="92"/>
    </row>
    <row r="97" spans="1:19" ht="14.25" customHeight="1">
      <c r="A97" s="49">
        <f>A96+0.1</f>
        <v>12.1</v>
      </c>
      <c r="B97" s="504" t="s">
        <v>32</v>
      </c>
      <c r="C97" s="458" t="s">
        <v>17</v>
      </c>
      <c r="D97" s="51" t="s">
        <v>28</v>
      </c>
      <c r="E97" s="51">
        <f>2.9*2.5</f>
        <v>7.25</v>
      </c>
      <c r="F97" s="75">
        <f>F96*E97</f>
        <v>2.25</v>
      </c>
      <c r="G97" s="75"/>
      <c r="H97" s="58">
        <f>F97*G97</f>
        <v>0</v>
      </c>
      <c r="I97" s="345"/>
      <c r="J97" s="229"/>
      <c r="K97" s="166"/>
      <c r="L97" s="530"/>
      <c r="M97" s="166"/>
      <c r="N97" s="166"/>
      <c r="O97" s="153"/>
      <c r="P97" s="571"/>
      <c r="Q97" s="571"/>
      <c r="R97" s="92"/>
      <c r="S97" s="92"/>
    </row>
    <row r="98" spans="1:19" ht="14.25" customHeight="1">
      <c r="A98" s="17">
        <f>A97+0.1</f>
        <v>12.2</v>
      </c>
      <c r="B98" s="120"/>
      <c r="C98" s="447" t="s">
        <v>348</v>
      </c>
      <c r="D98" s="447" t="s">
        <v>349</v>
      </c>
      <c r="E98" s="447">
        <v>1.015</v>
      </c>
      <c r="F98" s="471">
        <f>F96*E98</f>
        <v>0.31</v>
      </c>
      <c r="G98" s="447"/>
      <c r="H98" s="31">
        <f>F98*G98</f>
        <v>0</v>
      </c>
      <c r="I98" s="345"/>
      <c r="J98" s="229"/>
      <c r="K98" s="166"/>
      <c r="L98" s="530"/>
      <c r="M98" s="166"/>
      <c r="N98" s="166"/>
      <c r="O98" s="153"/>
      <c r="P98" s="571"/>
      <c r="Q98" s="571"/>
      <c r="R98" s="92"/>
      <c r="S98" s="92"/>
    </row>
    <row r="99" spans="1:19" ht="14.25" customHeight="1">
      <c r="A99" s="17">
        <f>A98+0.1</f>
        <v>12.3</v>
      </c>
      <c r="B99" s="17"/>
      <c r="C99" s="17" t="s">
        <v>413</v>
      </c>
      <c r="D99" s="505" t="s">
        <v>12</v>
      </c>
      <c r="E99" s="17">
        <v>1.015</v>
      </c>
      <c r="F99" s="26">
        <f>F96*E99</f>
        <v>0.31</v>
      </c>
      <c r="G99" s="26"/>
      <c r="H99" s="25">
        <f>F99*G99</f>
        <v>0</v>
      </c>
      <c r="I99" s="345"/>
      <c r="J99" s="229"/>
      <c r="K99" s="166"/>
      <c r="L99" s="530"/>
      <c r="M99" s="166"/>
      <c r="N99" s="166"/>
      <c r="O99" s="153"/>
      <c r="P99" s="571"/>
      <c r="Q99" s="571"/>
      <c r="R99" s="92"/>
      <c r="S99" s="92"/>
    </row>
    <row r="100" spans="1:19" ht="14.25" customHeight="1">
      <c r="A100" s="17">
        <f>A99+0.1</f>
        <v>12.4</v>
      </c>
      <c r="B100" s="17"/>
      <c r="C100" s="17" t="s">
        <v>351</v>
      </c>
      <c r="D100" s="505" t="s">
        <v>18</v>
      </c>
      <c r="E100" s="17"/>
      <c r="F100" s="26">
        <f>0.395*10*2.6</f>
        <v>10.27</v>
      </c>
      <c r="G100" s="26"/>
      <c r="H100" s="25">
        <f>F100*G100</f>
        <v>0</v>
      </c>
      <c r="I100" s="345"/>
      <c r="J100" s="229"/>
      <c r="K100" s="166"/>
      <c r="L100" s="530"/>
      <c r="M100" s="166"/>
      <c r="N100" s="166"/>
      <c r="O100" s="153"/>
      <c r="P100" s="571"/>
      <c r="Q100" s="571"/>
      <c r="R100" s="92"/>
      <c r="S100" s="92"/>
    </row>
    <row r="101" spans="1:19" ht="14.25" customHeight="1" thickBot="1">
      <c r="A101" s="17">
        <f>A100+0.1</f>
        <v>12.5</v>
      </c>
      <c r="B101" s="17"/>
      <c r="C101" s="17" t="s">
        <v>31</v>
      </c>
      <c r="D101" s="17" t="s">
        <v>20</v>
      </c>
      <c r="E101" s="17">
        <v>0.88</v>
      </c>
      <c r="F101" s="26">
        <f>F96*E101</f>
        <v>0.27</v>
      </c>
      <c r="G101" s="17"/>
      <c r="H101" s="25">
        <f>F101*G101</f>
        <v>0</v>
      </c>
      <c r="I101" s="345"/>
      <c r="J101" s="229"/>
      <c r="K101" s="166"/>
      <c r="L101" s="530"/>
      <c r="M101" s="166"/>
      <c r="N101" s="166"/>
      <c r="O101" s="153"/>
      <c r="P101" s="571"/>
      <c r="Q101" s="571"/>
      <c r="R101" s="92"/>
      <c r="S101" s="92"/>
    </row>
    <row r="102" spans="1:19" ht="41.25" customHeight="1" thickBot="1">
      <c r="A102" s="188">
        <v>13</v>
      </c>
      <c r="B102" s="85" t="s">
        <v>276</v>
      </c>
      <c r="C102" s="141" t="s">
        <v>277</v>
      </c>
      <c r="D102" s="146" t="s">
        <v>92</v>
      </c>
      <c r="E102" s="162"/>
      <c r="F102" s="189">
        <f>2*1.3</f>
        <v>2.6</v>
      </c>
      <c r="G102" s="198"/>
      <c r="H102" s="239">
        <f>SUM(H103:H106)</f>
        <v>0</v>
      </c>
      <c r="I102" s="345"/>
      <c r="J102" s="222"/>
      <c r="K102" s="166"/>
      <c r="L102" s="530"/>
      <c r="M102" s="166"/>
      <c r="N102" s="166"/>
      <c r="O102" s="153"/>
      <c r="P102" s="571"/>
      <c r="Q102" s="571"/>
      <c r="R102" s="92"/>
      <c r="S102" s="92"/>
    </row>
    <row r="103" spans="1:19" ht="14.25" customHeight="1">
      <c r="A103" s="191">
        <f>A102+0.1</f>
        <v>13.1</v>
      </c>
      <c r="B103" s="182"/>
      <c r="C103" s="103" t="s">
        <v>93</v>
      </c>
      <c r="D103" s="132" t="s">
        <v>94</v>
      </c>
      <c r="E103" s="132">
        <f>(18.8+0.34*6)/100</f>
        <v>0.21</v>
      </c>
      <c r="F103" s="132">
        <f>F102*E103</f>
        <v>0.55</v>
      </c>
      <c r="G103" s="178"/>
      <c r="H103" s="240">
        <f>G103*F103</f>
        <v>0</v>
      </c>
      <c r="I103" s="345"/>
      <c r="J103" s="345"/>
      <c r="K103" s="166"/>
      <c r="L103" s="530"/>
      <c r="M103" s="166"/>
      <c r="N103" s="168"/>
      <c r="O103" s="153"/>
      <c r="P103" s="571"/>
      <c r="Q103" s="571"/>
      <c r="R103" s="92"/>
      <c r="S103" s="92"/>
    </row>
    <row r="104" spans="1:19" ht="14.25" customHeight="1">
      <c r="A104" s="193">
        <f>A103+0.1</f>
        <v>13.2</v>
      </c>
      <c r="B104" s="183"/>
      <c r="C104" s="135" t="s">
        <v>95</v>
      </c>
      <c r="D104" s="147" t="s">
        <v>98</v>
      </c>
      <c r="E104" s="134">
        <f>(0.95+0.23*6)/100</f>
        <v>0.02</v>
      </c>
      <c r="F104" s="147">
        <f>F102*E104</f>
        <v>0.05</v>
      </c>
      <c r="G104" s="147"/>
      <c r="H104" s="246">
        <f>G104*F104</f>
        <v>0</v>
      </c>
      <c r="I104" s="345"/>
      <c r="J104" s="349"/>
      <c r="K104" s="166"/>
      <c r="L104" s="530"/>
      <c r="M104" s="166"/>
      <c r="N104" s="168"/>
      <c r="O104" s="153"/>
      <c r="P104" s="571"/>
      <c r="Q104" s="571"/>
      <c r="R104" s="92"/>
      <c r="S104" s="92"/>
    </row>
    <row r="105" spans="1:19" ht="14.25" customHeight="1">
      <c r="A105" s="193">
        <f>A104+0.1</f>
        <v>13.3</v>
      </c>
      <c r="B105" s="183"/>
      <c r="C105" s="136" t="s">
        <v>113</v>
      </c>
      <c r="D105" s="149" t="s">
        <v>97</v>
      </c>
      <c r="E105" s="149">
        <f>2.04/100+0.51*4/100</f>
        <v>0.04</v>
      </c>
      <c r="F105" s="149">
        <f>F102*E105</f>
        <v>0.1</v>
      </c>
      <c r="G105" s="149"/>
      <c r="H105" s="247">
        <f>G105*F105</f>
        <v>0</v>
      </c>
      <c r="I105" s="345"/>
      <c r="J105" s="227"/>
      <c r="K105" s="166"/>
      <c r="L105" s="530"/>
      <c r="M105" s="166"/>
      <c r="N105" s="168"/>
      <c r="O105" s="153"/>
      <c r="P105" s="571"/>
      <c r="Q105" s="571"/>
      <c r="R105" s="92"/>
      <c r="S105" s="92"/>
    </row>
    <row r="106" spans="1:19" ht="14.25" customHeight="1" thickBot="1">
      <c r="A106" s="193">
        <f>A105+0.1</f>
        <v>13.4</v>
      </c>
      <c r="B106" s="186"/>
      <c r="C106" s="137" t="s">
        <v>106</v>
      </c>
      <c r="D106" s="150" t="s">
        <v>98</v>
      </c>
      <c r="E106" s="150">
        <f>6.36/100</f>
        <v>0.06</v>
      </c>
      <c r="F106" s="150">
        <f>F102*E106</f>
        <v>0.16</v>
      </c>
      <c r="G106" s="150"/>
      <c r="H106" s="248">
        <f>G106*F106</f>
        <v>0</v>
      </c>
      <c r="I106" s="345"/>
      <c r="J106" s="227"/>
      <c r="K106" s="166"/>
      <c r="L106" s="530"/>
      <c r="M106" s="166"/>
      <c r="N106" s="166"/>
      <c r="O106" s="153"/>
      <c r="P106" s="571"/>
      <c r="Q106" s="571"/>
      <c r="R106" s="92"/>
      <c r="S106" s="92"/>
    </row>
    <row r="107" spans="1:19" ht="52.5" customHeight="1" thickBot="1">
      <c r="A107" s="188">
        <f>A102+1</f>
        <v>14</v>
      </c>
      <c r="B107" s="85" t="s">
        <v>278</v>
      </c>
      <c r="C107" s="141" t="s">
        <v>279</v>
      </c>
      <c r="D107" s="146" t="s">
        <v>92</v>
      </c>
      <c r="E107" s="162"/>
      <c r="F107" s="146">
        <v>2.6</v>
      </c>
      <c r="G107" s="162"/>
      <c r="H107" s="239">
        <f>SUM(H108:H112)</f>
        <v>0</v>
      </c>
      <c r="I107" s="345"/>
      <c r="J107" s="356"/>
      <c r="K107" s="166"/>
      <c r="L107" s="530"/>
      <c r="M107" s="166"/>
      <c r="N107" s="166"/>
      <c r="O107" s="153"/>
      <c r="P107" s="571"/>
      <c r="Q107" s="571"/>
      <c r="R107" s="92"/>
      <c r="S107" s="92"/>
    </row>
    <row r="108" spans="1:15" ht="19.5" customHeight="1">
      <c r="A108" s="102">
        <f>A107+0.1</f>
        <v>14.1</v>
      </c>
      <c r="B108" s="103"/>
      <c r="C108" s="103" t="s">
        <v>93</v>
      </c>
      <c r="D108" s="132" t="s">
        <v>94</v>
      </c>
      <c r="E108" s="105">
        <v>1.08</v>
      </c>
      <c r="F108" s="105">
        <f>F107*E108</f>
        <v>2.81</v>
      </c>
      <c r="G108" s="132"/>
      <c r="H108" s="240">
        <f>G108*F108</f>
        <v>0</v>
      </c>
      <c r="I108" s="345"/>
      <c r="J108" s="345"/>
      <c r="K108" s="166"/>
      <c r="L108" s="534"/>
      <c r="M108" s="166"/>
      <c r="N108" s="166"/>
      <c r="O108" s="153"/>
    </row>
    <row r="109" spans="1:15" ht="19.5" customHeight="1">
      <c r="A109" s="136">
        <f>A108+0.1</f>
        <v>14.2</v>
      </c>
      <c r="B109" s="135"/>
      <c r="C109" s="135" t="s">
        <v>95</v>
      </c>
      <c r="D109" s="147" t="s">
        <v>98</v>
      </c>
      <c r="E109" s="147">
        <f>4.52/100</f>
        <v>0.05</v>
      </c>
      <c r="F109" s="147">
        <f>F107*E109</f>
        <v>0.13</v>
      </c>
      <c r="G109" s="147"/>
      <c r="H109" s="246">
        <f>G109*F109</f>
        <v>0</v>
      </c>
      <c r="I109" s="345"/>
      <c r="J109" s="349"/>
      <c r="K109" s="166"/>
      <c r="L109" s="530"/>
      <c r="M109" s="166"/>
      <c r="N109" s="166"/>
      <c r="O109" s="153"/>
    </row>
    <row r="110" spans="1:15" ht="19.5" customHeight="1">
      <c r="A110" s="136">
        <f>A109+0.1</f>
        <v>14.3</v>
      </c>
      <c r="B110" s="136"/>
      <c r="C110" s="136" t="s">
        <v>280</v>
      </c>
      <c r="D110" s="149" t="s">
        <v>92</v>
      </c>
      <c r="E110" s="149">
        <v>1.02</v>
      </c>
      <c r="F110" s="149">
        <f>F107*E110</f>
        <v>2.65</v>
      </c>
      <c r="G110" s="149"/>
      <c r="H110" s="247">
        <f>G110*F110</f>
        <v>0</v>
      </c>
      <c r="I110" s="345"/>
      <c r="J110" s="227"/>
      <c r="K110" s="166"/>
      <c r="L110" s="530"/>
      <c r="M110" s="166"/>
      <c r="N110" s="166"/>
      <c r="O110" s="153"/>
    </row>
    <row r="111" spans="1:15" ht="19.5" customHeight="1">
      <c r="A111" s="136">
        <f>A110+0.1</f>
        <v>14.4</v>
      </c>
      <c r="B111" s="136"/>
      <c r="C111" s="136" t="s">
        <v>281</v>
      </c>
      <c r="D111" s="149" t="s">
        <v>109</v>
      </c>
      <c r="E111" s="149" t="s">
        <v>19</v>
      </c>
      <c r="F111" s="149">
        <f>F107*6</f>
        <v>15.6</v>
      </c>
      <c r="G111" s="149"/>
      <c r="H111" s="247">
        <f>G111*F111</f>
        <v>0</v>
      </c>
      <c r="I111" s="345"/>
      <c r="J111" s="227"/>
      <c r="K111" s="166"/>
      <c r="L111" s="530"/>
      <c r="M111" s="166"/>
      <c r="N111" s="166"/>
      <c r="O111" s="153"/>
    </row>
    <row r="112" spans="1:15" ht="19.5" customHeight="1">
      <c r="A112" s="137">
        <f>A111+0.1</f>
        <v>14.5</v>
      </c>
      <c r="B112" s="137"/>
      <c r="C112" s="137" t="s">
        <v>106</v>
      </c>
      <c r="D112" s="150" t="s">
        <v>98</v>
      </c>
      <c r="E112" s="150">
        <v>0.05</v>
      </c>
      <c r="F112" s="150">
        <f>F107*E112</f>
        <v>0.13</v>
      </c>
      <c r="G112" s="150"/>
      <c r="H112" s="248">
        <f>G112*F112</f>
        <v>0</v>
      </c>
      <c r="I112" s="345"/>
      <c r="J112" s="227"/>
      <c r="K112" s="166"/>
      <c r="L112" s="530"/>
      <c r="M112" s="166"/>
      <c r="N112" s="166"/>
      <c r="O112" s="153"/>
    </row>
    <row r="113" spans="1:15" ht="85.5" customHeight="1" hidden="1">
      <c r="A113" s="188"/>
      <c r="B113" s="85"/>
      <c r="C113" s="85"/>
      <c r="D113" s="162"/>
      <c r="E113" s="146"/>
      <c r="F113" s="146"/>
      <c r="G113" s="162"/>
      <c r="H113" s="239"/>
      <c r="I113" s="345"/>
      <c r="J113" s="222"/>
      <c r="K113" s="166"/>
      <c r="L113" s="530"/>
      <c r="M113" s="166"/>
      <c r="N113" s="357"/>
      <c r="O113" s="358"/>
    </row>
    <row r="114" spans="1:15" ht="16.5" customHeight="1" hidden="1">
      <c r="A114" s="191"/>
      <c r="B114" s="103"/>
      <c r="C114" s="103"/>
      <c r="D114" s="132"/>
      <c r="E114" s="132"/>
      <c r="F114" s="132"/>
      <c r="G114" s="132"/>
      <c r="H114" s="240"/>
      <c r="I114" s="345"/>
      <c r="J114" s="345"/>
      <c r="K114" s="166"/>
      <c r="L114" s="530"/>
      <c r="M114" s="166"/>
      <c r="N114" s="166"/>
      <c r="O114" s="153"/>
    </row>
    <row r="115" spans="1:15" ht="16.5" customHeight="1" hidden="1">
      <c r="A115" s="193"/>
      <c r="B115" s="135"/>
      <c r="C115" s="135"/>
      <c r="D115" s="147"/>
      <c r="E115" s="205"/>
      <c r="F115" s="147"/>
      <c r="G115" s="147"/>
      <c r="H115" s="246"/>
      <c r="I115" s="345"/>
      <c r="J115" s="349"/>
      <c r="K115" s="166"/>
      <c r="L115" s="530"/>
      <c r="M115" s="166"/>
      <c r="N115" s="166"/>
      <c r="O115" s="153"/>
    </row>
    <row r="116" spans="1:15" ht="43.5" customHeight="1" hidden="1">
      <c r="A116" s="193"/>
      <c r="B116" s="136"/>
      <c r="C116" s="136"/>
      <c r="D116" s="149"/>
      <c r="E116" s="209"/>
      <c r="F116" s="149"/>
      <c r="G116" s="149"/>
      <c r="H116" s="247"/>
      <c r="I116" s="345"/>
      <c r="J116" s="227"/>
      <c r="K116" s="166"/>
      <c r="L116" s="530"/>
      <c r="M116" s="168"/>
      <c r="N116" s="168"/>
      <c r="O116" s="153"/>
    </row>
    <row r="117" spans="1:15" ht="16.5" customHeight="1" hidden="1">
      <c r="A117" s="206"/>
      <c r="B117" s="137"/>
      <c r="C117" s="137"/>
      <c r="D117" s="150"/>
      <c r="E117" s="210"/>
      <c r="F117" s="150"/>
      <c r="G117" s="150"/>
      <c r="H117" s="248"/>
      <c r="I117" s="345"/>
      <c r="J117" s="227"/>
      <c r="K117" s="166"/>
      <c r="L117" s="530"/>
      <c r="M117" s="166"/>
      <c r="N117" s="166"/>
      <c r="O117" s="153"/>
    </row>
    <row r="118" spans="1:15" ht="16.5" customHeight="1" thickBot="1">
      <c r="A118" s="595" t="s">
        <v>282</v>
      </c>
      <c r="B118" s="595"/>
      <c r="C118" s="595"/>
      <c r="D118" s="595"/>
      <c r="E118" s="595"/>
      <c r="F118" s="595"/>
      <c r="G118" s="595"/>
      <c r="H118" s="595"/>
      <c r="I118" s="345"/>
      <c r="J118" s="359"/>
      <c r="K118" s="166"/>
      <c r="L118" s="530"/>
      <c r="M118" s="166"/>
      <c r="N118" s="166"/>
      <c r="O118" s="153"/>
    </row>
    <row r="119" spans="1:15" ht="55.5" customHeight="1" hidden="1">
      <c r="A119" s="188"/>
      <c r="B119" s="360"/>
      <c r="C119" s="361"/>
      <c r="D119" s="211"/>
      <c r="E119" s="361"/>
      <c r="F119" s="362"/>
      <c r="G119" s="361"/>
      <c r="H119" s="211"/>
      <c r="I119" s="345"/>
      <c r="J119" s="222"/>
      <c r="K119" s="166"/>
      <c r="L119" s="535"/>
      <c r="M119" s="168"/>
      <c r="N119" s="166"/>
      <c r="O119" s="153"/>
    </row>
    <row r="120" spans="1:15" ht="59.25" customHeight="1" thickBot="1">
      <c r="A120" s="188">
        <f>A107+1</f>
        <v>15</v>
      </c>
      <c r="B120" s="214" t="s">
        <v>283</v>
      </c>
      <c r="C120" s="141" t="s">
        <v>284</v>
      </c>
      <c r="D120" s="146" t="s">
        <v>92</v>
      </c>
      <c r="E120" s="162"/>
      <c r="F120" s="189">
        <v>2.6</v>
      </c>
      <c r="G120" s="162"/>
      <c r="H120" s="239">
        <f>G120*F120</f>
        <v>0</v>
      </c>
      <c r="I120" s="345"/>
      <c r="J120" s="222"/>
      <c r="K120" s="166"/>
      <c r="L120" s="530"/>
      <c r="M120" s="166"/>
      <c r="N120" s="168"/>
      <c r="O120" s="153"/>
    </row>
    <row r="121" spans="1:17" ht="16.5" customHeight="1" thickBot="1">
      <c r="A121" s="599" t="s">
        <v>331</v>
      </c>
      <c r="B121" s="600"/>
      <c r="C121" s="600"/>
      <c r="D121" s="600"/>
      <c r="E121" s="600"/>
      <c r="F121" s="600"/>
      <c r="G121" s="600"/>
      <c r="H121" s="601"/>
      <c r="I121" s="345"/>
      <c r="J121" s="91"/>
      <c r="P121" s="91"/>
      <c r="Q121" s="91"/>
    </row>
    <row r="122" spans="1:12" ht="34.5" customHeight="1" thickBot="1">
      <c r="A122" s="64">
        <f>A120+1</f>
        <v>16</v>
      </c>
      <c r="B122" s="65" t="s">
        <v>332</v>
      </c>
      <c r="C122" s="68" t="s">
        <v>432</v>
      </c>
      <c r="D122" s="67" t="s">
        <v>97</v>
      </c>
      <c r="E122" s="431"/>
      <c r="F122" s="68">
        <v>0.13</v>
      </c>
      <c r="G122" s="431"/>
      <c r="H122" s="106">
        <f>H123+H124+H125+H126+H127+H128+H129+H130</f>
        <v>0</v>
      </c>
      <c r="I122" s="345"/>
      <c r="K122" s="436"/>
      <c r="L122" s="532"/>
    </row>
    <row r="123" spans="1:12" ht="15">
      <c r="A123" s="119">
        <f aca="true" t="shared" si="7" ref="A123:A129">A122+0.1</f>
        <v>16.1</v>
      </c>
      <c r="B123" s="51" t="s">
        <v>217</v>
      </c>
      <c r="C123" s="51" t="s">
        <v>93</v>
      </c>
      <c r="D123" s="54" t="s">
        <v>94</v>
      </c>
      <c r="E123" s="54">
        <f>23.8*1.15</f>
        <v>27.37</v>
      </c>
      <c r="F123" s="54">
        <f>F122*E123</f>
        <v>3.56</v>
      </c>
      <c r="G123" s="312"/>
      <c r="H123" s="58">
        <f aca="true" t="shared" si="8" ref="H123:H130">G123*F123</f>
        <v>0</v>
      </c>
      <c r="I123" s="345"/>
      <c r="L123" s="532"/>
    </row>
    <row r="124" spans="1:12" ht="15">
      <c r="A124" s="21">
        <f t="shared" si="7"/>
        <v>16.2</v>
      </c>
      <c r="B124" s="18" t="s">
        <v>217</v>
      </c>
      <c r="C124" s="18" t="s">
        <v>95</v>
      </c>
      <c r="D124" s="22" t="s">
        <v>98</v>
      </c>
      <c r="E124" s="22">
        <f>2.1*1.15</f>
        <v>2.42</v>
      </c>
      <c r="F124" s="22">
        <f>F122*E124</f>
        <v>0.31</v>
      </c>
      <c r="G124" s="22"/>
      <c r="H124" s="24">
        <f t="shared" si="8"/>
        <v>0</v>
      </c>
      <c r="I124" s="345"/>
      <c r="L124" s="532"/>
    </row>
    <row r="125" spans="1:12" ht="15.75">
      <c r="A125" s="21">
        <f t="shared" si="7"/>
        <v>16.3</v>
      </c>
      <c r="B125" s="35"/>
      <c r="C125" s="17" t="s">
        <v>433</v>
      </c>
      <c r="D125" s="23" t="s">
        <v>97</v>
      </c>
      <c r="E125" s="23">
        <v>1.05</v>
      </c>
      <c r="F125" s="23">
        <f>F122*E125</f>
        <v>0.14</v>
      </c>
      <c r="G125" s="23"/>
      <c r="H125" s="25">
        <f t="shared" si="8"/>
        <v>0</v>
      </c>
      <c r="I125" s="345"/>
      <c r="L125" s="532"/>
    </row>
    <row r="126" spans="1:12" ht="15.75">
      <c r="A126" s="21">
        <f t="shared" si="7"/>
        <v>16.4</v>
      </c>
      <c r="B126" s="35"/>
      <c r="C126" s="17" t="s">
        <v>434</v>
      </c>
      <c r="D126" s="23" t="s">
        <v>109</v>
      </c>
      <c r="E126" s="23">
        <v>1.96</v>
      </c>
      <c r="F126" s="23">
        <f>F122*E126</f>
        <v>0.25</v>
      </c>
      <c r="G126" s="23"/>
      <c r="H126" s="25">
        <f t="shared" si="8"/>
        <v>0</v>
      </c>
      <c r="I126" s="345"/>
      <c r="L126" s="532"/>
    </row>
    <row r="127" spans="1:12" ht="15">
      <c r="A127" s="21">
        <f t="shared" si="7"/>
        <v>16.5</v>
      </c>
      <c r="B127" s="17"/>
      <c r="C127" s="17" t="s">
        <v>435</v>
      </c>
      <c r="D127" s="23" t="s">
        <v>92</v>
      </c>
      <c r="E127" s="23">
        <v>3.38</v>
      </c>
      <c r="F127" s="23">
        <f>F122*E127</f>
        <v>0.44</v>
      </c>
      <c r="G127" s="23"/>
      <c r="H127" s="25">
        <f t="shared" si="8"/>
        <v>0</v>
      </c>
      <c r="I127" s="345"/>
      <c r="L127" s="532"/>
    </row>
    <row r="128" spans="1:12" ht="15">
      <c r="A128" s="21">
        <f t="shared" si="7"/>
        <v>16.6</v>
      </c>
      <c r="B128" s="17"/>
      <c r="C128" s="17" t="s">
        <v>436</v>
      </c>
      <c r="D128" s="23" t="s">
        <v>109</v>
      </c>
      <c r="E128" s="23">
        <v>4.38</v>
      </c>
      <c r="F128" s="23">
        <f>F122*E128</f>
        <v>0.57</v>
      </c>
      <c r="G128" s="23"/>
      <c r="H128" s="25">
        <f t="shared" si="8"/>
        <v>0</v>
      </c>
      <c r="I128" s="345"/>
      <c r="L128" s="532"/>
    </row>
    <row r="129" spans="1:12" ht="15">
      <c r="A129" s="21">
        <f t="shared" si="7"/>
        <v>16.7</v>
      </c>
      <c r="B129" s="17"/>
      <c r="C129" s="17" t="s">
        <v>437</v>
      </c>
      <c r="D129" s="23" t="s">
        <v>109</v>
      </c>
      <c r="E129" s="23">
        <v>7.2</v>
      </c>
      <c r="F129" s="23">
        <f>F122*E129</f>
        <v>0.94</v>
      </c>
      <c r="G129" s="23"/>
      <c r="H129" s="25">
        <f t="shared" si="8"/>
        <v>0</v>
      </c>
      <c r="I129" s="345"/>
      <c r="L129" s="532"/>
    </row>
    <row r="130" spans="1:12" ht="15.75" thickBot="1">
      <c r="A130" s="74">
        <f>A129+0.1</f>
        <v>16.8</v>
      </c>
      <c r="B130" s="55"/>
      <c r="C130" s="55" t="s">
        <v>106</v>
      </c>
      <c r="D130" s="71" t="s">
        <v>98</v>
      </c>
      <c r="E130" s="71">
        <v>3.44</v>
      </c>
      <c r="F130" s="71">
        <f>F122*E130</f>
        <v>0.45</v>
      </c>
      <c r="G130" s="71"/>
      <c r="H130" s="72">
        <f t="shared" si="8"/>
        <v>0</v>
      </c>
      <c r="I130" s="345"/>
      <c r="L130" s="532"/>
    </row>
    <row r="131" spans="1:12" ht="27.75" customHeight="1" thickBot="1">
      <c r="A131" s="432">
        <f>A122+1</f>
        <v>17</v>
      </c>
      <c r="B131" s="140" t="s">
        <v>333</v>
      </c>
      <c r="C131" s="140" t="s">
        <v>438</v>
      </c>
      <c r="D131" s="140" t="s">
        <v>439</v>
      </c>
      <c r="E131" s="140"/>
      <c r="F131" s="437">
        <f>3.8/100</f>
        <v>0.038</v>
      </c>
      <c r="G131" s="140"/>
      <c r="H131" s="424">
        <f>SUM(H132:H134)</f>
        <v>0</v>
      </c>
      <c r="I131" s="345"/>
      <c r="L131" s="532"/>
    </row>
    <row r="132" spans="1:12" ht="15">
      <c r="A132" s="119">
        <f>A131+0.1</f>
        <v>17.1</v>
      </c>
      <c r="B132" s="51"/>
      <c r="C132" s="51" t="s">
        <v>93</v>
      </c>
      <c r="D132" s="51" t="s">
        <v>94</v>
      </c>
      <c r="E132" s="75">
        <f>4.24</f>
        <v>4.24</v>
      </c>
      <c r="F132" s="75">
        <f>F131*E132</f>
        <v>0.16</v>
      </c>
      <c r="G132" s="312"/>
      <c r="H132" s="58">
        <f>F132*G132</f>
        <v>0</v>
      </c>
      <c r="I132" s="345"/>
      <c r="L132" s="532"/>
    </row>
    <row r="133" spans="1:12" ht="15">
      <c r="A133" s="21">
        <f>A132+0.1</f>
        <v>17.2</v>
      </c>
      <c r="B133" s="18"/>
      <c r="C133" s="318" t="s">
        <v>95</v>
      </c>
      <c r="D133" s="318" t="s">
        <v>98</v>
      </c>
      <c r="E133" s="325">
        <f>0.21</f>
        <v>0.21</v>
      </c>
      <c r="F133" s="325">
        <f>F131*E133</f>
        <v>0.01</v>
      </c>
      <c r="G133" s="325"/>
      <c r="H133" s="326">
        <f>G133*F133</f>
        <v>0</v>
      </c>
      <c r="I133" s="345"/>
      <c r="L133" s="532"/>
    </row>
    <row r="134" spans="1:12" ht="16.5" thickBot="1">
      <c r="A134" s="74">
        <f>A133+0.1</f>
        <v>17.3</v>
      </c>
      <c r="B134" s="70"/>
      <c r="C134" s="55" t="s">
        <v>440</v>
      </c>
      <c r="D134" s="55" t="s">
        <v>109</v>
      </c>
      <c r="E134" s="71">
        <v>34.2</v>
      </c>
      <c r="F134" s="71">
        <f>F131*E134</f>
        <v>1.3</v>
      </c>
      <c r="G134" s="71"/>
      <c r="H134" s="72">
        <f>G134*F134</f>
        <v>0</v>
      </c>
      <c r="I134" s="345"/>
      <c r="L134" s="532"/>
    </row>
    <row r="135" spans="1:12" ht="35.25" customHeight="1" thickBot="1">
      <c r="A135" s="82">
        <f>A131+1</f>
        <v>18</v>
      </c>
      <c r="B135" s="65" t="s">
        <v>334</v>
      </c>
      <c r="C135" s="66" t="s">
        <v>441</v>
      </c>
      <c r="D135" s="65" t="s">
        <v>439</v>
      </c>
      <c r="E135" s="66"/>
      <c r="F135" s="437">
        <f>3.8/100</f>
        <v>0.038</v>
      </c>
      <c r="G135" s="66"/>
      <c r="H135" s="106">
        <f>SUM(H136:H138)</f>
        <v>0</v>
      </c>
      <c r="I135" s="345"/>
      <c r="L135" s="532"/>
    </row>
    <row r="136" spans="1:12" ht="15">
      <c r="A136" s="119">
        <f>A135+0.1</f>
        <v>18.1</v>
      </c>
      <c r="B136" s="51"/>
      <c r="C136" s="51" t="s">
        <v>93</v>
      </c>
      <c r="D136" s="51" t="s">
        <v>94</v>
      </c>
      <c r="E136" s="75">
        <f>3.03</f>
        <v>3.03</v>
      </c>
      <c r="F136" s="75">
        <f>F135*E136</f>
        <v>0.12</v>
      </c>
      <c r="G136" s="312"/>
      <c r="H136" s="58">
        <f>F136*G136</f>
        <v>0</v>
      </c>
      <c r="I136" s="345"/>
      <c r="L136" s="532"/>
    </row>
    <row r="137" spans="1:12" ht="15">
      <c r="A137" s="21">
        <f>A136+0.1</f>
        <v>18.2</v>
      </c>
      <c r="B137" s="18"/>
      <c r="C137" s="318" t="s">
        <v>95</v>
      </c>
      <c r="D137" s="318" t="s">
        <v>98</v>
      </c>
      <c r="E137" s="319">
        <f>0.41</f>
        <v>0.41</v>
      </c>
      <c r="F137" s="319">
        <f>F135*E137</f>
        <v>0.02</v>
      </c>
      <c r="G137" s="319"/>
      <c r="H137" s="326">
        <f>F137*G137</f>
        <v>0</v>
      </c>
      <c r="I137" s="345"/>
      <c r="L137" s="532"/>
    </row>
    <row r="138" spans="1:12" ht="21" customHeight="1" thickBot="1">
      <c r="A138" s="74">
        <f>A137+0.1</f>
        <v>18.3</v>
      </c>
      <c r="B138" s="55"/>
      <c r="C138" s="55" t="s">
        <v>442</v>
      </c>
      <c r="D138" s="55" t="s">
        <v>109</v>
      </c>
      <c r="E138" s="76">
        <v>150</v>
      </c>
      <c r="F138" s="76">
        <f>E138*F135</f>
        <v>5.7</v>
      </c>
      <c r="G138" s="74"/>
      <c r="H138" s="72">
        <f>F138*G138</f>
        <v>0</v>
      </c>
      <c r="I138" s="345"/>
      <c r="L138" s="532"/>
    </row>
    <row r="139" spans="1:12" ht="69" customHeight="1" thickBot="1">
      <c r="A139" s="65">
        <f>A135+1</f>
        <v>19</v>
      </c>
      <c r="B139" s="65" t="s">
        <v>335</v>
      </c>
      <c r="C139" s="66" t="s">
        <v>443</v>
      </c>
      <c r="D139" s="67" t="s">
        <v>444</v>
      </c>
      <c r="E139" s="433"/>
      <c r="F139" s="437">
        <f>3.8/100</f>
        <v>0.038</v>
      </c>
      <c r="G139" s="68"/>
      <c r="H139" s="106">
        <f>H140+H141+H142+H143+H144+H145+H146+H147+H148</f>
        <v>0</v>
      </c>
      <c r="I139" s="345"/>
      <c r="L139" s="532"/>
    </row>
    <row r="140" spans="1:12" ht="15">
      <c r="A140" s="119">
        <f aca="true" t="shared" si="9" ref="A140:A148">A139+0.1</f>
        <v>19.1</v>
      </c>
      <c r="B140" s="49" t="s">
        <v>217</v>
      </c>
      <c r="C140" s="51" t="s">
        <v>93</v>
      </c>
      <c r="D140" s="54" t="s">
        <v>94</v>
      </c>
      <c r="E140" s="54">
        <f>43.9*1.15</f>
        <v>50.49</v>
      </c>
      <c r="F140" s="75">
        <f>F139*E140</f>
        <v>1.92</v>
      </c>
      <c r="G140" s="312"/>
      <c r="H140" s="434">
        <f aca="true" t="shared" si="10" ref="H140:H148">G140*F140</f>
        <v>0</v>
      </c>
      <c r="I140" s="345"/>
      <c r="L140" s="532"/>
    </row>
    <row r="141" spans="1:12" ht="15">
      <c r="A141" s="21">
        <f t="shared" si="9"/>
        <v>19.2</v>
      </c>
      <c r="B141" s="17" t="s">
        <v>217</v>
      </c>
      <c r="C141" s="318" t="s">
        <v>95</v>
      </c>
      <c r="D141" s="325" t="s">
        <v>98</v>
      </c>
      <c r="E141" s="325">
        <f>3.5*1.15</f>
        <v>4.03</v>
      </c>
      <c r="F141" s="325">
        <f>F139*E141</f>
        <v>0.15</v>
      </c>
      <c r="G141" s="325"/>
      <c r="H141" s="408">
        <f t="shared" si="10"/>
        <v>0</v>
      </c>
      <c r="I141" s="345"/>
      <c r="L141" s="532"/>
    </row>
    <row r="142" spans="1:12" ht="16.5" customHeight="1">
      <c r="A142" s="21">
        <f t="shared" si="9"/>
        <v>19.3</v>
      </c>
      <c r="B142" s="17"/>
      <c r="C142" s="17" t="s">
        <v>445</v>
      </c>
      <c r="D142" s="23" t="s">
        <v>92</v>
      </c>
      <c r="E142" s="23">
        <v>115</v>
      </c>
      <c r="F142" s="26">
        <f>F139*E142</f>
        <v>4.37</v>
      </c>
      <c r="G142" s="23"/>
      <c r="H142" s="72">
        <f t="shared" si="10"/>
        <v>0</v>
      </c>
      <c r="I142" s="345"/>
      <c r="L142" s="532"/>
    </row>
    <row r="143" spans="1:12" ht="15">
      <c r="A143" s="21">
        <f t="shared" si="9"/>
        <v>19.4</v>
      </c>
      <c r="B143" s="17"/>
      <c r="C143" s="17" t="s">
        <v>433</v>
      </c>
      <c r="D143" s="23" t="s">
        <v>97</v>
      </c>
      <c r="E143" s="23">
        <v>1.19</v>
      </c>
      <c r="F143" s="23">
        <f>F139*E143</f>
        <v>0.05</v>
      </c>
      <c r="G143" s="23"/>
      <c r="H143" s="72">
        <f>G143*F143</f>
        <v>0</v>
      </c>
      <c r="I143" s="345"/>
      <c r="L143" s="532"/>
    </row>
    <row r="144" spans="1:12" ht="15">
      <c r="A144" s="21">
        <f t="shared" si="9"/>
        <v>19.5</v>
      </c>
      <c r="B144" s="17"/>
      <c r="C144" s="17" t="s">
        <v>446</v>
      </c>
      <c r="D144" s="23" t="s">
        <v>103</v>
      </c>
      <c r="E144" s="23">
        <v>0.03</v>
      </c>
      <c r="F144" s="23">
        <f>F139*E144</f>
        <v>0</v>
      </c>
      <c r="G144" s="21"/>
      <c r="H144" s="72">
        <f t="shared" si="10"/>
        <v>0</v>
      </c>
      <c r="I144" s="345"/>
      <c r="L144" s="532"/>
    </row>
    <row r="145" spans="1:12" ht="15">
      <c r="A145" s="21">
        <f t="shared" si="9"/>
        <v>19.6</v>
      </c>
      <c r="B145" s="17"/>
      <c r="C145" s="17" t="s">
        <v>447</v>
      </c>
      <c r="D145" s="23" t="s">
        <v>109</v>
      </c>
      <c r="E145" s="23">
        <v>15</v>
      </c>
      <c r="F145" s="435">
        <f>F139*E145</f>
        <v>0.57</v>
      </c>
      <c r="G145" s="26"/>
      <c r="H145" s="72">
        <f t="shared" si="10"/>
        <v>0</v>
      </c>
      <c r="I145" s="345"/>
      <c r="L145" s="532"/>
    </row>
    <row r="146" spans="1:12" ht="16.5" customHeight="1">
      <c r="A146" s="21">
        <f t="shared" si="9"/>
        <v>19.7</v>
      </c>
      <c r="B146" s="17"/>
      <c r="C146" s="17" t="s">
        <v>448</v>
      </c>
      <c r="D146" s="23" t="s">
        <v>105</v>
      </c>
      <c r="E146" s="23" t="s">
        <v>19</v>
      </c>
      <c r="F146" s="21">
        <f>F139*100*6</f>
        <v>22.8</v>
      </c>
      <c r="G146" s="23"/>
      <c r="H146" s="72">
        <f t="shared" si="10"/>
        <v>0</v>
      </c>
      <c r="I146" s="345"/>
      <c r="L146" s="532"/>
    </row>
    <row r="147" spans="1:12" ht="15">
      <c r="A147" s="21">
        <f t="shared" si="9"/>
        <v>19.8</v>
      </c>
      <c r="B147" s="55"/>
      <c r="C147" s="55" t="s">
        <v>449</v>
      </c>
      <c r="D147" s="71" t="s">
        <v>109</v>
      </c>
      <c r="E147" s="71"/>
      <c r="F147" s="74">
        <f>5</f>
        <v>5</v>
      </c>
      <c r="G147" s="71"/>
      <c r="H147" s="72">
        <f t="shared" si="10"/>
        <v>0</v>
      </c>
      <c r="I147" s="345"/>
      <c r="L147" s="532"/>
    </row>
    <row r="148" spans="1:12" ht="15.75" thickBot="1">
      <c r="A148" s="21">
        <f t="shared" si="9"/>
        <v>19.9</v>
      </c>
      <c r="B148" s="55"/>
      <c r="C148" s="55" t="s">
        <v>106</v>
      </c>
      <c r="D148" s="71" t="s">
        <v>98</v>
      </c>
      <c r="E148" s="71">
        <v>8.16</v>
      </c>
      <c r="F148" s="71">
        <f>F139*E148</f>
        <v>0.31</v>
      </c>
      <c r="G148" s="71"/>
      <c r="H148" s="72">
        <f t="shared" si="10"/>
        <v>0</v>
      </c>
      <c r="I148" s="345"/>
      <c r="L148" s="532"/>
    </row>
    <row r="149" spans="1:15" ht="17.25" customHeight="1" thickBot="1">
      <c r="A149" s="596" t="s">
        <v>140</v>
      </c>
      <c r="B149" s="597"/>
      <c r="C149" s="597"/>
      <c r="D149" s="597"/>
      <c r="E149" s="597"/>
      <c r="F149" s="597"/>
      <c r="G149" s="597"/>
      <c r="H149" s="598"/>
      <c r="I149" s="345"/>
      <c r="J149" s="222"/>
      <c r="K149" s="166"/>
      <c r="L149" s="530"/>
      <c r="M149" s="166"/>
      <c r="N149" s="166"/>
      <c r="O149" s="153"/>
    </row>
    <row r="150" spans="1:16" ht="54" customHeight="1" thickBot="1">
      <c r="A150" s="188">
        <f>A139+1</f>
        <v>20</v>
      </c>
      <c r="B150" s="215" t="s">
        <v>285</v>
      </c>
      <c r="C150" s="141" t="s">
        <v>414</v>
      </c>
      <c r="D150" s="85" t="s">
        <v>92</v>
      </c>
      <c r="E150" s="141"/>
      <c r="F150" s="163">
        <f>14-1.8</f>
        <v>12.2</v>
      </c>
      <c r="G150" s="141"/>
      <c r="H150" s="239">
        <f>SUM(H151:H155)</f>
        <v>0</v>
      </c>
      <c r="I150" s="345"/>
      <c r="J150" s="222"/>
      <c r="K150" s="166"/>
      <c r="L150" s="530"/>
      <c r="M150" s="168"/>
      <c r="N150" s="168"/>
      <c r="O150" s="153"/>
      <c r="P150" s="364"/>
    </row>
    <row r="151" spans="1:16" ht="15.75" customHeight="1">
      <c r="A151" s="102">
        <f>A150+0.1</f>
        <v>20.1</v>
      </c>
      <c r="B151" s="216"/>
      <c r="C151" s="103" t="s">
        <v>93</v>
      </c>
      <c r="D151" s="103" t="s">
        <v>94</v>
      </c>
      <c r="E151" s="103">
        <v>1.01</v>
      </c>
      <c r="F151" s="105">
        <f>F150*E151</f>
        <v>12.32</v>
      </c>
      <c r="G151" s="178"/>
      <c r="H151" s="240">
        <f>F151*G151</f>
        <v>0</v>
      </c>
      <c r="I151" s="345"/>
      <c r="J151" s="345"/>
      <c r="K151" s="166"/>
      <c r="L151" s="530"/>
      <c r="M151" s="166"/>
      <c r="N151" s="168"/>
      <c r="O151" s="153"/>
      <c r="P151" s="364"/>
    </row>
    <row r="152" spans="1:15" ht="15.75" customHeight="1">
      <c r="A152" s="136">
        <f>A151+0.1</f>
        <v>20.2</v>
      </c>
      <c r="B152" s="217"/>
      <c r="C152" s="218" t="s">
        <v>117</v>
      </c>
      <c r="D152" s="218" t="s">
        <v>118</v>
      </c>
      <c r="E152" s="365">
        <f>4.1/100</f>
        <v>0.041</v>
      </c>
      <c r="F152" s="219">
        <f>F150*E152</f>
        <v>0.5</v>
      </c>
      <c r="G152" s="219"/>
      <c r="H152" s="250">
        <f>F152*G152</f>
        <v>0</v>
      </c>
      <c r="I152" s="345"/>
      <c r="J152" s="506"/>
      <c r="K152" s="166"/>
      <c r="L152" s="530"/>
      <c r="M152" s="166"/>
      <c r="N152" s="168"/>
      <c r="O152" s="153"/>
    </row>
    <row r="153" spans="1:15" ht="15.75" customHeight="1">
      <c r="A153" s="136">
        <f>A152+0.1</f>
        <v>20.3</v>
      </c>
      <c r="B153" s="217"/>
      <c r="C153" s="218" t="s">
        <v>95</v>
      </c>
      <c r="D153" s="218" t="s">
        <v>96</v>
      </c>
      <c r="E153" s="365">
        <f>2.7/100</f>
        <v>0.027</v>
      </c>
      <c r="F153" s="219">
        <f>F150*E153</f>
        <v>0.33</v>
      </c>
      <c r="G153" s="218"/>
      <c r="H153" s="250">
        <f>F153*G153</f>
        <v>0</v>
      </c>
      <c r="I153" s="345"/>
      <c r="J153" s="366"/>
      <c r="K153" s="166"/>
      <c r="L153" s="530"/>
      <c r="M153" s="166"/>
      <c r="N153" s="166"/>
      <c r="O153" s="153"/>
    </row>
    <row r="154" spans="1:15" ht="15.75" customHeight="1">
      <c r="A154" s="136">
        <f>A153+0.1</f>
        <v>20.4</v>
      </c>
      <c r="B154" s="217"/>
      <c r="C154" s="136" t="s">
        <v>119</v>
      </c>
      <c r="D154" s="136" t="s">
        <v>100</v>
      </c>
      <c r="E154" s="136">
        <f>2.38/100</f>
        <v>0.0238</v>
      </c>
      <c r="F154" s="185">
        <f>E154*F150</f>
        <v>0.29</v>
      </c>
      <c r="G154" s="136"/>
      <c r="H154" s="247">
        <f>F154*G154</f>
        <v>0</v>
      </c>
      <c r="I154" s="345"/>
      <c r="J154" s="227"/>
      <c r="K154" s="166"/>
      <c r="L154" s="530"/>
      <c r="M154" s="166"/>
      <c r="N154" s="166"/>
      <c r="O154" s="153"/>
    </row>
    <row r="155" spans="1:15" ht="15.75" customHeight="1" thickBot="1">
      <c r="A155" s="136">
        <f>A154+0.1</f>
        <v>20.5</v>
      </c>
      <c r="B155" s="220"/>
      <c r="C155" s="137" t="s">
        <v>106</v>
      </c>
      <c r="D155" s="137" t="s">
        <v>96</v>
      </c>
      <c r="E155" s="137">
        <f>0.3/100</f>
        <v>0.003</v>
      </c>
      <c r="F155" s="187">
        <f>F150*E155</f>
        <v>0.04</v>
      </c>
      <c r="G155" s="137"/>
      <c r="H155" s="248">
        <f>F155*G155</f>
        <v>0</v>
      </c>
      <c r="I155" s="345"/>
      <c r="J155" s="227"/>
      <c r="K155" s="166"/>
      <c r="L155" s="530"/>
      <c r="M155" s="166"/>
      <c r="N155" s="166"/>
      <c r="O155" s="153"/>
    </row>
    <row r="156" spans="1:15" ht="48" customHeight="1" thickBot="1">
      <c r="A156" s="352">
        <f>A150+1</f>
        <v>21</v>
      </c>
      <c r="B156" s="99" t="s">
        <v>278</v>
      </c>
      <c r="C156" s="99" t="s">
        <v>287</v>
      </c>
      <c r="D156" s="346" t="s">
        <v>92</v>
      </c>
      <c r="E156" s="367"/>
      <c r="F156" s="146">
        <v>13</v>
      </c>
      <c r="G156" s="368"/>
      <c r="H156" s="242">
        <f>SUM(H157:H161)</f>
        <v>0</v>
      </c>
      <c r="I156" s="345"/>
      <c r="J156" s="222"/>
      <c r="K156" s="166"/>
      <c r="L156" s="530"/>
      <c r="M156" s="166"/>
      <c r="N156" s="168"/>
      <c r="O156" s="153"/>
    </row>
    <row r="157" spans="1:15" ht="17.25" customHeight="1">
      <c r="A157" s="102">
        <f>A156+0.1</f>
        <v>21.1</v>
      </c>
      <c r="B157" s="103"/>
      <c r="C157" s="103" t="s">
        <v>93</v>
      </c>
      <c r="D157" s="132" t="s">
        <v>94</v>
      </c>
      <c r="E157" s="105">
        <f>1.7</f>
        <v>1.7</v>
      </c>
      <c r="F157" s="105">
        <f>F156*E157</f>
        <v>22.1</v>
      </c>
      <c r="G157" s="132"/>
      <c r="H157" s="240">
        <f>G157*F157</f>
        <v>0</v>
      </c>
      <c r="I157" s="345"/>
      <c r="J157" s="345"/>
      <c r="K157" s="166"/>
      <c r="L157" s="530"/>
      <c r="M157" s="166"/>
      <c r="N157" s="168"/>
      <c r="O157" s="153"/>
    </row>
    <row r="158" spans="1:15" ht="17.25" customHeight="1">
      <c r="A158" s="136">
        <f>A157+0.1</f>
        <v>21.2</v>
      </c>
      <c r="B158" s="135"/>
      <c r="C158" s="369" t="s">
        <v>95</v>
      </c>
      <c r="D158" s="370" t="s">
        <v>98</v>
      </c>
      <c r="E158" s="371">
        <f>4.52/100</f>
        <v>0.0452</v>
      </c>
      <c r="F158" s="370">
        <f>F156*E158</f>
        <v>0.59</v>
      </c>
      <c r="G158" s="370"/>
      <c r="H158" s="372">
        <f>G158*F158</f>
        <v>0</v>
      </c>
      <c r="I158" s="345"/>
      <c r="J158" s="373"/>
      <c r="K158" s="166"/>
      <c r="L158" s="530"/>
      <c r="M158" s="166"/>
      <c r="N158" s="168"/>
      <c r="O158" s="153"/>
    </row>
    <row r="159" spans="1:15" ht="17.25" customHeight="1">
      <c r="A159" s="136">
        <f>A158+0.1</f>
        <v>21.3</v>
      </c>
      <c r="B159" s="136"/>
      <c r="C159" s="136" t="s">
        <v>288</v>
      </c>
      <c r="D159" s="149" t="s">
        <v>92</v>
      </c>
      <c r="E159" s="149">
        <v>1.02</v>
      </c>
      <c r="F159" s="149">
        <f>F156*E159</f>
        <v>13.26</v>
      </c>
      <c r="G159" s="149"/>
      <c r="H159" s="247">
        <f>G159*F159</f>
        <v>0</v>
      </c>
      <c r="I159" s="345"/>
      <c r="J159" s="227"/>
      <c r="K159" s="166"/>
      <c r="L159" s="530"/>
      <c r="M159" s="166"/>
      <c r="N159" s="168"/>
      <c r="O159" s="153"/>
    </row>
    <row r="160" spans="1:15" ht="17.25" customHeight="1">
      <c r="A160" s="136">
        <f>A159+0.1</f>
        <v>21.4</v>
      </c>
      <c r="B160" s="136"/>
      <c r="C160" s="136" t="s">
        <v>281</v>
      </c>
      <c r="D160" s="149" t="s">
        <v>109</v>
      </c>
      <c r="E160" s="149" t="s">
        <v>19</v>
      </c>
      <c r="F160" s="149">
        <f>F156*6</f>
        <v>78</v>
      </c>
      <c r="G160" s="149"/>
      <c r="H160" s="247">
        <f>G160*F160</f>
        <v>0</v>
      </c>
      <c r="I160" s="345"/>
      <c r="J160" s="227"/>
      <c r="K160" s="166"/>
      <c r="L160" s="530"/>
      <c r="M160" s="166"/>
      <c r="N160" s="168"/>
      <c r="O160" s="153"/>
    </row>
    <row r="161" spans="1:15" ht="17.25" customHeight="1" thickBot="1">
      <c r="A161" s="137">
        <f>A160+0.1</f>
        <v>21.5</v>
      </c>
      <c r="B161" s="137"/>
      <c r="C161" s="137" t="s">
        <v>106</v>
      </c>
      <c r="D161" s="150" t="s">
        <v>98</v>
      </c>
      <c r="E161" s="203">
        <f>4.66/100</f>
        <v>0.0466</v>
      </c>
      <c r="F161" s="150">
        <f>F156*E161</f>
        <v>0.61</v>
      </c>
      <c r="G161" s="150"/>
      <c r="H161" s="248">
        <f>G161*F161</f>
        <v>0</v>
      </c>
      <c r="I161" s="345"/>
      <c r="J161" s="227"/>
      <c r="K161" s="166"/>
      <c r="L161" s="530"/>
      <c r="M161" s="166"/>
      <c r="N161" s="168"/>
      <c r="O161" s="153"/>
    </row>
    <row r="162" spans="1:15" ht="51" customHeight="1" hidden="1" thickBot="1">
      <c r="A162" s="188"/>
      <c r="B162" s="214"/>
      <c r="C162" s="141"/>
      <c r="D162" s="146"/>
      <c r="E162" s="162"/>
      <c r="F162" s="146"/>
      <c r="G162" s="162"/>
      <c r="H162" s="239"/>
      <c r="I162" s="345"/>
      <c r="J162" s="222"/>
      <c r="K162" s="166"/>
      <c r="L162" s="530"/>
      <c r="M162" s="166"/>
      <c r="N162" s="166"/>
      <c r="O162" s="153"/>
    </row>
    <row r="163" spans="1:15" ht="16.5" customHeight="1" hidden="1">
      <c r="A163" s="102"/>
      <c r="B163" s="103"/>
      <c r="C163" s="103"/>
      <c r="D163" s="103"/>
      <c r="E163" s="96"/>
      <c r="F163" s="105"/>
      <c r="G163" s="132"/>
      <c r="H163" s="240"/>
      <c r="I163" s="345"/>
      <c r="J163" s="345"/>
      <c r="K163" s="166"/>
      <c r="L163" s="530"/>
      <c r="M163" s="166"/>
      <c r="N163" s="166"/>
      <c r="O163" s="153"/>
    </row>
    <row r="164" spans="1:15" ht="16.5" customHeight="1" hidden="1">
      <c r="A164" s="136"/>
      <c r="B164" s="135"/>
      <c r="C164" s="135"/>
      <c r="D164" s="135"/>
      <c r="E164" s="205"/>
      <c r="F164" s="184"/>
      <c r="G164" s="147"/>
      <c r="H164" s="246"/>
      <c r="I164" s="345"/>
      <c r="J164" s="349"/>
      <c r="K164" s="166"/>
      <c r="L164" s="530"/>
      <c r="M164" s="166"/>
      <c r="N164" s="166"/>
      <c r="O164" s="153"/>
    </row>
    <row r="165" spans="1:15" ht="16.5" customHeight="1" hidden="1">
      <c r="A165" s="136"/>
      <c r="B165" s="135"/>
      <c r="C165" s="136"/>
      <c r="D165" s="136"/>
      <c r="E165" s="149"/>
      <c r="F165" s="185"/>
      <c r="G165" s="149"/>
      <c r="H165" s="247"/>
      <c r="I165" s="345"/>
      <c r="J165" s="227"/>
      <c r="K165" s="166"/>
      <c r="L165" s="530"/>
      <c r="M165" s="166"/>
      <c r="N165" s="166"/>
      <c r="O165" s="153"/>
    </row>
    <row r="166" spans="1:15" ht="16.5" customHeight="1" hidden="1">
      <c r="A166" s="136"/>
      <c r="B166" s="221"/>
      <c r="C166" s="136"/>
      <c r="D166" s="149"/>
      <c r="E166" s="149"/>
      <c r="F166" s="185"/>
      <c r="G166" s="149"/>
      <c r="H166" s="247"/>
      <c r="I166" s="345"/>
      <c r="J166" s="227"/>
      <c r="K166" s="166"/>
      <c r="L166" s="530"/>
      <c r="M166" s="166"/>
      <c r="N166" s="166"/>
      <c r="O166" s="153"/>
    </row>
    <row r="167" spans="1:15" ht="16.5" customHeight="1" hidden="1" thickBot="1">
      <c r="A167" s="137"/>
      <c r="B167" s="296"/>
      <c r="C167" s="137"/>
      <c r="D167" s="150"/>
      <c r="E167" s="210"/>
      <c r="F167" s="187"/>
      <c r="G167" s="150"/>
      <c r="H167" s="248"/>
      <c r="I167" s="345"/>
      <c r="J167" s="227"/>
      <c r="K167" s="166"/>
      <c r="L167" s="530"/>
      <c r="M167" s="166"/>
      <c r="N167" s="166"/>
      <c r="O167" s="153"/>
    </row>
    <row r="168" spans="1:17" ht="16.5" customHeight="1" thickBot="1">
      <c r="A168" s="602" t="s">
        <v>415</v>
      </c>
      <c r="B168" s="603"/>
      <c r="C168" s="603"/>
      <c r="D168" s="603"/>
      <c r="E168" s="603"/>
      <c r="F168" s="603"/>
      <c r="G168" s="603"/>
      <c r="H168" s="604"/>
      <c r="I168" s="345"/>
      <c r="J168" s="91"/>
      <c r="P168" s="91"/>
      <c r="Q168" s="91"/>
    </row>
    <row r="169" spans="1:17" ht="54.75" customHeight="1" thickBot="1">
      <c r="A169" s="507">
        <f>A156+1</f>
        <v>22</v>
      </c>
      <c r="B169" s="85" t="s">
        <v>416</v>
      </c>
      <c r="C169" s="141" t="s">
        <v>417</v>
      </c>
      <c r="D169" s="146" t="s">
        <v>92</v>
      </c>
      <c r="E169" s="508"/>
      <c r="F169" s="146">
        <f>16.4-1.8-0.5*0.5+1.5</f>
        <v>15.85</v>
      </c>
      <c r="G169" s="508"/>
      <c r="H169" s="239">
        <f>SUM(H170:H174)</f>
        <v>0</v>
      </c>
      <c r="I169" s="345"/>
      <c r="J169" s="91"/>
      <c r="P169" s="91"/>
      <c r="Q169" s="91"/>
    </row>
    <row r="170" spans="1:17" ht="16.5" customHeight="1">
      <c r="A170" s="191">
        <f>A169+0.1</f>
        <v>22.1</v>
      </c>
      <c r="B170" s="182"/>
      <c r="C170" s="103" t="s">
        <v>93</v>
      </c>
      <c r="D170" s="103" t="s">
        <v>94</v>
      </c>
      <c r="E170" s="132">
        <v>0.93</v>
      </c>
      <c r="F170" s="96">
        <f>F169*E170</f>
        <v>14.741</v>
      </c>
      <c r="G170" s="132"/>
      <c r="H170" s="240">
        <f>G170*F170</f>
        <v>0</v>
      </c>
      <c r="I170" s="345"/>
      <c r="J170" s="91"/>
      <c r="P170" s="91"/>
      <c r="Q170" s="91"/>
    </row>
    <row r="171" spans="1:17" ht="16.5" customHeight="1">
      <c r="A171" s="193">
        <f>A170+0.1</f>
        <v>22.2</v>
      </c>
      <c r="B171" s="509"/>
      <c r="C171" s="135" t="s">
        <v>418</v>
      </c>
      <c r="D171" s="135" t="s">
        <v>227</v>
      </c>
      <c r="E171" s="147">
        <v>0.02</v>
      </c>
      <c r="F171" s="205">
        <f>F169*E171</f>
        <v>0.317</v>
      </c>
      <c r="G171" s="147"/>
      <c r="H171" s="246">
        <f>G171*F171</f>
        <v>0</v>
      </c>
      <c r="I171" s="345"/>
      <c r="J171" s="91"/>
      <c r="P171" s="91"/>
      <c r="Q171" s="91"/>
    </row>
    <row r="172" spans="1:17" ht="16.5" customHeight="1">
      <c r="A172" s="193">
        <f>A171+0.1</f>
        <v>22.3</v>
      </c>
      <c r="B172" s="183"/>
      <c r="C172" s="135" t="s">
        <v>95</v>
      </c>
      <c r="D172" s="135" t="s">
        <v>98</v>
      </c>
      <c r="E172" s="147">
        <v>0.03</v>
      </c>
      <c r="F172" s="205">
        <f>F169*E172</f>
        <v>0.476</v>
      </c>
      <c r="G172" s="147"/>
      <c r="H172" s="246">
        <f>G172*F172</f>
        <v>0</v>
      </c>
      <c r="I172" s="345"/>
      <c r="J172" s="91"/>
      <c r="P172" s="91"/>
      <c r="Q172" s="91"/>
    </row>
    <row r="173" spans="1:17" ht="16.5" customHeight="1">
      <c r="A173" s="193">
        <f>A172+0.1</f>
        <v>22.4</v>
      </c>
      <c r="B173" s="183"/>
      <c r="C173" s="136" t="s">
        <v>419</v>
      </c>
      <c r="D173" s="136" t="s">
        <v>97</v>
      </c>
      <c r="E173" s="209">
        <f>2.6/100</f>
        <v>0.026</v>
      </c>
      <c r="F173" s="209">
        <f>F169*E173</f>
        <v>0.412</v>
      </c>
      <c r="G173" s="149"/>
      <c r="H173" s="247">
        <f>G173*F173</f>
        <v>0</v>
      </c>
      <c r="I173" s="345"/>
      <c r="J173" s="91"/>
      <c r="P173" s="91"/>
      <c r="Q173" s="91"/>
    </row>
    <row r="174" spans="1:17" ht="16.5" customHeight="1" thickBot="1">
      <c r="A174" s="206">
        <f>A173+0.1</f>
        <v>22.5</v>
      </c>
      <c r="B174" s="186"/>
      <c r="C174" s="137" t="s">
        <v>286</v>
      </c>
      <c r="D174" s="137" t="s">
        <v>92</v>
      </c>
      <c r="E174" s="210">
        <v>1</v>
      </c>
      <c r="F174" s="210">
        <f>F169*E174</f>
        <v>15.85</v>
      </c>
      <c r="G174" s="150"/>
      <c r="H174" s="248">
        <f>G174*F174</f>
        <v>0</v>
      </c>
      <c r="I174" s="345"/>
      <c r="J174" s="91"/>
      <c r="P174" s="91"/>
      <c r="Q174" s="91"/>
    </row>
    <row r="175" spans="1:17" ht="45.75" customHeight="1" thickBot="1">
      <c r="A175" s="188">
        <f>A169+1</f>
        <v>23</v>
      </c>
      <c r="B175" s="85" t="s">
        <v>450</v>
      </c>
      <c r="C175" s="141" t="s">
        <v>420</v>
      </c>
      <c r="D175" s="85" t="s">
        <v>145</v>
      </c>
      <c r="E175" s="141"/>
      <c r="F175" s="163">
        <v>6.8</v>
      </c>
      <c r="G175" s="141"/>
      <c r="H175" s="239">
        <f>H176+H177+H178</f>
        <v>0</v>
      </c>
      <c r="I175" s="345"/>
      <c r="J175" s="91"/>
      <c r="P175" s="91"/>
      <c r="Q175" s="91"/>
    </row>
    <row r="176" spans="1:17" ht="16.5" customHeight="1">
      <c r="A176" s="102">
        <f>A175+0.1</f>
        <v>23.1</v>
      </c>
      <c r="B176" s="102"/>
      <c r="C176" s="103" t="s">
        <v>93</v>
      </c>
      <c r="D176" s="103" t="s">
        <v>94</v>
      </c>
      <c r="E176" s="105">
        <v>0.3</v>
      </c>
      <c r="F176" s="105">
        <f>F175*E176</f>
        <v>2.04</v>
      </c>
      <c r="G176" s="132"/>
      <c r="H176" s="240">
        <f>F176*G176</f>
        <v>0</v>
      </c>
      <c r="I176" s="345"/>
      <c r="J176" s="91"/>
      <c r="P176" s="91"/>
      <c r="Q176" s="91"/>
    </row>
    <row r="177" spans="1:17" ht="16.5" customHeight="1">
      <c r="A177" s="136">
        <f>A176+0.1</f>
        <v>23.2</v>
      </c>
      <c r="B177" s="136"/>
      <c r="C177" s="218" t="s">
        <v>95</v>
      </c>
      <c r="D177" s="218" t="s">
        <v>96</v>
      </c>
      <c r="E177" s="148">
        <v>0.011</v>
      </c>
      <c r="F177" s="200">
        <f>F175*E177</f>
        <v>0.07</v>
      </c>
      <c r="G177" s="148"/>
      <c r="H177" s="251">
        <f>F177*G177</f>
        <v>0</v>
      </c>
      <c r="I177" s="345"/>
      <c r="J177" s="91"/>
      <c r="P177" s="91"/>
      <c r="Q177" s="91"/>
    </row>
    <row r="178" spans="1:17" ht="16.5" customHeight="1" thickBot="1">
      <c r="A178" s="137">
        <f>A177+0.1</f>
        <v>23.3</v>
      </c>
      <c r="B178" s="137"/>
      <c r="C178" s="137" t="s">
        <v>173</v>
      </c>
      <c r="D178" s="137" t="s">
        <v>100</v>
      </c>
      <c r="E178" s="137">
        <f>0.67/100</f>
        <v>0.0067</v>
      </c>
      <c r="F178" s="187">
        <f>E178*F175</f>
        <v>0.05</v>
      </c>
      <c r="G178" s="137"/>
      <c r="H178" s="248">
        <f>F178*G178</f>
        <v>0</v>
      </c>
      <c r="I178" s="345"/>
      <c r="J178" s="91"/>
      <c r="P178" s="91"/>
      <c r="Q178" s="91"/>
    </row>
    <row r="179" spans="1:17" ht="54" customHeight="1" thickBot="1">
      <c r="A179" s="188">
        <f>A175+1</f>
        <v>24</v>
      </c>
      <c r="B179" s="214" t="s">
        <v>421</v>
      </c>
      <c r="C179" s="85" t="s">
        <v>422</v>
      </c>
      <c r="D179" s="162" t="s">
        <v>92</v>
      </c>
      <c r="E179" s="146"/>
      <c r="F179" s="162">
        <f>F169+F175*0.12</f>
        <v>16.67</v>
      </c>
      <c r="G179" s="146"/>
      <c r="H179" s="418">
        <f>H180+H181+H182+H183+H184</f>
        <v>0</v>
      </c>
      <c r="I179" s="345"/>
      <c r="J179" s="91"/>
      <c r="P179" s="91"/>
      <c r="Q179" s="91"/>
    </row>
    <row r="180" spans="1:17" ht="16.5" customHeight="1">
      <c r="A180" s="191">
        <f>A179+0.1</f>
        <v>24.1</v>
      </c>
      <c r="B180" s="103"/>
      <c r="C180" s="103" t="s">
        <v>93</v>
      </c>
      <c r="D180" s="132" t="s">
        <v>94</v>
      </c>
      <c r="E180" s="96">
        <f>65.8/100</f>
        <v>0.658</v>
      </c>
      <c r="F180" s="105">
        <f>F179*E180</f>
        <v>10.97</v>
      </c>
      <c r="G180" s="132"/>
      <c r="H180" s="240">
        <f>G180*F180</f>
        <v>0</v>
      </c>
      <c r="I180" s="345"/>
      <c r="J180" s="91"/>
      <c r="P180" s="91"/>
      <c r="Q180" s="91"/>
    </row>
    <row r="181" spans="1:17" ht="16.5" customHeight="1">
      <c r="A181" s="193">
        <f>A180+0.1</f>
        <v>24.2</v>
      </c>
      <c r="B181" s="135"/>
      <c r="C181" s="218" t="s">
        <v>95</v>
      </c>
      <c r="D181" s="147" t="s">
        <v>98</v>
      </c>
      <c r="E181" s="147">
        <f>1/100</f>
        <v>0.01</v>
      </c>
      <c r="F181" s="147">
        <f>F179*E181</f>
        <v>0.17</v>
      </c>
      <c r="G181" s="147"/>
      <c r="H181" s="246">
        <f>G181*F181</f>
        <v>0</v>
      </c>
      <c r="I181" s="345"/>
      <c r="J181" s="91"/>
      <c r="P181" s="91"/>
      <c r="Q181" s="91"/>
    </row>
    <row r="182" spans="1:17" ht="37.5" customHeight="1">
      <c r="A182" s="193">
        <f>A181+0.1</f>
        <v>24.3</v>
      </c>
      <c r="B182" s="183"/>
      <c r="C182" s="136" t="s">
        <v>423</v>
      </c>
      <c r="D182" s="149" t="s">
        <v>109</v>
      </c>
      <c r="E182" s="149">
        <f>63/100</f>
        <v>0.63</v>
      </c>
      <c r="F182" s="149">
        <f>F179*E182</f>
        <v>10.5</v>
      </c>
      <c r="G182" s="149"/>
      <c r="H182" s="247">
        <f>G182*F182</f>
        <v>0</v>
      </c>
      <c r="I182" s="345"/>
      <c r="J182" s="91"/>
      <c r="P182" s="91"/>
      <c r="Q182" s="91"/>
    </row>
    <row r="183" spans="1:17" ht="16.5" customHeight="1">
      <c r="A183" s="193">
        <f>A182+0.1</f>
        <v>24.4</v>
      </c>
      <c r="B183" s="183"/>
      <c r="C183" s="136" t="s">
        <v>424</v>
      </c>
      <c r="D183" s="149" t="s">
        <v>109</v>
      </c>
      <c r="E183" s="149">
        <v>0.92</v>
      </c>
      <c r="F183" s="149">
        <f>F179*E183</f>
        <v>15.34</v>
      </c>
      <c r="G183" s="149"/>
      <c r="H183" s="247">
        <f>G183*F183</f>
        <v>0</v>
      </c>
      <c r="I183" s="345"/>
      <c r="J183" s="91"/>
      <c r="P183" s="91"/>
      <c r="Q183" s="91"/>
    </row>
    <row r="184" spans="1:17" ht="16.5" customHeight="1" thickBot="1">
      <c r="A184" s="193">
        <f>A183+0.1</f>
        <v>24.5</v>
      </c>
      <c r="B184" s="136"/>
      <c r="C184" s="136" t="s">
        <v>106</v>
      </c>
      <c r="D184" s="136" t="s">
        <v>96</v>
      </c>
      <c r="E184" s="136">
        <f>1.6/100</f>
        <v>0.016</v>
      </c>
      <c r="F184" s="185">
        <f>F179*E184</f>
        <v>0.27</v>
      </c>
      <c r="G184" s="136"/>
      <c r="H184" s="247">
        <f>F184*G184</f>
        <v>0</v>
      </c>
      <c r="I184" s="345"/>
      <c r="J184" s="91"/>
      <c r="P184" s="91"/>
      <c r="Q184" s="91"/>
    </row>
    <row r="185" spans="1:17" ht="50.25" customHeight="1" thickBot="1">
      <c r="A185" s="188">
        <f>A179+1</f>
        <v>25</v>
      </c>
      <c r="B185" s="85" t="s">
        <v>425</v>
      </c>
      <c r="C185" s="85" t="s">
        <v>426</v>
      </c>
      <c r="D185" s="141" t="s">
        <v>427</v>
      </c>
      <c r="E185" s="510"/>
      <c r="F185" s="512">
        <v>0.164</v>
      </c>
      <c r="G185" s="146"/>
      <c r="H185" s="418">
        <f>SUM(H186:H190)</f>
        <v>0</v>
      </c>
      <c r="I185" s="345"/>
      <c r="J185" s="91"/>
      <c r="P185" s="91"/>
      <c r="Q185" s="91"/>
    </row>
    <row r="186" spans="1:17" ht="16.5" customHeight="1">
      <c r="A186" s="191">
        <f>A185+0.1</f>
        <v>25.1</v>
      </c>
      <c r="B186" s="103"/>
      <c r="C186" s="103" t="s">
        <v>93</v>
      </c>
      <c r="D186" s="132" t="s">
        <v>94</v>
      </c>
      <c r="E186" s="132">
        <f>45.8</f>
        <v>45.8</v>
      </c>
      <c r="F186" s="96">
        <f>F185*E186</f>
        <v>7.511</v>
      </c>
      <c r="G186" s="132"/>
      <c r="H186" s="240">
        <f>G186*F186</f>
        <v>0</v>
      </c>
      <c r="I186" s="345"/>
      <c r="J186" s="91"/>
      <c r="P186" s="91"/>
      <c r="Q186" s="91"/>
    </row>
    <row r="187" spans="1:17" ht="16.5" customHeight="1">
      <c r="A187" s="193">
        <f>A186+0.1</f>
        <v>25.2</v>
      </c>
      <c r="B187" s="135"/>
      <c r="C187" s="135" t="s">
        <v>95</v>
      </c>
      <c r="D187" s="147" t="s">
        <v>98</v>
      </c>
      <c r="E187" s="147">
        <f>0.23</f>
        <v>0.23</v>
      </c>
      <c r="F187" s="205">
        <f>F185*E187</f>
        <v>0.038</v>
      </c>
      <c r="G187" s="147"/>
      <c r="H187" s="246">
        <f>G187*F187</f>
        <v>0</v>
      </c>
      <c r="I187" s="345"/>
      <c r="J187" s="91"/>
      <c r="P187" s="91"/>
      <c r="Q187" s="91"/>
    </row>
    <row r="188" spans="1:17" ht="16.5" customHeight="1">
      <c r="A188" s="193">
        <f>A187+0.1</f>
        <v>25.3</v>
      </c>
      <c r="B188" s="183"/>
      <c r="C188" s="136" t="s">
        <v>428</v>
      </c>
      <c r="D188" s="136" t="s">
        <v>103</v>
      </c>
      <c r="E188" s="209">
        <v>0.037</v>
      </c>
      <c r="F188" s="209">
        <f>F185*E188</f>
        <v>0.006</v>
      </c>
      <c r="G188" s="511"/>
      <c r="H188" s="247">
        <f>G188*F188</f>
        <v>0</v>
      </c>
      <c r="I188" s="345"/>
      <c r="J188" s="91"/>
      <c r="P188" s="91"/>
      <c r="Q188" s="91"/>
    </row>
    <row r="189" spans="1:17" ht="16.5" customHeight="1">
      <c r="A189" s="193">
        <f>A188+0.1</f>
        <v>25.4</v>
      </c>
      <c r="B189" s="183"/>
      <c r="C189" s="136" t="s">
        <v>429</v>
      </c>
      <c r="D189" s="136" t="s">
        <v>97</v>
      </c>
      <c r="E189" s="209">
        <v>0.006</v>
      </c>
      <c r="F189" s="209">
        <f>F185*E189</f>
        <v>0.001</v>
      </c>
      <c r="G189" s="149"/>
      <c r="H189" s="247">
        <f>G189*F189</f>
        <v>0</v>
      </c>
      <c r="I189" s="345"/>
      <c r="J189" s="91"/>
      <c r="P189" s="91"/>
      <c r="Q189" s="91"/>
    </row>
    <row r="190" spans="1:17" ht="16.5" customHeight="1">
      <c r="A190" s="206">
        <f>A189+0.1</f>
        <v>25.5</v>
      </c>
      <c r="B190" s="186"/>
      <c r="C190" s="137" t="s">
        <v>430</v>
      </c>
      <c r="D190" s="137" t="s">
        <v>92</v>
      </c>
      <c r="E190" s="150">
        <v>1.2</v>
      </c>
      <c r="F190" s="210">
        <f>F185*E190</f>
        <v>0.197</v>
      </c>
      <c r="G190" s="150"/>
      <c r="H190" s="248">
        <f>G190*F190</f>
        <v>0</v>
      </c>
      <c r="I190" s="345"/>
      <c r="J190" s="91"/>
      <c r="P190" s="91"/>
      <c r="Q190" s="91"/>
    </row>
    <row r="191" spans="1:16" ht="42" customHeight="1">
      <c r="A191" s="136"/>
      <c r="B191" s="136"/>
      <c r="C191" s="121" t="s">
        <v>121</v>
      </c>
      <c r="D191" s="121" t="s">
        <v>107</v>
      </c>
      <c r="E191" s="136"/>
      <c r="F191" s="136"/>
      <c r="G191" s="136"/>
      <c r="H191" s="233">
        <f>H162+H156+H150+H139+H135+H131+H122+H96+H120+H107+H102+H185+H179+H175+H169+H94+H93+H86+H75+H65+H55+H46+H43+H41+H24+H21</f>
        <v>0</v>
      </c>
      <c r="I191" s="222"/>
      <c r="J191" s="222"/>
      <c r="K191" s="222"/>
      <c r="L191" s="536"/>
      <c r="M191" s="222"/>
      <c r="N191" s="166"/>
      <c r="O191" s="222"/>
      <c r="P191" s="223"/>
    </row>
    <row r="192" spans="1:16" ht="21" customHeight="1">
      <c r="A192" s="136"/>
      <c r="B192" s="136"/>
      <c r="C192" s="224" t="s">
        <v>122</v>
      </c>
      <c r="D192" s="136" t="s">
        <v>107</v>
      </c>
      <c r="E192" s="136"/>
      <c r="F192" s="136"/>
      <c r="G192" s="136"/>
      <c r="H192" s="252">
        <f>H163+H157+H151+H140+H136+H132+H123+H186+H180+H176+H170+H97+H108+H103+H87+H76+H66+H56+H47+H44+H22+H25+H42</f>
        <v>0</v>
      </c>
      <c r="I192" s="225"/>
      <c r="J192" s="225"/>
      <c r="K192" s="225"/>
      <c r="L192" s="537"/>
      <c r="M192" s="225"/>
      <c r="N192" s="225"/>
      <c r="O192" s="225"/>
      <c r="P192" s="223"/>
    </row>
    <row r="193" spans="1:17" ht="21" customHeight="1">
      <c r="A193" s="136"/>
      <c r="B193" s="136"/>
      <c r="C193" s="224" t="s">
        <v>123</v>
      </c>
      <c r="D193" s="136" t="s">
        <v>107</v>
      </c>
      <c r="E193" s="136"/>
      <c r="F193" s="136"/>
      <c r="G193" s="136"/>
      <c r="H193" s="249">
        <f>H164+H158+H152+H153+H141+H133+H137+H124+H109+H104+H187+H181+H98+H177+H171+H172+H88+H77+H78+H67+H68+H58+H57+H49+H48+H45+H23</f>
        <v>0</v>
      </c>
      <c r="I193" s="226"/>
      <c r="J193" s="226"/>
      <c r="K193" s="226"/>
      <c r="L193" s="538"/>
      <c r="M193" s="226"/>
      <c r="N193" s="226"/>
      <c r="O193" s="226"/>
      <c r="P193" s="223"/>
      <c r="Q193" s="223"/>
    </row>
    <row r="194" spans="1:17" ht="21" customHeight="1">
      <c r="A194" s="136"/>
      <c r="B194" s="136"/>
      <c r="C194" s="136" t="s">
        <v>124</v>
      </c>
      <c r="D194" s="136" t="s">
        <v>107</v>
      </c>
      <c r="E194" s="136"/>
      <c r="F194" s="136"/>
      <c r="G194" s="136"/>
      <c r="H194" s="247">
        <f>H191-H192-H193</f>
        <v>0</v>
      </c>
      <c r="I194" s="227"/>
      <c r="J194" s="227"/>
      <c r="K194" s="227"/>
      <c r="L194" s="539"/>
      <c r="M194" s="227"/>
      <c r="N194" s="227"/>
      <c r="O194" s="227"/>
      <c r="P194" s="223"/>
      <c r="Q194" s="223"/>
    </row>
    <row r="195" spans="1:16" ht="44.25" customHeight="1">
      <c r="A195" s="136"/>
      <c r="B195" s="136"/>
      <c r="C195" s="121" t="s">
        <v>121</v>
      </c>
      <c r="D195" s="136" t="s">
        <v>107</v>
      </c>
      <c r="E195" s="136"/>
      <c r="F195" s="136"/>
      <c r="G195" s="136"/>
      <c r="H195" s="233">
        <f>H194+H193+H192</f>
        <v>0</v>
      </c>
      <c r="I195" s="222"/>
      <c r="J195" s="222"/>
      <c r="K195" s="222"/>
      <c r="L195" s="536"/>
      <c r="M195" s="222"/>
      <c r="N195" s="222"/>
      <c r="O195" s="222"/>
      <c r="P195" s="223"/>
    </row>
    <row r="196" spans="1:16" ht="16.5" customHeight="1">
      <c r="A196" s="136"/>
      <c r="B196" s="136"/>
      <c r="C196" s="136" t="s">
        <v>125</v>
      </c>
      <c r="D196" s="228">
        <v>0.1</v>
      </c>
      <c r="E196" s="136"/>
      <c r="F196" s="136"/>
      <c r="G196" s="136"/>
      <c r="H196" s="247">
        <f>D196*H195</f>
        <v>0</v>
      </c>
      <c r="I196" s="227"/>
      <c r="J196" s="227"/>
      <c r="K196" s="227"/>
      <c r="L196" s="539"/>
      <c r="M196" s="227"/>
      <c r="N196" s="227"/>
      <c r="O196" s="227"/>
      <c r="P196" s="223"/>
    </row>
    <row r="197" spans="1:16" ht="16.5" customHeight="1">
      <c r="A197" s="136"/>
      <c r="B197" s="136"/>
      <c r="C197" s="136" t="s">
        <v>126</v>
      </c>
      <c r="D197" s="136" t="s">
        <v>107</v>
      </c>
      <c r="E197" s="136"/>
      <c r="F197" s="136"/>
      <c r="G197" s="136"/>
      <c r="H197" s="233">
        <f>SUM(H195:H196)</f>
        <v>0</v>
      </c>
      <c r="I197" s="222"/>
      <c r="J197" s="222"/>
      <c r="K197" s="222"/>
      <c r="L197" s="536"/>
      <c r="M197" s="222"/>
      <c r="N197" s="222"/>
      <c r="O197" s="222"/>
      <c r="P197" s="223"/>
    </row>
    <row r="198" spans="1:16" ht="16.5" customHeight="1">
      <c r="A198" s="136"/>
      <c r="B198" s="136"/>
      <c r="C198" s="136" t="s">
        <v>127</v>
      </c>
      <c r="D198" s="228">
        <v>0.08</v>
      </c>
      <c r="E198" s="136"/>
      <c r="F198" s="136"/>
      <c r="G198" s="136"/>
      <c r="H198" s="247">
        <f>H197*D198</f>
        <v>0</v>
      </c>
      <c r="I198" s="227"/>
      <c r="J198" s="227"/>
      <c r="K198" s="227"/>
      <c r="L198" s="539"/>
      <c r="M198" s="227"/>
      <c r="N198" s="227"/>
      <c r="O198" s="227"/>
      <c r="P198" s="223"/>
    </row>
    <row r="199" spans="1:16" ht="16.5" customHeight="1">
      <c r="A199" s="136"/>
      <c r="B199" s="136"/>
      <c r="C199" s="121" t="s">
        <v>128</v>
      </c>
      <c r="D199" s="136" t="s">
        <v>107</v>
      </c>
      <c r="E199" s="136"/>
      <c r="F199" s="136"/>
      <c r="G199" s="136"/>
      <c r="H199" s="233">
        <f>SUM(H197:H198)</f>
        <v>0</v>
      </c>
      <c r="I199" s="222"/>
      <c r="J199" s="222"/>
      <c r="K199" s="222"/>
      <c r="L199" s="536"/>
      <c r="M199" s="222"/>
      <c r="N199" s="222"/>
      <c r="O199" s="222"/>
      <c r="P199" s="223"/>
    </row>
    <row r="200" spans="1:16" ht="16.5" customHeight="1">
      <c r="A200" s="229"/>
      <c r="B200" s="229"/>
      <c r="C200" s="230"/>
      <c r="D200" s="229"/>
      <c r="E200" s="229"/>
      <c r="F200" s="229"/>
      <c r="G200" s="229"/>
      <c r="H200" s="222"/>
      <c r="I200" s="222"/>
      <c r="J200" s="222"/>
      <c r="K200" s="222"/>
      <c r="L200" s="536"/>
      <c r="M200" s="222"/>
      <c r="N200" s="222"/>
      <c r="O200" s="222"/>
      <c r="P200" s="223"/>
    </row>
    <row r="201" spans="1:16" ht="16.5" customHeight="1">
      <c r="A201" s="229"/>
      <c r="B201" s="229"/>
      <c r="C201" s="575" t="s">
        <v>492</v>
      </c>
      <c r="D201" s="229"/>
      <c r="E201" s="229"/>
      <c r="F201" s="229"/>
      <c r="G201" s="229"/>
      <c r="H201" s="222"/>
      <c r="I201" s="222"/>
      <c r="J201" s="222"/>
      <c r="K201" s="222"/>
      <c r="L201" s="536"/>
      <c r="M201" s="222"/>
      <c r="N201" s="222"/>
      <c r="O201" s="222"/>
      <c r="P201" s="223"/>
    </row>
    <row r="202" spans="1:16" ht="16.5" customHeight="1">
      <c r="A202" s="229"/>
      <c r="B202" s="229"/>
      <c r="C202" s="230"/>
      <c r="D202" s="229"/>
      <c r="E202" s="586"/>
      <c r="F202" s="586"/>
      <c r="G202" s="586"/>
      <c r="H202" s="222"/>
      <c r="I202" s="222"/>
      <c r="J202" s="222"/>
      <c r="K202" s="222"/>
      <c r="L202" s="536"/>
      <c r="M202" s="222"/>
      <c r="N202" s="222"/>
      <c r="O202" s="222"/>
      <c r="P202" s="223"/>
    </row>
    <row r="203" spans="1:16" ht="16.5" customHeight="1">
      <c r="A203" s="229"/>
      <c r="B203" s="229"/>
      <c r="C203" s="230"/>
      <c r="D203" s="229"/>
      <c r="E203" s="229"/>
      <c r="F203" s="229"/>
      <c r="G203" s="229"/>
      <c r="H203" s="222"/>
      <c r="I203" s="222"/>
      <c r="J203" s="222"/>
      <c r="K203" s="222"/>
      <c r="L203" s="536"/>
      <c r="M203" s="222"/>
      <c r="N203" s="222"/>
      <c r="O203" s="222"/>
      <c r="P203" s="223"/>
    </row>
    <row r="204" spans="1:16" ht="16.5" customHeight="1">
      <c r="A204" s="229"/>
      <c r="B204" s="229"/>
      <c r="C204" s="230"/>
      <c r="D204" s="229"/>
      <c r="E204" s="229"/>
      <c r="F204" s="229"/>
      <c r="G204" s="229"/>
      <c r="H204" s="222"/>
      <c r="I204" s="222"/>
      <c r="J204" s="222"/>
      <c r="K204" s="222"/>
      <c r="L204" s="536"/>
      <c r="M204" s="222"/>
      <c r="N204" s="222"/>
      <c r="O204" s="222"/>
      <c r="P204" s="223"/>
    </row>
    <row r="205" spans="1:16" ht="16.5" customHeight="1">
      <c r="A205" s="229"/>
      <c r="B205" s="229"/>
      <c r="C205" s="230"/>
      <c r="D205" s="229"/>
      <c r="E205" s="229"/>
      <c r="F205" s="229"/>
      <c r="G205" s="229"/>
      <c r="H205" s="222"/>
      <c r="I205" s="222"/>
      <c r="J205" s="222"/>
      <c r="K205" s="222"/>
      <c r="L205" s="536"/>
      <c r="M205" s="222"/>
      <c r="N205" s="222"/>
      <c r="O205" s="222"/>
      <c r="P205" s="223"/>
    </row>
    <row r="206" spans="1:16" ht="16.5" customHeight="1">
      <c r="A206" s="229"/>
      <c r="B206" s="229"/>
      <c r="C206" s="230"/>
      <c r="D206" s="229"/>
      <c r="E206" s="229"/>
      <c r="F206" s="229"/>
      <c r="G206" s="229"/>
      <c r="H206" s="222"/>
      <c r="I206" s="222"/>
      <c r="J206" s="222"/>
      <c r="K206" s="222"/>
      <c r="L206" s="536"/>
      <c r="M206" s="222"/>
      <c r="N206" s="222"/>
      <c r="O206" s="222"/>
      <c r="P206" s="223"/>
    </row>
    <row r="207" spans="1:16" ht="16.5" customHeight="1">
      <c r="A207" s="229"/>
      <c r="B207" s="229"/>
      <c r="C207" s="230"/>
      <c r="D207" s="229"/>
      <c r="E207" s="229"/>
      <c r="F207" s="229"/>
      <c r="G207" s="229"/>
      <c r="H207" s="222"/>
      <c r="I207" s="222"/>
      <c r="J207" s="222"/>
      <c r="K207" s="222"/>
      <c r="L207" s="536"/>
      <c r="M207" s="222"/>
      <c r="N207" s="222"/>
      <c r="O207" s="222"/>
      <c r="P207" s="223"/>
    </row>
    <row r="208" spans="11:16" ht="16.5" customHeight="1">
      <c r="K208" s="222"/>
      <c r="L208" s="536"/>
      <c r="M208" s="222"/>
      <c r="N208" s="222"/>
      <c r="O208" s="222"/>
      <c r="P208" s="223"/>
    </row>
    <row r="209" spans="1:16" ht="16.5" customHeight="1">
      <c r="A209" s="229"/>
      <c r="B209" s="229"/>
      <c r="C209" s="230"/>
      <c r="D209" s="229"/>
      <c r="E209" s="229"/>
      <c r="F209" s="229"/>
      <c r="G209" s="229"/>
      <c r="H209" s="222"/>
      <c r="I209" s="222"/>
      <c r="J209" s="222"/>
      <c r="K209" s="222"/>
      <c r="L209" s="536"/>
      <c r="M209" s="222"/>
      <c r="N209" s="222"/>
      <c r="O209" s="222"/>
      <c r="P209" s="223"/>
    </row>
    <row r="210" spans="1:16" ht="16.5" customHeight="1">
      <c r="A210" s="229"/>
      <c r="B210" s="229"/>
      <c r="C210" s="230"/>
      <c r="D210" s="229"/>
      <c r="E210" s="229"/>
      <c r="F210" s="229"/>
      <c r="G210" s="229"/>
      <c r="H210" s="222"/>
      <c r="I210" s="222"/>
      <c r="J210" s="222"/>
      <c r="K210" s="222"/>
      <c r="L210" s="536"/>
      <c r="M210" s="222"/>
      <c r="N210" s="222"/>
      <c r="O210" s="222"/>
      <c r="P210" s="223"/>
    </row>
    <row r="211" spans="1:16" ht="16.5" customHeight="1">
      <c r="A211" s="229"/>
      <c r="B211" s="229"/>
      <c r="C211" s="230"/>
      <c r="D211" s="229"/>
      <c r="E211" s="229"/>
      <c r="F211" s="229"/>
      <c r="G211" s="229"/>
      <c r="H211" s="222"/>
      <c r="I211" s="222"/>
      <c r="J211" s="222"/>
      <c r="K211" s="222"/>
      <c r="L211" s="536"/>
      <c r="M211" s="222"/>
      <c r="N211" s="222"/>
      <c r="O211" s="222"/>
      <c r="P211" s="223"/>
    </row>
    <row r="212" spans="1:16" ht="16.5" customHeight="1">
      <c r="A212" s="229"/>
      <c r="B212" s="229"/>
      <c r="C212" s="230"/>
      <c r="D212" s="229"/>
      <c r="E212" s="229"/>
      <c r="F212" s="229"/>
      <c r="G212" s="229"/>
      <c r="H212" s="222"/>
      <c r="I212" s="222"/>
      <c r="J212" s="222"/>
      <c r="K212" s="222"/>
      <c r="L212" s="536"/>
      <c r="M212" s="222"/>
      <c r="N212" s="222"/>
      <c r="O212" s="222"/>
      <c r="P212" s="223"/>
    </row>
    <row r="213" spans="1:16" ht="16.5" customHeight="1">
      <c r="A213" s="229"/>
      <c r="B213" s="229"/>
      <c r="C213" s="230"/>
      <c r="D213" s="229"/>
      <c r="E213" s="229"/>
      <c r="F213" s="229"/>
      <c r="G213" s="229"/>
      <c r="H213" s="222"/>
      <c r="I213" s="222"/>
      <c r="J213" s="222"/>
      <c r="K213" s="222"/>
      <c r="L213" s="536"/>
      <c r="M213" s="222"/>
      <c r="N213" s="222"/>
      <c r="O213" s="222"/>
      <c r="P213" s="223"/>
    </row>
    <row r="214" spans="1:16" ht="16.5" customHeight="1">
      <c r="A214" s="229"/>
      <c r="B214" s="229"/>
      <c r="C214" s="230"/>
      <c r="D214" s="229"/>
      <c r="E214" s="229"/>
      <c r="F214" s="229"/>
      <c r="G214" s="229"/>
      <c r="H214" s="222"/>
      <c r="I214" s="222"/>
      <c r="J214" s="222"/>
      <c r="K214" s="222"/>
      <c r="L214" s="536"/>
      <c r="M214" s="222"/>
      <c r="N214" s="222"/>
      <c r="O214" s="222"/>
      <c r="P214" s="223"/>
    </row>
    <row r="215" spans="1:16" ht="16.5" customHeight="1">
      <c r="A215" s="229"/>
      <c r="B215" s="229"/>
      <c r="C215" s="230"/>
      <c r="D215" s="229"/>
      <c r="E215" s="229"/>
      <c r="F215" s="229"/>
      <c r="G215" s="229"/>
      <c r="H215" s="222"/>
      <c r="I215" s="222"/>
      <c r="J215" s="222"/>
      <c r="K215" s="222"/>
      <c r="L215" s="536"/>
      <c r="M215" s="222"/>
      <c r="N215" s="222"/>
      <c r="O215" s="222"/>
      <c r="P215" s="223"/>
    </row>
    <row r="216" spans="1:16" ht="16.5" customHeight="1">
      <c r="A216" s="229"/>
      <c r="B216" s="229"/>
      <c r="C216" s="230"/>
      <c r="D216" s="229"/>
      <c r="E216" s="229"/>
      <c r="F216" s="229"/>
      <c r="G216" s="229"/>
      <c r="H216" s="222"/>
      <c r="I216" s="222"/>
      <c r="J216" s="222"/>
      <c r="K216" s="222"/>
      <c r="L216" s="536"/>
      <c r="M216" s="222"/>
      <c r="N216" s="222"/>
      <c r="O216" s="222"/>
      <c r="P216" s="223"/>
    </row>
    <row r="217" spans="1:16" ht="16.5" customHeight="1">
      <c r="A217" s="229"/>
      <c r="B217" s="229"/>
      <c r="C217" s="230"/>
      <c r="D217" s="229"/>
      <c r="E217" s="229"/>
      <c r="F217" s="229"/>
      <c r="G217" s="229"/>
      <c r="H217" s="222"/>
      <c r="I217" s="222"/>
      <c r="J217" s="222"/>
      <c r="K217" s="222"/>
      <c r="L217" s="536"/>
      <c r="M217" s="222"/>
      <c r="N217" s="222"/>
      <c r="O217" s="222"/>
      <c r="P217" s="223"/>
    </row>
    <row r="218" spans="1:16" ht="16.5" customHeight="1">
      <c r="A218" s="229"/>
      <c r="B218" s="229"/>
      <c r="C218" s="230"/>
      <c r="D218" s="229"/>
      <c r="E218" s="229"/>
      <c r="F218" s="229"/>
      <c r="G218" s="229"/>
      <c r="H218" s="222"/>
      <c r="I218" s="222"/>
      <c r="J218" s="222"/>
      <c r="K218" s="222"/>
      <c r="L218" s="536"/>
      <c r="M218" s="222"/>
      <c r="N218" s="222"/>
      <c r="O218" s="222"/>
      <c r="P218" s="223"/>
    </row>
    <row r="219" spans="1:16" ht="16.5" customHeight="1">
      <c r="A219" s="229"/>
      <c r="B219" s="229"/>
      <c r="C219" s="230"/>
      <c r="D219" s="229"/>
      <c r="E219" s="229"/>
      <c r="F219" s="229"/>
      <c r="G219" s="229"/>
      <c r="H219" s="222"/>
      <c r="I219" s="222"/>
      <c r="J219" s="222"/>
      <c r="K219" s="222"/>
      <c r="L219" s="536"/>
      <c r="M219" s="222"/>
      <c r="N219" s="222"/>
      <c r="O219" s="222"/>
      <c r="P219" s="223"/>
    </row>
  </sheetData>
  <sheetProtection/>
  <mergeCells count="16">
    <mergeCell ref="A1:H1"/>
    <mergeCell ref="A2:H2"/>
    <mergeCell ref="A3:A4"/>
    <mergeCell ref="B3:B4"/>
    <mergeCell ref="C3:C4"/>
    <mergeCell ref="D3:D4"/>
    <mergeCell ref="E3:F3"/>
    <mergeCell ref="E202:G202"/>
    <mergeCell ref="G3:H3"/>
    <mergeCell ref="A85:H85"/>
    <mergeCell ref="A92:H92"/>
    <mergeCell ref="A95:H95"/>
    <mergeCell ref="A118:H118"/>
    <mergeCell ref="A149:H149"/>
    <mergeCell ref="A121:H121"/>
    <mergeCell ref="A168:H168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9">
      <selection activeCell="E36" sqref="E36"/>
    </sheetView>
  </sheetViews>
  <sheetFormatPr defaultColWidth="9.00390625" defaultRowHeight="12.75"/>
  <cols>
    <col min="1" max="1" width="4.125" style="524" customWidth="1"/>
    <col min="2" max="4" width="9.125" style="524" customWidth="1"/>
    <col min="5" max="5" width="17.625" style="524" customWidth="1"/>
    <col min="6" max="6" width="9.125" style="524" customWidth="1"/>
    <col min="7" max="10" width="7.625" style="524" customWidth="1"/>
    <col min="11" max="16384" width="9.125" style="524" customWidth="1"/>
  </cols>
  <sheetData>
    <row r="1" spans="1:10" ht="13.5">
      <c r="A1" s="614" t="s">
        <v>454</v>
      </c>
      <c r="B1" s="614"/>
      <c r="C1" s="614"/>
      <c r="D1" s="614"/>
      <c r="E1" s="614"/>
      <c r="F1" s="614"/>
      <c r="G1" s="614"/>
      <c r="H1" s="614"/>
      <c r="I1" s="614"/>
      <c r="J1" s="5"/>
    </row>
    <row r="2" spans="1:10" ht="13.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42.75" customHeight="1">
      <c r="A3" s="614" t="s">
        <v>460</v>
      </c>
      <c r="B3" s="620"/>
      <c r="C3" s="620"/>
      <c r="D3" s="620"/>
      <c r="E3" s="620"/>
      <c r="F3" s="620"/>
      <c r="G3" s="620"/>
      <c r="H3" s="620"/>
      <c r="I3" s="620"/>
      <c r="J3" s="5"/>
    </row>
    <row r="4" spans="1:10" ht="48" customHeight="1">
      <c r="A4" s="621" t="s">
        <v>7</v>
      </c>
      <c r="B4" s="623" t="s">
        <v>8</v>
      </c>
      <c r="C4" s="624" t="s">
        <v>9</v>
      </c>
      <c r="D4" s="625"/>
      <c r="E4" s="626"/>
      <c r="F4" s="623" t="s">
        <v>24</v>
      </c>
      <c r="G4" s="611" t="s">
        <v>15</v>
      </c>
      <c r="H4" s="619"/>
      <c r="I4" s="611" t="s">
        <v>33</v>
      </c>
      <c r="J4" s="619"/>
    </row>
    <row r="5" spans="1:10" ht="78.75" customHeight="1">
      <c r="A5" s="622"/>
      <c r="B5" s="622"/>
      <c r="C5" s="627"/>
      <c r="D5" s="628"/>
      <c r="E5" s="629"/>
      <c r="F5" s="622"/>
      <c r="G5" s="13" t="s">
        <v>26</v>
      </c>
      <c r="H5" s="13" t="s">
        <v>27</v>
      </c>
      <c r="I5" s="13" t="s">
        <v>26</v>
      </c>
      <c r="J5" s="13" t="s">
        <v>10</v>
      </c>
    </row>
    <row r="6" spans="1:10" ht="13.5">
      <c r="A6" s="4">
        <v>1</v>
      </c>
      <c r="B6" s="4">
        <v>2</v>
      </c>
      <c r="C6" s="611">
        <v>3</v>
      </c>
      <c r="D6" s="618"/>
      <c r="E6" s="619"/>
      <c r="F6" s="4">
        <v>4</v>
      </c>
      <c r="G6" s="4">
        <v>5</v>
      </c>
      <c r="H6" s="4">
        <v>6</v>
      </c>
      <c r="I6" s="4">
        <v>7</v>
      </c>
      <c r="J6" s="4">
        <v>8</v>
      </c>
    </row>
    <row r="7" spans="1:10" ht="34.5" customHeight="1">
      <c r="A7" s="6">
        <v>1</v>
      </c>
      <c r="B7" s="6" t="s">
        <v>156</v>
      </c>
      <c r="C7" s="615" t="s">
        <v>36</v>
      </c>
      <c r="D7" s="616"/>
      <c r="E7" s="617"/>
      <c r="F7" s="6" t="s">
        <v>29</v>
      </c>
      <c r="G7" s="6"/>
      <c r="H7" s="6">
        <v>60</v>
      </c>
      <c r="I7" s="6"/>
      <c r="J7" s="479">
        <f>SUM(J8:J10)</f>
        <v>0</v>
      </c>
    </row>
    <row r="8" spans="1:10" ht="13.5">
      <c r="A8" s="4">
        <f>A7+0.1</f>
        <v>1.1</v>
      </c>
      <c r="B8" s="4"/>
      <c r="C8" s="611" t="s">
        <v>17</v>
      </c>
      <c r="D8" s="612"/>
      <c r="E8" s="613"/>
      <c r="F8" s="328" t="s">
        <v>28</v>
      </c>
      <c r="G8" s="328">
        <v>0.15</v>
      </c>
      <c r="H8" s="328">
        <f>H7*G8</f>
        <v>9</v>
      </c>
      <c r="I8" s="328"/>
      <c r="J8" s="329">
        <f>H8*I8</f>
        <v>0</v>
      </c>
    </row>
    <row r="9" spans="1:10" ht="13.5">
      <c r="A9" s="4">
        <f>A8+0.1</f>
        <v>1.2</v>
      </c>
      <c r="B9" s="4"/>
      <c r="C9" s="611" t="s">
        <v>30</v>
      </c>
      <c r="D9" s="612"/>
      <c r="E9" s="613"/>
      <c r="F9" s="38" t="s">
        <v>20</v>
      </c>
      <c r="G9" s="38">
        <v>0.037</v>
      </c>
      <c r="H9" s="38">
        <f>H7*G9</f>
        <v>2.22</v>
      </c>
      <c r="I9" s="38"/>
      <c r="J9" s="330">
        <f>H9*I9</f>
        <v>0</v>
      </c>
    </row>
    <row r="10" spans="1:10" ht="13.5">
      <c r="A10" s="4">
        <f>A9+0.1</f>
        <v>1.3</v>
      </c>
      <c r="B10" s="4"/>
      <c r="C10" s="611" t="s">
        <v>316</v>
      </c>
      <c r="D10" s="612"/>
      <c r="E10" s="613"/>
      <c r="F10" s="4" t="s">
        <v>29</v>
      </c>
      <c r="G10" s="4"/>
      <c r="H10" s="4">
        <v>60</v>
      </c>
      <c r="I10" s="15"/>
      <c r="J10" s="45">
        <f>H10*I10</f>
        <v>0</v>
      </c>
    </row>
    <row r="11" spans="1:10" ht="38.25" customHeight="1">
      <c r="A11" s="6">
        <v>2</v>
      </c>
      <c r="B11" s="6" t="s">
        <v>157</v>
      </c>
      <c r="C11" s="615" t="s">
        <v>37</v>
      </c>
      <c r="D11" s="616"/>
      <c r="E11" s="617"/>
      <c r="F11" s="6" t="s">
        <v>16</v>
      </c>
      <c r="G11" s="6"/>
      <c r="H11" s="6">
        <v>2</v>
      </c>
      <c r="I11" s="6"/>
      <c r="J11" s="479">
        <f>SUM(J12:J14)</f>
        <v>0</v>
      </c>
    </row>
    <row r="12" spans="1:10" ht="13.5">
      <c r="A12" s="4">
        <f>A11+0.1</f>
        <v>2.1</v>
      </c>
      <c r="B12" s="4"/>
      <c r="C12" s="611" t="s">
        <v>17</v>
      </c>
      <c r="D12" s="612"/>
      <c r="E12" s="613"/>
      <c r="F12" s="328" t="s">
        <v>28</v>
      </c>
      <c r="G12" s="328">
        <v>0.23</v>
      </c>
      <c r="H12" s="328">
        <f>H11*G12</f>
        <v>0.46</v>
      </c>
      <c r="I12" s="328"/>
      <c r="J12" s="329">
        <f>H12*I12</f>
        <v>0</v>
      </c>
    </row>
    <row r="13" spans="1:10" ht="13.5">
      <c r="A13" s="4">
        <f>A12+0.1</f>
        <v>2.2</v>
      </c>
      <c r="B13" s="4"/>
      <c r="C13" s="611" t="s">
        <v>30</v>
      </c>
      <c r="D13" s="612"/>
      <c r="E13" s="613"/>
      <c r="F13" s="38" t="s">
        <v>20</v>
      </c>
      <c r="G13" s="38">
        <v>0.005</v>
      </c>
      <c r="H13" s="38">
        <f>H11*G13</f>
        <v>0.01</v>
      </c>
      <c r="I13" s="38"/>
      <c r="J13" s="330">
        <f>H13*I13</f>
        <v>0</v>
      </c>
    </row>
    <row r="14" spans="1:10" ht="13.5">
      <c r="A14" s="4">
        <f>A13+0.1</f>
        <v>2.3</v>
      </c>
      <c r="B14" s="4"/>
      <c r="C14" s="611" t="s">
        <v>56</v>
      </c>
      <c r="D14" s="612"/>
      <c r="E14" s="613"/>
      <c r="F14" s="4" t="s">
        <v>16</v>
      </c>
      <c r="G14" s="4"/>
      <c r="H14" s="4">
        <v>2</v>
      </c>
      <c r="I14" s="4"/>
      <c r="J14" s="45">
        <f>H14*I14</f>
        <v>0</v>
      </c>
    </row>
    <row r="15" spans="1:10" ht="37.5" customHeight="1">
      <c r="A15" s="6">
        <v>3</v>
      </c>
      <c r="B15" s="6" t="s">
        <v>63</v>
      </c>
      <c r="C15" s="615" t="s">
        <v>317</v>
      </c>
      <c r="D15" s="616"/>
      <c r="E15" s="617"/>
      <c r="F15" s="6" t="s">
        <v>16</v>
      </c>
      <c r="G15" s="6"/>
      <c r="H15" s="6">
        <v>2</v>
      </c>
      <c r="I15" s="6"/>
      <c r="J15" s="479">
        <f>SUM(J16:J18)</f>
        <v>0</v>
      </c>
    </row>
    <row r="16" spans="1:10" ht="13.5">
      <c r="A16" s="4">
        <f>A15+0.1</f>
        <v>3.1</v>
      </c>
      <c r="B16" s="4"/>
      <c r="C16" s="611" t="s">
        <v>17</v>
      </c>
      <c r="D16" s="612"/>
      <c r="E16" s="613"/>
      <c r="F16" s="328" t="s">
        <v>28</v>
      </c>
      <c r="G16" s="328">
        <v>0.66</v>
      </c>
      <c r="H16" s="328">
        <f>H15*G16</f>
        <v>1.32</v>
      </c>
      <c r="I16" s="328"/>
      <c r="J16" s="329">
        <f>H16*I16</f>
        <v>0</v>
      </c>
    </row>
    <row r="17" spans="1:10" ht="13.5">
      <c r="A17" s="4">
        <f>A16+0.1</f>
        <v>3.2</v>
      </c>
      <c r="B17" s="4"/>
      <c r="C17" s="611" t="s">
        <v>30</v>
      </c>
      <c r="D17" s="612"/>
      <c r="E17" s="613"/>
      <c r="F17" s="38" t="s">
        <v>20</v>
      </c>
      <c r="G17" s="38">
        <v>0.51</v>
      </c>
      <c r="H17" s="38">
        <f>H15*G17</f>
        <v>1.02</v>
      </c>
      <c r="I17" s="38"/>
      <c r="J17" s="330">
        <f>H17*I17</f>
        <v>0</v>
      </c>
    </row>
    <row r="18" spans="1:10" ht="13.5">
      <c r="A18" s="4">
        <f>A17+0.1</f>
        <v>3.3</v>
      </c>
      <c r="B18" s="4"/>
      <c r="C18" s="611" t="s">
        <v>318</v>
      </c>
      <c r="D18" s="612"/>
      <c r="E18" s="613"/>
      <c r="F18" s="4" t="s">
        <v>16</v>
      </c>
      <c r="G18" s="4"/>
      <c r="H18" s="4">
        <v>2</v>
      </c>
      <c r="I18" s="4"/>
      <c r="J18" s="45">
        <f>H18*I18</f>
        <v>0</v>
      </c>
    </row>
    <row r="19" spans="1:10" ht="38.25" customHeight="1">
      <c r="A19" s="6"/>
      <c r="B19" s="6"/>
      <c r="C19" s="615" t="s">
        <v>40</v>
      </c>
      <c r="D19" s="616"/>
      <c r="E19" s="617"/>
      <c r="F19" s="4" t="s">
        <v>13</v>
      </c>
      <c r="G19" s="6"/>
      <c r="H19" s="6"/>
      <c r="I19" s="6"/>
      <c r="J19" s="479">
        <f>J7+J11+J15</f>
        <v>0</v>
      </c>
    </row>
    <row r="20" spans="1:10" ht="19.5" customHeight="1">
      <c r="A20" s="4"/>
      <c r="B20" s="4"/>
      <c r="C20" s="611" t="s">
        <v>41</v>
      </c>
      <c r="D20" s="612"/>
      <c r="E20" s="613"/>
      <c r="F20" s="4" t="s">
        <v>13</v>
      </c>
      <c r="G20" s="328"/>
      <c r="H20" s="328"/>
      <c r="I20" s="328"/>
      <c r="J20" s="329">
        <f>J8+J12+J16</f>
        <v>0</v>
      </c>
    </row>
    <row r="21" spans="1:10" ht="19.5" customHeight="1">
      <c r="A21" s="4"/>
      <c r="B21" s="4"/>
      <c r="C21" s="611" t="s">
        <v>42</v>
      </c>
      <c r="D21" s="612"/>
      <c r="E21" s="613"/>
      <c r="F21" s="4" t="s">
        <v>13</v>
      </c>
      <c r="G21" s="38"/>
      <c r="H21" s="38"/>
      <c r="I21" s="38"/>
      <c r="J21" s="330">
        <f>J9+J13+J17</f>
        <v>0</v>
      </c>
    </row>
    <row r="22" spans="1:10" ht="19.5" customHeight="1">
      <c r="A22" s="4"/>
      <c r="B22" s="4"/>
      <c r="C22" s="611" t="s">
        <v>43</v>
      </c>
      <c r="D22" s="612"/>
      <c r="E22" s="613"/>
      <c r="F22" s="4" t="s">
        <v>13</v>
      </c>
      <c r="G22" s="4"/>
      <c r="H22" s="4"/>
      <c r="I22" s="4"/>
      <c r="J22" s="45">
        <f>J19-J20-J21</f>
        <v>0</v>
      </c>
    </row>
    <row r="23" spans="1:10" ht="47.25" customHeight="1">
      <c r="A23" s="4"/>
      <c r="B23" s="4"/>
      <c r="C23" s="615" t="s">
        <v>44</v>
      </c>
      <c r="D23" s="616"/>
      <c r="E23" s="617"/>
      <c r="F23" s="4" t="s">
        <v>13</v>
      </c>
      <c r="G23" s="4"/>
      <c r="H23" s="4"/>
      <c r="I23" s="4"/>
      <c r="J23" s="45">
        <f>J20+J21+J22</f>
        <v>0</v>
      </c>
    </row>
    <row r="24" spans="1:10" ht="18.75" customHeight="1">
      <c r="A24" s="4"/>
      <c r="B24" s="4"/>
      <c r="C24" s="611" t="s">
        <v>259</v>
      </c>
      <c r="D24" s="612"/>
      <c r="E24" s="613"/>
      <c r="F24" s="4" t="s">
        <v>13</v>
      </c>
      <c r="G24" s="4"/>
      <c r="H24" s="4"/>
      <c r="I24" s="4"/>
      <c r="J24" s="45">
        <f>J20*0.75</f>
        <v>0</v>
      </c>
    </row>
    <row r="25" spans="1:10" ht="18.75" customHeight="1">
      <c r="A25" s="4"/>
      <c r="B25" s="4"/>
      <c r="C25" s="611" t="s">
        <v>14</v>
      </c>
      <c r="D25" s="612"/>
      <c r="E25" s="613"/>
      <c r="F25" s="4" t="s">
        <v>13</v>
      </c>
      <c r="G25" s="4"/>
      <c r="H25" s="4"/>
      <c r="I25" s="4"/>
      <c r="J25" s="45">
        <f>J23+J24</f>
        <v>0</v>
      </c>
    </row>
    <row r="26" spans="1:10" ht="18.75" customHeight="1">
      <c r="A26" s="4"/>
      <c r="B26" s="4"/>
      <c r="C26" s="611" t="s">
        <v>249</v>
      </c>
      <c r="D26" s="612"/>
      <c r="E26" s="613"/>
      <c r="F26" s="4" t="s">
        <v>13</v>
      </c>
      <c r="G26" s="4"/>
      <c r="H26" s="4"/>
      <c r="I26" s="4"/>
      <c r="J26" s="45">
        <f>J25*0.1</f>
        <v>0</v>
      </c>
    </row>
    <row r="27" spans="1:10" ht="18.75" customHeight="1">
      <c r="A27" s="4"/>
      <c r="B27" s="4"/>
      <c r="C27" s="611" t="s">
        <v>10</v>
      </c>
      <c r="D27" s="612"/>
      <c r="E27" s="613"/>
      <c r="F27" s="4" t="s">
        <v>13</v>
      </c>
      <c r="G27" s="4"/>
      <c r="H27" s="4"/>
      <c r="I27" s="4"/>
      <c r="J27" s="45">
        <f>J25+J26</f>
        <v>0</v>
      </c>
    </row>
    <row r="28" spans="1:10" ht="13.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3.5">
      <c r="A29" s="5"/>
      <c r="B29" s="5"/>
      <c r="C29" s="614" t="s">
        <v>492</v>
      </c>
      <c r="D29" s="614"/>
      <c r="E29" s="614"/>
      <c r="F29" s="5"/>
      <c r="G29" s="614"/>
      <c r="H29" s="614"/>
      <c r="I29" s="614"/>
      <c r="J29" s="5"/>
    </row>
  </sheetData>
  <sheetProtection/>
  <mergeCells count="32">
    <mergeCell ref="A1:I1"/>
    <mergeCell ref="A3:I3"/>
    <mergeCell ref="A4:A5"/>
    <mergeCell ref="B4:B5"/>
    <mergeCell ref="C4:E5"/>
    <mergeCell ref="F4:F5"/>
    <mergeCell ref="G4:H4"/>
    <mergeCell ref="I4:J4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9:E29"/>
    <mergeCell ref="G29:I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52">
      <selection activeCell="C72" sqref="C72:E72"/>
    </sheetView>
  </sheetViews>
  <sheetFormatPr defaultColWidth="9.00390625" defaultRowHeight="12.75"/>
  <cols>
    <col min="1" max="1" width="5.25390625" style="50" customWidth="1"/>
    <col min="2" max="2" width="9.25390625" style="5" customWidth="1"/>
    <col min="3" max="3" width="9.125" style="5" customWidth="1"/>
    <col min="4" max="4" width="8.75390625" style="5" customWidth="1"/>
    <col min="5" max="5" width="25.25390625" style="5" customWidth="1"/>
    <col min="6" max="9" width="7.00390625" style="5" customWidth="1"/>
    <col min="10" max="10" width="7.00390625" style="4" customWidth="1"/>
    <col min="11" max="12" width="9.125" style="5" customWidth="1"/>
    <col min="13" max="13" width="13.75390625" style="5" bestFit="1" customWidth="1"/>
    <col min="14" max="14" width="10.125" style="5" bestFit="1" customWidth="1"/>
    <col min="15" max="15" width="13.75390625" style="5" bestFit="1" customWidth="1"/>
    <col min="16" max="16384" width="9.125" style="5" customWidth="1"/>
  </cols>
  <sheetData>
    <row r="1" spans="1:10" ht="27.75" customHeight="1">
      <c r="A1" s="634" t="s">
        <v>408</v>
      </c>
      <c r="B1" s="634"/>
      <c r="C1" s="634"/>
      <c r="D1" s="634"/>
      <c r="E1" s="634"/>
      <c r="F1" s="634"/>
      <c r="G1" s="634"/>
      <c r="H1" s="634"/>
      <c r="I1" s="634"/>
      <c r="J1" s="634"/>
    </row>
    <row r="2" spans="1:10" ht="60.75" customHeight="1">
      <c r="A2" s="630" t="s">
        <v>457</v>
      </c>
      <c r="B2" s="630"/>
      <c r="C2" s="630"/>
      <c r="D2" s="630"/>
      <c r="E2" s="630"/>
      <c r="F2" s="630"/>
      <c r="G2" s="630"/>
      <c r="H2" s="630"/>
      <c r="I2" s="630"/>
      <c r="J2" s="630"/>
    </row>
    <row r="3" spans="1:10" ht="42" customHeight="1">
      <c r="A3" s="635" t="s">
        <v>7</v>
      </c>
      <c r="B3" s="637" t="s">
        <v>8</v>
      </c>
      <c r="C3" s="635" t="s">
        <v>9</v>
      </c>
      <c r="D3" s="636"/>
      <c r="E3" s="636"/>
      <c r="F3" s="637" t="s">
        <v>24</v>
      </c>
      <c r="G3" s="635" t="s">
        <v>15</v>
      </c>
      <c r="H3" s="636"/>
      <c r="I3" s="635" t="s">
        <v>33</v>
      </c>
      <c r="J3" s="636"/>
    </row>
    <row r="4" spans="1:10" ht="101.25" customHeight="1">
      <c r="A4" s="636"/>
      <c r="B4" s="636"/>
      <c r="C4" s="636"/>
      <c r="D4" s="636"/>
      <c r="E4" s="636"/>
      <c r="F4" s="636"/>
      <c r="G4" s="334" t="s">
        <v>26</v>
      </c>
      <c r="H4" s="334" t="s">
        <v>27</v>
      </c>
      <c r="I4" s="334" t="s">
        <v>26</v>
      </c>
      <c r="J4" s="334" t="s">
        <v>10</v>
      </c>
    </row>
    <row r="5" spans="1:11" ht="50.25" customHeight="1">
      <c r="A5" s="84">
        <v>1</v>
      </c>
      <c r="B5" s="475" t="s">
        <v>364</v>
      </c>
      <c r="C5" s="615" t="s">
        <v>365</v>
      </c>
      <c r="D5" s="616"/>
      <c r="E5" s="617"/>
      <c r="F5" s="84" t="s">
        <v>366</v>
      </c>
      <c r="G5" s="477"/>
      <c r="H5" s="84">
        <v>0.006</v>
      </c>
      <c r="I5" s="477"/>
      <c r="J5" s="478">
        <f>J6+J7+J8+J9</f>
        <v>0</v>
      </c>
      <c r="K5" s="88"/>
    </row>
    <row r="6" spans="1:11" ht="21" customHeight="1">
      <c r="A6" s="4">
        <f>A5+0.1</f>
        <v>1.1</v>
      </c>
      <c r="B6" s="417"/>
      <c r="C6" s="611" t="s">
        <v>93</v>
      </c>
      <c r="D6" s="612"/>
      <c r="E6" s="613"/>
      <c r="F6" s="328" t="s">
        <v>94</v>
      </c>
      <c r="G6" s="328">
        <v>95.9</v>
      </c>
      <c r="H6" s="333">
        <f>H5*G6</f>
        <v>0.58</v>
      </c>
      <c r="I6" s="328"/>
      <c r="J6" s="329">
        <f>H6*I6</f>
        <v>0</v>
      </c>
      <c r="K6" s="88"/>
    </row>
    <row r="7" spans="1:11" ht="21" customHeight="1" thickBot="1">
      <c r="A7" s="4">
        <f>A6+0.1</f>
        <v>1.2</v>
      </c>
      <c r="B7" s="417"/>
      <c r="C7" s="611" t="s">
        <v>367</v>
      </c>
      <c r="D7" s="612"/>
      <c r="E7" s="613"/>
      <c r="F7" s="38" t="s">
        <v>96</v>
      </c>
      <c r="G7" s="38">
        <v>45.2</v>
      </c>
      <c r="H7" s="57">
        <f>G7*H5</f>
        <v>0.27</v>
      </c>
      <c r="I7" s="38"/>
      <c r="J7" s="330">
        <f>H7*I7</f>
        <v>0</v>
      </c>
      <c r="K7" s="88"/>
    </row>
    <row r="8" spans="1:11" ht="21" customHeight="1" thickBot="1">
      <c r="A8" s="4">
        <f>A7+0.1</f>
        <v>1.3</v>
      </c>
      <c r="B8" s="417" t="s">
        <v>32</v>
      </c>
      <c r="C8" s="611" t="s">
        <v>368</v>
      </c>
      <c r="D8" s="612"/>
      <c r="E8" s="613"/>
      <c r="F8" s="4" t="s">
        <v>369</v>
      </c>
      <c r="G8" s="416"/>
      <c r="H8" s="89">
        <v>6</v>
      </c>
      <c r="I8" s="417"/>
      <c r="J8" s="45">
        <f>H8*I8</f>
        <v>0</v>
      </c>
      <c r="K8" s="88"/>
    </row>
    <row r="9" spans="1:15" ht="21" customHeight="1">
      <c r="A9" s="4">
        <f>A8+0.1</f>
        <v>1.4</v>
      </c>
      <c r="B9" s="417"/>
      <c r="C9" s="611" t="s">
        <v>106</v>
      </c>
      <c r="D9" s="612"/>
      <c r="E9" s="613"/>
      <c r="F9" s="4" t="s">
        <v>96</v>
      </c>
      <c r="G9" s="4">
        <v>0.6</v>
      </c>
      <c r="H9" s="3">
        <f>H5*G9</f>
        <v>0.0036</v>
      </c>
      <c r="I9" s="4"/>
      <c r="J9" s="45">
        <f>H9*I9</f>
        <v>0</v>
      </c>
      <c r="K9" s="88"/>
      <c r="O9" s="5" t="s">
        <v>51</v>
      </c>
    </row>
    <row r="10" spans="1:11" ht="50.25" customHeight="1">
      <c r="A10" s="84">
        <v>2</v>
      </c>
      <c r="B10" s="475" t="s">
        <v>370</v>
      </c>
      <c r="C10" s="615" t="s">
        <v>371</v>
      </c>
      <c r="D10" s="616"/>
      <c r="E10" s="617"/>
      <c r="F10" s="84" t="s">
        <v>372</v>
      </c>
      <c r="G10" s="477"/>
      <c r="H10" s="84">
        <v>0.04</v>
      </c>
      <c r="I10" s="477"/>
      <c r="J10" s="478">
        <f>J11+J12+J13+J14</f>
        <v>0</v>
      </c>
      <c r="K10" s="88"/>
    </row>
    <row r="11" spans="1:11" ht="21" customHeight="1">
      <c r="A11" s="4">
        <f>A10+0.1</f>
        <v>2.1</v>
      </c>
      <c r="B11" s="417"/>
      <c r="C11" s="611" t="s">
        <v>93</v>
      </c>
      <c r="D11" s="612"/>
      <c r="E11" s="613"/>
      <c r="F11" s="328" t="s">
        <v>94</v>
      </c>
      <c r="G11" s="328">
        <v>60.9</v>
      </c>
      <c r="H11" s="333">
        <f>H10*G11</f>
        <v>2.44</v>
      </c>
      <c r="I11" s="328"/>
      <c r="J11" s="329">
        <f>H11*I11</f>
        <v>0</v>
      </c>
      <c r="K11" s="88"/>
    </row>
    <row r="12" spans="1:11" ht="21" customHeight="1" thickBot="1">
      <c r="A12" s="4">
        <f>A11+0.1</f>
        <v>2.2</v>
      </c>
      <c r="B12" s="417"/>
      <c r="C12" s="611" t="s">
        <v>367</v>
      </c>
      <c r="D12" s="612"/>
      <c r="E12" s="613"/>
      <c r="F12" s="38" t="s">
        <v>96</v>
      </c>
      <c r="G12" s="38">
        <v>0.21</v>
      </c>
      <c r="H12" s="57">
        <f>G12*H10</f>
        <v>0.01</v>
      </c>
      <c r="I12" s="38"/>
      <c r="J12" s="330">
        <f>H12*I12</f>
        <v>0</v>
      </c>
      <c r="K12" s="88"/>
    </row>
    <row r="13" spans="1:11" ht="21" customHeight="1" thickBot="1">
      <c r="A13" s="4">
        <f>A12+0.1</f>
        <v>2.3</v>
      </c>
      <c r="B13" s="417" t="s">
        <v>32</v>
      </c>
      <c r="C13" s="611" t="s">
        <v>373</v>
      </c>
      <c r="D13" s="612"/>
      <c r="E13" s="613"/>
      <c r="F13" s="4" t="s">
        <v>369</v>
      </c>
      <c r="G13" s="416"/>
      <c r="H13" s="89">
        <v>4</v>
      </c>
      <c r="I13" s="417"/>
      <c r="J13" s="45">
        <f>H13*I13</f>
        <v>0</v>
      </c>
      <c r="K13" s="88"/>
    </row>
    <row r="14" spans="1:15" ht="21" customHeight="1">
      <c r="A14" s="4">
        <f>A13+0.1</f>
        <v>2.4</v>
      </c>
      <c r="B14" s="417"/>
      <c r="C14" s="611" t="s">
        <v>106</v>
      </c>
      <c r="D14" s="612"/>
      <c r="E14" s="613"/>
      <c r="F14" s="4" t="s">
        <v>96</v>
      </c>
      <c r="G14" s="4">
        <v>15.6</v>
      </c>
      <c r="H14" s="3">
        <f>H10*G14</f>
        <v>0.624</v>
      </c>
      <c r="I14" s="4"/>
      <c r="J14" s="45">
        <f>H14*I14</f>
        <v>0</v>
      </c>
      <c r="K14" s="88"/>
      <c r="O14" s="5" t="s">
        <v>51</v>
      </c>
    </row>
    <row r="15" spans="1:11" ht="49.5" customHeight="1">
      <c r="A15" s="6">
        <v>3</v>
      </c>
      <c r="B15" s="476" t="s">
        <v>374</v>
      </c>
      <c r="C15" s="615" t="s">
        <v>375</v>
      </c>
      <c r="D15" s="616"/>
      <c r="E15" s="617"/>
      <c r="F15" s="6" t="s">
        <v>376</v>
      </c>
      <c r="G15" s="38"/>
      <c r="H15" s="6">
        <v>0.04</v>
      </c>
      <c r="I15" s="38"/>
      <c r="J15" s="479">
        <f>J16+J17+J18+J19</f>
        <v>0</v>
      </c>
      <c r="K15" s="88"/>
    </row>
    <row r="16" spans="1:11" ht="16.5" customHeight="1">
      <c r="A16" s="4">
        <f>A15+0.1</f>
        <v>3.1</v>
      </c>
      <c r="B16" s="417"/>
      <c r="C16" s="611" t="s">
        <v>93</v>
      </c>
      <c r="D16" s="612"/>
      <c r="E16" s="613"/>
      <c r="F16" s="328" t="s">
        <v>94</v>
      </c>
      <c r="G16" s="328">
        <v>58.3</v>
      </c>
      <c r="H16" s="333">
        <f>H15*G16</f>
        <v>2.33</v>
      </c>
      <c r="I16" s="328"/>
      <c r="J16" s="329">
        <f>H16*I16</f>
        <v>0</v>
      </c>
      <c r="K16" s="88"/>
    </row>
    <row r="17" spans="1:11" ht="16.5" customHeight="1" thickBot="1">
      <c r="A17" s="4">
        <f>A16+0.1</f>
        <v>3.2</v>
      </c>
      <c r="B17" s="417"/>
      <c r="C17" s="611" t="s">
        <v>367</v>
      </c>
      <c r="D17" s="612"/>
      <c r="E17" s="613"/>
      <c r="F17" s="38" t="s">
        <v>96</v>
      </c>
      <c r="G17" s="38">
        <v>0.46</v>
      </c>
      <c r="H17" s="57">
        <f>G17*H15</f>
        <v>0.02</v>
      </c>
      <c r="I17" s="38"/>
      <c r="J17" s="330">
        <f>H17*I17</f>
        <v>0</v>
      </c>
      <c r="K17" s="88"/>
    </row>
    <row r="18" spans="1:11" ht="21" customHeight="1" thickBot="1">
      <c r="A18" s="4">
        <f>A17+0.1</f>
        <v>3.3</v>
      </c>
      <c r="B18" s="417" t="s">
        <v>32</v>
      </c>
      <c r="C18" s="611" t="s">
        <v>377</v>
      </c>
      <c r="D18" s="612"/>
      <c r="E18" s="613"/>
      <c r="F18" s="4" t="s">
        <v>369</v>
      </c>
      <c r="G18" s="416"/>
      <c r="H18" s="89">
        <v>4</v>
      </c>
      <c r="I18" s="480"/>
      <c r="J18" s="45">
        <f>H18*I18</f>
        <v>0</v>
      </c>
      <c r="K18" s="88"/>
    </row>
    <row r="19" spans="1:15" ht="15" customHeight="1">
      <c r="A19" s="4">
        <f>A18+0.1</f>
        <v>3.4</v>
      </c>
      <c r="B19" s="417"/>
      <c r="C19" s="611" t="s">
        <v>106</v>
      </c>
      <c r="D19" s="612"/>
      <c r="E19" s="613"/>
      <c r="F19" s="4" t="s">
        <v>96</v>
      </c>
      <c r="G19" s="4">
        <v>20.8</v>
      </c>
      <c r="H19" s="3">
        <f>H15*G19</f>
        <v>0.832</v>
      </c>
      <c r="I19" s="4"/>
      <c r="J19" s="45">
        <f>H19*I19</f>
        <v>0</v>
      </c>
      <c r="K19" s="88"/>
      <c r="O19" s="5" t="s">
        <v>51</v>
      </c>
    </row>
    <row r="20" spans="1:11" ht="48.75" customHeight="1">
      <c r="A20" s="6">
        <v>4</v>
      </c>
      <c r="B20" s="476" t="s">
        <v>378</v>
      </c>
      <c r="C20" s="615" t="s">
        <v>379</v>
      </c>
      <c r="D20" s="616"/>
      <c r="E20" s="617"/>
      <c r="F20" s="6" t="s">
        <v>380</v>
      </c>
      <c r="G20" s="38"/>
      <c r="H20" s="27">
        <v>1</v>
      </c>
      <c r="I20" s="38"/>
      <c r="J20" s="479">
        <f>SUM(J21:J24)</f>
        <v>0</v>
      </c>
      <c r="K20" s="88"/>
    </row>
    <row r="21" spans="1:11" ht="15" customHeight="1">
      <c r="A21" s="4">
        <f>A20+0.1</f>
        <v>4.1</v>
      </c>
      <c r="B21" s="417"/>
      <c r="C21" s="611" t="s">
        <v>93</v>
      </c>
      <c r="D21" s="612"/>
      <c r="E21" s="613"/>
      <c r="F21" s="328" t="s">
        <v>94</v>
      </c>
      <c r="G21" s="328">
        <v>1.72</v>
      </c>
      <c r="H21" s="481">
        <f>H20*G21</f>
        <v>1.72</v>
      </c>
      <c r="I21" s="328"/>
      <c r="J21" s="329">
        <f>H21*I21</f>
        <v>0</v>
      </c>
      <c r="K21" s="88"/>
    </row>
    <row r="22" spans="1:11" ht="15" customHeight="1" thickBot="1">
      <c r="A22" s="4">
        <f>A21+0.1</f>
        <v>4.2</v>
      </c>
      <c r="B22" s="417"/>
      <c r="C22" s="611" t="s">
        <v>367</v>
      </c>
      <c r="D22" s="612"/>
      <c r="E22" s="613"/>
      <c r="F22" s="38" t="s">
        <v>96</v>
      </c>
      <c r="G22" s="38">
        <v>0.06</v>
      </c>
      <c r="H22" s="466">
        <f>G22*H20</f>
        <v>0.06</v>
      </c>
      <c r="I22" s="38"/>
      <c r="J22" s="330">
        <f>H22*I22</f>
        <v>0</v>
      </c>
      <c r="K22" s="88"/>
    </row>
    <row r="23" spans="1:11" ht="15" customHeight="1" thickBot="1">
      <c r="A23" s="4">
        <f>A22+0.1</f>
        <v>4.3</v>
      </c>
      <c r="B23" s="417" t="s">
        <v>32</v>
      </c>
      <c r="C23" s="611" t="s">
        <v>381</v>
      </c>
      <c r="D23" s="612"/>
      <c r="E23" s="613"/>
      <c r="F23" s="4" t="s">
        <v>382</v>
      </c>
      <c r="G23" s="416"/>
      <c r="H23" s="457">
        <v>1</v>
      </c>
      <c r="I23" s="417"/>
      <c r="J23" s="45">
        <f>H23*I23</f>
        <v>0</v>
      </c>
      <c r="K23" s="88"/>
    </row>
    <row r="24" spans="1:11" ht="15" customHeight="1">
      <c r="A24" s="4">
        <f>A23+0.1</f>
        <v>4.4</v>
      </c>
      <c r="B24" s="417"/>
      <c r="C24" s="611" t="s">
        <v>106</v>
      </c>
      <c r="D24" s="612"/>
      <c r="E24" s="613"/>
      <c r="F24" s="4" t="s">
        <v>96</v>
      </c>
      <c r="G24" s="4">
        <v>0.31</v>
      </c>
      <c r="H24" s="482">
        <f>G24*H20</f>
        <v>0.3</v>
      </c>
      <c r="I24" s="4"/>
      <c r="J24" s="45">
        <f>H24*I24</f>
        <v>0</v>
      </c>
      <c r="K24" s="88"/>
    </row>
    <row r="25" spans="1:11" ht="33" customHeight="1">
      <c r="A25" s="6">
        <v>5</v>
      </c>
      <c r="B25" s="476" t="s">
        <v>383</v>
      </c>
      <c r="C25" s="615" t="s">
        <v>409</v>
      </c>
      <c r="D25" s="616"/>
      <c r="E25" s="617"/>
      <c r="F25" s="6" t="s">
        <v>380</v>
      </c>
      <c r="G25" s="38"/>
      <c r="H25" s="6">
        <v>1</v>
      </c>
      <c r="I25" s="38"/>
      <c r="J25" s="479">
        <f>J26+J27+J28+J29</f>
        <v>0</v>
      </c>
      <c r="K25" s="88"/>
    </row>
    <row r="26" spans="1:11" ht="13.5" customHeight="1">
      <c r="A26" s="4">
        <f>A25+0.1</f>
        <v>5.1</v>
      </c>
      <c r="B26" s="417"/>
      <c r="C26" s="611" t="s">
        <v>93</v>
      </c>
      <c r="D26" s="612"/>
      <c r="E26" s="613"/>
      <c r="F26" s="328" t="s">
        <v>94</v>
      </c>
      <c r="G26" s="328">
        <v>2.44</v>
      </c>
      <c r="H26" s="333">
        <f>H25*G26</f>
        <v>2.44</v>
      </c>
      <c r="I26" s="328"/>
      <c r="J26" s="329">
        <f>H26*I26</f>
        <v>0</v>
      </c>
      <c r="K26" s="88"/>
    </row>
    <row r="27" spans="1:11" ht="14.25" customHeight="1" thickBot="1">
      <c r="A27" s="4">
        <f>A26+0.1</f>
        <v>5.2</v>
      </c>
      <c r="B27" s="417"/>
      <c r="C27" s="611" t="s">
        <v>367</v>
      </c>
      <c r="D27" s="612"/>
      <c r="E27" s="613"/>
      <c r="F27" s="38" t="s">
        <v>96</v>
      </c>
      <c r="G27" s="38">
        <v>0.13</v>
      </c>
      <c r="H27" s="57">
        <f>G27*H25</f>
        <v>0.13</v>
      </c>
      <c r="I27" s="38"/>
      <c r="J27" s="330">
        <f>H27*I27</f>
        <v>0</v>
      </c>
      <c r="K27" s="88"/>
    </row>
    <row r="28" spans="1:11" ht="14.25" thickBot="1">
      <c r="A28" s="4">
        <f>A27+0.1</f>
        <v>5.3</v>
      </c>
      <c r="B28" s="417" t="s">
        <v>32</v>
      </c>
      <c r="C28" s="611" t="s">
        <v>410</v>
      </c>
      <c r="D28" s="612"/>
      <c r="E28" s="613"/>
      <c r="F28" s="4" t="s">
        <v>380</v>
      </c>
      <c r="G28" s="416"/>
      <c r="H28" s="89">
        <v>1</v>
      </c>
      <c r="I28" s="417"/>
      <c r="J28" s="45">
        <f>H28*I28</f>
        <v>0</v>
      </c>
      <c r="K28" s="88"/>
    </row>
    <row r="29" spans="1:11" ht="13.5" customHeight="1">
      <c r="A29" s="4">
        <f>A28+0.1</f>
        <v>5.4</v>
      </c>
      <c r="B29" s="417"/>
      <c r="C29" s="611" t="s">
        <v>106</v>
      </c>
      <c r="D29" s="612"/>
      <c r="E29" s="613"/>
      <c r="F29" s="4" t="s">
        <v>96</v>
      </c>
      <c r="G29" s="4">
        <v>0.94</v>
      </c>
      <c r="H29" s="483">
        <f>H25*G29</f>
        <v>0.94</v>
      </c>
      <c r="I29" s="4"/>
      <c r="J29" s="45">
        <f>H29*I29</f>
        <v>0</v>
      </c>
      <c r="K29" s="88"/>
    </row>
    <row r="30" spans="1:11" ht="44.25" customHeight="1">
      <c r="A30" s="6">
        <f>A25+1</f>
        <v>6</v>
      </c>
      <c r="B30" s="476" t="s">
        <v>384</v>
      </c>
      <c r="C30" s="615" t="s">
        <v>385</v>
      </c>
      <c r="D30" s="616"/>
      <c r="E30" s="617"/>
      <c r="F30" s="6" t="s">
        <v>386</v>
      </c>
      <c r="G30" s="38"/>
      <c r="H30" s="335">
        <v>0.5</v>
      </c>
      <c r="I30" s="38"/>
      <c r="J30" s="479">
        <f>J31+J32+J33+J34</f>
        <v>0</v>
      </c>
      <c r="K30" s="88"/>
    </row>
    <row r="31" spans="1:11" ht="21" customHeight="1">
      <c r="A31" s="4">
        <f>A30+0.1</f>
        <v>6.1</v>
      </c>
      <c r="B31" s="417"/>
      <c r="C31" s="611" t="s">
        <v>93</v>
      </c>
      <c r="D31" s="612"/>
      <c r="E31" s="613"/>
      <c r="F31" s="328" t="s">
        <v>94</v>
      </c>
      <c r="G31" s="328">
        <v>5.84</v>
      </c>
      <c r="H31" s="333">
        <f>H30*G31</f>
        <v>2.92</v>
      </c>
      <c r="I31" s="328"/>
      <c r="J31" s="329">
        <f>H31*I31</f>
        <v>0</v>
      </c>
      <c r="K31" s="88"/>
    </row>
    <row r="32" spans="1:11" ht="21" customHeight="1" thickBot="1">
      <c r="A32" s="4">
        <f>A31+0.1</f>
        <v>6.2</v>
      </c>
      <c r="B32" s="417"/>
      <c r="C32" s="611" t="s">
        <v>367</v>
      </c>
      <c r="D32" s="612"/>
      <c r="E32" s="613"/>
      <c r="F32" s="38" t="s">
        <v>96</v>
      </c>
      <c r="G32" s="38">
        <v>2.27</v>
      </c>
      <c r="H32" s="57">
        <f>G32*H30</f>
        <v>1.14</v>
      </c>
      <c r="I32" s="38"/>
      <c r="J32" s="330">
        <f>H32*I32</f>
        <v>0</v>
      </c>
      <c r="K32" s="88"/>
    </row>
    <row r="33" spans="1:11" ht="21" customHeight="1" thickBot="1">
      <c r="A33" s="4">
        <f>A32+0.1</f>
        <v>6.3</v>
      </c>
      <c r="B33" s="417" t="s">
        <v>32</v>
      </c>
      <c r="C33" s="611" t="s">
        <v>387</v>
      </c>
      <c r="D33" s="612"/>
      <c r="E33" s="613"/>
      <c r="F33" s="4" t="s">
        <v>136</v>
      </c>
      <c r="G33" s="416"/>
      <c r="H33" s="89">
        <v>5</v>
      </c>
      <c r="I33" s="417"/>
      <c r="J33" s="45">
        <f>H33*I33</f>
        <v>0</v>
      </c>
      <c r="K33" s="88"/>
    </row>
    <row r="34" spans="1:15" ht="21" customHeight="1">
      <c r="A34" s="4">
        <f>A33+0.1</f>
        <v>6.4</v>
      </c>
      <c r="B34" s="417"/>
      <c r="C34" s="611" t="s">
        <v>106</v>
      </c>
      <c r="D34" s="612"/>
      <c r="E34" s="613"/>
      <c r="F34" s="4" t="s">
        <v>96</v>
      </c>
      <c r="G34" s="4">
        <v>0.24</v>
      </c>
      <c r="H34" s="3">
        <f>H30*G34</f>
        <v>0.12</v>
      </c>
      <c r="I34" s="4"/>
      <c r="J34" s="45">
        <f>H34*I34</f>
        <v>0</v>
      </c>
      <c r="K34" s="88"/>
      <c r="O34" s="5" t="s">
        <v>51</v>
      </c>
    </row>
    <row r="35" spans="1:11" ht="38.25" customHeight="1">
      <c r="A35" s="6">
        <f>A30+1</f>
        <v>7</v>
      </c>
      <c r="B35" s="476" t="s">
        <v>388</v>
      </c>
      <c r="C35" s="615" t="s">
        <v>389</v>
      </c>
      <c r="D35" s="616"/>
      <c r="E35" s="617"/>
      <c r="F35" s="6" t="s">
        <v>136</v>
      </c>
      <c r="G35" s="38"/>
      <c r="H35" s="6">
        <v>1</v>
      </c>
      <c r="I35" s="38"/>
      <c r="J35" s="479">
        <f>J36+J37+J38+J39</f>
        <v>0</v>
      </c>
      <c r="K35" s="88"/>
    </row>
    <row r="36" spans="1:11" ht="21" customHeight="1">
      <c r="A36" s="4">
        <f>A35+0.1</f>
        <v>7.1</v>
      </c>
      <c r="B36" s="417"/>
      <c r="C36" s="611" t="s">
        <v>93</v>
      </c>
      <c r="D36" s="612"/>
      <c r="E36" s="613"/>
      <c r="F36" s="328" t="s">
        <v>94</v>
      </c>
      <c r="G36" s="328">
        <v>0.46</v>
      </c>
      <c r="H36" s="333">
        <f>H35*G36</f>
        <v>0.46</v>
      </c>
      <c r="I36" s="328"/>
      <c r="J36" s="329">
        <f>H36*I36</f>
        <v>0</v>
      </c>
      <c r="K36" s="88"/>
    </row>
    <row r="37" spans="1:11" ht="21" customHeight="1" thickBot="1">
      <c r="A37" s="4">
        <f>A36+0.1</f>
        <v>7.2</v>
      </c>
      <c r="B37" s="417"/>
      <c r="C37" s="611" t="s">
        <v>367</v>
      </c>
      <c r="D37" s="612"/>
      <c r="E37" s="613"/>
      <c r="F37" s="38" t="s">
        <v>96</v>
      </c>
      <c r="G37" s="38">
        <v>0.02</v>
      </c>
      <c r="H37" s="57">
        <f>G37*H35</f>
        <v>0.02</v>
      </c>
      <c r="I37" s="38"/>
      <c r="J37" s="330">
        <f>H37*I37</f>
        <v>0</v>
      </c>
      <c r="K37" s="88"/>
    </row>
    <row r="38" spans="1:11" ht="21" customHeight="1" thickBot="1">
      <c r="A38" s="4">
        <f>A37+0.1</f>
        <v>7.3</v>
      </c>
      <c r="B38" s="417" t="s">
        <v>32</v>
      </c>
      <c r="C38" s="611" t="s">
        <v>390</v>
      </c>
      <c r="D38" s="612"/>
      <c r="E38" s="613"/>
      <c r="F38" s="4" t="s">
        <v>136</v>
      </c>
      <c r="G38" s="416"/>
      <c r="H38" s="89">
        <v>1</v>
      </c>
      <c r="I38" s="417"/>
      <c r="J38" s="45">
        <f>H38*I38</f>
        <v>0</v>
      </c>
      <c r="K38" s="88"/>
    </row>
    <row r="39" spans="1:15" ht="21" customHeight="1">
      <c r="A39" s="4">
        <f>A38+0.1</f>
        <v>7.4</v>
      </c>
      <c r="B39" s="417"/>
      <c r="C39" s="611" t="s">
        <v>106</v>
      </c>
      <c r="D39" s="612"/>
      <c r="E39" s="613"/>
      <c r="F39" s="4" t="s">
        <v>96</v>
      </c>
      <c r="G39" s="4">
        <v>0.11</v>
      </c>
      <c r="H39" s="3">
        <f>H35*G39</f>
        <v>0.11</v>
      </c>
      <c r="I39" s="4"/>
      <c r="J39" s="45">
        <f>H39*I39</f>
        <v>0</v>
      </c>
      <c r="K39" s="88"/>
      <c r="O39" s="5" t="s">
        <v>51</v>
      </c>
    </row>
    <row r="40" spans="1:11" ht="42" customHeight="1">
      <c r="A40" s="6">
        <f>A35+1</f>
        <v>8</v>
      </c>
      <c r="B40" s="476" t="s">
        <v>391</v>
      </c>
      <c r="C40" s="615" t="s">
        <v>392</v>
      </c>
      <c r="D40" s="616"/>
      <c r="E40" s="617"/>
      <c r="F40" s="6" t="s">
        <v>393</v>
      </c>
      <c r="G40" s="38"/>
      <c r="H40" s="6">
        <v>1</v>
      </c>
      <c r="I40" s="38"/>
      <c r="J40" s="479">
        <f>J41+J42+J43+J44</f>
        <v>0</v>
      </c>
      <c r="K40" s="88"/>
    </row>
    <row r="41" spans="1:11" ht="21" customHeight="1">
      <c r="A41" s="4">
        <f>A40+0.1</f>
        <v>8.1</v>
      </c>
      <c r="B41" s="417"/>
      <c r="C41" s="611" t="s">
        <v>93</v>
      </c>
      <c r="D41" s="612"/>
      <c r="E41" s="613"/>
      <c r="F41" s="328" t="s">
        <v>94</v>
      </c>
      <c r="G41" s="328">
        <v>1.24</v>
      </c>
      <c r="H41" s="333">
        <f>H40*G41</f>
        <v>1.24</v>
      </c>
      <c r="I41" s="328"/>
      <c r="J41" s="329">
        <f>H41*I41</f>
        <v>0</v>
      </c>
      <c r="K41" s="88"/>
    </row>
    <row r="42" spans="1:11" ht="21" customHeight="1">
      <c r="A42" s="4">
        <f>A41+0.1</f>
        <v>8.2</v>
      </c>
      <c r="B42" s="417"/>
      <c r="C42" s="611" t="s">
        <v>367</v>
      </c>
      <c r="D42" s="612"/>
      <c r="E42" s="613"/>
      <c r="F42" s="38" t="s">
        <v>96</v>
      </c>
      <c r="G42" s="38">
        <v>0.26</v>
      </c>
      <c r="H42" s="9">
        <f>G42*H40</f>
        <v>0.26</v>
      </c>
      <c r="I42" s="38"/>
      <c r="J42" s="330">
        <f>H42*I42</f>
        <v>0</v>
      </c>
      <c r="K42" s="88"/>
    </row>
    <row r="43" spans="1:11" ht="21" customHeight="1">
      <c r="A43" s="4">
        <f>A42+0.1</f>
        <v>8.3</v>
      </c>
      <c r="B43" s="417" t="s">
        <v>32</v>
      </c>
      <c r="C43" s="611" t="s">
        <v>394</v>
      </c>
      <c r="D43" s="612"/>
      <c r="E43" s="613"/>
      <c r="F43" s="4" t="s">
        <v>369</v>
      </c>
      <c r="G43" s="4">
        <v>0.4</v>
      </c>
      <c r="H43" s="8">
        <f>H40*G43</f>
        <v>0.4</v>
      </c>
      <c r="I43" s="4"/>
      <c r="J43" s="45">
        <f>H43*I43</f>
        <v>0</v>
      </c>
      <c r="K43" s="88"/>
    </row>
    <row r="44" spans="1:15" ht="15" customHeight="1">
      <c r="A44" s="4">
        <f>A43+0.1</f>
        <v>8.4</v>
      </c>
      <c r="B44" s="417"/>
      <c r="C44" s="611" t="s">
        <v>106</v>
      </c>
      <c r="D44" s="612"/>
      <c r="E44" s="613"/>
      <c r="F44" s="4" t="s">
        <v>96</v>
      </c>
      <c r="G44" s="4">
        <v>0.14</v>
      </c>
      <c r="H44" s="4">
        <f>H40*G44</f>
        <v>0.14</v>
      </c>
      <c r="I44" s="4"/>
      <c r="J44" s="45">
        <f>H44*I44</f>
        <v>0</v>
      </c>
      <c r="K44" s="88"/>
      <c r="O44" s="5" t="s">
        <v>51</v>
      </c>
    </row>
    <row r="45" spans="1:11" s="484" customFormat="1" ht="33" customHeight="1">
      <c r="A45" s="6">
        <v>9</v>
      </c>
      <c r="B45" s="476" t="s">
        <v>395</v>
      </c>
      <c r="C45" s="615" t="s">
        <v>396</v>
      </c>
      <c r="D45" s="616"/>
      <c r="E45" s="617"/>
      <c r="F45" s="6" t="s">
        <v>136</v>
      </c>
      <c r="G45" s="4"/>
      <c r="H45" s="335">
        <v>1</v>
      </c>
      <c r="I45" s="4"/>
      <c r="J45" s="479">
        <f>J46+J47+J48+J49</f>
        <v>0</v>
      </c>
      <c r="K45" s="88"/>
    </row>
    <row r="46" spans="1:11" s="484" customFormat="1" ht="21" customHeight="1">
      <c r="A46" s="4">
        <f>A45+0.1</f>
        <v>9.1</v>
      </c>
      <c r="B46" s="417"/>
      <c r="C46" s="611" t="s">
        <v>93</v>
      </c>
      <c r="D46" s="612"/>
      <c r="E46" s="613"/>
      <c r="F46" s="485" t="s">
        <v>94</v>
      </c>
      <c r="G46" s="485">
        <v>1.51</v>
      </c>
      <c r="H46" s="486">
        <f>H45*G46</f>
        <v>1.51</v>
      </c>
      <c r="I46" s="485"/>
      <c r="J46" s="487">
        <f>H46*I46</f>
        <v>0</v>
      </c>
      <c r="K46" s="88"/>
    </row>
    <row r="47" spans="1:11" s="484" customFormat="1" ht="21" customHeight="1" thickBot="1">
      <c r="A47" s="4">
        <f>A46+0.1</f>
        <v>9.2</v>
      </c>
      <c r="B47" s="417"/>
      <c r="C47" s="611" t="s">
        <v>367</v>
      </c>
      <c r="D47" s="612"/>
      <c r="E47" s="613"/>
      <c r="F47" s="488" t="s">
        <v>96</v>
      </c>
      <c r="G47" s="488">
        <v>0.13</v>
      </c>
      <c r="H47" s="489">
        <f>G47*H45</f>
        <v>0.13</v>
      </c>
      <c r="I47" s="488"/>
      <c r="J47" s="490">
        <f>H47*I47</f>
        <v>0</v>
      </c>
      <c r="K47" s="88"/>
    </row>
    <row r="48" spans="1:11" s="484" customFormat="1" ht="21" customHeight="1" thickBot="1">
      <c r="A48" s="4">
        <f>A47+0.1</f>
        <v>9.3</v>
      </c>
      <c r="B48" s="417" t="s">
        <v>32</v>
      </c>
      <c r="C48" s="611" t="s">
        <v>396</v>
      </c>
      <c r="D48" s="612"/>
      <c r="E48" s="613"/>
      <c r="F48" s="491" t="s">
        <v>136</v>
      </c>
      <c r="G48" s="492"/>
      <c r="H48" s="493">
        <v>1</v>
      </c>
      <c r="I48" s="494"/>
      <c r="J48" s="495">
        <f>H48*I48</f>
        <v>0</v>
      </c>
      <c r="K48" s="88"/>
    </row>
    <row r="49" spans="1:15" s="484" customFormat="1" ht="21" customHeight="1">
      <c r="A49" s="4">
        <f>A48+0.1</f>
        <v>9.4</v>
      </c>
      <c r="B49" s="417"/>
      <c r="C49" s="611" t="s">
        <v>106</v>
      </c>
      <c r="D49" s="612"/>
      <c r="E49" s="613"/>
      <c r="F49" s="491" t="s">
        <v>96</v>
      </c>
      <c r="G49" s="491">
        <v>0.07</v>
      </c>
      <c r="H49" s="496">
        <f>H45*G49</f>
        <v>0.07</v>
      </c>
      <c r="I49" s="491"/>
      <c r="J49" s="495">
        <f>H49*I49</f>
        <v>0</v>
      </c>
      <c r="K49" s="88"/>
      <c r="O49" s="484" t="s">
        <v>51</v>
      </c>
    </row>
    <row r="50" spans="1:11" ht="57.75" customHeight="1">
      <c r="A50" s="6">
        <v>10</v>
      </c>
      <c r="B50" s="476" t="s">
        <v>397</v>
      </c>
      <c r="C50" s="615" t="s">
        <v>398</v>
      </c>
      <c r="D50" s="616"/>
      <c r="E50" s="617"/>
      <c r="F50" s="6" t="s">
        <v>136</v>
      </c>
      <c r="G50" s="38"/>
      <c r="H50" s="6">
        <v>1</v>
      </c>
      <c r="I50" s="38"/>
      <c r="J50" s="479">
        <f>J51+J52+J53+J54</f>
        <v>0</v>
      </c>
      <c r="K50" s="88"/>
    </row>
    <row r="51" spans="1:11" ht="21" customHeight="1">
      <c r="A51" s="4">
        <f>A50+0.1</f>
        <v>10.1</v>
      </c>
      <c r="B51" s="417"/>
      <c r="C51" s="611" t="s">
        <v>93</v>
      </c>
      <c r="D51" s="612"/>
      <c r="E51" s="613"/>
      <c r="F51" s="328" t="s">
        <v>94</v>
      </c>
      <c r="G51" s="328">
        <v>0.82</v>
      </c>
      <c r="H51" s="333">
        <f>H50*G51</f>
        <v>0.82</v>
      </c>
      <c r="I51" s="328"/>
      <c r="J51" s="329">
        <f>H51*I51</f>
        <v>0</v>
      </c>
      <c r="K51" s="88"/>
    </row>
    <row r="52" spans="1:11" ht="21" customHeight="1" thickBot="1">
      <c r="A52" s="4">
        <f>A51+0.1</f>
        <v>10.2</v>
      </c>
      <c r="B52" s="417"/>
      <c r="C52" s="611" t="s">
        <v>367</v>
      </c>
      <c r="D52" s="612"/>
      <c r="E52" s="613"/>
      <c r="F52" s="38" t="s">
        <v>96</v>
      </c>
      <c r="G52" s="38">
        <v>0.01</v>
      </c>
      <c r="H52" s="57">
        <f>G52*H50</f>
        <v>0.01</v>
      </c>
      <c r="I52" s="38"/>
      <c r="J52" s="330">
        <f>H52*I52</f>
        <v>0</v>
      </c>
      <c r="K52" s="88"/>
    </row>
    <row r="53" spans="1:11" ht="21" customHeight="1" thickBot="1">
      <c r="A53" s="4">
        <f>A52+0.1</f>
        <v>10.3</v>
      </c>
      <c r="B53" s="417" t="s">
        <v>32</v>
      </c>
      <c r="C53" s="611" t="s">
        <v>398</v>
      </c>
      <c r="D53" s="612"/>
      <c r="E53" s="613"/>
      <c r="F53" s="4" t="s">
        <v>136</v>
      </c>
      <c r="G53" s="416"/>
      <c r="H53" s="89">
        <v>1</v>
      </c>
      <c r="I53" s="417"/>
      <c r="J53" s="45">
        <f>H53*I53</f>
        <v>0</v>
      </c>
      <c r="K53" s="88"/>
    </row>
    <row r="54" spans="1:11" ht="21" customHeight="1">
      <c r="A54" s="4">
        <f>A53+0.1</f>
        <v>10.4</v>
      </c>
      <c r="B54" s="417"/>
      <c r="C54" s="611" t="s">
        <v>106</v>
      </c>
      <c r="D54" s="612"/>
      <c r="E54" s="613"/>
      <c r="F54" s="4" t="s">
        <v>96</v>
      </c>
      <c r="G54" s="4">
        <v>0.07</v>
      </c>
      <c r="H54" s="3">
        <f>H50*G54</f>
        <v>0.07</v>
      </c>
      <c r="I54" s="4"/>
      <c r="J54" s="45">
        <f>H54*I54</f>
        <v>0</v>
      </c>
      <c r="K54" s="88"/>
    </row>
    <row r="55" spans="1:11" ht="47.25" customHeight="1">
      <c r="A55" s="497">
        <v>11</v>
      </c>
      <c r="B55" s="498" t="s">
        <v>399</v>
      </c>
      <c r="C55" s="631" t="s">
        <v>400</v>
      </c>
      <c r="D55" s="632"/>
      <c r="E55" s="633"/>
      <c r="F55" s="497" t="s">
        <v>136</v>
      </c>
      <c r="G55" s="491"/>
      <c r="H55" s="499">
        <v>1</v>
      </c>
      <c r="I55" s="38"/>
      <c r="J55" s="479">
        <f>J56+J57+J58+J59</f>
        <v>0</v>
      </c>
      <c r="K55" s="88"/>
    </row>
    <row r="56" spans="1:11" ht="21" customHeight="1">
      <c r="A56" s="4">
        <f>A55+0.1</f>
        <v>11.1</v>
      </c>
      <c r="B56" s="417"/>
      <c r="C56" s="611" t="s">
        <v>93</v>
      </c>
      <c r="D56" s="612"/>
      <c r="E56" s="613"/>
      <c r="F56" s="328" t="s">
        <v>94</v>
      </c>
      <c r="G56" s="328">
        <v>3.8</v>
      </c>
      <c r="H56" s="333">
        <f>H55*G56</f>
        <v>3.8</v>
      </c>
      <c r="I56" s="328"/>
      <c r="J56" s="329">
        <f>H56*I56</f>
        <v>0</v>
      </c>
      <c r="K56" s="88"/>
    </row>
    <row r="57" spans="1:11" ht="21" customHeight="1">
      <c r="A57" s="4">
        <f>A56+0.1</f>
        <v>11.2</v>
      </c>
      <c r="B57" s="417"/>
      <c r="C57" s="611" t="s">
        <v>367</v>
      </c>
      <c r="D57" s="612"/>
      <c r="E57" s="613"/>
      <c r="F57" s="38" t="s">
        <v>96</v>
      </c>
      <c r="G57" s="38">
        <v>0.08</v>
      </c>
      <c r="H57" s="9">
        <f>G57*H55</f>
        <v>0.08</v>
      </c>
      <c r="I57" s="38"/>
      <c r="J57" s="330">
        <f>H57*I57</f>
        <v>0</v>
      </c>
      <c r="K57" s="88"/>
    </row>
    <row r="58" spans="1:11" ht="21" customHeight="1">
      <c r="A58" s="4">
        <f>A57+0.1</f>
        <v>11.3</v>
      </c>
      <c r="B58" s="417" t="s">
        <v>32</v>
      </c>
      <c r="C58" s="611" t="s">
        <v>401</v>
      </c>
      <c r="D58" s="612"/>
      <c r="E58" s="613"/>
      <c r="F58" s="4" t="s">
        <v>105</v>
      </c>
      <c r="G58" s="4" t="s">
        <v>19</v>
      </c>
      <c r="H58" s="4">
        <v>1</v>
      </c>
      <c r="I58" s="4"/>
      <c r="J58" s="45">
        <f>H58*I58</f>
        <v>0</v>
      </c>
      <c r="K58" s="88"/>
    </row>
    <row r="59" spans="1:15" ht="21" customHeight="1">
      <c r="A59" s="4">
        <f>A58+0.1</f>
        <v>11.4</v>
      </c>
      <c r="B59" s="417"/>
      <c r="C59" s="611" t="s">
        <v>106</v>
      </c>
      <c r="D59" s="612"/>
      <c r="E59" s="613"/>
      <c r="F59" s="4" t="s">
        <v>96</v>
      </c>
      <c r="G59" s="4">
        <v>0.66</v>
      </c>
      <c r="H59" s="4">
        <f>H55*G59</f>
        <v>0.66</v>
      </c>
      <c r="I59" s="4"/>
      <c r="J59" s="45">
        <f>H59*I59</f>
        <v>0</v>
      </c>
      <c r="K59" s="88"/>
      <c r="O59" s="5" t="s">
        <v>51</v>
      </c>
    </row>
    <row r="60" spans="1:11" ht="32.25" customHeight="1">
      <c r="A60" s="6"/>
      <c r="B60" s="476"/>
      <c r="C60" s="615" t="s">
        <v>402</v>
      </c>
      <c r="D60" s="616"/>
      <c r="E60" s="617"/>
      <c r="F60" s="4" t="s">
        <v>107</v>
      </c>
      <c r="G60" s="328"/>
      <c r="H60" s="6"/>
      <c r="I60" s="6"/>
      <c r="J60" s="479">
        <f>J55+J50+J45+J40+J35+J30+J25+J20+J15+J10+J5</f>
        <v>0</v>
      </c>
      <c r="K60" s="88"/>
    </row>
    <row r="61" spans="1:11" ht="18" customHeight="1">
      <c r="A61" s="4"/>
      <c r="B61" s="417"/>
      <c r="C61" s="611" t="s">
        <v>403</v>
      </c>
      <c r="D61" s="612"/>
      <c r="E61" s="613"/>
      <c r="F61" s="4" t="s">
        <v>107</v>
      </c>
      <c r="G61" s="38"/>
      <c r="H61" s="328"/>
      <c r="I61" s="328"/>
      <c r="J61" s="500">
        <f>J56+J51+J46+J36+J41+J31+J26+J21+J16+J11+J6</f>
        <v>0</v>
      </c>
      <c r="K61" s="88"/>
    </row>
    <row r="62" spans="1:11" ht="18" customHeight="1">
      <c r="A62" s="4"/>
      <c r="B62" s="417"/>
      <c r="C62" s="611" t="s">
        <v>404</v>
      </c>
      <c r="D62" s="612"/>
      <c r="E62" s="613"/>
      <c r="F62" s="4" t="s">
        <v>107</v>
      </c>
      <c r="G62" s="4"/>
      <c r="H62" s="38"/>
      <c r="I62" s="38"/>
      <c r="J62" s="501">
        <f>J57+J52+J42+J47+J37+J32+J27+J22+J17+J12+J7</f>
        <v>0</v>
      </c>
      <c r="K62" s="88"/>
    </row>
    <row r="63" spans="1:10" ht="20.25" customHeight="1">
      <c r="A63" s="4"/>
      <c r="B63" s="417"/>
      <c r="C63" s="611" t="s">
        <v>405</v>
      </c>
      <c r="D63" s="612"/>
      <c r="E63" s="613"/>
      <c r="F63" s="4" t="s">
        <v>107</v>
      </c>
      <c r="G63" s="4"/>
      <c r="H63" s="4"/>
      <c r="I63" s="4"/>
      <c r="J63" s="502">
        <f>J60-J61-J62</f>
        <v>0</v>
      </c>
    </row>
    <row r="64" spans="1:10" ht="42.75" customHeight="1">
      <c r="A64" s="4"/>
      <c r="B64" s="417"/>
      <c r="C64" s="615" t="s">
        <v>406</v>
      </c>
      <c r="D64" s="616"/>
      <c r="E64" s="617"/>
      <c r="F64" s="4" t="s">
        <v>107</v>
      </c>
      <c r="G64" s="4"/>
      <c r="H64" s="4"/>
      <c r="I64" s="4"/>
      <c r="J64" s="502">
        <f>J61+J62+J63</f>
        <v>0</v>
      </c>
    </row>
    <row r="65" spans="1:10" ht="19.5" customHeight="1">
      <c r="A65" s="4"/>
      <c r="B65" s="417"/>
      <c r="C65" s="611" t="s">
        <v>125</v>
      </c>
      <c r="D65" s="612"/>
      <c r="E65" s="613"/>
      <c r="F65" s="33">
        <v>0.12</v>
      </c>
      <c r="G65" s="4"/>
      <c r="H65" s="4"/>
      <c r="I65" s="4"/>
      <c r="J65" s="502">
        <f>J64*F65</f>
        <v>0</v>
      </c>
    </row>
    <row r="66" spans="1:10" ht="19.5" customHeight="1">
      <c r="A66" s="4"/>
      <c r="B66" s="417"/>
      <c r="C66" s="615" t="s">
        <v>126</v>
      </c>
      <c r="D66" s="616"/>
      <c r="E66" s="617"/>
      <c r="F66" s="4" t="s">
        <v>107</v>
      </c>
      <c r="G66" s="4"/>
      <c r="H66" s="4"/>
      <c r="I66" s="4"/>
      <c r="J66" s="502">
        <f>J64+J65</f>
        <v>0</v>
      </c>
    </row>
    <row r="67" spans="1:10" ht="19.5" customHeight="1">
      <c r="A67" s="4"/>
      <c r="B67" s="417"/>
      <c r="C67" s="611" t="s">
        <v>407</v>
      </c>
      <c r="D67" s="612"/>
      <c r="E67" s="613"/>
      <c r="F67" s="33">
        <v>0.08</v>
      </c>
      <c r="G67" s="4"/>
      <c r="H67" s="4"/>
      <c r="I67" s="4"/>
      <c r="J67" s="502">
        <f>J66*F67</f>
        <v>0</v>
      </c>
    </row>
    <row r="68" spans="1:10" ht="16.5" customHeight="1">
      <c r="A68" s="4"/>
      <c r="B68" s="417"/>
      <c r="C68" s="615" t="s">
        <v>128</v>
      </c>
      <c r="D68" s="616"/>
      <c r="E68" s="617"/>
      <c r="F68" s="4" t="s">
        <v>107</v>
      </c>
      <c r="G68" s="4"/>
      <c r="H68" s="4"/>
      <c r="I68" s="4"/>
      <c r="J68" s="502">
        <f>J66+J67</f>
        <v>0</v>
      </c>
    </row>
    <row r="69" spans="1:10" ht="16.5" customHeight="1">
      <c r="A69" s="7"/>
      <c r="B69" s="7"/>
      <c r="C69" s="36"/>
      <c r="D69" s="36"/>
      <c r="E69" s="36"/>
      <c r="F69" s="7"/>
      <c r="G69" s="7"/>
      <c r="H69" s="7"/>
      <c r="I69" s="7"/>
      <c r="J69" s="503"/>
    </row>
    <row r="70" spans="1:10" ht="13.5">
      <c r="A70" s="7"/>
      <c r="B70" s="7"/>
      <c r="D70" s="614"/>
      <c r="E70" s="614"/>
      <c r="F70" s="614"/>
      <c r="G70" s="614"/>
      <c r="H70" s="614"/>
      <c r="I70" s="614"/>
      <c r="J70" s="7"/>
    </row>
    <row r="71" spans="1:10" ht="13.5">
      <c r="A71" s="7"/>
      <c r="B71" s="7"/>
      <c r="I71" s="7"/>
      <c r="J71" s="7"/>
    </row>
    <row r="72" spans="1:10" ht="13.5">
      <c r="A72" s="7"/>
      <c r="B72" s="7"/>
      <c r="C72" s="614" t="s">
        <v>492</v>
      </c>
      <c r="D72" s="614"/>
      <c r="E72" s="614"/>
      <c r="G72" s="630"/>
      <c r="H72" s="630"/>
      <c r="I72" s="630"/>
      <c r="J72" s="7"/>
    </row>
    <row r="73" spans="1:10" ht="13.5">
      <c r="A73" s="7"/>
      <c r="B73" s="7"/>
      <c r="G73" s="7"/>
      <c r="H73" s="7"/>
      <c r="I73" s="7"/>
      <c r="J73" s="7"/>
    </row>
    <row r="74" spans="1:10" ht="13.5">
      <c r="A74" s="7"/>
      <c r="B74" s="7"/>
      <c r="G74" s="7"/>
      <c r="H74" s="7"/>
      <c r="I74" s="7"/>
      <c r="J74" s="7"/>
    </row>
    <row r="75" spans="1:10" ht="13.5">
      <c r="A75" s="7"/>
      <c r="B75" s="7"/>
      <c r="G75" s="7"/>
      <c r="H75" s="7"/>
      <c r="I75" s="7"/>
      <c r="J75" s="7"/>
    </row>
    <row r="76" spans="1:10" ht="13.5">
      <c r="A76" s="7"/>
      <c r="B76" s="7"/>
      <c r="G76" s="7"/>
      <c r="H76" s="7"/>
      <c r="I76" s="7"/>
      <c r="J76" s="7"/>
    </row>
    <row r="77" spans="1:10" ht="13.5">
      <c r="A77" s="7"/>
      <c r="B77" s="7"/>
      <c r="G77" s="7"/>
      <c r="H77" s="7"/>
      <c r="I77" s="7"/>
      <c r="J77" s="7"/>
    </row>
    <row r="78" spans="1:10" ht="13.5">
      <c r="A78" s="7"/>
      <c r="B78" s="7"/>
      <c r="G78" s="7"/>
      <c r="H78" s="7"/>
      <c r="I78" s="7"/>
      <c r="J78" s="7"/>
    </row>
    <row r="79" spans="1:10" ht="13.5">
      <c r="A79" s="7"/>
      <c r="B79" s="7"/>
      <c r="G79" s="7"/>
      <c r="H79" s="7"/>
      <c r="I79" s="7"/>
      <c r="J79" s="7"/>
    </row>
    <row r="80" spans="1:10" ht="13.5">
      <c r="A80" s="7"/>
      <c r="B80" s="7"/>
      <c r="G80" s="7"/>
      <c r="H80" s="7"/>
      <c r="I80" s="7"/>
      <c r="J80" s="7"/>
    </row>
    <row r="81" spans="1:10" ht="13.5">
      <c r="A81" s="7"/>
      <c r="B81" s="7"/>
      <c r="G81" s="7"/>
      <c r="H81" s="7"/>
      <c r="I81" s="7"/>
      <c r="J81" s="7"/>
    </row>
    <row r="82" spans="1:10" ht="13.5">
      <c r="A82" s="7"/>
      <c r="B82" s="7"/>
      <c r="G82" s="7"/>
      <c r="H82" s="7"/>
      <c r="I82" s="7"/>
      <c r="J82" s="7"/>
    </row>
    <row r="83" spans="1:10" ht="13.5">
      <c r="A83" s="7"/>
      <c r="B83" s="7"/>
      <c r="G83" s="7"/>
      <c r="H83" s="7"/>
      <c r="I83" s="7"/>
      <c r="J83" s="7"/>
    </row>
    <row r="84" spans="1:10" ht="13.5">
      <c r="A84" s="7"/>
      <c r="B84" s="7"/>
      <c r="G84" s="7"/>
      <c r="H84" s="7"/>
      <c r="I84" s="7"/>
      <c r="J84" s="7"/>
    </row>
    <row r="85" spans="1:10" ht="13.5">
      <c r="A85" s="7"/>
      <c r="B85" s="7"/>
      <c r="G85" s="7"/>
      <c r="H85" s="7"/>
      <c r="I85" s="7"/>
      <c r="J85" s="7"/>
    </row>
    <row r="86" spans="1:10" ht="13.5">
      <c r="A86" s="7"/>
      <c r="B86" s="7"/>
      <c r="G86" s="7"/>
      <c r="H86" s="7"/>
      <c r="I86" s="7"/>
      <c r="J86" s="7"/>
    </row>
    <row r="87" spans="1:10" ht="13.5">
      <c r="A87" s="7"/>
      <c r="B87" s="7"/>
      <c r="G87" s="7"/>
      <c r="H87" s="7"/>
      <c r="I87" s="7"/>
      <c r="J87" s="7"/>
    </row>
    <row r="88" spans="1:10" ht="13.5">
      <c r="A88" s="7"/>
      <c r="B88" s="7"/>
      <c r="G88" s="7"/>
      <c r="H88" s="7"/>
      <c r="I88" s="7"/>
      <c r="J88" s="7"/>
    </row>
    <row r="89" spans="1:10" ht="13.5">
      <c r="A89" s="7"/>
      <c r="B89" s="7"/>
      <c r="G89" s="7"/>
      <c r="H89" s="7"/>
      <c r="I89" s="7"/>
      <c r="J89" s="7"/>
    </row>
    <row r="90" spans="1:10" ht="13.5">
      <c r="A90" s="7"/>
      <c r="B90" s="7"/>
      <c r="G90" s="7"/>
      <c r="H90" s="7"/>
      <c r="I90" s="7"/>
      <c r="J90" s="7"/>
    </row>
    <row r="91" spans="1:10" ht="13.5">
      <c r="A91" s="7"/>
      <c r="B91" s="7"/>
      <c r="G91" s="7"/>
      <c r="H91" s="7"/>
      <c r="I91" s="7"/>
      <c r="J91" s="7"/>
    </row>
    <row r="92" spans="1:10" ht="13.5">
      <c r="A92" s="7"/>
      <c r="B92" s="7"/>
      <c r="G92" s="7"/>
      <c r="H92" s="7"/>
      <c r="I92" s="7"/>
      <c r="J92" s="7"/>
    </row>
    <row r="93" spans="1:10" ht="13.5">
      <c r="A93" s="7"/>
      <c r="B93" s="7"/>
      <c r="G93" s="7"/>
      <c r="H93" s="7"/>
      <c r="I93" s="7"/>
      <c r="J93" s="7"/>
    </row>
    <row r="94" spans="1:10" ht="13.5">
      <c r="A94" s="7"/>
      <c r="B94" s="7"/>
      <c r="G94" s="7"/>
      <c r="H94" s="7"/>
      <c r="I94" s="7"/>
      <c r="J94" s="7"/>
    </row>
    <row r="95" spans="1:10" ht="13.5">
      <c r="A95" s="7"/>
      <c r="B95" s="7"/>
      <c r="G95" s="7"/>
      <c r="H95" s="7"/>
      <c r="I95" s="7"/>
      <c r="J95" s="7"/>
    </row>
    <row r="96" spans="1:10" ht="13.5">
      <c r="A96" s="7"/>
      <c r="B96" s="7"/>
      <c r="G96" s="7"/>
      <c r="H96" s="7"/>
      <c r="I96" s="7"/>
      <c r="J96" s="7"/>
    </row>
    <row r="97" spans="1:10" ht="13.5">
      <c r="A97" s="7"/>
      <c r="B97" s="7"/>
      <c r="G97" s="7"/>
      <c r="H97" s="7"/>
      <c r="I97" s="7"/>
      <c r="J97" s="7"/>
    </row>
    <row r="98" spans="1:10" ht="13.5">
      <c r="A98" s="7"/>
      <c r="B98" s="7"/>
      <c r="G98" s="7"/>
      <c r="H98" s="7"/>
      <c r="I98" s="7"/>
      <c r="J98" s="7"/>
    </row>
    <row r="99" spans="1:10" ht="13.5">
      <c r="A99" s="7"/>
      <c r="B99" s="7"/>
      <c r="G99" s="7"/>
      <c r="H99" s="7"/>
      <c r="I99" s="7"/>
      <c r="J99" s="7"/>
    </row>
    <row r="100" spans="1:10" ht="13.5">
      <c r="A100" s="7"/>
      <c r="B100" s="7"/>
      <c r="G100" s="7"/>
      <c r="H100" s="7"/>
      <c r="I100" s="7"/>
      <c r="J100" s="7"/>
    </row>
    <row r="101" spans="1:10" ht="13.5">
      <c r="A101" s="7"/>
      <c r="B101" s="7"/>
      <c r="G101" s="7"/>
      <c r="H101" s="7"/>
      <c r="I101" s="7"/>
      <c r="J101" s="7"/>
    </row>
    <row r="102" spans="1:10" ht="13.5">
      <c r="A102" s="7"/>
      <c r="B102" s="7"/>
      <c r="G102" s="7"/>
      <c r="H102" s="7"/>
      <c r="I102" s="7"/>
      <c r="J102" s="7"/>
    </row>
    <row r="103" spans="1:10" ht="13.5">
      <c r="A103" s="7"/>
      <c r="B103" s="7"/>
      <c r="G103" s="7"/>
      <c r="H103" s="7"/>
      <c r="I103" s="7"/>
      <c r="J103" s="7"/>
    </row>
    <row r="104" s="7" customFormat="1" ht="13.5"/>
    <row r="105" s="7" customFormat="1" ht="13.5"/>
    <row r="106" s="7" customFormat="1" ht="13.5"/>
    <row r="107" s="7" customFormat="1" ht="13.5"/>
    <row r="108" s="7" customFormat="1" ht="13.5"/>
    <row r="109" s="7" customFormat="1" ht="13.5"/>
    <row r="110" s="7" customFormat="1" ht="13.5"/>
    <row r="111" s="7" customFormat="1" ht="13.5"/>
    <row r="112" s="7" customFormat="1" ht="13.5"/>
    <row r="113" s="7" customFormat="1" ht="13.5"/>
    <row r="114" s="7" customFormat="1" ht="13.5"/>
    <row r="115" s="7" customFormat="1" ht="13.5"/>
    <row r="116" s="7" customFormat="1" ht="13.5"/>
    <row r="117" s="7" customFormat="1" ht="13.5"/>
    <row r="118" s="7" customFormat="1" ht="13.5"/>
    <row r="119" s="7" customFormat="1" ht="13.5"/>
    <row r="120" s="7" customFormat="1" ht="13.5"/>
    <row r="121" s="7" customFormat="1" ht="13.5"/>
    <row r="122" s="7" customFormat="1" ht="13.5"/>
    <row r="123" s="7" customFormat="1" ht="13.5"/>
    <row r="124" s="7" customFormat="1" ht="13.5"/>
    <row r="125" s="7" customFormat="1" ht="13.5"/>
    <row r="126" s="7" customFormat="1" ht="13.5"/>
    <row r="127" s="7" customFormat="1" ht="13.5"/>
    <row r="128" s="7" customFormat="1" ht="13.5"/>
    <row r="129" s="7" customFormat="1" ht="13.5"/>
    <row r="130" s="7" customFormat="1" ht="13.5"/>
    <row r="131" s="7" customFormat="1" ht="13.5"/>
    <row r="132" s="7" customFormat="1" ht="13.5"/>
    <row r="133" s="7" customFormat="1" ht="13.5"/>
    <row r="134" s="7" customFormat="1" ht="13.5"/>
    <row r="135" s="7" customFormat="1" ht="13.5"/>
    <row r="136" s="7" customFormat="1" ht="13.5"/>
    <row r="137" s="7" customFormat="1" ht="13.5"/>
    <row r="138" s="7" customFormat="1" ht="13.5"/>
    <row r="139" s="7" customFormat="1" ht="13.5"/>
    <row r="140" s="7" customFormat="1" ht="13.5"/>
    <row r="141" s="7" customFormat="1" ht="13.5"/>
    <row r="142" s="7" customFormat="1" ht="13.5"/>
    <row r="143" s="7" customFormat="1" ht="13.5"/>
    <row r="144" s="7" customFormat="1" ht="13.5"/>
    <row r="145" s="7" customFormat="1" ht="13.5"/>
    <row r="146" s="7" customFormat="1" ht="13.5"/>
    <row r="147" s="7" customFormat="1" ht="13.5"/>
    <row r="148" s="7" customFormat="1" ht="13.5"/>
    <row r="149" s="7" customFormat="1" ht="13.5"/>
    <row r="150" s="7" customFormat="1" ht="13.5"/>
    <row r="151" s="7" customFormat="1" ht="13.5"/>
    <row r="152" s="7" customFormat="1" ht="13.5"/>
    <row r="153" s="7" customFormat="1" ht="13.5"/>
    <row r="154" s="7" customFormat="1" ht="13.5"/>
    <row r="155" s="7" customFormat="1" ht="13.5"/>
    <row r="156" s="7" customFormat="1" ht="13.5"/>
    <row r="157" s="7" customFormat="1" ht="13.5"/>
    <row r="158" s="7" customFormat="1" ht="13.5"/>
    <row r="159" s="7" customFormat="1" ht="13.5"/>
    <row r="160" s="7" customFormat="1" ht="13.5"/>
    <row r="161" s="7" customFormat="1" ht="13.5"/>
    <row r="162" s="7" customFormat="1" ht="13.5"/>
    <row r="163" s="7" customFormat="1" ht="13.5"/>
    <row r="164" s="7" customFormat="1" ht="13.5"/>
    <row r="165" s="7" customFormat="1" ht="13.5"/>
    <row r="166" s="7" customFormat="1" ht="13.5"/>
    <row r="167" s="7" customFormat="1" ht="13.5"/>
    <row r="168" s="7" customFormat="1" ht="13.5"/>
    <row r="169" s="7" customFormat="1" ht="13.5"/>
    <row r="170" s="7" customFormat="1" ht="13.5"/>
    <row r="171" s="7" customFormat="1" ht="13.5"/>
    <row r="172" s="7" customFormat="1" ht="13.5"/>
    <row r="173" s="7" customFormat="1" ht="13.5"/>
    <row r="174" s="7" customFormat="1" ht="13.5"/>
    <row r="175" s="7" customFormat="1" ht="13.5"/>
    <row r="176" s="7" customFormat="1" ht="13.5"/>
    <row r="177" s="7" customFormat="1" ht="13.5"/>
    <row r="178" s="7" customFormat="1" ht="13.5"/>
    <row r="179" s="7" customFormat="1" ht="13.5"/>
    <row r="180" s="7" customFormat="1" ht="13.5"/>
    <row r="181" s="7" customFormat="1" ht="13.5"/>
    <row r="182" s="7" customFormat="1" ht="13.5"/>
    <row r="183" s="7" customFormat="1" ht="13.5"/>
    <row r="184" s="7" customFormat="1" ht="13.5"/>
    <row r="185" s="7" customFormat="1" ht="13.5"/>
    <row r="186" s="7" customFormat="1" ht="13.5"/>
    <row r="187" s="7" customFormat="1" ht="13.5"/>
    <row r="188" s="7" customFormat="1" ht="13.5"/>
    <row r="189" s="7" customFormat="1" ht="13.5"/>
    <row r="190" s="7" customFormat="1" ht="13.5"/>
    <row r="191" s="7" customFormat="1" ht="13.5"/>
    <row r="192" s="7" customFormat="1" ht="13.5"/>
    <row r="193" s="7" customFormat="1" ht="13.5"/>
    <row r="194" s="7" customFormat="1" ht="13.5"/>
    <row r="195" s="7" customFormat="1" ht="13.5"/>
    <row r="196" s="7" customFormat="1" ht="13.5"/>
    <row r="197" s="7" customFormat="1" ht="13.5"/>
    <row r="198" s="7" customFormat="1" ht="13.5"/>
    <row r="199" s="7" customFormat="1" ht="13.5"/>
    <row r="200" s="7" customFormat="1" ht="13.5"/>
    <row r="201" s="7" customFormat="1" ht="13.5"/>
    <row r="202" s="7" customFormat="1" ht="13.5"/>
    <row r="203" s="7" customFormat="1" ht="13.5"/>
    <row r="204" s="7" customFormat="1" ht="13.5"/>
    <row r="205" s="7" customFormat="1" ht="13.5"/>
    <row r="206" s="7" customFormat="1" ht="13.5"/>
    <row r="207" s="7" customFormat="1" ht="13.5"/>
    <row r="208" s="7" customFormat="1" ht="13.5"/>
    <row r="209" s="7" customFormat="1" ht="13.5"/>
    <row r="210" s="7" customFormat="1" ht="13.5"/>
    <row r="211" s="7" customFormat="1" ht="13.5"/>
    <row r="212" s="7" customFormat="1" ht="13.5"/>
    <row r="213" s="7" customFormat="1" ht="13.5"/>
    <row r="214" s="7" customFormat="1" ht="13.5"/>
    <row r="215" s="7" customFormat="1" ht="13.5"/>
    <row r="216" s="7" customFormat="1" ht="13.5"/>
    <row r="217" s="7" customFormat="1" ht="13.5"/>
    <row r="218" s="7" customFormat="1" ht="13.5"/>
    <row r="219" s="7" customFormat="1" ht="13.5"/>
    <row r="220" s="7" customFormat="1" ht="13.5"/>
    <row r="221" s="7" customFormat="1" ht="13.5"/>
    <row r="222" s="7" customFormat="1" ht="13.5"/>
    <row r="223" s="7" customFormat="1" ht="13.5"/>
    <row r="224" s="7" customFormat="1" ht="13.5"/>
    <row r="225" s="7" customFormat="1" ht="13.5"/>
    <row r="226" s="7" customFormat="1" ht="13.5"/>
    <row r="227" s="7" customFormat="1" ht="13.5"/>
    <row r="228" s="7" customFormat="1" ht="13.5"/>
    <row r="229" s="7" customFormat="1" ht="13.5"/>
    <row r="230" s="7" customFormat="1" ht="13.5"/>
    <row r="231" s="7" customFormat="1" ht="13.5"/>
    <row r="232" s="7" customFormat="1" ht="13.5"/>
    <row r="233" s="7" customFormat="1" ht="13.5"/>
    <row r="234" s="7" customFormat="1" ht="13.5"/>
    <row r="235" s="7" customFormat="1" ht="13.5"/>
    <row r="236" s="7" customFormat="1" ht="13.5"/>
    <row r="237" s="7" customFormat="1" ht="13.5"/>
    <row r="238" s="7" customFormat="1" ht="13.5"/>
    <row r="239" s="7" customFormat="1" ht="13.5"/>
    <row r="240" s="7" customFormat="1" ht="13.5"/>
    <row r="241" s="7" customFormat="1" ht="13.5"/>
    <row r="242" s="7" customFormat="1" ht="13.5"/>
    <row r="243" s="7" customFormat="1" ht="13.5"/>
    <row r="244" s="7" customFormat="1" ht="13.5"/>
    <row r="245" s="7" customFormat="1" ht="13.5"/>
    <row r="246" s="7" customFormat="1" ht="13.5"/>
  </sheetData>
  <sheetProtection/>
  <mergeCells count="75">
    <mergeCell ref="A1:J1"/>
    <mergeCell ref="A2:J2"/>
    <mergeCell ref="A3:A4"/>
    <mergeCell ref="B3:B4"/>
    <mergeCell ref="C3:E4"/>
    <mergeCell ref="F3:F4"/>
    <mergeCell ref="G3:H3"/>
    <mergeCell ref="I3:J3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23:E23"/>
    <mergeCell ref="C24:E24"/>
    <mergeCell ref="C17:E17"/>
    <mergeCell ref="C18:E18"/>
    <mergeCell ref="C19:E19"/>
    <mergeCell ref="C20:E20"/>
    <mergeCell ref="C21:E21"/>
    <mergeCell ref="C22:E22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56:E56"/>
    <mergeCell ref="C50:E50"/>
    <mergeCell ref="C49:E49"/>
    <mergeCell ref="C43:E43"/>
    <mergeCell ref="C44:E44"/>
    <mergeCell ref="C45:E45"/>
    <mergeCell ref="C46:E46"/>
    <mergeCell ref="C47:E47"/>
    <mergeCell ref="C48:E48"/>
    <mergeCell ref="C57:E57"/>
    <mergeCell ref="C58:E58"/>
    <mergeCell ref="C59:E59"/>
    <mergeCell ref="C60:E60"/>
    <mergeCell ref="C61:E61"/>
    <mergeCell ref="C51:E51"/>
    <mergeCell ref="C52:E52"/>
    <mergeCell ref="C53:E53"/>
    <mergeCell ref="C54:E54"/>
    <mergeCell ref="C55:E55"/>
    <mergeCell ref="C68:E68"/>
    <mergeCell ref="D70:I70"/>
    <mergeCell ref="C72:E72"/>
    <mergeCell ref="G72:I72"/>
    <mergeCell ref="C62:E62"/>
    <mergeCell ref="C63:E63"/>
    <mergeCell ref="C64:E64"/>
    <mergeCell ref="C65:E65"/>
    <mergeCell ref="C66:E66"/>
    <mergeCell ref="C67:E67"/>
  </mergeCells>
  <printOptions/>
  <pageMargins left="0.7" right="0.2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3"/>
  <sheetViews>
    <sheetView view="pageBreakPreview" zoomScaleSheetLayoutView="100" zoomScalePageLayoutView="75" workbookViewId="0" topLeftCell="A122">
      <selection activeCell="C132" sqref="C132"/>
    </sheetView>
  </sheetViews>
  <sheetFormatPr defaultColWidth="9.00390625" defaultRowHeight="12.75"/>
  <cols>
    <col min="1" max="1" width="4.75390625" style="157" customWidth="1"/>
    <col min="2" max="2" width="10.00390625" style="157" customWidth="1"/>
    <col min="3" max="3" width="42.75390625" style="157" customWidth="1"/>
    <col min="4" max="4" width="7.625" style="157" customWidth="1"/>
    <col min="5" max="5" width="7.375" style="157" customWidth="1"/>
    <col min="6" max="6" width="7.625" style="157" customWidth="1"/>
    <col min="7" max="7" width="7.875" style="157" customWidth="1"/>
    <col min="8" max="8" width="11.875" style="223" customWidth="1"/>
    <col min="9" max="9" width="8.00390625" style="91" customWidth="1"/>
    <col min="10" max="10" width="35.625" style="91" customWidth="1"/>
    <col min="11" max="11" width="8.00390625" style="91" customWidth="1"/>
    <col min="12" max="12" width="7.125" style="157" customWidth="1"/>
    <col min="13" max="13" width="12.00390625" style="157" customWidth="1"/>
    <col min="14" max="14" width="13.125" style="91" bestFit="1" customWidth="1"/>
    <col min="15" max="15" width="13.375" style="91" bestFit="1" customWidth="1"/>
    <col min="16" max="16384" width="9.125" style="91" customWidth="1"/>
  </cols>
  <sheetData>
    <row r="1" spans="1:11" ht="33.75" customHeight="1">
      <c r="A1" s="605" t="s">
        <v>304</v>
      </c>
      <c r="B1" s="605"/>
      <c r="C1" s="605"/>
      <c r="D1" s="605"/>
      <c r="E1" s="605"/>
      <c r="F1" s="605"/>
      <c r="G1" s="605"/>
      <c r="H1" s="605"/>
      <c r="I1" s="93"/>
      <c r="J1" s="93"/>
      <c r="K1" s="93"/>
    </row>
    <row r="2" spans="1:11" ht="73.5" customHeight="1">
      <c r="A2" s="606" t="s">
        <v>464</v>
      </c>
      <c r="B2" s="606"/>
      <c r="C2" s="606"/>
      <c r="D2" s="606"/>
      <c r="E2" s="606"/>
      <c r="F2" s="606"/>
      <c r="G2" s="606"/>
      <c r="H2" s="606"/>
      <c r="I2" s="158"/>
      <c r="J2" s="158"/>
      <c r="K2" s="158"/>
    </row>
    <row r="3" spans="1:11" ht="60.75" customHeight="1">
      <c r="A3" s="607" t="s">
        <v>7</v>
      </c>
      <c r="B3" s="609" t="s">
        <v>129</v>
      </c>
      <c r="C3" s="607" t="s">
        <v>130</v>
      </c>
      <c r="D3" s="609" t="s">
        <v>131</v>
      </c>
      <c r="E3" s="587" t="s">
        <v>132</v>
      </c>
      <c r="F3" s="588"/>
      <c r="G3" s="587" t="s">
        <v>133</v>
      </c>
      <c r="H3" s="588"/>
      <c r="I3" s="153"/>
      <c r="J3" s="153"/>
      <c r="K3" s="153"/>
    </row>
    <row r="4" spans="1:14" ht="74.25" customHeight="1">
      <c r="A4" s="608"/>
      <c r="B4" s="610"/>
      <c r="C4" s="608"/>
      <c r="D4" s="610"/>
      <c r="E4" s="159" t="s">
        <v>134</v>
      </c>
      <c r="F4" s="159" t="s">
        <v>135</v>
      </c>
      <c r="G4" s="159" t="s">
        <v>134</v>
      </c>
      <c r="H4" s="237" t="s">
        <v>128</v>
      </c>
      <c r="I4" s="160"/>
      <c r="J4" s="160"/>
      <c r="K4" s="160"/>
      <c r="N4" s="161"/>
    </row>
    <row r="5" spans="1:11" ht="16.5" customHeight="1" thickBot="1">
      <c r="A5" s="155">
        <v>1</v>
      </c>
      <c r="B5" s="155">
        <v>2</v>
      </c>
      <c r="C5" s="155">
        <v>3</v>
      </c>
      <c r="D5" s="137">
        <v>4</v>
      </c>
      <c r="E5" s="137">
        <v>5</v>
      </c>
      <c r="F5" s="137">
        <v>6</v>
      </c>
      <c r="G5" s="137">
        <v>7</v>
      </c>
      <c r="H5" s="238">
        <v>8</v>
      </c>
      <c r="I5" s="153"/>
      <c r="J5" s="153"/>
      <c r="K5" s="153"/>
    </row>
    <row r="6" spans="1:11" ht="40.5" customHeight="1" thickBot="1">
      <c r="A6" s="154">
        <v>1</v>
      </c>
      <c r="B6" s="85" t="s">
        <v>181</v>
      </c>
      <c r="C6" s="141" t="s">
        <v>294</v>
      </c>
      <c r="D6" s="85" t="s">
        <v>92</v>
      </c>
      <c r="E6" s="162"/>
      <c r="F6" s="146">
        <v>6.6</v>
      </c>
      <c r="G6" s="162"/>
      <c r="H6" s="239">
        <f>H7+H8</f>
        <v>0</v>
      </c>
      <c r="I6" s="164"/>
      <c r="J6" s="165"/>
      <c r="K6" s="153"/>
    </row>
    <row r="7" spans="1:11" ht="16.5" customHeight="1">
      <c r="A7" s="102">
        <f>A6+0.1</f>
        <v>1.1</v>
      </c>
      <c r="B7" s="144"/>
      <c r="C7" s="103" t="s">
        <v>93</v>
      </c>
      <c r="D7" s="103" t="s">
        <v>94</v>
      </c>
      <c r="E7" s="105">
        <f>88.7/100</f>
        <v>0.89</v>
      </c>
      <c r="F7" s="105">
        <f>F6*E7</f>
        <v>5.87</v>
      </c>
      <c r="G7" s="132"/>
      <c r="H7" s="240">
        <f>F7*G7</f>
        <v>0</v>
      </c>
      <c r="I7" s="168"/>
      <c r="J7" s="166"/>
      <c r="K7" s="153"/>
    </row>
    <row r="8" spans="1:11" ht="16.5" customHeight="1" thickBot="1">
      <c r="A8" s="137">
        <f>A7+0.1</f>
        <v>1.2</v>
      </c>
      <c r="B8" s="133"/>
      <c r="C8" s="133" t="s">
        <v>95</v>
      </c>
      <c r="D8" s="142" t="s">
        <v>96</v>
      </c>
      <c r="E8" s="167">
        <f>9.84/100</f>
        <v>0.1</v>
      </c>
      <c r="F8" s="167">
        <f>F6*E8</f>
        <v>0.66</v>
      </c>
      <c r="G8" s="167"/>
      <c r="H8" s="241">
        <f>F8*G8</f>
        <v>0</v>
      </c>
      <c r="I8" s="168"/>
      <c r="J8" s="166"/>
      <c r="K8" s="153"/>
    </row>
    <row r="9" spans="1:11" ht="48" customHeight="1" thickBot="1">
      <c r="A9" s="98">
        <f>A6+1</f>
        <v>2</v>
      </c>
      <c r="B9" s="99" t="s">
        <v>150</v>
      </c>
      <c r="C9" s="99" t="s">
        <v>204</v>
      </c>
      <c r="D9" s="100" t="s">
        <v>92</v>
      </c>
      <c r="E9" s="99"/>
      <c r="F9" s="101">
        <v>43.9</v>
      </c>
      <c r="G9" s="99"/>
      <c r="H9" s="242">
        <f>SUM(H10:H10)</f>
        <v>0</v>
      </c>
      <c r="I9" s="168"/>
      <c r="J9" s="168"/>
      <c r="K9" s="153"/>
    </row>
    <row r="10" spans="1:11" ht="16.5" customHeight="1" thickBot="1">
      <c r="A10" s="102">
        <f>A9+0.1</f>
        <v>2.1</v>
      </c>
      <c r="B10" s="103"/>
      <c r="C10" s="102" t="s">
        <v>93</v>
      </c>
      <c r="D10" s="103" t="s">
        <v>94</v>
      </c>
      <c r="E10" s="104">
        <f>28.9/100</f>
        <v>0.289</v>
      </c>
      <c r="F10" s="105">
        <f>F9*E10</f>
        <v>12.69</v>
      </c>
      <c r="G10" s="105"/>
      <c r="H10" s="240">
        <f>F10*G10</f>
        <v>0</v>
      </c>
      <c r="I10" s="168"/>
      <c r="J10" s="168"/>
      <c r="K10" s="153"/>
    </row>
    <row r="11" spans="1:11" ht="34.5" customHeight="1" hidden="1" thickBot="1">
      <c r="A11" s="374"/>
      <c r="B11" s="375"/>
      <c r="C11" s="267"/>
      <c r="D11" s="375"/>
      <c r="E11" s="376"/>
      <c r="F11" s="266"/>
      <c r="G11" s="376"/>
      <c r="H11" s="355"/>
      <c r="I11" s="168"/>
      <c r="J11" s="166"/>
      <c r="K11" s="153"/>
    </row>
    <row r="12" spans="1:11" ht="16.5" customHeight="1" hidden="1">
      <c r="A12" s="302"/>
      <c r="B12" s="303"/>
      <c r="C12" s="304"/>
      <c r="D12" s="304"/>
      <c r="E12" s="377"/>
      <c r="F12" s="377"/>
      <c r="G12" s="305"/>
      <c r="H12" s="306"/>
      <c r="I12" s="168"/>
      <c r="J12" s="166"/>
      <c r="K12" s="153"/>
    </row>
    <row r="13" spans="1:11" ht="16.5" customHeight="1" hidden="1" thickBot="1">
      <c r="A13" s="307"/>
      <c r="B13" s="308"/>
      <c r="C13" s="308"/>
      <c r="D13" s="378"/>
      <c r="E13" s="379"/>
      <c r="F13" s="379"/>
      <c r="G13" s="379"/>
      <c r="H13" s="380"/>
      <c r="I13" s="168"/>
      <c r="J13" s="166"/>
      <c r="K13" s="153"/>
    </row>
    <row r="14" spans="1:11" ht="27.75" customHeight="1" thickBot="1">
      <c r="A14" s="154">
        <v>3</v>
      </c>
      <c r="B14" s="85" t="s">
        <v>90</v>
      </c>
      <c r="C14" s="141" t="s">
        <v>214</v>
      </c>
      <c r="D14" s="146" t="s">
        <v>145</v>
      </c>
      <c r="E14" s="522"/>
      <c r="F14" s="162">
        <v>25</v>
      </c>
      <c r="G14" s="522"/>
      <c r="H14" s="239">
        <f>G14*F14</f>
        <v>0</v>
      </c>
      <c r="I14" s="168"/>
      <c r="J14" s="168"/>
      <c r="K14" s="153"/>
    </row>
    <row r="15" spans="1:11" ht="16.5" customHeight="1" hidden="1">
      <c r="A15" s="302"/>
      <c r="B15" s="303"/>
      <c r="C15" s="304"/>
      <c r="D15" s="305"/>
      <c r="E15" s="305"/>
      <c r="F15" s="305"/>
      <c r="G15" s="305"/>
      <c r="H15" s="306"/>
      <c r="I15" s="168"/>
      <c r="J15" s="166"/>
      <c r="K15" s="153"/>
    </row>
    <row r="16" spans="1:11" ht="16.5" customHeight="1" hidden="1" thickBot="1">
      <c r="A16" s="307"/>
      <c r="B16" s="308"/>
      <c r="C16" s="308"/>
      <c r="D16" s="309"/>
      <c r="E16" s="309"/>
      <c r="F16" s="309"/>
      <c r="G16" s="309"/>
      <c r="H16" s="310"/>
      <c r="I16" s="168"/>
      <c r="J16" s="166"/>
      <c r="K16" s="153"/>
    </row>
    <row r="17" spans="1:11" ht="53.25" customHeight="1" thickBot="1">
      <c r="A17" s="154">
        <f>A14+1</f>
        <v>4</v>
      </c>
      <c r="B17" s="85" t="s">
        <v>89</v>
      </c>
      <c r="C17" s="141" t="s">
        <v>295</v>
      </c>
      <c r="D17" s="143" t="s">
        <v>92</v>
      </c>
      <c r="E17" s="141"/>
      <c r="F17" s="146">
        <v>291</v>
      </c>
      <c r="G17" s="141"/>
      <c r="H17" s="239">
        <f>H18+H19</f>
        <v>0</v>
      </c>
      <c r="I17" s="168"/>
      <c r="J17" s="169"/>
      <c r="K17" s="170"/>
    </row>
    <row r="18" spans="1:13" ht="16.5" customHeight="1" thickBot="1">
      <c r="A18" s="171">
        <f>A17+0.1</f>
        <v>4.1</v>
      </c>
      <c r="B18" s="144"/>
      <c r="C18" s="103" t="s">
        <v>93</v>
      </c>
      <c r="D18" s="132" t="s">
        <v>94</v>
      </c>
      <c r="E18" s="96">
        <f>18.6/100</f>
        <v>0.186</v>
      </c>
      <c r="F18" s="132">
        <f>F17*E18</f>
        <v>54.13</v>
      </c>
      <c r="G18" s="132"/>
      <c r="H18" s="240">
        <f>G18*F18</f>
        <v>0</v>
      </c>
      <c r="I18" s="168"/>
      <c r="J18" s="172"/>
      <c r="K18" s="173"/>
      <c r="M18" s="174"/>
    </row>
    <row r="19" spans="1:11" ht="16.5" customHeight="1" thickBot="1">
      <c r="A19" s="155">
        <f>A18+0.1</f>
        <v>4.2</v>
      </c>
      <c r="B19" s="133"/>
      <c r="C19" s="133" t="s">
        <v>95</v>
      </c>
      <c r="D19" s="134" t="s">
        <v>98</v>
      </c>
      <c r="E19" s="97">
        <f>0.16/100</f>
        <v>0.0016</v>
      </c>
      <c r="F19" s="134">
        <f>F17*E19</f>
        <v>0.47</v>
      </c>
      <c r="G19" s="134"/>
      <c r="H19" s="243">
        <f>G19*F19</f>
        <v>0</v>
      </c>
      <c r="I19" s="168"/>
      <c r="J19" s="166"/>
      <c r="K19" s="153"/>
    </row>
    <row r="20" spans="1:11" ht="31.5" customHeight="1" thickBot="1">
      <c r="A20" s="154">
        <f>A17+1</f>
        <v>5</v>
      </c>
      <c r="B20" s="85" t="s">
        <v>137</v>
      </c>
      <c r="C20" s="141" t="s">
        <v>138</v>
      </c>
      <c r="D20" s="143" t="s">
        <v>92</v>
      </c>
      <c r="E20" s="141"/>
      <c r="F20" s="146">
        <v>59.1</v>
      </c>
      <c r="G20" s="141"/>
      <c r="H20" s="239">
        <f>H21+H22</f>
        <v>0</v>
      </c>
      <c r="I20" s="168"/>
      <c r="J20" s="175"/>
      <c r="K20" s="153"/>
    </row>
    <row r="21" spans="1:11" ht="16.5" customHeight="1">
      <c r="A21" s="155">
        <f>A20+0.1</f>
        <v>5.1</v>
      </c>
      <c r="B21" s="144"/>
      <c r="C21" s="103" t="s">
        <v>93</v>
      </c>
      <c r="D21" s="132" t="s">
        <v>94</v>
      </c>
      <c r="E21" s="96">
        <v>0.77</v>
      </c>
      <c r="F21" s="132">
        <f>F20*E21</f>
        <v>45.51</v>
      </c>
      <c r="G21" s="132"/>
      <c r="H21" s="240">
        <f>G21*F21</f>
        <v>0</v>
      </c>
      <c r="I21" s="168"/>
      <c r="J21" s="175"/>
      <c r="K21" s="153"/>
    </row>
    <row r="22" spans="1:11" ht="16.5" customHeight="1" thickBot="1">
      <c r="A22" s="155">
        <f>A21+0.1</f>
        <v>5.2</v>
      </c>
      <c r="B22" s="133"/>
      <c r="C22" s="133" t="s">
        <v>95</v>
      </c>
      <c r="D22" s="134" t="s">
        <v>98</v>
      </c>
      <c r="E22" s="97">
        <f>4.21/100</f>
        <v>0.0421</v>
      </c>
      <c r="F22" s="134">
        <f>F20*E22</f>
        <v>2.49</v>
      </c>
      <c r="G22" s="134"/>
      <c r="H22" s="243">
        <f>G22*F22</f>
        <v>0</v>
      </c>
      <c r="I22" s="168"/>
      <c r="J22" s="175"/>
      <c r="K22" s="153"/>
    </row>
    <row r="23" spans="1:11" ht="49.5" customHeight="1" thickBot="1">
      <c r="A23" s="154">
        <f>A20+1</f>
        <v>6</v>
      </c>
      <c r="B23" s="85" t="s">
        <v>182</v>
      </c>
      <c r="C23" s="141" t="s">
        <v>99</v>
      </c>
      <c r="D23" s="85" t="s">
        <v>100</v>
      </c>
      <c r="E23" s="141"/>
      <c r="F23" s="163">
        <v>2.9</v>
      </c>
      <c r="G23" s="176"/>
      <c r="H23" s="239">
        <f>H24</f>
        <v>0</v>
      </c>
      <c r="I23" s="168"/>
      <c r="J23" s="403"/>
      <c r="K23" s="153"/>
    </row>
    <row r="24" spans="1:11" ht="16.5" customHeight="1" thickBot="1">
      <c r="A24" s="155">
        <f>A23+0.1</f>
        <v>6.1</v>
      </c>
      <c r="B24" s="155"/>
      <c r="C24" s="144" t="s">
        <v>101</v>
      </c>
      <c r="D24" s="145" t="s">
        <v>94</v>
      </c>
      <c r="E24" s="177">
        <f>3.37</f>
        <v>3.37</v>
      </c>
      <c r="F24" s="177">
        <f>F23*E24</f>
        <v>9.77</v>
      </c>
      <c r="G24" s="178"/>
      <c r="H24" s="244">
        <f>F24*G24</f>
        <v>0</v>
      </c>
      <c r="I24" s="168"/>
      <c r="J24" s="166"/>
      <c r="K24" s="153"/>
    </row>
    <row r="25" spans="1:11" ht="35.25" customHeight="1" thickBot="1">
      <c r="A25" s="154">
        <f>A23+1</f>
        <v>7</v>
      </c>
      <c r="B25" s="85" t="s">
        <v>183</v>
      </c>
      <c r="C25" s="151" t="s">
        <v>102</v>
      </c>
      <c r="D25" s="152" t="s">
        <v>103</v>
      </c>
      <c r="E25" s="151"/>
      <c r="F25" s="179">
        <f>F23*1.8</f>
        <v>5.22</v>
      </c>
      <c r="G25" s="180"/>
      <c r="H25" s="245">
        <f>F25*G25</f>
        <v>0</v>
      </c>
      <c r="I25" s="168"/>
      <c r="J25" s="168"/>
      <c r="K25" s="153"/>
    </row>
    <row r="26" spans="1:13" ht="48" customHeight="1" thickBot="1">
      <c r="A26" s="154">
        <f>A25+1</f>
        <v>8</v>
      </c>
      <c r="B26" s="85" t="s">
        <v>184</v>
      </c>
      <c r="C26" s="141" t="s">
        <v>292</v>
      </c>
      <c r="D26" s="85" t="s">
        <v>97</v>
      </c>
      <c r="E26" s="162"/>
      <c r="F26" s="146">
        <f>1.62+0.6</f>
        <v>2.22</v>
      </c>
      <c r="G26" s="162"/>
      <c r="H26" s="239">
        <f>SUM(H27:H31)</f>
        <v>0</v>
      </c>
      <c r="I26" s="168"/>
      <c r="J26" s="168"/>
      <c r="K26" s="153"/>
      <c r="M26" s="181"/>
    </row>
    <row r="27" spans="1:11" ht="16.5" customHeight="1">
      <c r="A27" s="102">
        <f>A26+0.1</f>
        <v>8.1</v>
      </c>
      <c r="B27" s="182" t="s">
        <v>149</v>
      </c>
      <c r="C27" s="103" t="s">
        <v>93</v>
      </c>
      <c r="D27" s="103" t="s">
        <v>94</v>
      </c>
      <c r="E27" s="132">
        <f>3.36*1.15</f>
        <v>3.86</v>
      </c>
      <c r="F27" s="105">
        <f>F26*E27</f>
        <v>8.57</v>
      </c>
      <c r="G27" s="132"/>
      <c r="H27" s="240">
        <f aca="true" t="shared" si="0" ref="H27:H33">G27*F27</f>
        <v>0</v>
      </c>
      <c r="I27" s="168"/>
      <c r="J27" s="166"/>
      <c r="K27" s="153"/>
    </row>
    <row r="28" spans="1:11" ht="16.5" customHeight="1">
      <c r="A28" s="136">
        <f>A27+0.1</f>
        <v>8.2</v>
      </c>
      <c r="B28" s="183" t="s">
        <v>149</v>
      </c>
      <c r="C28" s="135" t="s">
        <v>95</v>
      </c>
      <c r="D28" s="135" t="s">
        <v>98</v>
      </c>
      <c r="E28" s="147">
        <f>0.92*1.15</f>
        <v>1.06</v>
      </c>
      <c r="F28" s="147">
        <f>F26*E28</f>
        <v>2.35</v>
      </c>
      <c r="G28" s="147"/>
      <c r="H28" s="246">
        <f t="shared" si="0"/>
        <v>0</v>
      </c>
      <c r="I28" s="168"/>
      <c r="J28" s="166"/>
      <c r="K28" s="153"/>
    </row>
    <row r="29" spans="1:11" ht="16.5" customHeight="1">
      <c r="A29" s="136">
        <f>A28+0.1</f>
        <v>8.3</v>
      </c>
      <c r="B29" s="183"/>
      <c r="C29" s="136" t="s">
        <v>104</v>
      </c>
      <c r="D29" s="136" t="s">
        <v>97</v>
      </c>
      <c r="E29" s="149">
        <f>0.11</f>
        <v>0.11</v>
      </c>
      <c r="F29" s="149">
        <f>F26*E29</f>
        <v>0.24</v>
      </c>
      <c r="G29" s="149"/>
      <c r="H29" s="247">
        <f t="shared" si="0"/>
        <v>0</v>
      </c>
      <c r="I29" s="168"/>
      <c r="J29" s="166"/>
      <c r="K29" s="153"/>
    </row>
    <row r="30" spans="1:11" ht="16.5" customHeight="1">
      <c r="A30" s="136">
        <f>A29+0.1</f>
        <v>8.4</v>
      </c>
      <c r="B30" s="183"/>
      <c r="C30" s="136" t="s">
        <v>151</v>
      </c>
      <c r="D30" s="136" t="s">
        <v>105</v>
      </c>
      <c r="E30" s="185">
        <v>125</v>
      </c>
      <c r="F30" s="185">
        <f>F26*E30</f>
        <v>277.5</v>
      </c>
      <c r="G30" s="149"/>
      <c r="H30" s="247">
        <f t="shared" si="0"/>
        <v>0</v>
      </c>
      <c r="I30" s="168"/>
      <c r="J30" s="166"/>
      <c r="K30" s="153"/>
    </row>
    <row r="31" spans="1:11" ht="23.25" customHeight="1" thickBot="1">
      <c r="A31" s="136">
        <f>A30+0.1</f>
        <v>8.5</v>
      </c>
      <c r="B31" s="186"/>
      <c r="C31" s="137" t="s">
        <v>106</v>
      </c>
      <c r="D31" s="137" t="s">
        <v>107</v>
      </c>
      <c r="E31" s="150">
        <v>0.16</v>
      </c>
      <c r="F31" s="150">
        <f>F26*E31</f>
        <v>0.36</v>
      </c>
      <c r="G31" s="150"/>
      <c r="H31" s="248">
        <f t="shared" si="0"/>
        <v>0</v>
      </c>
      <c r="I31" s="168"/>
      <c r="J31" s="166"/>
      <c r="K31" s="153"/>
    </row>
    <row r="32" spans="1:11" ht="42.75" customHeight="1" hidden="1" thickBot="1">
      <c r="A32" s="188"/>
      <c r="B32" s="85"/>
      <c r="C32" s="141"/>
      <c r="D32" s="146"/>
      <c r="E32" s="138"/>
      <c r="F32" s="189"/>
      <c r="G32" s="190"/>
      <c r="H32" s="239"/>
      <c r="I32" s="168"/>
      <c r="J32" s="166"/>
      <c r="K32" s="153"/>
    </row>
    <row r="33" spans="1:11" ht="51.75" customHeight="1" thickBot="1">
      <c r="A33" s="188">
        <v>9</v>
      </c>
      <c r="B33" s="85" t="s">
        <v>90</v>
      </c>
      <c r="C33" s="141" t="s">
        <v>296</v>
      </c>
      <c r="D33" s="146" t="s">
        <v>92</v>
      </c>
      <c r="E33" s="138"/>
      <c r="F33" s="146">
        <v>3.42</v>
      </c>
      <c r="G33" s="190"/>
      <c r="H33" s="239">
        <f t="shared" si="0"/>
        <v>0</v>
      </c>
      <c r="I33" s="168"/>
      <c r="J33" s="166"/>
      <c r="K33" s="153"/>
    </row>
    <row r="34" spans="1:11" ht="56.25" customHeight="1" hidden="1" thickBot="1">
      <c r="A34" s="382"/>
      <c r="B34" s="375"/>
      <c r="C34" s="267"/>
      <c r="D34" s="266"/>
      <c r="E34" s="383"/>
      <c r="F34" s="266"/>
      <c r="G34" s="384"/>
      <c r="H34" s="355"/>
      <c r="I34" s="168"/>
      <c r="J34" s="166"/>
      <c r="K34" s="153"/>
    </row>
    <row r="35" spans="1:11" ht="60.75" customHeight="1" hidden="1" thickBot="1">
      <c r="A35" s="382"/>
      <c r="B35" s="375"/>
      <c r="C35" s="267"/>
      <c r="D35" s="266" t="s">
        <v>92</v>
      </c>
      <c r="E35" s="383"/>
      <c r="F35" s="266"/>
      <c r="G35" s="384"/>
      <c r="H35" s="355"/>
      <c r="I35" s="168"/>
      <c r="J35" s="168"/>
      <c r="K35" s="153"/>
    </row>
    <row r="36" spans="1:11" ht="60.75" customHeight="1" thickBot="1">
      <c r="A36" s="188">
        <f>A33+1</f>
        <v>10</v>
      </c>
      <c r="B36" s="85" t="s">
        <v>90</v>
      </c>
      <c r="C36" s="141" t="s">
        <v>309</v>
      </c>
      <c r="D36" s="146" t="s">
        <v>92</v>
      </c>
      <c r="E36" s="138"/>
      <c r="F36" s="146">
        <f>1.95*0.95*2</f>
        <v>3.71</v>
      </c>
      <c r="G36" s="190"/>
      <c r="H36" s="239">
        <f>G36*F36</f>
        <v>0</v>
      </c>
      <c r="I36" s="168"/>
      <c r="J36" s="168"/>
      <c r="K36" s="153"/>
    </row>
    <row r="37" spans="1:11" ht="60.75" customHeight="1" thickBot="1">
      <c r="A37" s="188">
        <f>A36+1</f>
        <v>11</v>
      </c>
      <c r="B37" s="85" t="s">
        <v>293</v>
      </c>
      <c r="C37" s="141" t="s">
        <v>310</v>
      </c>
      <c r="D37" s="146" t="s">
        <v>92</v>
      </c>
      <c r="E37" s="138"/>
      <c r="F37" s="146">
        <f>0.9*2.1</f>
        <v>1.89</v>
      </c>
      <c r="G37" s="162"/>
      <c r="H37" s="239">
        <f>G37*F37</f>
        <v>0</v>
      </c>
      <c r="I37" s="168"/>
      <c r="J37" s="168"/>
      <c r="K37" s="153"/>
    </row>
    <row r="38" spans="1:11" ht="63" customHeight="1" thickBot="1">
      <c r="A38" s="188">
        <f>A37+1</f>
        <v>12</v>
      </c>
      <c r="B38" s="85" t="s">
        <v>185</v>
      </c>
      <c r="C38" s="141" t="s">
        <v>144</v>
      </c>
      <c r="D38" s="85" t="s">
        <v>92</v>
      </c>
      <c r="E38" s="141"/>
      <c r="F38" s="163">
        <f>F37*2</f>
        <v>3.78</v>
      </c>
      <c r="G38" s="141"/>
      <c r="H38" s="239">
        <f>H39+H40+H41+H42+H43</f>
        <v>0</v>
      </c>
      <c r="I38" s="168"/>
      <c r="J38" s="168"/>
      <c r="K38" s="153"/>
    </row>
    <row r="39" spans="1:11" ht="21.75" customHeight="1">
      <c r="A39" s="191">
        <f>A38+0.1</f>
        <v>12.1</v>
      </c>
      <c r="B39" s="192"/>
      <c r="C39" s="103" t="s">
        <v>93</v>
      </c>
      <c r="D39" s="103" t="s">
        <v>94</v>
      </c>
      <c r="E39" s="132">
        <f>65.8/100</f>
        <v>0.66</v>
      </c>
      <c r="F39" s="105">
        <f>F38*E39</f>
        <v>2.49</v>
      </c>
      <c r="G39" s="132"/>
      <c r="H39" s="240">
        <f>G39*F39</f>
        <v>0</v>
      </c>
      <c r="I39" s="168"/>
      <c r="J39" s="168"/>
      <c r="K39" s="153"/>
    </row>
    <row r="40" spans="1:11" ht="21.75" customHeight="1">
      <c r="A40" s="191">
        <f>A39+0.1</f>
        <v>12.2</v>
      </c>
      <c r="B40" s="148"/>
      <c r="C40" s="135" t="s">
        <v>95</v>
      </c>
      <c r="D40" s="135" t="s">
        <v>98</v>
      </c>
      <c r="E40" s="147">
        <v>0.01</v>
      </c>
      <c r="F40" s="184">
        <f>F38*E40</f>
        <v>0.04</v>
      </c>
      <c r="G40" s="184"/>
      <c r="H40" s="246">
        <f>G40*F40</f>
        <v>0</v>
      </c>
      <c r="I40" s="168"/>
      <c r="J40" s="168"/>
      <c r="K40" s="153"/>
    </row>
    <row r="41" spans="1:11" ht="21.75" customHeight="1">
      <c r="A41" s="191">
        <f>A40+0.1</f>
        <v>12.3</v>
      </c>
      <c r="B41" s="148"/>
      <c r="C41" s="136" t="s">
        <v>108</v>
      </c>
      <c r="D41" s="136" t="s">
        <v>109</v>
      </c>
      <c r="E41" s="149" t="s">
        <v>19</v>
      </c>
      <c r="F41" s="185">
        <f>F38*0.15*1.1</f>
        <v>0.62</v>
      </c>
      <c r="G41" s="193"/>
      <c r="H41" s="247">
        <f>G41*F41</f>
        <v>0</v>
      </c>
      <c r="I41" s="168"/>
      <c r="J41" s="168"/>
      <c r="K41" s="153"/>
    </row>
    <row r="42" spans="1:11" ht="21.75" customHeight="1">
      <c r="A42" s="191">
        <f>A41+0.1</f>
        <v>12.4</v>
      </c>
      <c r="B42" s="148"/>
      <c r="C42" s="136" t="s">
        <v>110</v>
      </c>
      <c r="D42" s="136" t="s">
        <v>109</v>
      </c>
      <c r="E42" s="149" t="s">
        <v>19</v>
      </c>
      <c r="F42" s="185">
        <f>F38*0.15*1.1</f>
        <v>0.62</v>
      </c>
      <c r="G42" s="193"/>
      <c r="H42" s="247">
        <f>G42*F42</f>
        <v>0</v>
      </c>
      <c r="I42" s="168"/>
      <c r="J42" s="168"/>
      <c r="K42" s="153"/>
    </row>
    <row r="43" spans="1:11" ht="21.75" customHeight="1" thickBot="1">
      <c r="A43" s="191">
        <f>A42+0.1</f>
        <v>12.5</v>
      </c>
      <c r="B43" s="142"/>
      <c r="C43" s="137" t="s">
        <v>106</v>
      </c>
      <c r="D43" s="137" t="s">
        <v>98</v>
      </c>
      <c r="E43" s="194">
        <f>1.6/100</f>
        <v>0.016</v>
      </c>
      <c r="F43" s="185">
        <f>F38*E43</f>
        <v>0.06</v>
      </c>
      <c r="G43" s="137"/>
      <c r="H43" s="248">
        <f>G43*F43</f>
        <v>0</v>
      </c>
      <c r="I43" s="168"/>
      <c r="J43" s="166"/>
      <c r="K43" s="153"/>
    </row>
    <row r="44" spans="1:11" s="157" customFormat="1" ht="18" customHeight="1" thickBot="1">
      <c r="A44" s="195"/>
      <c r="B44" s="196"/>
      <c r="C44" s="138" t="s">
        <v>162</v>
      </c>
      <c r="D44" s="138"/>
      <c r="E44" s="197"/>
      <c r="F44" s="197"/>
      <c r="G44" s="138"/>
      <c r="H44" s="234"/>
      <c r="I44" s="168"/>
      <c r="J44" s="345"/>
      <c r="K44" s="229"/>
    </row>
    <row r="45" spans="1:11" ht="42.75" customHeight="1" thickBot="1">
      <c r="A45" s="188">
        <v>13</v>
      </c>
      <c r="B45" s="85" t="s">
        <v>187</v>
      </c>
      <c r="C45" s="141" t="s">
        <v>163</v>
      </c>
      <c r="D45" s="146" t="s">
        <v>97</v>
      </c>
      <c r="E45" s="162"/>
      <c r="F45" s="146">
        <v>0.3</v>
      </c>
      <c r="G45" s="198"/>
      <c r="H45" s="239">
        <f>SUM(H46:H53)</f>
        <v>0</v>
      </c>
      <c r="I45" s="168"/>
      <c r="J45" s="168"/>
      <c r="K45" s="153"/>
    </row>
    <row r="46" spans="1:11" ht="19.5" customHeight="1">
      <c r="A46" s="102">
        <f aca="true" t="shared" si="1" ref="A46:A53">A45+0.1</f>
        <v>13.1</v>
      </c>
      <c r="B46" s="199"/>
      <c r="C46" s="103" t="s">
        <v>93</v>
      </c>
      <c r="D46" s="132" t="s">
        <v>94</v>
      </c>
      <c r="E46" s="132">
        <v>1.37</v>
      </c>
      <c r="F46" s="132">
        <f>F45*E46</f>
        <v>0.41</v>
      </c>
      <c r="G46" s="132"/>
      <c r="H46" s="240">
        <f>G46*F46</f>
        <v>0</v>
      </c>
      <c r="I46" s="168"/>
      <c r="J46" s="202"/>
      <c r="K46" s="153"/>
    </row>
    <row r="47" spans="1:11" ht="19.5" customHeight="1">
      <c r="A47" s="136">
        <f t="shared" si="1"/>
        <v>13.2</v>
      </c>
      <c r="B47" s="183"/>
      <c r="C47" s="135" t="s">
        <v>95</v>
      </c>
      <c r="D47" s="147" t="s">
        <v>98</v>
      </c>
      <c r="E47" s="147">
        <f>28.3/100</f>
        <v>0.28</v>
      </c>
      <c r="F47" s="147">
        <f>F45*E47</f>
        <v>0.08</v>
      </c>
      <c r="G47" s="147"/>
      <c r="H47" s="246">
        <f>G47*F47</f>
        <v>0</v>
      </c>
      <c r="I47" s="168"/>
      <c r="J47" s="166"/>
      <c r="K47" s="153"/>
    </row>
    <row r="48" spans="1:11" ht="19.5" customHeight="1">
      <c r="A48" s="136">
        <f t="shared" si="1"/>
        <v>13.3</v>
      </c>
      <c r="B48" s="183"/>
      <c r="C48" s="148" t="s">
        <v>111</v>
      </c>
      <c r="D48" s="148" t="s">
        <v>100</v>
      </c>
      <c r="E48" s="148">
        <f>101.5/100</f>
        <v>1.015</v>
      </c>
      <c r="F48" s="200">
        <f>E48*F45</f>
        <v>0.3</v>
      </c>
      <c r="G48" s="200"/>
      <c r="H48" s="249">
        <f>F48*G48</f>
        <v>0</v>
      </c>
      <c r="I48" s="168"/>
      <c r="J48" s="166"/>
      <c r="K48" s="153"/>
    </row>
    <row r="49" spans="1:11" ht="19.5" customHeight="1">
      <c r="A49" s="136">
        <f t="shared" si="1"/>
        <v>13.4</v>
      </c>
      <c r="B49" s="183"/>
      <c r="C49" s="136" t="s">
        <v>161</v>
      </c>
      <c r="D49" s="149" t="s">
        <v>97</v>
      </c>
      <c r="E49" s="149">
        <v>1.02</v>
      </c>
      <c r="F49" s="149">
        <f>F45*E49</f>
        <v>0.31</v>
      </c>
      <c r="G49" s="149"/>
      <c r="H49" s="247">
        <f>G49*F49</f>
        <v>0</v>
      </c>
      <c r="I49" s="168"/>
      <c r="J49" s="166"/>
      <c r="K49" s="153"/>
    </row>
    <row r="50" spans="1:11" ht="19.5" customHeight="1">
      <c r="A50" s="136">
        <f t="shared" si="1"/>
        <v>13.5</v>
      </c>
      <c r="B50" s="186"/>
      <c r="C50" s="137" t="s">
        <v>164</v>
      </c>
      <c r="D50" s="150" t="s">
        <v>109</v>
      </c>
      <c r="E50" s="150">
        <f>7760/100</f>
        <v>77.6</v>
      </c>
      <c r="F50" s="150">
        <f>F45*E50</f>
        <v>23.28</v>
      </c>
      <c r="G50" s="150"/>
      <c r="H50" s="247">
        <f>G50*F50</f>
        <v>0</v>
      </c>
      <c r="I50" s="168"/>
      <c r="J50" s="166"/>
      <c r="K50" s="153"/>
    </row>
    <row r="51" spans="1:11" ht="19.5" customHeight="1">
      <c r="A51" s="136">
        <f t="shared" si="1"/>
        <v>13.6</v>
      </c>
      <c r="B51" s="186"/>
      <c r="C51" s="137" t="s">
        <v>165</v>
      </c>
      <c r="D51" s="150" t="s">
        <v>92</v>
      </c>
      <c r="E51" s="150">
        <v>1.37</v>
      </c>
      <c r="F51" s="150">
        <f>F45*E51</f>
        <v>0.41</v>
      </c>
      <c r="G51" s="150"/>
      <c r="H51" s="247">
        <f>G51*F51</f>
        <v>0</v>
      </c>
      <c r="I51" s="168"/>
      <c r="J51" s="166"/>
      <c r="K51" s="153"/>
    </row>
    <row r="52" spans="1:11" ht="19.5" customHeight="1">
      <c r="A52" s="136">
        <f t="shared" si="1"/>
        <v>13.7</v>
      </c>
      <c r="B52" s="186"/>
      <c r="C52" s="137" t="s">
        <v>152</v>
      </c>
      <c r="D52" s="150" t="s">
        <v>97</v>
      </c>
      <c r="E52" s="203">
        <f>3.66/100</f>
        <v>0.0366</v>
      </c>
      <c r="F52" s="150">
        <f>F45*E52</f>
        <v>0.01</v>
      </c>
      <c r="G52" s="150"/>
      <c r="H52" s="247">
        <f>G52*F52</f>
        <v>0</v>
      </c>
      <c r="I52" s="168"/>
      <c r="J52" s="166"/>
      <c r="K52" s="153"/>
    </row>
    <row r="53" spans="1:11" ht="19.5" customHeight="1" thickBot="1">
      <c r="A53" s="136">
        <f t="shared" si="1"/>
        <v>13.8</v>
      </c>
      <c r="B53" s="186"/>
      <c r="C53" s="137" t="s">
        <v>106</v>
      </c>
      <c r="D53" s="150" t="s">
        <v>98</v>
      </c>
      <c r="E53" s="150">
        <v>0.62</v>
      </c>
      <c r="F53" s="150">
        <f>F45*E53</f>
        <v>0.19</v>
      </c>
      <c r="G53" s="150"/>
      <c r="H53" s="247">
        <f>G53*F53</f>
        <v>0</v>
      </c>
      <c r="I53" s="168"/>
      <c r="J53" s="166"/>
      <c r="K53" s="153"/>
    </row>
    <row r="54" spans="1:11" ht="40.5" customHeight="1" thickBot="1">
      <c r="A54" s="188">
        <v>14</v>
      </c>
      <c r="B54" s="85" t="s">
        <v>188</v>
      </c>
      <c r="C54" s="141" t="s">
        <v>112</v>
      </c>
      <c r="D54" s="146" t="s">
        <v>92</v>
      </c>
      <c r="E54" s="162"/>
      <c r="F54" s="189">
        <f>F60+F71</f>
        <v>63.7</v>
      </c>
      <c r="G54" s="198"/>
      <c r="H54" s="239">
        <f>SUM(H55:H59)</f>
        <v>0</v>
      </c>
      <c r="I54" s="168"/>
      <c r="J54" s="202"/>
      <c r="K54" s="153"/>
    </row>
    <row r="55" spans="1:11" ht="19.5" customHeight="1">
      <c r="A55" s="191">
        <f>A54+0.1</f>
        <v>14.1</v>
      </c>
      <c r="B55" s="182"/>
      <c r="C55" s="103" t="s">
        <v>93</v>
      </c>
      <c r="D55" s="132" t="s">
        <v>94</v>
      </c>
      <c r="E55" s="132">
        <f>19.48/100</f>
        <v>0.19</v>
      </c>
      <c r="F55" s="132">
        <f>F54*E55</f>
        <v>12.1</v>
      </c>
      <c r="G55" s="132"/>
      <c r="H55" s="240">
        <f>G55*F55</f>
        <v>0</v>
      </c>
      <c r="I55" s="168"/>
      <c r="J55" s="168"/>
      <c r="K55" s="153"/>
    </row>
    <row r="56" spans="1:11" ht="19.5" customHeight="1">
      <c r="A56" s="193">
        <f>A55+0.1</f>
        <v>14.2</v>
      </c>
      <c r="B56" s="183"/>
      <c r="C56" s="135" t="s">
        <v>95</v>
      </c>
      <c r="D56" s="147" t="s">
        <v>98</v>
      </c>
      <c r="E56" s="147">
        <f>0.95/100</f>
        <v>0.01</v>
      </c>
      <c r="F56" s="147">
        <f>F54*E56</f>
        <v>0.64</v>
      </c>
      <c r="G56" s="147"/>
      <c r="H56" s="246">
        <f>G56*F56</f>
        <v>0</v>
      </c>
      <c r="I56" s="168"/>
      <c r="J56" s="166"/>
      <c r="K56" s="153"/>
    </row>
    <row r="57" spans="1:11" ht="19.5" customHeight="1">
      <c r="A57" s="193">
        <f>A56+0.1</f>
        <v>14.3</v>
      </c>
      <c r="B57" s="183"/>
      <c r="C57" s="136" t="s">
        <v>113</v>
      </c>
      <c r="D57" s="149" t="s">
        <v>97</v>
      </c>
      <c r="E57" s="194">
        <f>2.04/100+0.51*4/100</f>
        <v>0.0408</v>
      </c>
      <c r="F57" s="149">
        <f>F54*E57</f>
        <v>2.6</v>
      </c>
      <c r="G57" s="149"/>
      <c r="H57" s="247">
        <f>G57*F57</f>
        <v>0</v>
      </c>
      <c r="I57" s="168"/>
      <c r="J57" s="168"/>
      <c r="K57" s="153"/>
    </row>
    <row r="58" spans="1:11" ht="19.5" customHeight="1" hidden="1">
      <c r="A58" s="193">
        <f>A57+0.1</f>
        <v>14.4</v>
      </c>
      <c r="B58" s="186"/>
      <c r="C58" s="137"/>
      <c r="D58" s="150"/>
      <c r="E58" s="150"/>
      <c r="F58" s="150"/>
      <c r="G58" s="150"/>
      <c r="H58" s="247"/>
      <c r="I58" s="168"/>
      <c r="J58" s="166"/>
      <c r="K58" s="153"/>
    </row>
    <row r="59" spans="1:11" ht="19.5" customHeight="1" thickBot="1">
      <c r="A59" s="206">
        <v>15.4</v>
      </c>
      <c r="B59" s="186"/>
      <c r="C59" s="137" t="s">
        <v>106</v>
      </c>
      <c r="D59" s="150" t="s">
        <v>98</v>
      </c>
      <c r="E59" s="203">
        <f>6.36/100</f>
        <v>0.0636</v>
      </c>
      <c r="F59" s="150">
        <f>F54*E59</f>
        <v>4.05</v>
      </c>
      <c r="G59" s="150"/>
      <c r="H59" s="248">
        <f>G59*F59</f>
        <v>0</v>
      </c>
      <c r="I59" s="168"/>
      <c r="J59" s="166"/>
      <c r="K59" s="153"/>
    </row>
    <row r="60" spans="1:11" ht="70.5" customHeight="1" thickBot="1">
      <c r="A60" s="188">
        <f>A54+1</f>
        <v>15</v>
      </c>
      <c r="B60" s="85" t="s">
        <v>189</v>
      </c>
      <c r="C60" s="141" t="s">
        <v>153</v>
      </c>
      <c r="D60" s="146" t="s">
        <v>92</v>
      </c>
      <c r="E60" s="162"/>
      <c r="F60" s="146">
        <v>24.4</v>
      </c>
      <c r="G60" s="162"/>
      <c r="H60" s="239">
        <f>SUM(H61:H65)</f>
        <v>0</v>
      </c>
      <c r="I60" s="168"/>
      <c r="J60" s="166"/>
      <c r="K60" s="153"/>
    </row>
    <row r="61" spans="1:11" ht="19.5" customHeight="1">
      <c r="A61" s="102">
        <f>A60+0.1</f>
        <v>15.1</v>
      </c>
      <c r="B61" s="103" t="s">
        <v>200</v>
      </c>
      <c r="C61" s="103" t="s">
        <v>93</v>
      </c>
      <c r="D61" s="132" t="s">
        <v>94</v>
      </c>
      <c r="E61" s="105">
        <f>1.08*1.15</f>
        <v>1.24</v>
      </c>
      <c r="F61" s="105">
        <f>F60*E61</f>
        <v>30.26</v>
      </c>
      <c r="G61" s="132"/>
      <c r="H61" s="240">
        <f>G61*F61</f>
        <v>0</v>
      </c>
      <c r="I61" s="168"/>
      <c r="J61" s="166"/>
      <c r="K61" s="153"/>
    </row>
    <row r="62" spans="1:11" ht="19.5" customHeight="1">
      <c r="A62" s="136">
        <f>A61+0.1</f>
        <v>15.2</v>
      </c>
      <c r="B62" s="135" t="s">
        <v>200</v>
      </c>
      <c r="C62" s="135" t="s">
        <v>95</v>
      </c>
      <c r="D62" s="147" t="s">
        <v>98</v>
      </c>
      <c r="E62" s="205">
        <f>4.52/100*1.15</f>
        <v>0.052</v>
      </c>
      <c r="F62" s="147">
        <f>F60*E62</f>
        <v>1.27</v>
      </c>
      <c r="G62" s="147"/>
      <c r="H62" s="246">
        <f>G62*F62</f>
        <v>0</v>
      </c>
      <c r="I62" s="168"/>
      <c r="J62" s="166"/>
      <c r="K62" s="153"/>
    </row>
    <row r="63" spans="1:11" ht="29.25" customHeight="1">
      <c r="A63" s="136">
        <f>A62+0.1</f>
        <v>15.3</v>
      </c>
      <c r="B63" s="136"/>
      <c r="C63" s="136" t="s">
        <v>199</v>
      </c>
      <c r="D63" s="149" t="s">
        <v>92</v>
      </c>
      <c r="E63" s="149">
        <v>1.02</v>
      </c>
      <c r="F63" s="149">
        <f>F60*E63</f>
        <v>24.89</v>
      </c>
      <c r="G63" s="149"/>
      <c r="H63" s="247">
        <f>G63*F63</f>
        <v>0</v>
      </c>
      <c r="I63" s="168"/>
      <c r="J63" s="166"/>
      <c r="K63" s="153"/>
    </row>
    <row r="64" spans="1:11" ht="19.5" customHeight="1">
      <c r="A64" s="136">
        <f>A63+0.1</f>
        <v>15.4</v>
      </c>
      <c r="B64" s="136"/>
      <c r="C64" s="136" t="s">
        <v>114</v>
      </c>
      <c r="D64" s="149" t="s">
        <v>109</v>
      </c>
      <c r="E64" s="149" t="s">
        <v>19</v>
      </c>
      <c r="F64" s="149">
        <f>F60*6</f>
        <v>146.4</v>
      </c>
      <c r="G64" s="149"/>
      <c r="H64" s="247">
        <f>G64*F64</f>
        <v>0</v>
      </c>
      <c r="I64" s="168"/>
      <c r="J64" s="166"/>
      <c r="K64" s="153"/>
    </row>
    <row r="65" spans="1:11" ht="22.5" customHeight="1" thickBot="1">
      <c r="A65" s="137">
        <f>A64+0.1</f>
        <v>15.5</v>
      </c>
      <c r="B65" s="137"/>
      <c r="C65" s="137" t="s">
        <v>106</v>
      </c>
      <c r="D65" s="150" t="s">
        <v>107</v>
      </c>
      <c r="E65" s="203">
        <f>4.66/100</f>
        <v>0.0466</v>
      </c>
      <c r="F65" s="150">
        <f>F60*E65</f>
        <v>1.14</v>
      </c>
      <c r="G65" s="150"/>
      <c r="H65" s="248">
        <f>G65*F65</f>
        <v>0</v>
      </c>
      <c r="I65" s="168"/>
      <c r="J65" s="166"/>
      <c r="K65" s="153"/>
    </row>
    <row r="66" spans="1:11" ht="56.25" customHeight="1" thickBot="1">
      <c r="A66" s="188">
        <f>A60+1</f>
        <v>16</v>
      </c>
      <c r="B66" s="85" t="s">
        <v>190</v>
      </c>
      <c r="C66" s="141" t="s">
        <v>166</v>
      </c>
      <c r="D66" s="85" t="s">
        <v>145</v>
      </c>
      <c r="E66" s="141"/>
      <c r="F66" s="85">
        <v>19.8</v>
      </c>
      <c r="G66" s="141"/>
      <c r="H66" s="239">
        <f>H67+H68+H69+H70</f>
        <v>0</v>
      </c>
      <c r="I66" s="168"/>
      <c r="J66" s="168"/>
      <c r="K66" s="153"/>
    </row>
    <row r="67" spans="1:11" ht="19.5" customHeight="1">
      <c r="A67" s="102">
        <f>A66+0.1</f>
        <v>16.1</v>
      </c>
      <c r="B67" s="207"/>
      <c r="C67" s="103" t="s">
        <v>93</v>
      </c>
      <c r="D67" s="132" t="s">
        <v>94</v>
      </c>
      <c r="E67" s="208">
        <f>26.9/100</f>
        <v>0.269</v>
      </c>
      <c r="F67" s="105">
        <f>F66*E67</f>
        <v>5.33</v>
      </c>
      <c r="G67" s="132"/>
      <c r="H67" s="240">
        <f>G67*F67</f>
        <v>0</v>
      </c>
      <c r="I67" s="168"/>
      <c r="J67" s="166"/>
      <c r="K67" s="153"/>
    </row>
    <row r="68" spans="1:11" ht="19.5" customHeight="1">
      <c r="A68" s="136">
        <f>A67+0.1</f>
        <v>16.2</v>
      </c>
      <c r="B68" s="135"/>
      <c r="C68" s="135" t="s">
        <v>95</v>
      </c>
      <c r="D68" s="147" t="s">
        <v>98</v>
      </c>
      <c r="E68" s="204">
        <f>1.16/100</f>
        <v>0.0116</v>
      </c>
      <c r="F68" s="147">
        <f>F66*E68</f>
        <v>0.23</v>
      </c>
      <c r="G68" s="147"/>
      <c r="H68" s="246">
        <f>G68*F68</f>
        <v>0</v>
      </c>
      <c r="I68" s="168"/>
      <c r="J68" s="166"/>
      <c r="K68" s="153"/>
    </row>
    <row r="69" spans="1:11" ht="35.25" customHeight="1">
      <c r="A69" s="102">
        <f>A68+0.1</f>
        <v>16.3</v>
      </c>
      <c r="B69" s="183"/>
      <c r="C69" s="136" t="s">
        <v>466</v>
      </c>
      <c r="D69" s="149" t="s">
        <v>92</v>
      </c>
      <c r="E69" s="209">
        <f>15.7/100</f>
        <v>0.157</v>
      </c>
      <c r="F69" s="149">
        <f>F66*E69</f>
        <v>3.11</v>
      </c>
      <c r="G69" s="149"/>
      <c r="H69" s="247">
        <f>G69*F69</f>
        <v>0</v>
      </c>
      <c r="I69" s="168"/>
      <c r="J69" s="168"/>
      <c r="K69" s="153"/>
    </row>
    <row r="70" spans="1:11" ht="19.5" customHeight="1" thickBot="1">
      <c r="A70" s="136">
        <f>A69+0.1</f>
        <v>16.4</v>
      </c>
      <c r="B70" s="186"/>
      <c r="C70" s="136" t="s">
        <v>114</v>
      </c>
      <c r="D70" s="149" t="s">
        <v>109</v>
      </c>
      <c r="E70" s="149" t="s">
        <v>19</v>
      </c>
      <c r="F70" s="149">
        <f>F69*6</f>
        <v>18.66</v>
      </c>
      <c r="G70" s="149"/>
      <c r="H70" s="247">
        <f>G70*F70</f>
        <v>0</v>
      </c>
      <c r="I70" s="168"/>
      <c r="J70" s="166"/>
      <c r="K70" s="153"/>
    </row>
    <row r="71" spans="1:11" ht="44.25" customHeight="1" thickBot="1">
      <c r="A71" s="188">
        <f>A66+1</f>
        <v>17</v>
      </c>
      <c r="B71" s="85" t="s">
        <v>191</v>
      </c>
      <c r="C71" s="141" t="s">
        <v>115</v>
      </c>
      <c r="D71" s="146" t="s">
        <v>92</v>
      </c>
      <c r="E71" s="162"/>
      <c r="F71" s="146">
        <v>39.3</v>
      </c>
      <c r="G71" s="162"/>
      <c r="H71" s="239">
        <f>SUM(H72:H75)</f>
        <v>0</v>
      </c>
      <c r="I71" s="168"/>
      <c r="J71" s="166"/>
      <c r="K71" s="153"/>
    </row>
    <row r="72" spans="1:11" ht="16.5" customHeight="1">
      <c r="A72" s="191">
        <f>A71+0.1</f>
        <v>17.1</v>
      </c>
      <c r="B72" s="103" t="s">
        <v>200</v>
      </c>
      <c r="C72" s="103" t="s">
        <v>93</v>
      </c>
      <c r="D72" s="132" t="s">
        <v>94</v>
      </c>
      <c r="E72" s="132">
        <f>1.29*1.15</f>
        <v>1.48</v>
      </c>
      <c r="F72" s="132">
        <f>F71*E72</f>
        <v>58.16</v>
      </c>
      <c r="G72" s="132"/>
      <c r="H72" s="240">
        <f>G72*F72</f>
        <v>0</v>
      </c>
      <c r="I72" s="168"/>
      <c r="J72" s="166"/>
      <c r="K72" s="153"/>
    </row>
    <row r="73" spans="1:11" ht="16.5" customHeight="1">
      <c r="A73" s="193">
        <f>A72+0.1</f>
        <v>17.2</v>
      </c>
      <c r="B73" s="135" t="s">
        <v>200</v>
      </c>
      <c r="C73" s="135" t="s">
        <v>95</v>
      </c>
      <c r="D73" s="147" t="s">
        <v>98</v>
      </c>
      <c r="E73" s="205">
        <f>3.4/100*1.15</f>
        <v>0.039</v>
      </c>
      <c r="F73" s="147">
        <f>F71*E73</f>
        <v>1.53</v>
      </c>
      <c r="G73" s="147"/>
      <c r="H73" s="246">
        <f>G73*F73</f>
        <v>0</v>
      </c>
      <c r="I73" s="168"/>
      <c r="J73" s="166"/>
      <c r="K73" s="153"/>
    </row>
    <row r="74" spans="1:11" ht="43.5" customHeight="1">
      <c r="A74" s="193">
        <f>A73+0.1</f>
        <v>17.3</v>
      </c>
      <c r="B74" s="136"/>
      <c r="C74" s="136" t="s">
        <v>116</v>
      </c>
      <c r="D74" s="149" t="s">
        <v>92</v>
      </c>
      <c r="E74" s="209">
        <f>101.5/100</f>
        <v>1.015</v>
      </c>
      <c r="F74" s="149">
        <f>F71*E74</f>
        <v>39.89</v>
      </c>
      <c r="G74" s="149"/>
      <c r="H74" s="247">
        <f>G74*F74</f>
        <v>0</v>
      </c>
      <c r="I74" s="168"/>
      <c r="J74" s="166"/>
      <c r="K74" s="153"/>
    </row>
    <row r="75" spans="1:11" ht="16.5" customHeight="1" thickBot="1">
      <c r="A75" s="206">
        <f>A74+0.1</f>
        <v>17.4</v>
      </c>
      <c r="B75" s="137"/>
      <c r="C75" s="137" t="s">
        <v>106</v>
      </c>
      <c r="D75" s="150" t="s">
        <v>98</v>
      </c>
      <c r="E75" s="210">
        <f>18.2/100</f>
        <v>0.182</v>
      </c>
      <c r="F75" s="150">
        <f>F71*E75</f>
        <v>7.15</v>
      </c>
      <c r="G75" s="150"/>
      <c r="H75" s="248">
        <f>G75*F75</f>
        <v>0</v>
      </c>
      <c r="I75" s="168"/>
      <c r="J75" s="166"/>
      <c r="K75" s="153"/>
    </row>
    <row r="76" spans="1:11" ht="69" customHeight="1" thickBot="1">
      <c r="A76" s="154">
        <f>A71+1</f>
        <v>18</v>
      </c>
      <c r="B76" s="85" t="s">
        <v>192</v>
      </c>
      <c r="C76" s="141" t="s">
        <v>205</v>
      </c>
      <c r="D76" s="146" t="s">
        <v>92</v>
      </c>
      <c r="E76" s="162"/>
      <c r="F76" s="146">
        <v>2</v>
      </c>
      <c r="G76" s="162"/>
      <c r="H76" s="239">
        <f>SUM(H77:H81)</f>
        <v>0</v>
      </c>
      <c r="I76" s="168"/>
      <c r="J76" s="166"/>
      <c r="K76" s="153"/>
    </row>
    <row r="77" spans="1:11" ht="16.5" customHeight="1">
      <c r="A77" s="191">
        <f>A76+0.1</f>
        <v>18.1</v>
      </c>
      <c r="B77" s="103"/>
      <c r="C77" s="103" t="s">
        <v>93</v>
      </c>
      <c r="D77" s="132" t="s">
        <v>94</v>
      </c>
      <c r="E77" s="132">
        <v>0.99</v>
      </c>
      <c r="F77" s="132">
        <f>F76*E77</f>
        <v>1.98</v>
      </c>
      <c r="G77" s="132"/>
      <c r="H77" s="240">
        <f>G77*F77</f>
        <v>0</v>
      </c>
      <c r="I77" s="168"/>
      <c r="J77" s="166"/>
      <c r="K77" s="153"/>
    </row>
    <row r="78" spans="1:11" ht="16.5" customHeight="1">
      <c r="A78" s="193">
        <f>A77+0.1</f>
        <v>18.2</v>
      </c>
      <c r="B78" s="135"/>
      <c r="C78" s="135" t="s">
        <v>95</v>
      </c>
      <c r="D78" s="147" t="s">
        <v>98</v>
      </c>
      <c r="E78" s="205">
        <f>2.51/100</f>
        <v>0.025</v>
      </c>
      <c r="F78" s="147">
        <f>F76*E78</f>
        <v>0.05</v>
      </c>
      <c r="G78" s="147"/>
      <c r="H78" s="246">
        <f>G78*F78</f>
        <v>0</v>
      </c>
      <c r="I78" s="168"/>
      <c r="J78" s="166"/>
      <c r="K78" s="153"/>
    </row>
    <row r="79" spans="1:11" ht="21.75" customHeight="1">
      <c r="A79" s="193">
        <f>A78+0.1</f>
        <v>18.3</v>
      </c>
      <c r="B79" s="136"/>
      <c r="C79" s="136" t="s">
        <v>203</v>
      </c>
      <c r="D79" s="149" t="s">
        <v>92</v>
      </c>
      <c r="E79" s="209">
        <f>1.02</f>
        <v>1.02</v>
      </c>
      <c r="F79" s="149">
        <f>F76*E79</f>
        <v>2.04</v>
      </c>
      <c r="G79" s="149"/>
      <c r="H79" s="247">
        <f>G79*F79</f>
        <v>0</v>
      </c>
      <c r="I79" s="168"/>
      <c r="J79" s="166"/>
      <c r="K79" s="153"/>
    </row>
    <row r="80" spans="1:11" ht="16.5" customHeight="1">
      <c r="A80" s="193">
        <f>A79+0.1</f>
        <v>18.4</v>
      </c>
      <c r="B80" s="137"/>
      <c r="C80" s="137" t="s">
        <v>178</v>
      </c>
      <c r="D80" s="150" t="s">
        <v>109</v>
      </c>
      <c r="E80" s="210">
        <f>50/100</f>
        <v>0.5</v>
      </c>
      <c r="F80" s="150">
        <f>F76*E80</f>
        <v>1</v>
      </c>
      <c r="G80" s="150"/>
      <c r="H80" s="247">
        <f>G80*F80</f>
        <v>0</v>
      </c>
      <c r="I80" s="168"/>
      <c r="J80" s="166"/>
      <c r="K80" s="153"/>
    </row>
    <row r="81" spans="1:11" ht="16.5" customHeight="1" thickBot="1">
      <c r="A81" s="193">
        <f>A80+0.1</f>
        <v>18.5</v>
      </c>
      <c r="B81" s="206"/>
      <c r="C81" s="137" t="s">
        <v>106</v>
      </c>
      <c r="D81" s="150" t="s">
        <v>98</v>
      </c>
      <c r="E81" s="210">
        <f>18.2/100</f>
        <v>0.182</v>
      </c>
      <c r="F81" s="150">
        <f>F76*E81</f>
        <v>0.36</v>
      </c>
      <c r="G81" s="150"/>
      <c r="H81" s="248">
        <f>G81*F81</f>
        <v>0</v>
      </c>
      <c r="I81" s="168"/>
      <c r="J81" s="166"/>
      <c r="K81" s="153"/>
    </row>
    <row r="82" spans="1:11" ht="48" customHeight="1" thickBot="1">
      <c r="A82" s="188">
        <f>A76+1</f>
        <v>19</v>
      </c>
      <c r="B82" s="85" t="s">
        <v>90</v>
      </c>
      <c r="C82" s="141" t="s">
        <v>206</v>
      </c>
      <c r="D82" s="85" t="s">
        <v>92</v>
      </c>
      <c r="E82" s="141"/>
      <c r="F82" s="211">
        <v>23.4</v>
      </c>
      <c r="G82" s="141"/>
      <c r="H82" s="239">
        <f>SUM(H83:H83)</f>
        <v>0</v>
      </c>
      <c r="I82" s="168"/>
      <c r="J82" s="168"/>
      <c r="K82" s="153"/>
    </row>
    <row r="83" spans="1:11" ht="16.5" customHeight="1" thickBot="1">
      <c r="A83" s="102">
        <f>A82+0.1</f>
        <v>19.1</v>
      </c>
      <c r="B83" s="102" t="s">
        <v>149</v>
      </c>
      <c r="C83" s="103" t="s">
        <v>93</v>
      </c>
      <c r="D83" s="103" t="s">
        <v>176</v>
      </c>
      <c r="E83" s="105">
        <f>0.48*1.15</f>
        <v>0.55</v>
      </c>
      <c r="F83" s="105">
        <f>F82*E83</f>
        <v>12.87</v>
      </c>
      <c r="G83" s="132"/>
      <c r="H83" s="240">
        <f>F83*G83</f>
        <v>0</v>
      </c>
      <c r="I83" s="168"/>
      <c r="J83" s="166"/>
      <c r="K83" s="153"/>
    </row>
    <row r="84" spans="1:11" ht="48.75" customHeight="1" thickBot="1">
      <c r="A84" s="154">
        <f>A82+1</f>
        <v>20</v>
      </c>
      <c r="B84" s="85" t="s">
        <v>193</v>
      </c>
      <c r="C84" s="141" t="s">
        <v>167</v>
      </c>
      <c r="D84" s="85" t="s">
        <v>92</v>
      </c>
      <c r="E84" s="141"/>
      <c r="F84" s="211">
        <v>23.4</v>
      </c>
      <c r="G84" s="141"/>
      <c r="H84" s="239">
        <f>SUM(H85:H90)</f>
        <v>0</v>
      </c>
      <c r="I84" s="168"/>
      <c r="J84" s="166"/>
      <c r="K84" s="153"/>
    </row>
    <row r="85" spans="1:11" ht="16.5" customHeight="1">
      <c r="A85" s="102">
        <f aca="true" t="shared" si="2" ref="A85:A90">A84+0.1</f>
        <v>20.1</v>
      </c>
      <c r="B85" s="102"/>
      <c r="C85" s="103" t="s">
        <v>93</v>
      </c>
      <c r="D85" s="132" t="s">
        <v>94</v>
      </c>
      <c r="E85" s="104">
        <f>74.1/100</f>
        <v>0.741</v>
      </c>
      <c r="F85" s="105">
        <f>F84*E85</f>
        <v>17.34</v>
      </c>
      <c r="G85" s="132"/>
      <c r="H85" s="240">
        <f aca="true" t="shared" si="3" ref="H85:H90">F85*G85</f>
        <v>0</v>
      </c>
      <c r="I85" s="168"/>
      <c r="J85" s="166"/>
      <c r="K85" s="153"/>
    </row>
    <row r="86" spans="1:11" ht="16.5" customHeight="1">
      <c r="A86" s="136">
        <f t="shared" si="2"/>
        <v>20.2</v>
      </c>
      <c r="B86" s="136"/>
      <c r="C86" s="135" t="s">
        <v>95</v>
      </c>
      <c r="D86" s="147" t="s">
        <v>98</v>
      </c>
      <c r="E86" s="148">
        <f>0.1/100</f>
        <v>0.001</v>
      </c>
      <c r="F86" s="200">
        <f>F84*E86</f>
        <v>0.02</v>
      </c>
      <c r="G86" s="200"/>
      <c r="H86" s="249">
        <f t="shared" si="3"/>
        <v>0</v>
      </c>
      <c r="I86" s="168"/>
      <c r="J86" s="166"/>
      <c r="K86" s="153"/>
    </row>
    <row r="87" spans="1:11" ht="16.5" customHeight="1">
      <c r="A87" s="136">
        <f t="shared" si="2"/>
        <v>20.3</v>
      </c>
      <c r="B87" s="212"/>
      <c r="C87" s="136" t="s">
        <v>168</v>
      </c>
      <c r="D87" s="136" t="s">
        <v>109</v>
      </c>
      <c r="E87" s="213" t="s">
        <v>19</v>
      </c>
      <c r="F87" s="185">
        <f>F84*0.15</f>
        <v>3.51</v>
      </c>
      <c r="G87" s="193"/>
      <c r="H87" s="247">
        <f t="shared" si="3"/>
        <v>0</v>
      </c>
      <c r="I87" s="168"/>
      <c r="J87" s="166"/>
      <c r="K87" s="153"/>
    </row>
    <row r="88" spans="1:11" ht="16.5" customHeight="1">
      <c r="A88" s="136">
        <f t="shared" si="2"/>
        <v>20.4</v>
      </c>
      <c r="B88" s="212"/>
      <c r="C88" s="136" t="s">
        <v>177</v>
      </c>
      <c r="D88" s="136" t="s">
        <v>109</v>
      </c>
      <c r="E88" s="185" t="s">
        <v>19</v>
      </c>
      <c r="F88" s="185">
        <f>F84*0.15</f>
        <v>3.51</v>
      </c>
      <c r="G88" s="193"/>
      <c r="H88" s="247">
        <f t="shared" si="3"/>
        <v>0</v>
      </c>
      <c r="I88" s="168"/>
      <c r="J88" s="168"/>
      <c r="K88" s="153"/>
    </row>
    <row r="89" spans="1:11" ht="16.5" customHeight="1">
      <c r="A89" s="136">
        <f t="shared" si="2"/>
        <v>20.5</v>
      </c>
      <c r="B89" s="212"/>
      <c r="C89" s="136" t="s">
        <v>169</v>
      </c>
      <c r="D89" s="136" t="s">
        <v>109</v>
      </c>
      <c r="E89" s="185">
        <f>82/100</f>
        <v>0.82</v>
      </c>
      <c r="F89" s="185">
        <f>E89*F84</f>
        <v>19.19</v>
      </c>
      <c r="G89" s="193"/>
      <c r="H89" s="247">
        <f t="shared" si="3"/>
        <v>0</v>
      </c>
      <c r="I89" s="168"/>
      <c r="J89" s="166"/>
      <c r="K89" s="153"/>
    </row>
    <row r="90" spans="1:11" ht="16.5" customHeight="1" thickBot="1">
      <c r="A90" s="136">
        <f t="shared" si="2"/>
        <v>20.6</v>
      </c>
      <c r="B90" s="137"/>
      <c r="C90" s="137" t="s">
        <v>170</v>
      </c>
      <c r="D90" s="137" t="s">
        <v>96</v>
      </c>
      <c r="E90" s="137">
        <f>1.7/100</f>
        <v>0.017</v>
      </c>
      <c r="F90" s="187">
        <f>E90*F84</f>
        <v>0.4</v>
      </c>
      <c r="G90" s="137"/>
      <c r="H90" s="248">
        <f t="shared" si="3"/>
        <v>0</v>
      </c>
      <c r="I90" s="168"/>
      <c r="J90" s="166"/>
      <c r="K90" s="153"/>
    </row>
    <row r="91" spans="1:11" ht="16.5" customHeight="1" thickBot="1">
      <c r="A91" s="641" t="s">
        <v>282</v>
      </c>
      <c r="B91" s="642"/>
      <c r="C91" s="642"/>
      <c r="D91" s="642"/>
      <c r="E91" s="642"/>
      <c r="F91" s="642"/>
      <c r="G91" s="642"/>
      <c r="H91" s="643"/>
      <c r="I91" s="168"/>
      <c r="J91" s="166"/>
      <c r="K91" s="153"/>
    </row>
    <row r="92" spans="1:11" ht="56.25" customHeight="1" thickBot="1">
      <c r="A92" s="154">
        <f>A84+1</f>
        <v>21</v>
      </c>
      <c r="B92" s="85" t="s">
        <v>90</v>
      </c>
      <c r="C92" s="141" t="s">
        <v>327</v>
      </c>
      <c r="D92" s="146" t="s">
        <v>92</v>
      </c>
      <c r="E92" s="162"/>
      <c r="F92" s="189">
        <v>80.9</v>
      </c>
      <c r="G92" s="162"/>
      <c r="H92" s="239">
        <f>G92*F92</f>
        <v>0</v>
      </c>
      <c r="I92" s="168"/>
      <c r="J92" s="166"/>
      <c r="K92" s="153"/>
    </row>
    <row r="93" spans="1:11" ht="42.75" customHeight="1" thickBot="1">
      <c r="A93" s="188">
        <f>A92+1</f>
        <v>22</v>
      </c>
      <c r="B93" s="214" t="s">
        <v>194</v>
      </c>
      <c r="C93" s="141" t="s">
        <v>174</v>
      </c>
      <c r="D93" s="146" t="s">
        <v>92</v>
      </c>
      <c r="E93" s="162"/>
      <c r="F93" s="189">
        <f>F92</f>
        <v>80.9</v>
      </c>
      <c r="G93" s="162"/>
      <c r="H93" s="239">
        <f>SUM(H94:H98)</f>
        <v>0</v>
      </c>
      <c r="I93" s="168"/>
      <c r="J93" s="166"/>
      <c r="K93" s="153"/>
    </row>
    <row r="94" spans="1:11" ht="16.5" customHeight="1">
      <c r="A94" s="191">
        <f>A93+0.1</f>
        <v>22.1</v>
      </c>
      <c r="B94" s="103" t="s">
        <v>200</v>
      </c>
      <c r="C94" s="103" t="s">
        <v>93</v>
      </c>
      <c r="D94" s="103" t="s">
        <v>92</v>
      </c>
      <c r="E94" s="96">
        <f>85.6/100*1.15</f>
        <v>0.984</v>
      </c>
      <c r="F94" s="105">
        <f>F93*E94</f>
        <v>79.61</v>
      </c>
      <c r="G94" s="132"/>
      <c r="H94" s="240">
        <f>G94*F94</f>
        <v>0</v>
      </c>
      <c r="I94" s="168"/>
      <c r="J94" s="166"/>
      <c r="K94" s="153"/>
    </row>
    <row r="95" spans="1:11" ht="16.5" customHeight="1">
      <c r="A95" s="193">
        <f>A94+0.1</f>
        <v>22.2</v>
      </c>
      <c r="B95" s="135" t="s">
        <v>200</v>
      </c>
      <c r="C95" s="135" t="s">
        <v>95</v>
      </c>
      <c r="D95" s="135" t="s">
        <v>98</v>
      </c>
      <c r="E95" s="147">
        <f>1.2/100*1.15</f>
        <v>0.01</v>
      </c>
      <c r="F95" s="184">
        <f>F93*E95</f>
        <v>0.81</v>
      </c>
      <c r="G95" s="147"/>
      <c r="H95" s="246">
        <f>G95*F95</f>
        <v>0</v>
      </c>
      <c r="I95" s="168"/>
      <c r="J95" s="166"/>
      <c r="K95" s="153"/>
    </row>
    <row r="96" spans="1:11" ht="16.5" customHeight="1">
      <c r="A96" s="193">
        <f>A95+0.1</f>
        <v>22.3</v>
      </c>
      <c r="B96" s="135"/>
      <c r="C96" s="136" t="s">
        <v>120</v>
      </c>
      <c r="D96" s="136" t="s">
        <v>109</v>
      </c>
      <c r="E96" s="149">
        <v>0.55</v>
      </c>
      <c r="F96" s="185">
        <f>F93*E96</f>
        <v>44.5</v>
      </c>
      <c r="G96" s="149"/>
      <c r="H96" s="247">
        <f>G96*F96</f>
        <v>0</v>
      </c>
      <c r="I96" s="168"/>
      <c r="J96" s="166"/>
      <c r="K96" s="153"/>
    </row>
    <row r="97" spans="1:11" ht="16.5" customHeight="1">
      <c r="A97" s="193">
        <f>A96+0.1</f>
        <v>22.4</v>
      </c>
      <c r="B97" s="183"/>
      <c r="C97" s="136" t="s">
        <v>175</v>
      </c>
      <c r="D97" s="149" t="s">
        <v>109</v>
      </c>
      <c r="E97" s="149">
        <v>0.63</v>
      </c>
      <c r="F97" s="185">
        <f>F93*E97</f>
        <v>50.97</v>
      </c>
      <c r="G97" s="149"/>
      <c r="H97" s="247">
        <f>G97*F97</f>
        <v>0</v>
      </c>
      <c r="I97" s="168"/>
      <c r="J97" s="166"/>
      <c r="K97" s="153"/>
    </row>
    <row r="98" spans="1:11" ht="16.5" customHeight="1" thickBot="1">
      <c r="A98" s="206">
        <f>A97+0.1</f>
        <v>22.5</v>
      </c>
      <c r="B98" s="186"/>
      <c r="C98" s="137" t="s">
        <v>106</v>
      </c>
      <c r="D98" s="150" t="s">
        <v>107</v>
      </c>
      <c r="E98" s="210">
        <f>1.8/100</f>
        <v>0.018</v>
      </c>
      <c r="F98" s="187">
        <f>F93*E98</f>
        <v>1.46</v>
      </c>
      <c r="G98" s="150"/>
      <c r="H98" s="248">
        <f>G98*F98</f>
        <v>0</v>
      </c>
      <c r="I98" s="168"/>
      <c r="J98" s="166"/>
      <c r="K98" s="153"/>
    </row>
    <row r="99" spans="1:11" s="157" customFormat="1" ht="16.5" customHeight="1" thickBot="1">
      <c r="A99" s="638" t="s">
        <v>297</v>
      </c>
      <c r="B99" s="639"/>
      <c r="C99" s="639"/>
      <c r="D99" s="639"/>
      <c r="E99" s="639"/>
      <c r="F99" s="639"/>
      <c r="G99" s="639"/>
      <c r="H99" s="640"/>
      <c r="I99" s="168"/>
      <c r="J99" s="345"/>
      <c r="K99" s="229"/>
    </row>
    <row r="100" spans="1:11" ht="80.25" customHeight="1" thickBot="1">
      <c r="A100" s="188">
        <f>A93+1</f>
        <v>23</v>
      </c>
      <c r="B100" s="215" t="s">
        <v>90</v>
      </c>
      <c r="C100" s="141" t="s">
        <v>209</v>
      </c>
      <c r="D100" s="85" t="s">
        <v>92</v>
      </c>
      <c r="E100" s="141"/>
      <c r="F100" s="211">
        <f>36.7+290*0.05</f>
        <v>51.2</v>
      </c>
      <c r="G100" s="141"/>
      <c r="H100" s="239">
        <f>SUM(H101:H105)</f>
        <v>0</v>
      </c>
      <c r="I100" s="168"/>
      <c r="J100" s="168"/>
      <c r="K100" s="153"/>
    </row>
    <row r="101" spans="1:11" ht="20.25" customHeight="1">
      <c r="A101" s="102">
        <f>A100+0.1</f>
        <v>23.1</v>
      </c>
      <c r="B101" s="216"/>
      <c r="C101" s="103" t="s">
        <v>93</v>
      </c>
      <c r="D101" s="103" t="s">
        <v>94</v>
      </c>
      <c r="E101" s="103">
        <v>1.01</v>
      </c>
      <c r="F101" s="105">
        <f>F100*E101</f>
        <v>51.71</v>
      </c>
      <c r="G101" s="178"/>
      <c r="H101" s="240">
        <f>F101*G101</f>
        <v>0</v>
      </c>
      <c r="I101" s="168"/>
      <c r="J101" s="168"/>
      <c r="K101" s="153"/>
    </row>
    <row r="102" spans="1:11" ht="20.25" customHeight="1">
      <c r="A102" s="136">
        <f>A101+0.1</f>
        <v>23.2</v>
      </c>
      <c r="B102" s="217"/>
      <c r="C102" s="218" t="s">
        <v>117</v>
      </c>
      <c r="D102" s="218" t="s">
        <v>118</v>
      </c>
      <c r="E102" s="219">
        <f>4.1/100</f>
        <v>0.04</v>
      </c>
      <c r="F102" s="219">
        <f>F100*E102</f>
        <v>2.05</v>
      </c>
      <c r="G102" s="219"/>
      <c r="H102" s="250">
        <f>F102*G102</f>
        <v>0</v>
      </c>
      <c r="I102" s="168"/>
      <c r="J102" s="168"/>
      <c r="K102" s="153"/>
    </row>
    <row r="103" spans="1:11" ht="20.25" customHeight="1">
      <c r="A103" s="136">
        <f>A102+0.1</f>
        <v>23.3</v>
      </c>
      <c r="B103" s="217"/>
      <c r="C103" s="218" t="s">
        <v>95</v>
      </c>
      <c r="D103" s="218" t="s">
        <v>96</v>
      </c>
      <c r="E103" s="219">
        <f>2.7/100</f>
        <v>0.03</v>
      </c>
      <c r="F103" s="219">
        <f>F100*E103</f>
        <v>1.54</v>
      </c>
      <c r="G103" s="218"/>
      <c r="H103" s="250">
        <f>F103*G103</f>
        <v>0</v>
      </c>
      <c r="I103" s="168"/>
      <c r="J103" s="166"/>
      <c r="K103" s="153"/>
    </row>
    <row r="104" spans="1:11" ht="20.25" customHeight="1">
      <c r="A104" s="136">
        <f>A103+0.1</f>
        <v>23.4</v>
      </c>
      <c r="B104" s="217"/>
      <c r="C104" s="136" t="s">
        <v>119</v>
      </c>
      <c r="D104" s="136" t="s">
        <v>100</v>
      </c>
      <c r="E104" s="136">
        <f>2.38/100</f>
        <v>0.0238</v>
      </c>
      <c r="F104" s="185">
        <f>F100*E104</f>
        <v>1.22</v>
      </c>
      <c r="G104" s="136"/>
      <c r="H104" s="247">
        <f>F104*G104</f>
        <v>0</v>
      </c>
      <c r="I104" s="168"/>
      <c r="J104" s="166"/>
      <c r="K104" s="153"/>
    </row>
    <row r="105" spans="1:11" ht="20.25" customHeight="1" thickBot="1">
      <c r="A105" s="136">
        <f>A104+0.1</f>
        <v>23.5</v>
      </c>
      <c r="B105" s="220"/>
      <c r="C105" s="137" t="s">
        <v>106</v>
      </c>
      <c r="D105" s="137" t="s">
        <v>96</v>
      </c>
      <c r="E105" s="137">
        <v>0.03</v>
      </c>
      <c r="F105" s="187">
        <f>F100*E105</f>
        <v>1.54</v>
      </c>
      <c r="G105" s="137"/>
      <c r="H105" s="247">
        <f>F105*G105</f>
        <v>0</v>
      </c>
      <c r="I105" s="168"/>
      <c r="J105" s="166"/>
      <c r="K105" s="153"/>
    </row>
    <row r="106" spans="1:11" ht="48" customHeight="1" thickBot="1">
      <c r="A106" s="188">
        <f>A100+1</f>
        <v>24</v>
      </c>
      <c r="B106" s="85" t="s">
        <v>195</v>
      </c>
      <c r="C106" s="141" t="s">
        <v>171</v>
      </c>
      <c r="D106" s="85" t="s">
        <v>92</v>
      </c>
      <c r="E106" s="141"/>
      <c r="F106" s="163">
        <f>5.4*0.12</f>
        <v>0.65</v>
      </c>
      <c r="G106" s="141"/>
      <c r="H106" s="239">
        <f>H107+H108+H109</f>
        <v>0</v>
      </c>
      <c r="I106" s="168"/>
      <c r="J106" s="168"/>
      <c r="K106" s="153"/>
    </row>
    <row r="107" spans="1:11" ht="27" customHeight="1">
      <c r="A107" s="102">
        <f>A106+0.1</f>
        <v>24.1</v>
      </c>
      <c r="B107" s="102" t="s">
        <v>200</v>
      </c>
      <c r="C107" s="103" t="s">
        <v>93</v>
      </c>
      <c r="D107" s="103" t="s">
        <v>94</v>
      </c>
      <c r="E107" s="103">
        <f>1.79*1.15</f>
        <v>2.0585</v>
      </c>
      <c r="F107" s="105">
        <f>F106*E107</f>
        <v>1.34</v>
      </c>
      <c r="G107" s="132"/>
      <c r="H107" s="240">
        <f>F107*G107</f>
        <v>0</v>
      </c>
      <c r="I107" s="168"/>
      <c r="J107" s="168"/>
      <c r="K107" s="153"/>
    </row>
    <row r="108" spans="1:11" ht="27" customHeight="1">
      <c r="A108" s="136">
        <f>A107+0.1</f>
        <v>24.2</v>
      </c>
      <c r="B108" s="136" t="s">
        <v>200</v>
      </c>
      <c r="C108" s="218" t="s">
        <v>95</v>
      </c>
      <c r="D108" s="218" t="s">
        <v>96</v>
      </c>
      <c r="E108" s="148">
        <f>7.6/100*1.15</f>
        <v>0.0874</v>
      </c>
      <c r="F108" s="200">
        <f>F106*E108</f>
        <v>0.06</v>
      </c>
      <c r="G108" s="148"/>
      <c r="H108" s="251">
        <f>F108*G108</f>
        <v>0</v>
      </c>
      <c r="I108" s="168"/>
      <c r="J108" s="168"/>
      <c r="K108" s="153"/>
    </row>
    <row r="109" spans="1:11" ht="27" customHeight="1" thickBot="1">
      <c r="A109" s="137">
        <f>A108+0.1</f>
        <v>24.3</v>
      </c>
      <c r="B109" s="137"/>
      <c r="C109" s="137" t="s">
        <v>173</v>
      </c>
      <c r="D109" s="137" t="s">
        <v>100</v>
      </c>
      <c r="E109" s="137">
        <f>4.4/100</f>
        <v>0.044</v>
      </c>
      <c r="F109" s="187">
        <f>E109*F106</f>
        <v>0.03</v>
      </c>
      <c r="G109" s="137"/>
      <c r="H109" s="248">
        <f>F109*G109</f>
        <v>0</v>
      </c>
      <c r="I109" s="168"/>
      <c r="J109" s="168"/>
      <c r="K109" s="153"/>
    </row>
    <row r="110" spans="1:11" ht="69.75" customHeight="1" thickBot="1">
      <c r="A110" s="188">
        <f>A106+1</f>
        <v>25</v>
      </c>
      <c r="B110" s="214" t="s">
        <v>289</v>
      </c>
      <c r="C110" s="141" t="s">
        <v>208</v>
      </c>
      <c r="D110" s="146" t="s">
        <v>92</v>
      </c>
      <c r="E110" s="162"/>
      <c r="F110" s="189">
        <v>291</v>
      </c>
      <c r="G110" s="162"/>
      <c r="H110" s="239">
        <f>SUM(H111:H115)</f>
        <v>0</v>
      </c>
      <c r="I110" s="168"/>
      <c r="J110" s="168"/>
      <c r="K110" s="153"/>
    </row>
    <row r="111" spans="1:11" ht="27" customHeight="1">
      <c r="A111" s="102">
        <f>A110+0.1</f>
        <v>25.1</v>
      </c>
      <c r="B111" s="103" t="s">
        <v>200</v>
      </c>
      <c r="C111" s="103" t="s">
        <v>93</v>
      </c>
      <c r="D111" s="103" t="s">
        <v>94</v>
      </c>
      <c r="E111" s="96">
        <f>65.8/100*1.15</f>
        <v>0.757</v>
      </c>
      <c r="F111" s="105">
        <f>F110*E111</f>
        <v>220.29</v>
      </c>
      <c r="G111" s="132"/>
      <c r="H111" s="240">
        <f>G111*F111</f>
        <v>0</v>
      </c>
      <c r="I111" s="168"/>
      <c r="J111" s="166"/>
      <c r="K111" s="153"/>
    </row>
    <row r="112" spans="1:11" ht="27" customHeight="1">
      <c r="A112" s="102">
        <f>A111+0.1</f>
        <v>25.2</v>
      </c>
      <c r="B112" s="135" t="s">
        <v>200</v>
      </c>
      <c r="C112" s="135" t="s">
        <v>95</v>
      </c>
      <c r="D112" s="135" t="s">
        <v>98</v>
      </c>
      <c r="E112" s="205">
        <f>0.01*1.15</f>
        <v>0.012</v>
      </c>
      <c r="F112" s="184">
        <f>F110*E112</f>
        <v>3.49</v>
      </c>
      <c r="G112" s="147"/>
      <c r="H112" s="246">
        <f>G112*F112</f>
        <v>0</v>
      </c>
      <c r="I112" s="168"/>
      <c r="J112" s="168"/>
      <c r="K112" s="153"/>
    </row>
    <row r="113" spans="1:11" ht="27" customHeight="1">
      <c r="A113" s="102">
        <f>A112+0.1</f>
        <v>25.3</v>
      </c>
      <c r="B113" s="135"/>
      <c r="C113" s="136" t="s">
        <v>172</v>
      </c>
      <c r="D113" s="136" t="s">
        <v>109</v>
      </c>
      <c r="E113" s="149">
        <v>0.63</v>
      </c>
      <c r="F113" s="185">
        <f>F110*E113</f>
        <v>183.33</v>
      </c>
      <c r="G113" s="149"/>
      <c r="H113" s="247">
        <f>G113*F113</f>
        <v>0</v>
      </c>
      <c r="I113" s="168"/>
      <c r="J113" s="166"/>
      <c r="K113" s="153"/>
    </row>
    <row r="114" spans="1:11" ht="27" customHeight="1">
      <c r="A114" s="102">
        <f>A113+0.1</f>
        <v>25.4</v>
      </c>
      <c r="B114" s="221"/>
      <c r="C114" s="136" t="s">
        <v>120</v>
      </c>
      <c r="D114" s="149" t="s">
        <v>109</v>
      </c>
      <c r="E114" s="149">
        <v>0.79</v>
      </c>
      <c r="F114" s="185">
        <f>F110*E114</f>
        <v>229.89</v>
      </c>
      <c r="G114" s="149"/>
      <c r="H114" s="247">
        <f>G114*F114</f>
        <v>0</v>
      </c>
      <c r="I114" s="168"/>
      <c r="J114" s="166"/>
      <c r="K114" s="153"/>
    </row>
    <row r="115" spans="1:11" ht="27" customHeight="1">
      <c r="A115" s="155">
        <f>A114+0.1</f>
        <v>25.5</v>
      </c>
      <c r="B115" s="296"/>
      <c r="C115" s="137" t="s">
        <v>106</v>
      </c>
      <c r="D115" s="150" t="s">
        <v>107</v>
      </c>
      <c r="E115" s="210">
        <f>1.6/100</f>
        <v>0.016</v>
      </c>
      <c r="F115" s="187">
        <f>F110*E115</f>
        <v>4.66</v>
      </c>
      <c r="G115" s="150"/>
      <c r="H115" s="248">
        <f>G115*F115</f>
        <v>0</v>
      </c>
      <c r="I115" s="168"/>
      <c r="J115" s="166"/>
      <c r="K115" s="153"/>
    </row>
    <row r="116" spans="1:11" ht="39.75" customHeight="1" hidden="1" thickBot="1">
      <c r="A116" s="385">
        <f>A110+1</f>
        <v>26</v>
      </c>
      <c r="B116" s="386"/>
      <c r="C116" s="387"/>
      <c r="D116" s="300"/>
      <c r="E116" s="388"/>
      <c r="F116" s="389"/>
      <c r="G116" s="300"/>
      <c r="H116" s="390"/>
      <c r="I116" s="168"/>
      <c r="J116" s="166"/>
      <c r="K116" s="153"/>
    </row>
    <row r="117" spans="1:11" ht="39.75" customHeight="1" hidden="1" thickBot="1">
      <c r="A117" s="385">
        <f>A111+1</f>
        <v>26</v>
      </c>
      <c r="B117" s="386"/>
      <c r="C117" s="387"/>
      <c r="D117" s="300"/>
      <c r="E117" s="388"/>
      <c r="F117" s="389"/>
      <c r="G117" s="300"/>
      <c r="H117" s="390"/>
      <c r="I117" s="168"/>
      <c r="J117" s="166"/>
      <c r="K117" s="153"/>
    </row>
    <row r="118" spans="1:11" ht="39.75" customHeight="1" hidden="1">
      <c r="A118" s="396">
        <f>A112+1</f>
        <v>26</v>
      </c>
      <c r="B118" s="397"/>
      <c r="C118" s="398"/>
      <c r="D118" s="399"/>
      <c r="E118" s="400"/>
      <c r="F118" s="401"/>
      <c r="G118" s="399"/>
      <c r="H118" s="402"/>
      <c r="I118" s="168"/>
      <c r="J118" s="166"/>
      <c r="K118" s="153"/>
    </row>
    <row r="119" spans="1:11" ht="75.75" customHeight="1">
      <c r="A119" s="233">
        <f>A110+1</f>
        <v>26</v>
      </c>
      <c r="B119" s="221" t="s">
        <v>90</v>
      </c>
      <c r="C119" s="136" t="s">
        <v>298</v>
      </c>
      <c r="D119" s="149" t="s">
        <v>103</v>
      </c>
      <c r="E119" s="209"/>
      <c r="F119" s="185">
        <v>7</v>
      </c>
      <c r="G119" s="149"/>
      <c r="H119" s="247">
        <f>G119*F119</f>
        <v>0</v>
      </c>
      <c r="I119" s="168"/>
      <c r="J119" s="166"/>
      <c r="K119" s="153"/>
    </row>
    <row r="120" spans="1:11" ht="75.75" customHeight="1" hidden="1">
      <c r="A120" s="391"/>
      <c r="B120" s="392"/>
      <c r="C120" s="381"/>
      <c r="D120" s="311"/>
      <c r="E120" s="393"/>
      <c r="F120" s="394"/>
      <c r="G120" s="311"/>
      <c r="H120" s="395"/>
      <c r="I120" s="168"/>
      <c r="J120" s="166"/>
      <c r="K120" s="153"/>
    </row>
    <row r="121" spans="1:12" ht="49.5" customHeight="1">
      <c r="A121" s="102"/>
      <c r="B121" s="102"/>
      <c r="C121" s="297" t="s">
        <v>121</v>
      </c>
      <c r="D121" s="297" t="s">
        <v>107</v>
      </c>
      <c r="E121" s="102"/>
      <c r="F121" s="102"/>
      <c r="G121" s="102"/>
      <c r="H121" s="298">
        <f>H120+H119+H118+H117+H116+H110+H106+H100+H93+H92+H84+H82+H76+H71+H66+H60+H54+H45+H38+H37+H36+H33+H32+H26+H25+H23+H17+H20+H14+H11+H9+H6</f>
        <v>0</v>
      </c>
      <c r="I121" s="222"/>
      <c r="J121" s="222"/>
      <c r="K121" s="222"/>
      <c r="L121" s="223"/>
    </row>
    <row r="122" spans="1:12" ht="21" customHeight="1">
      <c r="A122" s="136"/>
      <c r="B122" s="136"/>
      <c r="C122" s="224" t="s">
        <v>122</v>
      </c>
      <c r="D122" s="136" t="s">
        <v>107</v>
      </c>
      <c r="E122" s="136"/>
      <c r="F122" s="136"/>
      <c r="G122" s="136"/>
      <c r="H122" s="252">
        <f>H111+H107+H101+H94+H85+H83+H77+H72+H67+H61+H55+H46+H39+H27+H24+H18+H12+H15+H10+H7</f>
        <v>0</v>
      </c>
      <c r="I122" s="225"/>
      <c r="J122" s="225"/>
      <c r="K122" s="225"/>
      <c r="L122" s="223"/>
    </row>
    <row r="123" spans="1:13" ht="21" customHeight="1">
      <c r="A123" s="136"/>
      <c r="B123" s="136"/>
      <c r="C123" s="224" t="s">
        <v>123</v>
      </c>
      <c r="D123" s="136" t="s">
        <v>107</v>
      </c>
      <c r="E123" s="136"/>
      <c r="F123" s="136"/>
      <c r="G123" s="136"/>
      <c r="H123" s="249">
        <f>H112+H108+H103+H102+H95+H86+H78+H73+H68+H62+H56+H48+H47+H40+H28+H25+H22+H19+H16+H13+H8</f>
        <v>0</v>
      </c>
      <c r="I123" s="226"/>
      <c r="J123" s="226"/>
      <c r="K123" s="226"/>
      <c r="L123" s="223"/>
      <c r="M123" s="223"/>
    </row>
    <row r="124" spans="1:13" ht="21" customHeight="1">
      <c r="A124" s="136"/>
      <c r="B124" s="136"/>
      <c r="C124" s="136" t="s">
        <v>124</v>
      </c>
      <c r="D124" s="136" t="s">
        <v>107</v>
      </c>
      <c r="E124" s="136"/>
      <c r="F124" s="136"/>
      <c r="G124" s="136"/>
      <c r="H124" s="247">
        <f>H121-H122-H123</f>
        <v>0</v>
      </c>
      <c r="I124" s="227"/>
      <c r="J124" s="227"/>
      <c r="K124" s="227"/>
      <c r="L124" s="223"/>
      <c r="M124" s="223"/>
    </row>
    <row r="125" spans="1:12" ht="44.25" customHeight="1">
      <c r="A125" s="136"/>
      <c r="B125" s="136"/>
      <c r="C125" s="121" t="s">
        <v>121</v>
      </c>
      <c r="D125" s="136" t="s">
        <v>107</v>
      </c>
      <c r="E125" s="136"/>
      <c r="F125" s="136"/>
      <c r="G125" s="136"/>
      <c r="H125" s="233">
        <f>H124+H123+H122</f>
        <v>0</v>
      </c>
      <c r="I125" s="222"/>
      <c r="J125" s="222"/>
      <c r="K125" s="222"/>
      <c r="L125" s="223"/>
    </row>
    <row r="126" spans="1:12" ht="27.75" customHeight="1">
      <c r="A126" s="136"/>
      <c r="B126" s="136"/>
      <c r="C126" s="136" t="s">
        <v>125</v>
      </c>
      <c r="D126" s="228">
        <v>0.1</v>
      </c>
      <c r="E126" s="136"/>
      <c r="F126" s="136"/>
      <c r="G126" s="136"/>
      <c r="H126" s="247">
        <f>D126*H125</f>
        <v>0</v>
      </c>
      <c r="I126" s="227"/>
      <c r="J126" s="227"/>
      <c r="K126" s="227"/>
      <c r="L126" s="223"/>
    </row>
    <row r="127" spans="1:12" ht="27.75" customHeight="1">
      <c r="A127" s="136"/>
      <c r="B127" s="136"/>
      <c r="C127" s="136" t="s">
        <v>126</v>
      </c>
      <c r="D127" s="136" t="s">
        <v>107</v>
      </c>
      <c r="E127" s="136"/>
      <c r="F127" s="136"/>
      <c r="G127" s="136"/>
      <c r="H127" s="233">
        <f>SUM(H125:H126)</f>
        <v>0</v>
      </c>
      <c r="I127" s="222"/>
      <c r="J127" s="222"/>
      <c r="K127" s="222"/>
      <c r="L127" s="223"/>
    </row>
    <row r="128" spans="1:12" ht="27.75" customHeight="1">
      <c r="A128" s="136"/>
      <c r="B128" s="136"/>
      <c r="C128" s="136" t="s">
        <v>127</v>
      </c>
      <c r="D128" s="228">
        <v>0.08</v>
      </c>
      <c r="E128" s="136"/>
      <c r="F128" s="136"/>
      <c r="G128" s="136"/>
      <c r="H128" s="247">
        <f>H127*D128</f>
        <v>0</v>
      </c>
      <c r="I128" s="227"/>
      <c r="J128" s="227"/>
      <c r="K128" s="227"/>
      <c r="L128" s="223"/>
    </row>
    <row r="129" spans="1:12" ht="27.75" customHeight="1">
      <c r="A129" s="136"/>
      <c r="B129" s="136"/>
      <c r="C129" s="121" t="s">
        <v>128</v>
      </c>
      <c r="D129" s="136" t="s">
        <v>107</v>
      </c>
      <c r="E129" s="136"/>
      <c r="F129" s="136"/>
      <c r="G129" s="136"/>
      <c r="H129" s="233">
        <f>SUM(H127:H128)</f>
        <v>0</v>
      </c>
      <c r="I129" s="222"/>
      <c r="J129" s="222"/>
      <c r="K129" s="222"/>
      <c r="L129" s="223"/>
    </row>
    <row r="130" spans="1:12" ht="16.5" customHeight="1">
      <c r="A130" s="229"/>
      <c r="B130" s="229"/>
      <c r="C130" s="230"/>
      <c r="D130" s="229"/>
      <c r="E130" s="229"/>
      <c r="F130" s="229"/>
      <c r="G130" s="229"/>
      <c r="H130" s="222"/>
      <c r="I130" s="222"/>
      <c r="J130" s="222"/>
      <c r="K130" s="222"/>
      <c r="L130" s="223"/>
    </row>
    <row r="131" spans="1:12" ht="16.5" customHeight="1">
      <c r="A131" s="229"/>
      <c r="B131" s="229"/>
      <c r="C131" s="230"/>
      <c r="D131" s="229"/>
      <c r="E131" s="229"/>
      <c r="F131" s="229"/>
      <c r="G131" s="229"/>
      <c r="H131" s="222"/>
      <c r="I131" s="222"/>
      <c r="J131" s="222"/>
      <c r="K131" s="222"/>
      <c r="L131" s="223"/>
    </row>
    <row r="132" spans="1:12" ht="16.5" customHeight="1">
      <c r="A132" s="229"/>
      <c r="B132" s="229"/>
      <c r="C132" s="575" t="s">
        <v>492</v>
      </c>
      <c r="D132" s="229"/>
      <c r="E132" s="586"/>
      <c r="F132" s="586"/>
      <c r="G132" s="586"/>
      <c r="H132" s="222"/>
      <c r="I132" s="222"/>
      <c r="J132" s="222"/>
      <c r="K132" s="222"/>
      <c r="L132" s="223"/>
    </row>
    <row r="133" spans="1:12" ht="16.5" customHeight="1">
      <c r="A133" s="229"/>
      <c r="B133" s="229"/>
      <c r="C133" s="230"/>
      <c r="D133" s="229"/>
      <c r="E133" s="229"/>
      <c r="F133" s="229"/>
      <c r="G133" s="229"/>
      <c r="H133" s="222"/>
      <c r="I133" s="222"/>
      <c r="J133" s="222"/>
      <c r="K133" s="222"/>
      <c r="L133" s="223"/>
    </row>
    <row r="134" spans="1:12" ht="16.5" customHeight="1">
      <c r="A134" s="229"/>
      <c r="B134" s="229"/>
      <c r="C134" s="230"/>
      <c r="D134" s="229"/>
      <c r="E134" s="229"/>
      <c r="F134" s="229"/>
      <c r="G134" s="229"/>
      <c r="H134" s="222"/>
      <c r="I134" s="222"/>
      <c r="J134" s="222"/>
      <c r="K134" s="222"/>
      <c r="L134" s="223"/>
    </row>
    <row r="135" spans="1:12" ht="16.5" customHeight="1">
      <c r="A135" s="229"/>
      <c r="B135" s="229"/>
      <c r="C135" s="230"/>
      <c r="D135" s="229"/>
      <c r="E135" s="229"/>
      <c r="F135" s="229"/>
      <c r="G135" s="229"/>
      <c r="H135" s="222"/>
      <c r="I135" s="222"/>
      <c r="J135" s="222"/>
      <c r="K135" s="222"/>
      <c r="L135" s="223"/>
    </row>
    <row r="136" spans="1:12" ht="16.5" customHeight="1">
      <c r="A136" s="229"/>
      <c r="B136" s="229"/>
      <c r="C136" s="230"/>
      <c r="D136" s="229"/>
      <c r="E136" s="229"/>
      <c r="F136" s="229"/>
      <c r="G136" s="229"/>
      <c r="H136" s="222"/>
      <c r="I136" s="222"/>
      <c r="J136" s="222"/>
      <c r="K136" s="222"/>
      <c r="L136" s="223"/>
    </row>
    <row r="137" spans="1:12" ht="16.5" customHeight="1">
      <c r="A137" s="229"/>
      <c r="B137" s="229"/>
      <c r="C137" s="230"/>
      <c r="D137" s="229"/>
      <c r="E137" s="229"/>
      <c r="F137" s="229"/>
      <c r="G137" s="229"/>
      <c r="H137" s="222"/>
      <c r="I137" s="222"/>
      <c r="J137" s="222"/>
      <c r="K137" s="222"/>
      <c r="L137" s="223"/>
    </row>
    <row r="138" spans="1:12" ht="16.5" customHeight="1">
      <c r="A138" s="229"/>
      <c r="B138" s="229"/>
      <c r="C138" s="230"/>
      <c r="D138" s="229"/>
      <c r="E138" s="229"/>
      <c r="F138" s="229"/>
      <c r="G138" s="229"/>
      <c r="H138" s="222"/>
      <c r="I138" s="222"/>
      <c r="J138" s="222"/>
      <c r="K138" s="222"/>
      <c r="L138" s="223"/>
    </row>
    <row r="139" spans="1:12" ht="16.5" customHeight="1">
      <c r="A139" s="229"/>
      <c r="B139" s="229"/>
      <c r="C139" s="230"/>
      <c r="D139" s="229"/>
      <c r="E139" s="229"/>
      <c r="F139" s="229"/>
      <c r="G139" s="229"/>
      <c r="H139" s="222"/>
      <c r="I139" s="222"/>
      <c r="J139" s="222"/>
      <c r="K139" s="222"/>
      <c r="L139" s="223"/>
    </row>
    <row r="140" spans="1:12" ht="16.5" customHeight="1">
      <c r="A140" s="229"/>
      <c r="B140" s="229"/>
      <c r="C140" s="230"/>
      <c r="D140" s="229"/>
      <c r="E140" s="229"/>
      <c r="F140" s="229"/>
      <c r="G140" s="229"/>
      <c r="H140" s="222"/>
      <c r="I140" s="222"/>
      <c r="J140" s="222"/>
      <c r="K140" s="222"/>
      <c r="L140" s="223"/>
    </row>
    <row r="141" spans="1:12" ht="16.5" customHeight="1">
      <c r="A141" s="229"/>
      <c r="B141" s="229"/>
      <c r="C141" s="230"/>
      <c r="D141" s="229"/>
      <c r="E141" s="229"/>
      <c r="F141" s="229"/>
      <c r="G141" s="229"/>
      <c r="H141" s="222"/>
      <c r="I141" s="222"/>
      <c r="J141" s="222"/>
      <c r="K141" s="222"/>
      <c r="L141" s="223"/>
    </row>
    <row r="142" spans="1:12" ht="16.5" customHeight="1">
      <c r="A142" s="229"/>
      <c r="B142" s="229"/>
      <c r="C142" s="230"/>
      <c r="D142" s="229"/>
      <c r="E142" s="229"/>
      <c r="F142" s="229"/>
      <c r="G142" s="229"/>
      <c r="H142" s="222"/>
      <c r="I142" s="222"/>
      <c r="J142" s="222"/>
      <c r="K142" s="222"/>
      <c r="L142" s="223"/>
    </row>
    <row r="143" spans="1:12" ht="16.5" customHeight="1">
      <c r="A143" s="229"/>
      <c r="B143" s="229"/>
      <c r="C143" s="230"/>
      <c r="D143" s="229"/>
      <c r="E143" s="229"/>
      <c r="F143" s="229"/>
      <c r="G143" s="229"/>
      <c r="H143" s="222"/>
      <c r="I143" s="222"/>
      <c r="J143" s="222"/>
      <c r="K143" s="222"/>
      <c r="L143" s="223"/>
    </row>
    <row r="144" spans="1:12" ht="16.5" customHeight="1">
      <c r="A144" s="229"/>
      <c r="B144" s="229"/>
      <c r="C144" s="230"/>
      <c r="D144" s="229"/>
      <c r="E144" s="229"/>
      <c r="F144" s="229"/>
      <c r="G144" s="229"/>
      <c r="H144" s="222"/>
      <c r="I144" s="222"/>
      <c r="J144" s="222"/>
      <c r="K144" s="222"/>
      <c r="L144" s="223"/>
    </row>
    <row r="145" spans="1:12" ht="16.5" customHeight="1">
      <c r="A145" s="229"/>
      <c r="B145" s="229"/>
      <c r="C145" s="230"/>
      <c r="D145" s="229"/>
      <c r="E145" s="229"/>
      <c r="F145" s="229"/>
      <c r="G145" s="229"/>
      <c r="H145" s="222"/>
      <c r="I145" s="222"/>
      <c r="J145" s="222"/>
      <c r="K145" s="222"/>
      <c r="L145" s="223"/>
    </row>
    <row r="146" spans="1:12" ht="16.5" customHeight="1">
      <c r="A146" s="229"/>
      <c r="B146" s="229"/>
      <c r="C146" s="230"/>
      <c r="D146" s="229"/>
      <c r="E146" s="229"/>
      <c r="F146" s="229"/>
      <c r="G146" s="229"/>
      <c r="H146" s="222"/>
      <c r="I146" s="222"/>
      <c r="J146" s="222"/>
      <c r="K146" s="222"/>
      <c r="L146" s="223"/>
    </row>
    <row r="147" spans="1:12" ht="16.5" customHeight="1">
      <c r="A147" s="229"/>
      <c r="B147" s="229"/>
      <c r="C147" s="230"/>
      <c r="D147" s="229"/>
      <c r="E147" s="229"/>
      <c r="F147" s="229"/>
      <c r="G147" s="229"/>
      <c r="H147" s="222"/>
      <c r="I147" s="222"/>
      <c r="J147" s="222"/>
      <c r="K147" s="222"/>
      <c r="L147" s="223"/>
    </row>
    <row r="148" spans="1:12" ht="16.5" customHeight="1">
      <c r="A148" s="229"/>
      <c r="B148" s="229"/>
      <c r="C148" s="230"/>
      <c r="D148" s="229"/>
      <c r="E148" s="229"/>
      <c r="F148" s="229"/>
      <c r="G148" s="229"/>
      <c r="H148" s="222"/>
      <c r="I148" s="222"/>
      <c r="J148" s="222"/>
      <c r="K148" s="222"/>
      <c r="L148" s="223"/>
    </row>
    <row r="149" spans="1:12" ht="16.5" customHeight="1">
      <c r="A149" s="229"/>
      <c r="B149" s="229"/>
      <c r="C149" s="230"/>
      <c r="D149" s="229"/>
      <c r="E149" s="229"/>
      <c r="F149" s="229"/>
      <c r="G149" s="229"/>
      <c r="H149" s="222"/>
      <c r="I149" s="222"/>
      <c r="J149" s="222"/>
      <c r="K149" s="222"/>
      <c r="L149" s="223"/>
    </row>
    <row r="150" spans="1:12" ht="16.5" customHeight="1">
      <c r="A150" s="229"/>
      <c r="B150" s="229"/>
      <c r="C150" s="230"/>
      <c r="D150" s="229"/>
      <c r="E150" s="229"/>
      <c r="F150" s="229"/>
      <c r="G150" s="229"/>
      <c r="H150" s="222"/>
      <c r="I150" s="222"/>
      <c r="J150" s="222"/>
      <c r="K150" s="222"/>
      <c r="L150" s="223"/>
    </row>
    <row r="151" spans="1:12" ht="16.5" customHeight="1">
      <c r="A151" s="229"/>
      <c r="B151" s="229"/>
      <c r="C151" s="230"/>
      <c r="D151" s="229"/>
      <c r="E151" s="229"/>
      <c r="F151" s="229"/>
      <c r="G151" s="229"/>
      <c r="H151" s="222"/>
      <c r="I151" s="222"/>
      <c r="J151" s="222"/>
      <c r="K151" s="222"/>
      <c r="L151" s="223"/>
    </row>
    <row r="152" spans="1:12" ht="16.5" customHeight="1">
      <c r="A152" s="229"/>
      <c r="B152" s="229"/>
      <c r="C152" s="230"/>
      <c r="D152" s="229"/>
      <c r="E152" s="229"/>
      <c r="F152" s="229"/>
      <c r="G152" s="229"/>
      <c r="H152" s="222"/>
      <c r="I152" s="222"/>
      <c r="J152" s="222"/>
      <c r="K152" s="222"/>
      <c r="L152" s="223"/>
    </row>
    <row r="153" spans="1:12" ht="16.5" customHeight="1">
      <c r="A153" s="229"/>
      <c r="B153" s="229"/>
      <c r="C153" s="230"/>
      <c r="D153" s="229"/>
      <c r="E153" s="229"/>
      <c r="F153" s="229"/>
      <c r="G153" s="229"/>
      <c r="H153" s="222"/>
      <c r="I153" s="222"/>
      <c r="J153" s="222"/>
      <c r="K153" s="222"/>
      <c r="L153" s="223"/>
    </row>
  </sheetData>
  <sheetProtection/>
  <mergeCells count="11">
    <mergeCell ref="C3:C4"/>
    <mergeCell ref="E3:F3"/>
    <mergeCell ref="E132:G132"/>
    <mergeCell ref="A1:H1"/>
    <mergeCell ref="A2:H2"/>
    <mergeCell ref="D3:D4"/>
    <mergeCell ref="A99:H99"/>
    <mergeCell ref="B3:B4"/>
    <mergeCell ref="A3:A4"/>
    <mergeCell ref="A91:H91"/>
    <mergeCell ref="G3:H3"/>
  </mergeCells>
  <printOptions/>
  <pageMargins left="0.4724409448818898" right="0.2" top="0.35433070866141736" bottom="0.31496062992125984" header="0.35433070866141736" footer="0.31496062992125984"/>
  <pageSetup horizontalDpi="300" verticalDpi="300" orientation="portrait" paperSize="9" scale="99" r:id="rId1"/>
  <colBreaks count="1" manualBreakCount="1">
    <brk id="8" max="17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53">
      <selection activeCell="C64" sqref="C64"/>
    </sheetView>
  </sheetViews>
  <sheetFormatPr defaultColWidth="9.00390625" defaultRowHeight="12.75"/>
  <cols>
    <col min="1" max="1" width="5.125" style="62" customWidth="1"/>
    <col min="2" max="2" width="10.375" style="62" customWidth="1"/>
    <col min="3" max="3" width="40.125" style="62" customWidth="1"/>
    <col min="4" max="4" width="7.125" style="62" customWidth="1"/>
    <col min="5" max="7" width="7.875" style="62" customWidth="1"/>
    <col min="8" max="8" width="7.875" style="78" customWidth="1"/>
    <col min="9" max="16384" width="9.125" style="62" customWidth="1"/>
  </cols>
  <sheetData>
    <row r="1" spans="1:8" ht="34.5" customHeight="1">
      <c r="A1" s="614" t="s">
        <v>305</v>
      </c>
      <c r="B1" s="614"/>
      <c r="C1" s="614"/>
      <c r="D1" s="614"/>
      <c r="E1" s="614"/>
      <c r="F1" s="614"/>
      <c r="G1" s="614"/>
      <c r="H1" s="614"/>
    </row>
    <row r="2" spans="1:8" ht="54.75" customHeight="1">
      <c r="A2" s="648" t="s">
        <v>196</v>
      </c>
      <c r="B2" s="648"/>
      <c r="C2" s="648"/>
      <c r="D2" s="648"/>
      <c r="E2" s="648"/>
      <c r="F2" s="648"/>
      <c r="G2" s="648"/>
      <c r="H2" s="648"/>
    </row>
    <row r="3" spans="1:8" ht="68.25" customHeight="1">
      <c r="A3" s="621" t="s">
        <v>7</v>
      </c>
      <c r="B3" s="623" t="s">
        <v>8</v>
      </c>
      <c r="C3" s="621" t="s">
        <v>9</v>
      </c>
      <c r="D3" s="623" t="s">
        <v>24</v>
      </c>
      <c r="E3" s="611" t="s">
        <v>15</v>
      </c>
      <c r="F3" s="613"/>
      <c r="G3" s="611" t="s">
        <v>25</v>
      </c>
      <c r="H3" s="613"/>
    </row>
    <row r="4" spans="1:9" ht="97.5" customHeight="1">
      <c r="A4" s="645"/>
      <c r="B4" s="646"/>
      <c r="C4" s="645"/>
      <c r="D4" s="649"/>
      <c r="E4" s="13" t="s">
        <v>26</v>
      </c>
      <c r="F4" s="13" t="s">
        <v>27</v>
      </c>
      <c r="G4" s="13" t="s">
        <v>26</v>
      </c>
      <c r="H4" s="253" t="s">
        <v>10</v>
      </c>
      <c r="I4" s="63"/>
    </row>
    <row r="5" spans="1:8" ht="15" customHeight="1" thickBot="1">
      <c r="A5" s="50">
        <v>1</v>
      </c>
      <c r="B5" s="50">
        <v>2</v>
      </c>
      <c r="C5" s="50">
        <v>3</v>
      </c>
      <c r="D5" s="48">
        <v>4</v>
      </c>
      <c r="E5" s="48">
        <v>5</v>
      </c>
      <c r="F5" s="48">
        <v>6</v>
      </c>
      <c r="G5" s="48">
        <v>7</v>
      </c>
      <c r="H5" s="254">
        <v>8</v>
      </c>
    </row>
    <row r="6" spans="1:8" ht="55.5" customHeight="1" hidden="1" thickBot="1">
      <c r="A6" s="60"/>
      <c r="B6" s="59"/>
      <c r="C6" s="139"/>
      <c r="D6" s="59"/>
      <c r="E6" s="59"/>
      <c r="F6" s="59"/>
      <c r="G6" s="59"/>
      <c r="H6" s="255"/>
    </row>
    <row r="7" spans="1:9" ht="15" customHeight="1" hidden="1">
      <c r="A7" s="3"/>
      <c r="B7" s="3"/>
      <c r="C7" s="86"/>
      <c r="D7" s="52"/>
      <c r="E7" s="52"/>
      <c r="F7" s="53"/>
      <c r="G7" s="95"/>
      <c r="H7" s="256"/>
      <c r="I7" s="78"/>
    </row>
    <row r="8" spans="1:9" ht="15" customHeight="1" hidden="1" thickBot="1">
      <c r="A8" s="48"/>
      <c r="B8" s="48"/>
      <c r="C8" s="87"/>
      <c r="D8" s="56"/>
      <c r="E8" s="56"/>
      <c r="F8" s="57"/>
      <c r="G8" s="56"/>
      <c r="H8" s="257"/>
      <c r="I8" s="78"/>
    </row>
    <row r="9" spans="1:9" ht="51" customHeight="1" hidden="1" thickBot="1">
      <c r="A9" s="60"/>
      <c r="B9" s="59"/>
      <c r="C9" s="139"/>
      <c r="D9" s="59"/>
      <c r="E9" s="59"/>
      <c r="F9" s="59"/>
      <c r="G9" s="59"/>
      <c r="H9" s="255"/>
      <c r="I9" s="78"/>
    </row>
    <row r="10" spans="1:9" ht="15" customHeight="1" hidden="1">
      <c r="A10" s="3"/>
      <c r="B10" s="3"/>
      <c r="C10" s="86"/>
      <c r="D10" s="52"/>
      <c r="E10" s="52"/>
      <c r="F10" s="53"/>
      <c r="G10" s="52"/>
      <c r="H10" s="256"/>
      <c r="I10" s="78"/>
    </row>
    <row r="11" spans="1:9" ht="15" customHeight="1" hidden="1" thickBot="1">
      <c r="A11" s="48"/>
      <c r="B11" s="48"/>
      <c r="C11" s="87"/>
      <c r="D11" s="56"/>
      <c r="E11" s="56"/>
      <c r="F11" s="57"/>
      <c r="G11" s="56"/>
      <c r="H11" s="257"/>
      <c r="I11" s="78"/>
    </row>
    <row r="12" spans="1:9" ht="68.25" customHeight="1" thickBot="1">
      <c r="A12" s="60">
        <v>1</v>
      </c>
      <c r="B12" s="59" t="s">
        <v>146</v>
      </c>
      <c r="C12" s="59" t="s">
        <v>147</v>
      </c>
      <c r="D12" s="59" t="s">
        <v>66</v>
      </c>
      <c r="E12" s="59"/>
      <c r="F12" s="61">
        <v>0.15</v>
      </c>
      <c r="G12" s="61"/>
      <c r="H12" s="255">
        <f>H13+H14+H15+H16</f>
        <v>0</v>
      </c>
      <c r="I12" s="78"/>
    </row>
    <row r="13" spans="1:9" ht="21.75" customHeight="1">
      <c r="A13" s="3">
        <f>A12+0.1</f>
        <v>1.1</v>
      </c>
      <c r="B13" s="3"/>
      <c r="C13" s="52" t="s">
        <v>0</v>
      </c>
      <c r="D13" s="52" t="s">
        <v>28</v>
      </c>
      <c r="E13" s="53">
        <v>60.9</v>
      </c>
      <c r="F13" s="53">
        <f>E13*F12</f>
        <v>9.14</v>
      </c>
      <c r="G13" s="53"/>
      <c r="H13" s="258">
        <f>F13*G13</f>
        <v>0</v>
      </c>
      <c r="I13" s="78"/>
    </row>
    <row r="14" spans="1:9" ht="21.75" customHeight="1">
      <c r="A14" s="4">
        <f>A13+0.1</f>
        <v>1.2</v>
      </c>
      <c r="B14" s="4"/>
      <c r="C14" s="38" t="s">
        <v>1</v>
      </c>
      <c r="D14" s="38" t="s">
        <v>13</v>
      </c>
      <c r="E14" s="38">
        <v>0.21</v>
      </c>
      <c r="F14" s="9">
        <f>F12*E14</f>
        <v>0.03</v>
      </c>
      <c r="G14" s="9"/>
      <c r="H14" s="259">
        <f>G14*F14</f>
        <v>0</v>
      </c>
      <c r="I14" s="78"/>
    </row>
    <row r="15" spans="1:9" ht="21.75" customHeight="1">
      <c r="A15" s="4">
        <f>A14+0.1</f>
        <v>1.3</v>
      </c>
      <c r="B15" s="4" t="s">
        <v>32</v>
      </c>
      <c r="C15" s="4" t="s">
        <v>458</v>
      </c>
      <c r="D15" s="4" t="s">
        <v>29</v>
      </c>
      <c r="E15" s="4">
        <v>100</v>
      </c>
      <c r="F15" s="15">
        <f>E15*F12</f>
        <v>15</v>
      </c>
      <c r="G15" s="15"/>
      <c r="H15" s="12">
        <f>G15*F15</f>
        <v>0</v>
      </c>
      <c r="I15" s="78"/>
    </row>
    <row r="16" spans="1:9" ht="21.75" customHeight="1" thickBot="1">
      <c r="A16" s="48">
        <f>A15+0.1</f>
        <v>1.4</v>
      </c>
      <c r="B16" s="48"/>
      <c r="C16" s="48" t="s">
        <v>31</v>
      </c>
      <c r="D16" s="48" t="s">
        <v>13</v>
      </c>
      <c r="E16" s="48">
        <v>0.6</v>
      </c>
      <c r="F16" s="77">
        <f>E16*F12</f>
        <v>0.09</v>
      </c>
      <c r="G16" s="79"/>
      <c r="H16" s="260">
        <f>G16*F16</f>
        <v>0</v>
      </c>
      <c r="I16" s="78"/>
    </row>
    <row r="17" spans="1:9" ht="46.5" customHeight="1" thickBot="1">
      <c r="A17" s="60">
        <v>2</v>
      </c>
      <c r="B17" s="59" t="s">
        <v>67</v>
      </c>
      <c r="C17" s="59" t="s">
        <v>68</v>
      </c>
      <c r="D17" s="59" t="s">
        <v>48</v>
      </c>
      <c r="E17" s="59"/>
      <c r="F17" s="94">
        <v>0.4</v>
      </c>
      <c r="G17" s="61"/>
      <c r="H17" s="255">
        <f>H18+H19+H20+H21</f>
        <v>0</v>
      </c>
      <c r="I17" s="78"/>
    </row>
    <row r="18" spans="1:9" ht="21.75" customHeight="1">
      <c r="A18" s="3">
        <f>A17+0.1</f>
        <v>2.1</v>
      </c>
      <c r="B18" s="3"/>
      <c r="C18" s="52" t="s">
        <v>0</v>
      </c>
      <c r="D18" s="52" t="s">
        <v>28</v>
      </c>
      <c r="E18" s="53">
        <v>5.84</v>
      </c>
      <c r="F18" s="53">
        <f>E18*F17</f>
        <v>2.34</v>
      </c>
      <c r="G18" s="53"/>
      <c r="H18" s="258">
        <f>F18*G18</f>
        <v>0</v>
      </c>
      <c r="I18" s="78"/>
    </row>
    <row r="19" spans="1:9" ht="21.75" customHeight="1">
      <c r="A19" s="4">
        <f>A18+0.1</f>
        <v>2.2</v>
      </c>
      <c r="B19" s="4"/>
      <c r="C19" s="38" t="s">
        <v>1</v>
      </c>
      <c r="D19" s="38" t="s">
        <v>13</v>
      </c>
      <c r="E19" s="38">
        <v>2.27</v>
      </c>
      <c r="F19" s="9">
        <f>F17*E19</f>
        <v>0.91</v>
      </c>
      <c r="G19" s="9"/>
      <c r="H19" s="259">
        <f>G19*F19</f>
        <v>0</v>
      </c>
      <c r="I19" s="78"/>
    </row>
    <row r="20" spans="1:9" ht="21.75" customHeight="1">
      <c r="A20" s="4">
        <f>A19+0.1</f>
        <v>2.3</v>
      </c>
      <c r="B20" s="4" t="s">
        <v>32</v>
      </c>
      <c r="C20" s="4" t="s">
        <v>69</v>
      </c>
      <c r="D20" s="4" t="s">
        <v>22</v>
      </c>
      <c r="E20" s="4">
        <v>10</v>
      </c>
      <c r="F20" s="15">
        <f>E20*F17</f>
        <v>4</v>
      </c>
      <c r="G20" s="15"/>
      <c r="H20" s="12">
        <f>G20*F20</f>
        <v>0</v>
      </c>
      <c r="I20" s="78"/>
    </row>
    <row r="21" spans="1:9" ht="21.75" customHeight="1" thickBot="1">
      <c r="A21" s="48">
        <f>A20+0.1</f>
        <v>2.4</v>
      </c>
      <c r="B21" s="48"/>
      <c r="C21" s="48" t="s">
        <v>31</v>
      </c>
      <c r="D21" s="48" t="s">
        <v>13</v>
      </c>
      <c r="E21" s="48">
        <v>0.24</v>
      </c>
      <c r="F21" s="77">
        <f>E21*F17</f>
        <v>0.1</v>
      </c>
      <c r="G21" s="79"/>
      <c r="H21" s="260">
        <f>G21*F21</f>
        <v>0</v>
      </c>
      <c r="I21" s="78"/>
    </row>
    <row r="22" spans="1:9" ht="57.75" customHeight="1" thickBot="1">
      <c r="A22" s="60">
        <f>A17+1</f>
        <v>3</v>
      </c>
      <c r="B22" s="59" t="s">
        <v>72</v>
      </c>
      <c r="C22" s="59" t="s">
        <v>73</v>
      </c>
      <c r="D22" s="59" t="s">
        <v>74</v>
      </c>
      <c r="E22" s="59"/>
      <c r="F22" s="94">
        <v>2</v>
      </c>
      <c r="G22" s="61"/>
      <c r="H22" s="255">
        <f>H23+H24+H25+H26+H27+H28</f>
        <v>0</v>
      </c>
      <c r="I22" s="78"/>
    </row>
    <row r="23" spans="1:9" ht="21.75" customHeight="1">
      <c r="A23" s="3">
        <f aca="true" t="shared" si="0" ref="A23:A28">A22+0.1</f>
        <v>3.1</v>
      </c>
      <c r="B23" s="3"/>
      <c r="C23" s="52" t="s">
        <v>0</v>
      </c>
      <c r="D23" s="52" t="s">
        <v>28</v>
      </c>
      <c r="E23" s="53">
        <v>1.51</v>
      </c>
      <c r="F23" s="53">
        <f>E23*F22</f>
        <v>3.02</v>
      </c>
      <c r="G23" s="53"/>
      <c r="H23" s="258">
        <f>F23*G23</f>
        <v>0</v>
      </c>
      <c r="I23" s="78"/>
    </row>
    <row r="24" spans="1:9" ht="21.75" customHeight="1">
      <c r="A24" s="3">
        <f t="shared" si="0"/>
        <v>3.2</v>
      </c>
      <c r="B24" s="4"/>
      <c r="C24" s="38" t="s">
        <v>1</v>
      </c>
      <c r="D24" s="38" t="s">
        <v>13</v>
      </c>
      <c r="E24" s="38">
        <v>0.13</v>
      </c>
      <c r="F24" s="9">
        <f>F22*E24</f>
        <v>0.26</v>
      </c>
      <c r="G24" s="9"/>
      <c r="H24" s="259">
        <f>G24*F24</f>
        <v>0</v>
      </c>
      <c r="I24" s="78"/>
    </row>
    <row r="25" spans="1:9" ht="21.75" customHeight="1">
      <c r="A25" s="3">
        <f t="shared" si="0"/>
        <v>3.3</v>
      </c>
      <c r="B25" s="4" t="s">
        <v>32</v>
      </c>
      <c r="C25" s="4" t="s">
        <v>75</v>
      </c>
      <c r="D25" s="4" t="s">
        <v>22</v>
      </c>
      <c r="E25" s="4">
        <v>1</v>
      </c>
      <c r="F25" s="8">
        <f>E25*F22</f>
        <v>2</v>
      </c>
      <c r="G25" s="8"/>
      <c r="H25" s="12">
        <f>G25*F25</f>
        <v>0</v>
      </c>
      <c r="I25" s="78"/>
    </row>
    <row r="26" spans="1:9" ht="21.75" customHeight="1">
      <c r="A26" s="3">
        <f t="shared" si="0"/>
        <v>3.4</v>
      </c>
      <c r="B26" s="4" t="s">
        <v>32</v>
      </c>
      <c r="C26" s="4" t="s">
        <v>76</v>
      </c>
      <c r="D26" s="4" t="s">
        <v>22</v>
      </c>
      <c r="E26" s="4">
        <v>2</v>
      </c>
      <c r="F26" s="8">
        <f>E26*F22</f>
        <v>4</v>
      </c>
      <c r="G26" s="8"/>
      <c r="H26" s="12">
        <f>G26*F26</f>
        <v>0</v>
      </c>
      <c r="I26" s="78"/>
    </row>
    <row r="27" spans="1:9" ht="21.75" customHeight="1">
      <c r="A27" s="3">
        <f t="shared" si="0"/>
        <v>3.5</v>
      </c>
      <c r="B27" s="4" t="s">
        <v>32</v>
      </c>
      <c r="C27" s="4" t="s">
        <v>50</v>
      </c>
      <c r="D27" s="4" t="s">
        <v>22</v>
      </c>
      <c r="E27" s="4">
        <v>1.1</v>
      </c>
      <c r="F27" s="8">
        <f>E27*F22</f>
        <v>2.2</v>
      </c>
      <c r="G27" s="8"/>
      <c r="H27" s="12">
        <f>G27*F27</f>
        <v>0</v>
      </c>
      <c r="I27" s="78"/>
    </row>
    <row r="28" spans="1:9" ht="21.75" customHeight="1" thickBot="1">
      <c r="A28" s="3">
        <f t="shared" si="0"/>
        <v>3.6</v>
      </c>
      <c r="B28" s="48"/>
      <c r="C28" s="48" t="s">
        <v>31</v>
      </c>
      <c r="D28" s="48" t="s">
        <v>13</v>
      </c>
      <c r="E28" s="77">
        <v>0.07</v>
      </c>
      <c r="F28" s="77">
        <f>E28*F22</f>
        <v>0.14</v>
      </c>
      <c r="G28" s="77"/>
      <c r="H28" s="260">
        <f>G28*F28</f>
        <v>0</v>
      </c>
      <c r="I28" s="78"/>
    </row>
    <row r="29" spans="1:11" ht="46.5" customHeight="1" hidden="1" thickBot="1">
      <c r="A29" s="60"/>
      <c r="B29" s="59"/>
      <c r="C29" s="59"/>
      <c r="D29" s="59"/>
      <c r="E29" s="59"/>
      <c r="F29" s="59"/>
      <c r="G29" s="61"/>
      <c r="H29" s="255"/>
      <c r="I29" s="78"/>
      <c r="J29" s="62" t="s">
        <v>197</v>
      </c>
      <c r="K29" s="62" t="s">
        <v>198</v>
      </c>
    </row>
    <row r="30" spans="1:9" ht="18.75" customHeight="1" hidden="1">
      <c r="A30" s="3"/>
      <c r="B30" s="3"/>
      <c r="C30" s="52"/>
      <c r="D30" s="52"/>
      <c r="E30" s="75"/>
      <c r="F30" s="53"/>
      <c r="G30" s="53"/>
      <c r="H30" s="258"/>
      <c r="I30" s="78"/>
    </row>
    <row r="31" spans="1:9" ht="18.75" customHeight="1" hidden="1">
      <c r="A31" s="3"/>
      <c r="B31" s="4"/>
      <c r="C31" s="38"/>
      <c r="D31" s="38"/>
      <c r="E31" s="38"/>
      <c r="F31" s="9"/>
      <c r="G31" s="9"/>
      <c r="H31" s="259"/>
      <c r="I31" s="78"/>
    </row>
    <row r="32" spans="1:9" ht="18.75" customHeight="1" hidden="1">
      <c r="A32" s="3"/>
      <c r="B32" s="4"/>
      <c r="C32" s="4"/>
      <c r="D32" s="4"/>
      <c r="E32" s="4"/>
      <c r="F32" s="8"/>
      <c r="G32" s="8"/>
      <c r="H32" s="12"/>
      <c r="I32" s="78"/>
    </row>
    <row r="33" spans="1:9" ht="18.75" customHeight="1" hidden="1">
      <c r="A33" s="3"/>
      <c r="B33" s="4"/>
      <c r="C33" s="4"/>
      <c r="D33" s="4"/>
      <c r="E33" s="4"/>
      <c r="F33" s="8"/>
      <c r="G33" s="8"/>
      <c r="H33" s="12"/>
      <c r="I33" s="78"/>
    </row>
    <row r="34" spans="1:9" ht="18.75" customHeight="1" hidden="1" thickBot="1">
      <c r="A34" s="3"/>
      <c r="B34" s="48"/>
      <c r="C34" s="48"/>
      <c r="D34" s="48"/>
      <c r="E34" s="48"/>
      <c r="F34" s="77"/>
      <c r="G34" s="77"/>
      <c r="H34" s="260"/>
      <c r="I34" s="78"/>
    </row>
    <row r="35" spans="1:9" ht="66" customHeight="1" thickBot="1">
      <c r="A35" s="60">
        <v>4</v>
      </c>
      <c r="B35" s="59" t="s">
        <v>148</v>
      </c>
      <c r="C35" s="59" t="s">
        <v>301</v>
      </c>
      <c r="D35" s="59" t="s">
        <v>22</v>
      </c>
      <c r="E35" s="59"/>
      <c r="F35" s="59">
        <v>1</v>
      </c>
      <c r="G35" s="61"/>
      <c r="H35" s="255">
        <f>H36+H37+H38+H39+H40</f>
        <v>0</v>
      </c>
      <c r="I35" s="78"/>
    </row>
    <row r="36" spans="1:9" ht="18.75" customHeight="1">
      <c r="A36" s="3">
        <f>A35+0.1</f>
        <v>4.1</v>
      </c>
      <c r="B36" s="3"/>
      <c r="C36" s="52" t="s">
        <v>0</v>
      </c>
      <c r="D36" s="52" t="s">
        <v>28</v>
      </c>
      <c r="E36" s="53">
        <v>1.4</v>
      </c>
      <c r="F36" s="53">
        <f>E36*F35</f>
        <v>1.4</v>
      </c>
      <c r="G36" s="53"/>
      <c r="H36" s="258">
        <f>F36*G36</f>
        <v>0</v>
      </c>
      <c r="I36" s="78"/>
    </row>
    <row r="37" spans="1:9" ht="18.75" customHeight="1">
      <c r="A37" s="3">
        <f>A36+0.1</f>
        <v>4.2</v>
      </c>
      <c r="B37" s="4"/>
      <c r="C37" s="38" t="s">
        <v>1</v>
      </c>
      <c r="D37" s="38" t="s">
        <v>13</v>
      </c>
      <c r="E37" s="38">
        <v>0.63</v>
      </c>
      <c r="F37" s="9">
        <f>E37*F35</f>
        <v>0.63</v>
      </c>
      <c r="G37" s="9"/>
      <c r="H37" s="259">
        <f>G37*F37</f>
        <v>0</v>
      </c>
      <c r="I37" s="78"/>
    </row>
    <row r="38" spans="1:9" ht="18.75" customHeight="1">
      <c r="A38" s="3">
        <f>A37+0.1</f>
        <v>4.3</v>
      </c>
      <c r="B38" s="4" t="s">
        <v>32</v>
      </c>
      <c r="C38" s="4" t="s">
        <v>211</v>
      </c>
      <c r="D38" s="4" t="s">
        <v>22</v>
      </c>
      <c r="E38" s="4" t="s">
        <v>19</v>
      </c>
      <c r="F38" s="8">
        <v>1</v>
      </c>
      <c r="G38" s="26"/>
      <c r="H38" s="12">
        <f>G38*F38</f>
        <v>0</v>
      </c>
      <c r="I38" s="78"/>
    </row>
    <row r="39" spans="1:9" ht="18.75" customHeight="1">
      <c r="A39" s="3">
        <f>A38+0.1</f>
        <v>4.4</v>
      </c>
      <c r="B39" s="4" t="s">
        <v>32</v>
      </c>
      <c r="C39" s="4" t="s">
        <v>70</v>
      </c>
      <c r="D39" s="4" t="s">
        <v>22</v>
      </c>
      <c r="E39" s="4">
        <v>2</v>
      </c>
      <c r="F39" s="8">
        <f>E39*F35</f>
        <v>2</v>
      </c>
      <c r="G39" s="8"/>
      <c r="H39" s="12">
        <f>G39*F39</f>
        <v>0</v>
      </c>
      <c r="I39" s="78"/>
    </row>
    <row r="40" spans="1:9" ht="18.75" customHeight="1" thickBot="1">
      <c r="A40" s="3">
        <f>A39+0.1</f>
        <v>4.5</v>
      </c>
      <c r="B40" s="48"/>
      <c r="C40" s="48" t="s">
        <v>71</v>
      </c>
      <c r="D40" s="48" t="s">
        <v>13</v>
      </c>
      <c r="E40" s="48">
        <v>1.5</v>
      </c>
      <c r="F40" s="77">
        <f>E40*F35</f>
        <v>1.5</v>
      </c>
      <c r="G40" s="77"/>
      <c r="H40" s="260">
        <f>G40*F40</f>
        <v>0</v>
      </c>
      <c r="I40" s="78"/>
    </row>
    <row r="41" spans="1:9" ht="52.5" customHeight="1" thickBot="1">
      <c r="A41" s="60">
        <v>5</v>
      </c>
      <c r="B41" s="59" t="s">
        <v>77</v>
      </c>
      <c r="C41" s="59" t="s">
        <v>459</v>
      </c>
      <c r="D41" s="59" t="s">
        <v>74</v>
      </c>
      <c r="E41" s="59"/>
      <c r="F41" s="94">
        <v>2</v>
      </c>
      <c r="G41" s="61"/>
      <c r="H41" s="255">
        <f>SUM(H42:H47)</f>
        <v>0</v>
      </c>
      <c r="I41" s="78"/>
    </row>
    <row r="42" spans="1:9" ht="15.75" customHeight="1">
      <c r="A42" s="3">
        <f aca="true" t="shared" si="1" ref="A42:A47">A41+0.1</f>
        <v>5.1</v>
      </c>
      <c r="B42" s="3"/>
      <c r="C42" s="52" t="s">
        <v>0</v>
      </c>
      <c r="D42" s="52" t="s">
        <v>28</v>
      </c>
      <c r="E42" s="53">
        <v>1.51</v>
      </c>
      <c r="F42" s="53">
        <f>E42*F41</f>
        <v>3.02</v>
      </c>
      <c r="G42" s="53"/>
      <c r="H42" s="258">
        <f>F42*G42</f>
        <v>0</v>
      </c>
      <c r="I42" s="78"/>
    </row>
    <row r="43" spans="1:9" ht="15.75" customHeight="1">
      <c r="A43" s="3">
        <f t="shared" si="1"/>
        <v>5.2</v>
      </c>
      <c r="B43" s="4"/>
      <c r="C43" s="38" t="s">
        <v>1</v>
      </c>
      <c r="D43" s="38" t="s">
        <v>13</v>
      </c>
      <c r="E43" s="38">
        <v>0.13</v>
      </c>
      <c r="F43" s="9">
        <f>F41*E43</f>
        <v>0.26</v>
      </c>
      <c r="G43" s="9"/>
      <c r="H43" s="259">
        <f>G43*F43</f>
        <v>0</v>
      </c>
      <c r="I43" s="78"/>
    </row>
    <row r="44" spans="1:9" ht="15.75" customHeight="1">
      <c r="A44" s="3">
        <f t="shared" si="1"/>
        <v>5.3</v>
      </c>
      <c r="B44" s="4" t="s">
        <v>32</v>
      </c>
      <c r="C44" s="4" t="s">
        <v>49</v>
      </c>
      <c r="D44" s="4" t="s">
        <v>22</v>
      </c>
      <c r="E44" s="4">
        <v>1</v>
      </c>
      <c r="F44" s="8">
        <f>E44*F41</f>
        <v>2</v>
      </c>
      <c r="G44" s="26"/>
      <c r="H44" s="12">
        <f>G44*F44</f>
        <v>0</v>
      </c>
      <c r="I44" s="78"/>
    </row>
    <row r="45" spans="1:9" ht="15.75" customHeight="1">
      <c r="A45" s="3">
        <f t="shared" si="1"/>
        <v>5.4</v>
      </c>
      <c r="B45" s="4" t="s">
        <v>32</v>
      </c>
      <c r="C45" s="4" t="s">
        <v>76</v>
      </c>
      <c r="D45" s="4" t="s">
        <v>22</v>
      </c>
      <c r="E45" s="4">
        <v>2</v>
      </c>
      <c r="F45" s="8">
        <f>F41*E45</f>
        <v>4</v>
      </c>
      <c r="G45" s="8"/>
      <c r="H45" s="12">
        <f>F45*G45</f>
        <v>0</v>
      </c>
      <c r="I45" s="78"/>
    </row>
    <row r="46" spans="1:9" ht="15.75" customHeight="1">
      <c r="A46" s="3">
        <f t="shared" si="1"/>
        <v>5.5</v>
      </c>
      <c r="B46" s="4" t="s">
        <v>32</v>
      </c>
      <c r="C46" s="4" t="s">
        <v>50</v>
      </c>
      <c r="D46" s="4" t="s">
        <v>22</v>
      </c>
      <c r="E46" s="4">
        <v>1.1</v>
      </c>
      <c r="F46" s="8">
        <f>E46*F41</f>
        <v>2.2</v>
      </c>
      <c r="G46" s="8"/>
      <c r="H46" s="12">
        <f>G46*F46</f>
        <v>0</v>
      </c>
      <c r="I46" s="78"/>
    </row>
    <row r="47" spans="1:9" ht="15.75" customHeight="1">
      <c r="A47" s="3">
        <f t="shared" si="1"/>
        <v>5.6</v>
      </c>
      <c r="B47" s="4" t="s">
        <v>32</v>
      </c>
      <c r="C47" s="4" t="s">
        <v>31</v>
      </c>
      <c r="D47" s="4" t="s">
        <v>13</v>
      </c>
      <c r="E47" s="8">
        <v>0.07</v>
      </c>
      <c r="F47" s="8">
        <f>E47*F41</f>
        <v>0.14</v>
      </c>
      <c r="G47" s="8"/>
      <c r="H47" s="12">
        <f>G47*F47</f>
        <v>0</v>
      </c>
      <c r="I47" s="78"/>
    </row>
    <row r="48" spans="1:9" ht="42.75" customHeight="1" hidden="1">
      <c r="A48" s="122"/>
      <c r="B48" s="122"/>
      <c r="C48" s="122"/>
      <c r="D48" s="121"/>
      <c r="E48" s="123"/>
      <c r="F48" s="122"/>
      <c r="G48" s="123"/>
      <c r="H48" s="261"/>
      <c r="I48" s="78"/>
    </row>
    <row r="49" spans="1:9" ht="20.25" customHeight="1" hidden="1">
      <c r="A49" s="124"/>
      <c r="B49" s="124"/>
      <c r="C49" s="125"/>
      <c r="D49" s="125"/>
      <c r="E49" s="125"/>
      <c r="F49" s="126"/>
      <c r="G49" s="125"/>
      <c r="H49" s="262"/>
      <c r="I49" s="78"/>
    </row>
    <row r="50" spans="1:9" ht="20.25" customHeight="1" hidden="1" thickBot="1">
      <c r="A50" s="124"/>
      <c r="B50" s="124"/>
      <c r="C50" s="123"/>
      <c r="D50" s="123"/>
      <c r="E50" s="123"/>
      <c r="F50" s="127"/>
      <c r="G50" s="123"/>
      <c r="H50" s="263"/>
      <c r="I50" s="78"/>
    </row>
    <row r="51" spans="1:9" ht="20.25" customHeight="1" hidden="1" thickBot="1">
      <c r="A51" s="124"/>
      <c r="B51" s="124"/>
      <c r="C51" s="124"/>
      <c r="D51" s="121"/>
      <c r="E51" s="128"/>
      <c r="F51" s="129"/>
      <c r="G51" s="130"/>
      <c r="H51" s="264"/>
      <c r="I51" s="78"/>
    </row>
    <row r="52" spans="1:9" ht="20.25" customHeight="1" hidden="1">
      <c r="A52" s="124"/>
      <c r="B52" s="124"/>
      <c r="C52" s="124"/>
      <c r="D52" s="124"/>
      <c r="E52" s="124"/>
      <c r="F52" s="131"/>
      <c r="G52" s="124"/>
      <c r="H52" s="264"/>
      <c r="I52" s="78"/>
    </row>
    <row r="53" spans="1:8" ht="43.5" customHeight="1">
      <c r="A53" s="4"/>
      <c r="B53" s="4"/>
      <c r="C53" s="6" t="s">
        <v>78</v>
      </c>
      <c r="D53" s="4" t="s">
        <v>13</v>
      </c>
      <c r="E53" s="4"/>
      <c r="F53" s="8"/>
      <c r="G53" s="8"/>
      <c r="H53" s="27">
        <f>H41+H35+H29+H22+H17+H12+H9+H6+H48</f>
        <v>0</v>
      </c>
    </row>
    <row r="54" spans="1:8" ht="33" customHeight="1">
      <c r="A54" s="4"/>
      <c r="B54" s="4"/>
      <c r="C54" s="4" t="s">
        <v>41</v>
      </c>
      <c r="D54" s="4" t="s">
        <v>13</v>
      </c>
      <c r="E54" s="4"/>
      <c r="F54" s="8"/>
      <c r="G54" s="8"/>
      <c r="H54" s="19">
        <f>H42+H49+H36+H30+H23+H13+H18+H7+H10</f>
        <v>0</v>
      </c>
    </row>
    <row r="55" spans="1:8" ht="33" customHeight="1">
      <c r="A55" s="4"/>
      <c r="B55" s="4"/>
      <c r="C55" s="4" t="s">
        <v>42</v>
      </c>
      <c r="D55" s="4" t="s">
        <v>13</v>
      </c>
      <c r="E55" s="4"/>
      <c r="F55" s="8"/>
      <c r="G55" s="8"/>
      <c r="H55" s="31">
        <f>H43+H50+H37+H31+H24+H19+H11+H14+H8</f>
        <v>0</v>
      </c>
    </row>
    <row r="56" spans="1:12" ht="33" customHeight="1">
      <c r="A56" s="4"/>
      <c r="B56" s="4"/>
      <c r="C56" s="4" t="s">
        <v>79</v>
      </c>
      <c r="D56" s="4" t="s">
        <v>13</v>
      </c>
      <c r="E56" s="4"/>
      <c r="F56" s="8"/>
      <c r="G56" s="8"/>
      <c r="H56" s="25">
        <f>H53-H54-H55</f>
        <v>0</v>
      </c>
      <c r="J56" s="78"/>
      <c r="L56" s="265"/>
    </row>
    <row r="57" spans="1:8" ht="33" customHeight="1">
      <c r="A57" s="4"/>
      <c r="B57" s="4"/>
      <c r="C57" s="6" t="s">
        <v>80</v>
      </c>
      <c r="D57" s="4" t="s">
        <v>13</v>
      </c>
      <c r="E57" s="4"/>
      <c r="F57" s="8"/>
      <c r="G57" s="8"/>
      <c r="H57" s="27">
        <f>H54+H55+H56</f>
        <v>0</v>
      </c>
    </row>
    <row r="58" spans="1:8" ht="29.25" customHeight="1">
      <c r="A58" s="4"/>
      <c r="B58" s="4"/>
      <c r="C58" s="4" t="s">
        <v>47</v>
      </c>
      <c r="D58" s="33">
        <v>0.12</v>
      </c>
      <c r="E58" s="4"/>
      <c r="F58" s="8"/>
      <c r="G58" s="8"/>
      <c r="H58" s="25">
        <f>H57*D58</f>
        <v>0</v>
      </c>
    </row>
    <row r="59" spans="1:8" ht="29.25" customHeight="1">
      <c r="A59" s="4"/>
      <c r="B59" s="4"/>
      <c r="C59" s="4" t="s">
        <v>81</v>
      </c>
      <c r="D59" s="4" t="s">
        <v>13</v>
      </c>
      <c r="E59" s="4"/>
      <c r="F59" s="8"/>
      <c r="G59" s="8"/>
      <c r="H59" s="25">
        <f>H57+H58</f>
        <v>0</v>
      </c>
    </row>
    <row r="60" spans="1:8" ht="29.25" customHeight="1">
      <c r="A60" s="4"/>
      <c r="B60" s="4"/>
      <c r="C60" s="4" t="s">
        <v>83</v>
      </c>
      <c r="D60" s="33">
        <v>0.08</v>
      </c>
      <c r="E60" s="4"/>
      <c r="F60" s="8"/>
      <c r="G60" s="8"/>
      <c r="H60" s="25">
        <f>H59*D60</f>
        <v>0</v>
      </c>
    </row>
    <row r="61" spans="1:8" ht="29.25" customHeight="1">
      <c r="A61" s="4"/>
      <c r="B61" s="4"/>
      <c r="C61" s="4" t="s">
        <v>10</v>
      </c>
      <c r="D61" s="4" t="s">
        <v>13</v>
      </c>
      <c r="E61" s="4"/>
      <c r="F61" s="8"/>
      <c r="G61" s="8"/>
      <c r="H61" s="27">
        <f>H59+H60</f>
        <v>0</v>
      </c>
    </row>
    <row r="62" spans="1:8" ht="13.5">
      <c r="A62" s="7"/>
      <c r="B62" s="7"/>
      <c r="C62" s="7"/>
      <c r="D62" s="7"/>
      <c r="E62" s="7"/>
      <c r="F62" s="14"/>
      <c r="G62" s="14"/>
      <c r="H62" s="10"/>
    </row>
    <row r="63" spans="1:8" ht="13.5">
      <c r="A63" s="7"/>
      <c r="B63" s="7"/>
      <c r="C63" s="7"/>
      <c r="D63" s="7"/>
      <c r="E63" s="7"/>
      <c r="F63" s="14"/>
      <c r="G63" s="14"/>
      <c r="H63" s="10"/>
    </row>
    <row r="64" spans="1:8" ht="13.5">
      <c r="A64" s="5"/>
      <c r="B64" s="5"/>
      <c r="C64" s="575" t="s">
        <v>492</v>
      </c>
      <c r="D64" s="5"/>
      <c r="E64" s="614"/>
      <c r="F64" s="614"/>
      <c r="G64" s="614"/>
      <c r="H64" s="88"/>
    </row>
    <row r="65" spans="1:8" ht="13.5">
      <c r="A65" s="5"/>
      <c r="B65" s="5"/>
      <c r="C65" s="5"/>
      <c r="D65" s="5"/>
      <c r="E65" s="5"/>
      <c r="F65" s="5"/>
      <c r="G65" s="5"/>
      <c r="H65" s="88"/>
    </row>
    <row r="66" spans="1:8" ht="13.5">
      <c r="A66" s="5"/>
      <c r="B66" s="5"/>
      <c r="C66" s="5"/>
      <c r="D66" s="5"/>
      <c r="E66" s="5"/>
      <c r="F66" s="5"/>
      <c r="G66" s="5"/>
      <c r="H66" s="88"/>
    </row>
    <row r="67" spans="1:8" ht="13.5">
      <c r="A67" s="5"/>
      <c r="B67" s="5"/>
      <c r="C67" s="5"/>
      <c r="D67" s="5"/>
      <c r="E67" s="5"/>
      <c r="F67" s="5"/>
      <c r="G67" s="5"/>
      <c r="H67" s="88"/>
    </row>
    <row r="111" spans="1:8" ht="13.5">
      <c r="A111" s="644"/>
      <c r="B111" s="644"/>
      <c r="C111" s="644"/>
      <c r="D111" s="644"/>
      <c r="E111" s="644"/>
      <c r="F111" s="644"/>
      <c r="G111" s="644"/>
      <c r="H111" s="644"/>
    </row>
    <row r="112" spans="1:8" ht="13.5">
      <c r="A112" s="644"/>
      <c r="B112" s="644"/>
      <c r="C112" s="644"/>
      <c r="D112" s="644"/>
      <c r="E112" s="644"/>
      <c r="F112" s="644"/>
      <c r="G112" s="644"/>
      <c r="H112" s="644"/>
    </row>
    <row r="113" spans="1:8" ht="13.5">
      <c r="A113" s="644"/>
      <c r="B113" s="644"/>
      <c r="C113" s="644"/>
      <c r="D113" s="644"/>
      <c r="E113" s="644"/>
      <c r="F113" s="644"/>
      <c r="G113" s="644"/>
      <c r="H113" s="644"/>
    </row>
    <row r="114" spans="1:8" ht="13.5">
      <c r="A114" s="644"/>
      <c r="B114" s="644"/>
      <c r="C114" s="644"/>
      <c r="D114" s="644"/>
      <c r="E114" s="644"/>
      <c r="F114" s="644"/>
      <c r="G114" s="644"/>
      <c r="H114" s="644"/>
    </row>
    <row r="115" spans="1:8" ht="13.5">
      <c r="A115" s="647"/>
      <c r="B115" s="647"/>
      <c r="C115" s="647"/>
      <c r="D115" s="647"/>
      <c r="E115" s="647"/>
      <c r="F115" s="647"/>
      <c r="G115" s="647"/>
      <c r="H115" s="647"/>
    </row>
    <row r="116" spans="1:8" ht="13.5">
      <c r="A116" s="644"/>
      <c r="B116" s="644"/>
      <c r="C116" s="644"/>
      <c r="D116" s="644"/>
      <c r="E116" s="644"/>
      <c r="F116" s="644"/>
      <c r="G116" s="644"/>
      <c r="H116" s="644"/>
    </row>
    <row r="117" spans="1:8" ht="13.5">
      <c r="A117" s="644"/>
      <c r="B117" s="644"/>
      <c r="C117" s="644"/>
      <c r="D117" s="644"/>
      <c r="E117" s="644"/>
      <c r="F117" s="644"/>
      <c r="G117" s="644"/>
      <c r="H117" s="644"/>
    </row>
    <row r="118" spans="1:8" ht="13.5">
      <c r="A118" s="647"/>
      <c r="B118" s="647"/>
      <c r="C118" s="647"/>
      <c r="D118" s="647"/>
      <c r="E118" s="647"/>
      <c r="F118" s="647"/>
      <c r="G118" s="647"/>
      <c r="H118" s="647"/>
    </row>
    <row r="119" spans="1:8" ht="13.5">
      <c r="A119" s="644"/>
      <c r="B119" s="644"/>
      <c r="C119" s="644"/>
      <c r="D119" s="644"/>
      <c r="E119" s="644"/>
      <c r="F119" s="644"/>
      <c r="G119" s="644"/>
      <c r="H119" s="644"/>
    </row>
    <row r="120" spans="1:8" ht="14.25" customHeight="1">
      <c r="A120" s="644"/>
      <c r="B120" s="644"/>
      <c r="C120" s="644"/>
      <c r="D120" s="644"/>
      <c r="E120" s="644"/>
      <c r="F120" s="644"/>
      <c r="G120" s="644"/>
      <c r="H120" s="644"/>
    </row>
    <row r="121" spans="1:8" ht="13.5">
      <c r="A121" s="644"/>
      <c r="B121" s="644"/>
      <c r="C121" s="644"/>
      <c r="D121" s="644"/>
      <c r="E121" s="644"/>
      <c r="F121" s="644"/>
      <c r="G121" s="644"/>
      <c r="H121" s="644"/>
    </row>
    <row r="124" spans="1:8" ht="13.5">
      <c r="A124" s="644"/>
      <c r="B124" s="644"/>
      <c r="C124" s="644"/>
      <c r="D124" s="644"/>
      <c r="E124" s="644"/>
      <c r="F124" s="644"/>
      <c r="G124" s="644"/>
      <c r="H124" s="644"/>
    </row>
    <row r="125" spans="1:8" ht="13.5">
      <c r="A125" s="644"/>
      <c r="B125" s="644"/>
      <c r="C125" s="644"/>
      <c r="D125" s="644"/>
      <c r="E125" s="644"/>
      <c r="F125" s="644"/>
      <c r="G125" s="644"/>
      <c r="H125" s="644"/>
    </row>
    <row r="126" spans="1:8" ht="13.5">
      <c r="A126" s="644"/>
      <c r="B126" s="644"/>
      <c r="C126" s="644"/>
      <c r="D126" s="644"/>
      <c r="E126" s="644"/>
      <c r="F126" s="644"/>
      <c r="G126" s="644"/>
      <c r="H126" s="644"/>
    </row>
    <row r="127" spans="1:8" ht="13.5">
      <c r="A127" s="644"/>
      <c r="B127" s="644"/>
      <c r="C127" s="644"/>
      <c r="D127" s="644"/>
      <c r="E127" s="644"/>
      <c r="F127" s="644"/>
      <c r="G127" s="644"/>
      <c r="H127" s="644"/>
    </row>
    <row r="130" spans="1:8" ht="13.5">
      <c r="A130" s="644" t="s">
        <v>82</v>
      </c>
      <c r="B130" s="644"/>
      <c r="C130" s="644"/>
      <c r="D130" s="644"/>
      <c r="E130" s="644"/>
      <c r="F130" s="644"/>
      <c r="G130" s="644"/>
      <c r="H130" s="644"/>
    </row>
  </sheetData>
  <sheetProtection/>
  <mergeCells count="25">
    <mergeCell ref="A126:H126"/>
    <mergeCell ref="G3:H3"/>
    <mergeCell ref="E64:G64"/>
    <mergeCell ref="A111:H111"/>
    <mergeCell ref="A119:H119"/>
    <mergeCell ref="A120:H120"/>
    <mergeCell ref="A121:H121"/>
    <mergeCell ref="A124:H124"/>
    <mergeCell ref="A125:H125"/>
    <mergeCell ref="A1:H1"/>
    <mergeCell ref="A2:H2"/>
    <mergeCell ref="C3:C4"/>
    <mergeCell ref="D3:D4"/>
    <mergeCell ref="E3:F3"/>
    <mergeCell ref="A112:H112"/>
    <mergeCell ref="A113:H113"/>
    <mergeCell ref="A114:H114"/>
    <mergeCell ref="A3:A4"/>
    <mergeCell ref="B3:B4"/>
    <mergeCell ref="A130:H130"/>
    <mergeCell ref="A115:H115"/>
    <mergeCell ref="A116:H116"/>
    <mergeCell ref="A117:H117"/>
    <mergeCell ref="A118:H118"/>
    <mergeCell ref="A127:H127"/>
  </mergeCells>
  <printOptions/>
  <pageMargins left="0.7" right="0.24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70">
      <selection activeCell="C79" sqref="C79:E79"/>
    </sheetView>
  </sheetViews>
  <sheetFormatPr defaultColWidth="9.00390625" defaultRowHeight="12.75"/>
  <cols>
    <col min="1" max="1" width="4.375" style="5" customWidth="1"/>
    <col min="2" max="2" width="10.375" style="5" customWidth="1"/>
    <col min="3" max="4" width="9.125" style="5" customWidth="1"/>
    <col min="5" max="5" width="23.625" style="5" customWidth="1"/>
    <col min="6" max="6" width="7.625" style="5" customWidth="1"/>
    <col min="7" max="10" width="7.125" style="5" customWidth="1"/>
    <col min="11" max="11" width="9.125" style="5" customWidth="1"/>
    <col min="12" max="12" width="12.25390625" style="5" bestFit="1" customWidth="1"/>
    <col min="13" max="13" width="10.375" style="5" bestFit="1" customWidth="1"/>
    <col min="14" max="14" width="12.375" style="5" bestFit="1" customWidth="1"/>
    <col min="15" max="16384" width="9.125" style="5" customWidth="1"/>
  </cols>
  <sheetData>
    <row r="1" spans="1:9" ht="27.75" customHeight="1">
      <c r="A1" s="614" t="s">
        <v>306</v>
      </c>
      <c r="B1" s="614"/>
      <c r="C1" s="614"/>
      <c r="D1" s="614"/>
      <c r="E1" s="614"/>
      <c r="F1" s="614"/>
      <c r="G1" s="614"/>
      <c r="H1" s="614"/>
      <c r="I1" s="614"/>
    </row>
    <row r="2" spans="1:9" ht="59.25" customHeight="1">
      <c r="A2" s="614" t="s">
        <v>250</v>
      </c>
      <c r="B2" s="620"/>
      <c r="C2" s="620"/>
      <c r="D2" s="620"/>
      <c r="E2" s="620"/>
      <c r="F2" s="620"/>
      <c r="G2" s="620"/>
      <c r="H2" s="620"/>
      <c r="I2" s="620"/>
    </row>
    <row r="3" spans="1:10" ht="42" customHeight="1">
      <c r="A3" s="621" t="s">
        <v>7</v>
      </c>
      <c r="B3" s="623" t="s">
        <v>8</v>
      </c>
      <c r="C3" s="624" t="s">
        <v>9</v>
      </c>
      <c r="D3" s="625"/>
      <c r="E3" s="626"/>
      <c r="F3" s="623" t="s">
        <v>24</v>
      </c>
      <c r="G3" s="611" t="s">
        <v>15</v>
      </c>
      <c r="H3" s="619"/>
      <c r="I3" s="611" t="s">
        <v>33</v>
      </c>
      <c r="J3" s="619"/>
    </row>
    <row r="4" spans="1:10" ht="110.25" customHeight="1">
      <c r="A4" s="622"/>
      <c r="B4" s="622"/>
      <c r="C4" s="627"/>
      <c r="D4" s="628"/>
      <c r="E4" s="629"/>
      <c r="F4" s="622"/>
      <c r="G4" s="13" t="s">
        <v>26</v>
      </c>
      <c r="H4" s="13" t="s">
        <v>27</v>
      </c>
      <c r="I4" s="13" t="s">
        <v>26</v>
      </c>
      <c r="J4" s="13" t="s">
        <v>10</v>
      </c>
    </row>
    <row r="5" spans="1:10" ht="14.25" customHeight="1">
      <c r="A5" s="4">
        <v>1</v>
      </c>
      <c r="B5" s="4">
        <v>2</v>
      </c>
      <c r="C5" s="611">
        <v>3</v>
      </c>
      <c r="D5" s="618"/>
      <c r="E5" s="619"/>
      <c r="F5" s="4">
        <v>4</v>
      </c>
      <c r="G5" s="4">
        <v>5</v>
      </c>
      <c r="H5" s="4">
        <v>6</v>
      </c>
      <c r="I5" s="4">
        <v>7</v>
      </c>
      <c r="J5" s="4">
        <v>8</v>
      </c>
    </row>
    <row r="6" spans="1:11" ht="29.25" customHeight="1">
      <c r="A6" s="6">
        <v>1</v>
      </c>
      <c r="B6" s="6" t="s">
        <v>154</v>
      </c>
      <c r="C6" s="615" t="s">
        <v>34</v>
      </c>
      <c r="D6" s="616"/>
      <c r="E6" s="617"/>
      <c r="F6" s="6" t="s">
        <v>29</v>
      </c>
      <c r="G6" s="6"/>
      <c r="H6" s="6">
        <v>30</v>
      </c>
      <c r="I6" s="6"/>
      <c r="J6" s="479">
        <f>SUM(J7:J8)</f>
        <v>0</v>
      </c>
      <c r="K6" s="88"/>
    </row>
    <row r="7" spans="1:11" ht="21.75" customHeight="1">
      <c r="A7" s="4">
        <f>A6+0.1</f>
        <v>1.1</v>
      </c>
      <c r="B7" s="4"/>
      <c r="C7" s="611" t="s">
        <v>17</v>
      </c>
      <c r="D7" s="612"/>
      <c r="E7" s="613"/>
      <c r="F7" s="328" t="s">
        <v>28</v>
      </c>
      <c r="G7" s="328">
        <v>0.28</v>
      </c>
      <c r="H7" s="328">
        <f>H6*G7</f>
        <v>8.4</v>
      </c>
      <c r="I7" s="328"/>
      <c r="J7" s="329">
        <f>H7*I7</f>
        <v>0</v>
      </c>
      <c r="K7" s="88"/>
    </row>
    <row r="8" spans="1:11" ht="21.75" customHeight="1">
      <c r="A8" s="4">
        <f>A7+0.1</f>
        <v>1.2</v>
      </c>
      <c r="B8" s="4"/>
      <c r="C8" s="611" t="s">
        <v>30</v>
      </c>
      <c r="D8" s="612"/>
      <c r="E8" s="613"/>
      <c r="F8" s="38" t="s">
        <v>20</v>
      </c>
      <c r="G8" s="38">
        <v>0.093</v>
      </c>
      <c r="H8" s="38">
        <f>H6*G8</f>
        <v>2.79</v>
      </c>
      <c r="I8" s="38"/>
      <c r="J8" s="330">
        <f>H8*I8</f>
        <v>0</v>
      </c>
      <c r="K8" s="88"/>
    </row>
    <row r="9" spans="1:11" ht="28.5" customHeight="1">
      <c r="A9" s="6">
        <v>2</v>
      </c>
      <c r="B9" s="6" t="s">
        <v>155</v>
      </c>
      <c r="C9" s="615" t="s">
        <v>35</v>
      </c>
      <c r="D9" s="616"/>
      <c r="E9" s="617"/>
      <c r="F9" s="6" t="s">
        <v>12</v>
      </c>
      <c r="G9" s="6"/>
      <c r="H9" s="6">
        <v>0.05</v>
      </c>
      <c r="I9" s="6"/>
      <c r="J9" s="479">
        <f>SUM(J10:J11)</f>
        <v>0</v>
      </c>
      <c r="K9" s="88"/>
    </row>
    <row r="10" spans="1:11" ht="21.75" customHeight="1">
      <c r="A10" s="4">
        <f>A9+0.1</f>
        <v>2.1</v>
      </c>
      <c r="B10" s="4"/>
      <c r="C10" s="611" t="s">
        <v>17</v>
      </c>
      <c r="D10" s="612"/>
      <c r="E10" s="613"/>
      <c r="F10" s="328" t="s">
        <v>28</v>
      </c>
      <c r="G10" s="328">
        <v>85.3</v>
      </c>
      <c r="H10" s="333">
        <f>H9*G10</f>
        <v>4.27</v>
      </c>
      <c r="I10" s="328"/>
      <c r="J10" s="329">
        <f>H10*I10</f>
        <v>0</v>
      </c>
      <c r="K10" s="88"/>
    </row>
    <row r="11" spans="1:11" ht="21.75" customHeight="1">
      <c r="A11" s="4">
        <f>A10+0.1</f>
        <v>2.2</v>
      </c>
      <c r="B11" s="4"/>
      <c r="C11" s="611" t="s">
        <v>30</v>
      </c>
      <c r="D11" s="612"/>
      <c r="E11" s="613"/>
      <c r="F11" s="38" t="s">
        <v>20</v>
      </c>
      <c r="G11" s="38">
        <v>1.1</v>
      </c>
      <c r="H11" s="9">
        <f>H9*G11</f>
        <v>0.06</v>
      </c>
      <c r="I11" s="38"/>
      <c r="J11" s="330">
        <f>H11*I11</f>
        <v>0</v>
      </c>
      <c r="K11" s="88"/>
    </row>
    <row r="12" spans="1:12" ht="35.25" customHeight="1">
      <c r="A12" s="6">
        <v>3</v>
      </c>
      <c r="B12" s="6" t="s">
        <v>156</v>
      </c>
      <c r="C12" s="615" t="s">
        <v>36</v>
      </c>
      <c r="D12" s="616"/>
      <c r="E12" s="617"/>
      <c r="F12" s="6" t="s">
        <v>29</v>
      </c>
      <c r="G12" s="6"/>
      <c r="H12" s="6">
        <v>150</v>
      </c>
      <c r="I12" s="6"/>
      <c r="J12" s="479">
        <f>SUM(J13:J15)</f>
        <v>0</v>
      </c>
      <c r="K12" s="88"/>
      <c r="L12" s="88"/>
    </row>
    <row r="13" spans="1:11" ht="27" customHeight="1">
      <c r="A13" s="4">
        <f>A12+0.1</f>
        <v>3.1</v>
      </c>
      <c r="B13" s="4"/>
      <c r="C13" s="611" t="s">
        <v>17</v>
      </c>
      <c r="D13" s="612"/>
      <c r="E13" s="613"/>
      <c r="F13" s="328" t="s">
        <v>28</v>
      </c>
      <c r="G13" s="328">
        <v>0.15</v>
      </c>
      <c r="H13" s="328">
        <f>H12*G13</f>
        <v>22.5</v>
      </c>
      <c r="I13" s="328"/>
      <c r="J13" s="329">
        <f>H13*I13</f>
        <v>0</v>
      </c>
      <c r="K13" s="88"/>
    </row>
    <row r="14" spans="1:11" ht="25.5" customHeight="1">
      <c r="A14" s="4">
        <f>A13+0.1</f>
        <v>3.2</v>
      </c>
      <c r="B14" s="4"/>
      <c r="C14" s="611" t="s">
        <v>30</v>
      </c>
      <c r="D14" s="612"/>
      <c r="E14" s="613"/>
      <c r="F14" s="38" t="s">
        <v>20</v>
      </c>
      <c r="G14" s="38">
        <v>0.037</v>
      </c>
      <c r="H14" s="38">
        <f>H12*G14</f>
        <v>5.55</v>
      </c>
      <c r="I14" s="38"/>
      <c r="J14" s="330">
        <f>H14*I14</f>
        <v>0</v>
      </c>
      <c r="K14" s="88"/>
    </row>
    <row r="15" spans="1:11" ht="25.5" customHeight="1">
      <c r="A15" s="4">
        <f>A14+0.1</f>
        <v>3.3</v>
      </c>
      <c r="B15" s="4"/>
      <c r="C15" s="611" t="s">
        <v>235</v>
      </c>
      <c r="D15" s="612"/>
      <c r="E15" s="613"/>
      <c r="F15" s="4" t="s">
        <v>29</v>
      </c>
      <c r="G15" s="4"/>
      <c r="H15" s="4">
        <v>150</v>
      </c>
      <c r="I15" s="15"/>
      <c r="J15" s="45">
        <f>H15*I15</f>
        <v>0</v>
      </c>
      <c r="K15" s="88"/>
    </row>
    <row r="16" spans="1:11" ht="34.5" customHeight="1">
      <c r="A16" s="6">
        <v>4</v>
      </c>
      <c r="B16" s="6" t="s">
        <v>54</v>
      </c>
      <c r="C16" s="615" t="s">
        <v>251</v>
      </c>
      <c r="D16" s="616"/>
      <c r="E16" s="617"/>
      <c r="F16" s="6" t="s">
        <v>29</v>
      </c>
      <c r="G16" s="6"/>
      <c r="H16" s="6">
        <v>45</v>
      </c>
      <c r="I16" s="6"/>
      <c r="J16" s="479">
        <f>SUM(J17:J18)</f>
        <v>0</v>
      </c>
      <c r="K16" s="88"/>
    </row>
    <row r="17" spans="1:11" ht="27.75" customHeight="1">
      <c r="A17" s="4">
        <f>A16+0.1</f>
        <v>4.1</v>
      </c>
      <c r="B17" s="4"/>
      <c r="C17" s="611" t="s">
        <v>17</v>
      </c>
      <c r="D17" s="612"/>
      <c r="E17" s="613"/>
      <c r="F17" s="328" t="s">
        <v>28</v>
      </c>
      <c r="G17" s="328">
        <v>0.55</v>
      </c>
      <c r="H17" s="328">
        <f>H16*G17</f>
        <v>24.75</v>
      </c>
      <c r="I17" s="328"/>
      <c r="J17" s="329">
        <f>H17*I17</f>
        <v>0</v>
      </c>
      <c r="K17" s="88"/>
    </row>
    <row r="18" spans="1:11" ht="28.5" customHeight="1">
      <c r="A18" s="4">
        <f>A17+0.1</f>
        <v>4.2</v>
      </c>
      <c r="B18" s="4"/>
      <c r="C18" s="611" t="s">
        <v>30</v>
      </c>
      <c r="D18" s="612"/>
      <c r="E18" s="613"/>
      <c r="F18" s="38" t="s">
        <v>20</v>
      </c>
      <c r="G18" s="38">
        <v>0.35</v>
      </c>
      <c r="H18" s="38">
        <f>H16*G18</f>
        <v>15.75</v>
      </c>
      <c r="I18" s="38"/>
      <c r="J18" s="330">
        <f>H18*I18</f>
        <v>0</v>
      </c>
      <c r="K18" s="88"/>
    </row>
    <row r="19" spans="1:11" ht="34.5" customHeight="1">
      <c r="A19" s="6">
        <v>5</v>
      </c>
      <c r="B19" s="6" t="s">
        <v>54</v>
      </c>
      <c r="C19" s="615" t="s">
        <v>252</v>
      </c>
      <c r="D19" s="616"/>
      <c r="E19" s="617"/>
      <c r="F19" s="6" t="s">
        <v>29</v>
      </c>
      <c r="G19" s="6"/>
      <c r="H19" s="6">
        <v>65</v>
      </c>
      <c r="I19" s="6"/>
      <c r="J19" s="479">
        <f>SUM(J20:J22)</f>
        <v>0</v>
      </c>
      <c r="K19" s="88"/>
    </row>
    <row r="20" spans="1:11" ht="27.75" customHeight="1">
      <c r="A20" s="4">
        <f>A19+0.1</f>
        <v>5.1</v>
      </c>
      <c r="B20" s="4"/>
      <c r="C20" s="611" t="s">
        <v>17</v>
      </c>
      <c r="D20" s="612"/>
      <c r="E20" s="613"/>
      <c r="F20" s="328" t="s">
        <v>28</v>
      </c>
      <c r="G20" s="328">
        <v>0.55</v>
      </c>
      <c r="H20" s="328">
        <f>H19*G20</f>
        <v>35.75</v>
      </c>
      <c r="I20" s="328"/>
      <c r="J20" s="329">
        <f>H20*I20</f>
        <v>0</v>
      </c>
      <c r="K20" s="88"/>
    </row>
    <row r="21" spans="1:11" ht="28.5" customHeight="1">
      <c r="A21" s="4">
        <f>A20+0.1</f>
        <v>5.2</v>
      </c>
      <c r="B21" s="4"/>
      <c r="C21" s="611" t="s">
        <v>30</v>
      </c>
      <c r="D21" s="612"/>
      <c r="E21" s="613"/>
      <c r="F21" s="38" t="s">
        <v>20</v>
      </c>
      <c r="G21" s="38">
        <v>0.35</v>
      </c>
      <c r="H21" s="38">
        <f>H19*G21</f>
        <v>22.75</v>
      </c>
      <c r="I21" s="38"/>
      <c r="J21" s="330">
        <f>H21*I21</f>
        <v>0</v>
      </c>
      <c r="K21" s="88"/>
    </row>
    <row r="22" spans="1:11" ht="26.25" customHeight="1">
      <c r="A22" s="4">
        <f>A21+0.1</f>
        <v>5.3</v>
      </c>
      <c r="B22" s="4"/>
      <c r="C22" s="611" t="s">
        <v>55</v>
      </c>
      <c r="D22" s="612"/>
      <c r="E22" s="613"/>
      <c r="F22" s="4" t="s">
        <v>29</v>
      </c>
      <c r="G22" s="4"/>
      <c r="H22" s="4">
        <v>65</v>
      </c>
      <c r="I22" s="4"/>
      <c r="J22" s="45">
        <f>H22*I22</f>
        <v>0</v>
      </c>
      <c r="K22" s="88"/>
    </row>
    <row r="23" spans="1:12" ht="58.5" customHeight="1">
      <c r="A23" s="6">
        <v>6</v>
      </c>
      <c r="B23" s="6" t="s">
        <v>52</v>
      </c>
      <c r="C23" s="615" t="s">
        <v>236</v>
      </c>
      <c r="D23" s="616"/>
      <c r="E23" s="617"/>
      <c r="F23" s="6" t="s">
        <v>29</v>
      </c>
      <c r="G23" s="6"/>
      <c r="H23" s="6">
        <v>250</v>
      </c>
      <c r="I23" s="6"/>
      <c r="J23" s="479">
        <f>SUM(J24:J26)</f>
        <v>0</v>
      </c>
      <c r="K23" s="88"/>
      <c r="L23" s="88"/>
    </row>
    <row r="24" spans="1:11" ht="27" customHeight="1">
      <c r="A24" s="4">
        <f>A23+0.1</f>
        <v>6.1</v>
      </c>
      <c r="B24" s="4"/>
      <c r="C24" s="611" t="s">
        <v>17</v>
      </c>
      <c r="D24" s="612"/>
      <c r="E24" s="613"/>
      <c r="F24" s="328" t="s">
        <v>28</v>
      </c>
      <c r="G24" s="328">
        <v>0.15</v>
      </c>
      <c r="H24" s="328">
        <f>H23*G24</f>
        <v>37.5</v>
      </c>
      <c r="I24" s="328"/>
      <c r="J24" s="329">
        <f>H24*I24</f>
        <v>0</v>
      </c>
      <c r="K24" s="88"/>
    </row>
    <row r="25" spans="1:11" ht="25.5" customHeight="1">
      <c r="A25" s="4">
        <f>A24+0.1</f>
        <v>6.2</v>
      </c>
      <c r="B25" s="4"/>
      <c r="C25" s="611" t="s">
        <v>30</v>
      </c>
      <c r="D25" s="612"/>
      <c r="E25" s="613"/>
      <c r="F25" s="38" t="s">
        <v>20</v>
      </c>
      <c r="G25" s="38">
        <v>0.037</v>
      </c>
      <c r="H25" s="38">
        <f>H23*G25</f>
        <v>9.25</v>
      </c>
      <c r="I25" s="38"/>
      <c r="J25" s="330">
        <f>H25*I25</f>
        <v>0</v>
      </c>
      <c r="K25" s="88"/>
    </row>
    <row r="26" spans="1:11" ht="25.5" customHeight="1">
      <c r="A26" s="4">
        <f>A25+0.1</f>
        <v>6.3</v>
      </c>
      <c r="B26" s="4"/>
      <c r="C26" s="611" t="s">
        <v>53</v>
      </c>
      <c r="D26" s="612"/>
      <c r="E26" s="613"/>
      <c r="F26" s="4" t="s">
        <v>29</v>
      </c>
      <c r="G26" s="4"/>
      <c r="H26" s="4">
        <v>250</v>
      </c>
      <c r="I26" s="4"/>
      <c r="J26" s="45">
        <f>H26*I26</f>
        <v>0</v>
      </c>
      <c r="K26" s="88"/>
    </row>
    <row r="27" spans="1:11" ht="34.5" customHeight="1">
      <c r="A27" s="6">
        <v>8</v>
      </c>
      <c r="B27" s="6" t="s">
        <v>157</v>
      </c>
      <c r="C27" s="615" t="s">
        <v>37</v>
      </c>
      <c r="D27" s="616"/>
      <c r="E27" s="617"/>
      <c r="F27" s="6" t="s">
        <v>16</v>
      </c>
      <c r="G27" s="6"/>
      <c r="H27" s="6">
        <v>12</v>
      </c>
      <c r="I27" s="6"/>
      <c r="J27" s="479">
        <f>SUM(J28:J30)</f>
        <v>0</v>
      </c>
      <c r="K27" s="88"/>
    </row>
    <row r="28" spans="1:11" ht="27.75" customHeight="1">
      <c r="A28" s="4">
        <f>A27+0.1</f>
        <v>8.1</v>
      </c>
      <c r="B28" s="4"/>
      <c r="C28" s="611" t="s">
        <v>17</v>
      </c>
      <c r="D28" s="612"/>
      <c r="E28" s="613"/>
      <c r="F28" s="328" t="s">
        <v>28</v>
      </c>
      <c r="G28" s="328">
        <v>0.23</v>
      </c>
      <c r="H28" s="328">
        <f>H27*G28</f>
        <v>2.76</v>
      </c>
      <c r="I28" s="328"/>
      <c r="J28" s="329">
        <f>H28*I28</f>
        <v>0</v>
      </c>
      <c r="K28" s="88"/>
    </row>
    <row r="29" spans="1:11" ht="28.5" customHeight="1">
      <c r="A29" s="4">
        <f>A28+0.1</f>
        <v>8.2</v>
      </c>
      <c r="B29" s="4"/>
      <c r="C29" s="611" t="s">
        <v>30</v>
      </c>
      <c r="D29" s="612"/>
      <c r="E29" s="613"/>
      <c r="F29" s="38" t="s">
        <v>20</v>
      </c>
      <c r="G29" s="38">
        <v>0.005</v>
      </c>
      <c r="H29" s="38">
        <f>H27*G29</f>
        <v>0.06</v>
      </c>
      <c r="I29" s="38"/>
      <c r="J29" s="330">
        <f>H29*I29</f>
        <v>0</v>
      </c>
      <c r="K29" s="88"/>
    </row>
    <row r="30" spans="1:11" ht="26.25" customHeight="1">
      <c r="A30" s="4">
        <f>A29+0.1</f>
        <v>8.3</v>
      </c>
      <c r="B30" s="4"/>
      <c r="C30" s="611" t="s">
        <v>56</v>
      </c>
      <c r="D30" s="612"/>
      <c r="E30" s="613"/>
      <c r="F30" s="4" t="s">
        <v>16</v>
      </c>
      <c r="G30" s="4"/>
      <c r="H30" s="4">
        <v>12</v>
      </c>
      <c r="I30" s="4"/>
      <c r="J30" s="45">
        <f>H30*I30</f>
        <v>0</v>
      </c>
      <c r="K30" s="88"/>
    </row>
    <row r="31" spans="1:11" ht="44.25" customHeight="1">
      <c r="A31" s="6">
        <v>9</v>
      </c>
      <c r="B31" s="6" t="s">
        <v>160</v>
      </c>
      <c r="C31" s="615" t="s">
        <v>38</v>
      </c>
      <c r="D31" s="616"/>
      <c r="E31" s="617"/>
      <c r="F31" s="6" t="s">
        <v>16</v>
      </c>
      <c r="G31" s="6"/>
      <c r="H31" s="6">
        <v>17</v>
      </c>
      <c r="I31" s="6"/>
      <c r="J31" s="479">
        <f>SUM(J32:J34)</f>
        <v>0</v>
      </c>
      <c r="K31" s="88"/>
    </row>
    <row r="32" spans="1:11" ht="30" customHeight="1">
      <c r="A32" s="4">
        <f>A31+0.1</f>
        <v>9.1</v>
      </c>
      <c r="B32" s="4"/>
      <c r="C32" s="611" t="s">
        <v>17</v>
      </c>
      <c r="D32" s="612"/>
      <c r="E32" s="613"/>
      <c r="F32" s="328" t="s">
        <v>28</v>
      </c>
      <c r="G32" s="328">
        <v>0.25</v>
      </c>
      <c r="H32" s="328">
        <f>H31*G32</f>
        <v>4.25</v>
      </c>
      <c r="I32" s="328"/>
      <c r="J32" s="329">
        <f>H32*I32</f>
        <v>0</v>
      </c>
      <c r="K32" s="88"/>
    </row>
    <row r="33" spans="1:11" ht="29.25" customHeight="1">
      <c r="A33" s="4">
        <f>A32+0.1</f>
        <v>9.2</v>
      </c>
      <c r="B33" s="4"/>
      <c r="C33" s="611" t="s">
        <v>30</v>
      </c>
      <c r="D33" s="612"/>
      <c r="E33" s="613"/>
      <c r="F33" s="38" t="s">
        <v>20</v>
      </c>
      <c r="G33" s="38">
        <v>0.002</v>
      </c>
      <c r="H33" s="38">
        <f>H31*G33</f>
        <v>0.034</v>
      </c>
      <c r="I33" s="38"/>
      <c r="J33" s="330">
        <f>H33*I33</f>
        <v>0</v>
      </c>
      <c r="K33" s="88"/>
    </row>
    <row r="34" spans="1:11" ht="31.5" customHeight="1">
      <c r="A34" s="4">
        <f>A33+0.1</f>
        <v>9.3</v>
      </c>
      <c r="B34" s="4"/>
      <c r="C34" s="611" t="s">
        <v>39</v>
      </c>
      <c r="D34" s="612"/>
      <c r="E34" s="613"/>
      <c r="F34" s="4" t="s">
        <v>16</v>
      </c>
      <c r="G34" s="4"/>
      <c r="H34" s="4">
        <v>17</v>
      </c>
      <c r="I34" s="4"/>
      <c r="J34" s="45">
        <f>H34*I34</f>
        <v>0</v>
      </c>
      <c r="K34" s="88"/>
    </row>
    <row r="35" spans="1:11" ht="34.5" customHeight="1">
      <c r="A35" s="6">
        <v>10</v>
      </c>
      <c r="B35" s="6" t="s">
        <v>57</v>
      </c>
      <c r="C35" s="615" t="s">
        <v>58</v>
      </c>
      <c r="D35" s="616"/>
      <c r="E35" s="617"/>
      <c r="F35" s="6" t="s">
        <v>16</v>
      </c>
      <c r="G35" s="6"/>
      <c r="H35" s="6">
        <v>4</v>
      </c>
      <c r="I35" s="6"/>
      <c r="J35" s="479">
        <f>SUM(J36:J38)</f>
        <v>0</v>
      </c>
      <c r="K35" s="88"/>
    </row>
    <row r="36" spans="1:11" ht="27.75" customHeight="1">
      <c r="A36" s="4">
        <f>A35+0.1</f>
        <v>10.1</v>
      </c>
      <c r="B36" s="4"/>
      <c r="C36" s="611" t="s">
        <v>17</v>
      </c>
      <c r="D36" s="612"/>
      <c r="E36" s="613"/>
      <c r="F36" s="328" t="s">
        <v>28</v>
      </c>
      <c r="G36" s="328">
        <v>0.35</v>
      </c>
      <c r="H36" s="328">
        <f>H35*G36</f>
        <v>1.4</v>
      </c>
      <c r="I36" s="328"/>
      <c r="J36" s="329">
        <f>H36*I36</f>
        <v>0</v>
      </c>
      <c r="K36" s="88"/>
    </row>
    <row r="37" spans="1:11" ht="28.5" customHeight="1">
      <c r="A37" s="4">
        <f>A36+0.1</f>
        <v>10.2</v>
      </c>
      <c r="B37" s="4"/>
      <c r="C37" s="611" t="s">
        <v>30</v>
      </c>
      <c r="D37" s="612"/>
      <c r="E37" s="613"/>
      <c r="F37" s="38" t="s">
        <v>20</v>
      </c>
      <c r="G37" s="38">
        <v>0.004</v>
      </c>
      <c r="H37" s="38">
        <f>H35*G37</f>
        <v>0.016</v>
      </c>
      <c r="I37" s="38"/>
      <c r="J37" s="330">
        <f>H37*I37</f>
        <v>0</v>
      </c>
      <c r="K37" s="88"/>
    </row>
    <row r="38" spans="1:11" ht="26.25" customHeight="1">
      <c r="A38" s="4">
        <f>A37+0.1</f>
        <v>10.3</v>
      </c>
      <c r="B38" s="4"/>
      <c r="C38" s="611" t="s">
        <v>56</v>
      </c>
      <c r="D38" s="612"/>
      <c r="E38" s="613"/>
      <c r="F38" s="4" t="s">
        <v>16</v>
      </c>
      <c r="G38" s="4"/>
      <c r="H38" s="4">
        <v>4</v>
      </c>
      <c r="I38" s="4"/>
      <c r="J38" s="45">
        <f>H38*I38</f>
        <v>0</v>
      </c>
      <c r="K38" s="88"/>
    </row>
    <row r="39" spans="1:11" ht="56.25" customHeight="1">
      <c r="A39" s="6">
        <v>11</v>
      </c>
      <c r="B39" s="6" t="s">
        <v>59</v>
      </c>
      <c r="C39" s="615" t="s">
        <v>238</v>
      </c>
      <c r="D39" s="616"/>
      <c r="E39" s="617"/>
      <c r="F39" s="6" t="s">
        <v>16</v>
      </c>
      <c r="G39" s="6"/>
      <c r="H39" s="6">
        <v>4</v>
      </c>
      <c r="I39" s="6"/>
      <c r="J39" s="479">
        <f>SUM(J40:J42)</f>
        <v>0</v>
      </c>
      <c r="K39" s="88"/>
    </row>
    <row r="40" spans="1:11" ht="30" customHeight="1">
      <c r="A40" s="4">
        <f>A39+0.1</f>
        <v>11.1</v>
      </c>
      <c r="B40" s="4"/>
      <c r="C40" s="611" t="s">
        <v>17</v>
      </c>
      <c r="D40" s="612"/>
      <c r="E40" s="613"/>
      <c r="F40" s="328" t="s">
        <v>28</v>
      </c>
      <c r="G40" s="328">
        <v>2</v>
      </c>
      <c r="H40" s="328">
        <f>H39*G40</f>
        <v>8</v>
      </c>
      <c r="I40" s="328"/>
      <c r="J40" s="329">
        <f>H40*I40</f>
        <v>0</v>
      </c>
      <c r="K40" s="88"/>
    </row>
    <row r="41" spans="1:11" ht="29.25" customHeight="1">
      <c r="A41" s="4">
        <f>A40+0.1</f>
        <v>11.2</v>
      </c>
      <c r="B41" s="4"/>
      <c r="C41" s="611" t="s">
        <v>30</v>
      </c>
      <c r="D41" s="612"/>
      <c r="E41" s="613"/>
      <c r="F41" s="38" t="s">
        <v>20</v>
      </c>
      <c r="G41" s="38">
        <v>0.07</v>
      </c>
      <c r="H41" s="38">
        <f>H39*G41</f>
        <v>0.28</v>
      </c>
      <c r="I41" s="38"/>
      <c r="J41" s="330">
        <f>H41*I41</f>
        <v>0</v>
      </c>
      <c r="K41" s="88"/>
    </row>
    <row r="42" spans="1:11" ht="31.5" customHeight="1">
      <c r="A42" s="4">
        <f>A41+0.1</f>
        <v>11.3</v>
      </c>
      <c r="B42" s="4"/>
      <c r="C42" s="611" t="s">
        <v>60</v>
      </c>
      <c r="D42" s="612"/>
      <c r="E42" s="613"/>
      <c r="F42" s="4" t="s">
        <v>16</v>
      </c>
      <c r="G42" s="4"/>
      <c r="H42" s="4">
        <v>4</v>
      </c>
      <c r="I42" s="4"/>
      <c r="J42" s="45">
        <f>H42*I42</f>
        <v>0</v>
      </c>
      <c r="K42" s="88"/>
    </row>
    <row r="43" spans="1:11" ht="42.75" customHeight="1">
      <c r="A43" s="6">
        <v>12</v>
      </c>
      <c r="B43" s="6" t="s">
        <v>61</v>
      </c>
      <c r="C43" s="615" t="s">
        <v>62</v>
      </c>
      <c r="D43" s="616"/>
      <c r="E43" s="617"/>
      <c r="F43" s="6" t="s">
        <v>16</v>
      </c>
      <c r="G43" s="6"/>
      <c r="H43" s="6">
        <v>4</v>
      </c>
      <c r="I43" s="6"/>
      <c r="J43" s="479">
        <f>SUM(J44:J46)</f>
        <v>0</v>
      </c>
      <c r="K43" s="88"/>
    </row>
    <row r="44" spans="1:11" ht="30" customHeight="1">
      <c r="A44" s="4">
        <f>A43+0.1</f>
        <v>12.1</v>
      </c>
      <c r="B44" s="4"/>
      <c r="C44" s="611" t="s">
        <v>17</v>
      </c>
      <c r="D44" s="612"/>
      <c r="E44" s="613"/>
      <c r="F44" s="328" t="s">
        <v>28</v>
      </c>
      <c r="G44" s="328">
        <v>0.39</v>
      </c>
      <c r="H44" s="328">
        <f>H43*G44</f>
        <v>1.56</v>
      </c>
      <c r="I44" s="328"/>
      <c r="J44" s="329">
        <f>H44*I44</f>
        <v>0</v>
      </c>
      <c r="K44" s="88"/>
    </row>
    <row r="45" spans="1:11" ht="29.25" customHeight="1">
      <c r="A45" s="4">
        <f>A44+0.1</f>
        <v>12.2</v>
      </c>
      <c r="B45" s="4"/>
      <c r="C45" s="611" t="s">
        <v>30</v>
      </c>
      <c r="D45" s="612"/>
      <c r="E45" s="613"/>
      <c r="F45" s="38" t="s">
        <v>20</v>
      </c>
      <c r="G45" s="38">
        <v>0.011</v>
      </c>
      <c r="H45" s="38">
        <f>H43*G45</f>
        <v>0.044</v>
      </c>
      <c r="I45" s="38"/>
      <c r="J45" s="330">
        <f>H45*I45</f>
        <v>0</v>
      </c>
      <c r="K45" s="88"/>
    </row>
    <row r="46" spans="1:11" ht="31.5" customHeight="1">
      <c r="A46" s="4">
        <f>A45+0.1</f>
        <v>12.3</v>
      </c>
      <c r="B46" s="4"/>
      <c r="C46" s="611" t="s">
        <v>39</v>
      </c>
      <c r="D46" s="612"/>
      <c r="E46" s="613"/>
      <c r="F46" s="4" t="s">
        <v>16</v>
      </c>
      <c r="G46" s="4"/>
      <c r="H46" s="4">
        <v>4</v>
      </c>
      <c r="I46" s="4"/>
      <c r="J46" s="45">
        <f>H46*I46</f>
        <v>0</v>
      </c>
      <c r="K46" s="88"/>
    </row>
    <row r="47" spans="1:11" ht="51" customHeight="1">
      <c r="A47" s="6">
        <v>13</v>
      </c>
      <c r="B47" s="6" t="s">
        <v>63</v>
      </c>
      <c r="C47" s="615" t="s">
        <v>253</v>
      </c>
      <c r="D47" s="616"/>
      <c r="E47" s="617"/>
      <c r="F47" s="6" t="s">
        <v>16</v>
      </c>
      <c r="G47" s="6"/>
      <c r="H47" s="6">
        <v>9</v>
      </c>
      <c r="I47" s="6"/>
      <c r="J47" s="479">
        <f>SUM(J48:J49)</f>
        <v>0</v>
      </c>
      <c r="K47" s="88"/>
    </row>
    <row r="48" spans="1:11" ht="33" customHeight="1">
      <c r="A48" s="4">
        <f>A47+0.1</f>
        <v>13.1</v>
      </c>
      <c r="B48" s="4" t="s">
        <v>254</v>
      </c>
      <c r="C48" s="611" t="s">
        <v>17</v>
      </c>
      <c r="D48" s="612"/>
      <c r="E48" s="613"/>
      <c r="F48" s="328" t="s">
        <v>28</v>
      </c>
      <c r="G48" s="333">
        <f>0.66*1.3</f>
        <v>0.86</v>
      </c>
      <c r="H48" s="333">
        <f>H47*G48</f>
        <v>7.74</v>
      </c>
      <c r="I48" s="328"/>
      <c r="J48" s="329">
        <f>H48*I48</f>
        <v>0</v>
      </c>
      <c r="K48" s="88"/>
    </row>
    <row r="49" spans="1:11" ht="28.5" customHeight="1">
      <c r="A49" s="4">
        <f>A48+0.1</f>
        <v>13.2</v>
      </c>
      <c r="B49" s="4"/>
      <c r="C49" s="611" t="s">
        <v>30</v>
      </c>
      <c r="D49" s="612"/>
      <c r="E49" s="613"/>
      <c r="F49" s="38" t="s">
        <v>20</v>
      </c>
      <c r="G49" s="38">
        <v>0.51</v>
      </c>
      <c r="H49" s="38">
        <f>H47*G49</f>
        <v>4.59</v>
      </c>
      <c r="I49" s="38"/>
      <c r="J49" s="330">
        <f>H49*I49</f>
        <v>0</v>
      </c>
      <c r="K49" s="88"/>
    </row>
    <row r="50" spans="1:11" ht="51" customHeight="1">
      <c r="A50" s="6">
        <v>13</v>
      </c>
      <c r="B50" s="6" t="s">
        <v>63</v>
      </c>
      <c r="C50" s="615" t="s">
        <v>255</v>
      </c>
      <c r="D50" s="616"/>
      <c r="E50" s="617"/>
      <c r="F50" s="6" t="s">
        <v>16</v>
      </c>
      <c r="G50" s="6"/>
      <c r="H50" s="6">
        <v>16</v>
      </c>
      <c r="I50" s="6"/>
      <c r="J50" s="479">
        <f>SUM(J51:J53)</f>
        <v>0</v>
      </c>
      <c r="K50" s="88"/>
    </row>
    <row r="51" spans="1:11" ht="33" customHeight="1">
      <c r="A51" s="4">
        <f>A50+0.1</f>
        <v>13.1</v>
      </c>
      <c r="B51" s="4"/>
      <c r="C51" s="611" t="s">
        <v>17</v>
      </c>
      <c r="D51" s="612"/>
      <c r="E51" s="613"/>
      <c r="F51" s="328" t="s">
        <v>28</v>
      </c>
      <c r="G51" s="328">
        <v>0.66</v>
      </c>
      <c r="H51" s="328">
        <f>H50*G51</f>
        <v>10.56</v>
      </c>
      <c r="I51" s="328"/>
      <c r="J51" s="329">
        <f>H51*I51</f>
        <v>0</v>
      </c>
      <c r="K51" s="88"/>
    </row>
    <row r="52" spans="1:11" ht="28.5" customHeight="1">
      <c r="A52" s="4">
        <f>A51+0.1</f>
        <v>13.2</v>
      </c>
      <c r="B52" s="4"/>
      <c r="C52" s="611" t="s">
        <v>30</v>
      </c>
      <c r="D52" s="612"/>
      <c r="E52" s="613"/>
      <c r="F52" s="38" t="s">
        <v>20</v>
      </c>
      <c r="G52" s="38">
        <v>0.51</v>
      </c>
      <c r="H52" s="38">
        <f>H50*G52</f>
        <v>8.16</v>
      </c>
      <c r="I52" s="38"/>
      <c r="J52" s="330">
        <f>H52*I52</f>
        <v>0</v>
      </c>
      <c r="K52" s="88"/>
    </row>
    <row r="53" spans="1:11" ht="28.5" customHeight="1">
      <c r="A53" s="4">
        <f>A52+0.1</f>
        <v>13.3</v>
      </c>
      <c r="B53" s="4"/>
      <c r="C53" s="611" t="s">
        <v>64</v>
      </c>
      <c r="D53" s="612"/>
      <c r="E53" s="613"/>
      <c r="F53" s="4" t="s">
        <v>16</v>
      </c>
      <c r="G53" s="4"/>
      <c r="H53" s="4">
        <v>16</v>
      </c>
      <c r="I53" s="4"/>
      <c r="J53" s="45">
        <f>H53*I53</f>
        <v>0</v>
      </c>
      <c r="K53" s="88"/>
    </row>
    <row r="54" spans="1:11" ht="34.5" customHeight="1">
      <c r="A54" s="6">
        <v>14</v>
      </c>
      <c r="B54" s="6" t="s">
        <v>240</v>
      </c>
      <c r="C54" s="615" t="s">
        <v>319</v>
      </c>
      <c r="D54" s="616"/>
      <c r="E54" s="617"/>
      <c r="F54" s="6" t="s">
        <v>16</v>
      </c>
      <c r="G54" s="6"/>
      <c r="H54" s="6">
        <v>7</v>
      </c>
      <c r="I54" s="6"/>
      <c r="J54" s="479">
        <f>SUM(J55:J60)</f>
        <v>0</v>
      </c>
      <c r="K54" s="88"/>
    </row>
    <row r="55" spans="1:11" ht="33" customHeight="1">
      <c r="A55" s="4">
        <f>A54+0.1</f>
        <v>14.1</v>
      </c>
      <c r="B55" s="4"/>
      <c r="C55" s="611" t="s">
        <v>17</v>
      </c>
      <c r="D55" s="612"/>
      <c r="E55" s="613"/>
      <c r="F55" s="328" t="s">
        <v>28</v>
      </c>
      <c r="G55" s="328">
        <v>2.3</v>
      </c>
      <c r="H55" s="328">
        <f>H54*G55</f>
        <v>16.1</v>
      </c>
      <c r="I55" s="328"/>
      <c r="J55" s="329">
        <f aca="true" t="shared" si="0" ref="J55:J60">H55*I55</f>
        <v>0</v>
      </c>
      <c r="K55" s="88"/>
    </row>
    <row r="56" spans="1:11" ht="28.5" customHeight="1">
      <c r="A56" s="4">
        <f>A55+0.1</f>
        <v>14.2</v>
      </c>
      <c r="B56" s="4"/>
      <c r="C56" s="611" t="s">
        <v>30</v>
      </c>
      <c r="D56" s="612"/>
      <c r="E56" s="613"/>
      <c r="F56" s="38" t="s">
        <v>20</v>
      </c>
      <c r="G56" s="38">
        <v>0.96</v>
      </c>
      <c r="H56" s="38">
        <f>H54*G56</f>
        <v>6.72</v>
      </c>
      <c r="I56" s="38"/>
      <c r="J56" s="330">
        <f t="shared" si="0"/>
        <v>0</v>
      </c>
      <c r="K56" s="88"/>
    </row>
    <row r="57" spans="1:11" ht="28.5" customHeight="1">
      <c r="A57" s="4"/>
      <c r="B57" s="4"/>
      <c r="C57" s="611" t="s">
        <v>242</v>
      </c>
      <c r="D57" s="612"/>
      <c r="E57" s="613"/>
      <c r="F57" s="4" t="s">
        <v>16</v>
      </c>
      <c r="G57" s="4"/>
      <c r="H57" s="4">
        <v>3</v>
      </c>
      <c r="I57" s="4"/>
      <c r="J57" s="45">
        <f t="shared" si="0"/>
        <v>0</v>
      </c>
      <c r="K57" s="88"/>
    </row>
    <row r="58" spans="1:11" ht="28.5" customHeight="1">
      <c r="A58" s="4">
        <f>A56+0.1</f>
        <v>14.3</v>
      </c>
      <c r="B58" s="4"/>
      <c r="C58" s="611" t="s">
        <v>256</v>
      </c>
      <c r="D58" s="612"/>
      <c r="E58" s="613"/>
      <c r="F58" s="4" t="s">
        <v>16</v>
      </c>
      <c r="G58" s="4"/>
      <c r="H58" s="4">
        <v>2</v>
      </c>
      <c r="I58" s="4"/>
      <c r="J58" s="45">
        <f t="shared" si="0"/>
        <v>0</v>
      </c>
      <c r="K58" s="88"/>
    </row>
    <row r="59" spans="1:11" ht="28.5" customHeight="1">
      <c r="A59" s="4">
        <f>A57+0.1</f>
        <v>0.1</v>
      </c>
      <c r="B59" s="4"/>
      <c r="C59" s="611" t="s">
        <v>320</v>
      </c>
      <c r="D59" s="612"/>
      <c r="E59" s="613"/>
      <c r="F59" s="4" t="s">
        <v>16</v>
      </c>
      <c r="G59" s="4"/>
      <c r="H59" s="4">
        <v>2</v>
      </c>
      <c r="I59" s="4"/>
      <c r="J59" s="45">
        <f t="shared" si="0"/>
        <v>0</v>
      </c>
      <c r="K59" s="88"/>
    </row>
    <row r="60" spans="1:11" ht="28.5" customHeight="1">
      <c r="A60" s="4">
        <f>A58+0.1</f>
        <v>14.4</v>
      </c>
      <c r="B60" s="4"/>
      <c r="C60" s="611" t="s">
        <v>243</v>
      </c>
      <c r="D60" s="612"/>
      <c r="E60" s="613"/>
      <c r="F60" s="4" t="s">
        <v>16</v>
      </c>
      <c r="G60" s="4"/>
      <c r="H60" s="4">
        <v>29</v>
      </c>
      <c r="I60" s="4"/>
      <c r="J60" s="45">
        <f t="shared" si="0"/>
        <v>0</v>
      </c>
      <c r="K60" s="88"/>
    </row>
    <row r="61" spans="1:11" ht="51" customHeight="1">
      <c r="A61" s="6">
        <v>13</v>
      </c>
      <c r="B61" s="6" t="s">
        <v>63</v>
      </c>
      <c r="C61" s="615" t="s">
        <v>257</v>
      </c>
      <c r="D61" s="616"/>
      <c r="E61" s="617"/>
      <c r="F61" s="6" t="s">
        <v>16</v>
      </c>
      <c r="G61" s="6"/>
      <c r="H61" s="6">
        <v>8</v>
      </c>
      <c r="I61" s="6"/>
      <c r="J61" s="479">
        <f>SUM(J62:J64)</f>
        <v>0</v>
      </c>
      <c r="K61" s="88"/>
    </row>
    <row r="62" spans="1:11" ht="33" customHeight="1">
      <c r="A62" s="4">
        <f>A61+0.1</f>
        <v>13.1</v>
      </c>
      <c r="B62" s="4"/>
      <c r="C62" s="611" t="s">
        <v>17</v>
      </c>
      <c r="D62" s="612"/>
      <c r="E62" s="613"/>
      <c r="F62" s="328" t="s">
        <v>28</v>
      </c>
      <c r="G62" s="328">
        <v>0.66</v>
      </c>
      <c r="H62" s="328">
        <f>H61*G62</f>
        <v>5.28</v>
      </c>
      <c r="I62" s="328"/>
      <c r="J62" s="329">
        <f>H62*I62</f>
        <v>0</v>
      </c>
      <c r="K62" s="88"/>
    </row>
    <row r="63" spans="1:11" ht="28.5" customHeight="1">
      <c r="A63" s="4">
        <f>A62+0.1</f>
        <v>13.2</v>
      </c>
      <c r="B63" s="4"/>
      <c r="C63" s="611" t="s">
        <v>30</v>
      </c>
      <c r="D63" s="612"/>
      <c r="E63" s="613"/>
      <c r="F63" s="38" t="s">
        <v>20</v>
      </c>
      <c r="G63" s="38">
        <v>0.51</v>
      </c>
      <c r="H63" s="38">
        <f>H61*G63</f>
        <v>4.08</v>
      </c>
      <c r="I63" s="38"/>
      <c r="J63" s="330">
        <f>H63*I63</f>
        <v>0</v>
      </c>
      <c r="K63" s="88"/>
    </row>
    <row r="64" spans="1:11" ht="28.5" customHeight="1">
      <c r="A64" s="4">
        <f>A63+0.1</f>
        <v>13.3</v>
      </c>
      <c r="B64" s="4"/>
      <c r="C64" s="611" t="s">
        <v>258</v>
      </c>
      <c r="D64" s="612"/>
      <c r="E64" s="613"/>
      <c r="F64" s="4" t="s">
        <v>16</v>
      </c>
      <c r="G64" s="4"/>
      <c r="H64" s="4">
        <v>8</v>
      </c>
      <c r="I64" s="4"/>
      <c r="J64" s="45">
        <f>H64*I64</f>
        <v>0</v>
      </c>
      <c r="K64" s="88"/>
    </row>
    <row r="65" spans="1:11" ht="34.5" customHeight="1">
      <c r="A65" s="6">
        <v>12</v>
      </c>
      <c r="B65" s="4" t="s">
        <v>32</v>
      </c>
      <c r="C65" s="615" t="s">
        <v>321</v>
      </c>
      <c r="D65" s="616"/>
      <c r="E65" s="617"/>
      <c r="F65" s="6" t="s">
        <v>16</v>
      </c>
      <c r="G65" s="6"/>
      <c r="H65" s="6">
        <v>3</v>
      </c>
      <c r="I65" s="6"/>
      <c r="J65" s="479">
        <f>SUM(J66:J68)</f>
        <v>0</v>
      </c>
      <c r="K65" s="88"/>
    </row>
    <row r="66" spans="1:11" ht="33" customHeight="1">
      <c r="A66" s="4">
        <f>A65+0.1</f>
        <v>12.1</v>
      </c>
      <c r="B66" s="4"/>
      <c r="C66" s="611" t="s">
        <v>17</v>
      </c>
      <c r="D66" s="612"/>
      <c r="E66" s="613"/>
      <c r="F66" s="328" t="s">
        <v>28</v>
      </c>
      <c r="G66" s="328">
        <v>18.2</v>
      </c>
      <c r="H66" s="328">
        <f>H65*G66</f>
        <v>54.6</v>
      </c>
      <c r="I66" s="328"/>
      <c r="J66" s="329">
        <f>H66*I66</f>
        <v>0</v>
      </c>
      <c r="K66" s="88"/>
    </row>
    <row r="67" spans="1:11" ht="28.5" customHeight="1">
      <c r="A67" s="4">
        <f>A66+0.1</f>
        <v>12.2</v>
      </c>
      <c r="B67" s="4"/>
      <c r="C67" s="611" t="s">
        <v>30</v>
      </c>
      <c r="D67" s="612"/>
      <c r="E67" s="613"/>
      <c r="F67" s="38" t="s">
        <v>20</v>
      </c>
      <c r="G67" s="38">
        <v>1.5</v>
      </c>
      <c r="H67" s="38">
        <f>H65*G67</f>
        <v>4.5</v>
      </c>
      <c r="I67" s="38"/>
      <c r="J67" s="330">
        <f>H67*I67</f>
        <v>0</v>
      </c>
      <c r="K67" s="88"/>
    </row>
    <row r="68" spans="1:11" ht="28.5" customHeight="1">
      <c r="A68" s="4">
        <f>A67+0.1</f>
        <v>12.3</v>
      </c>
      <c r="B68" s="4"/>
      <c r="C68" s="611" t="s">
        <v>322</v>
      </c>
      <c r="D68" s="612"/>
      <c r="E68" s="613"/>
      <c r="F68" s="4" t="s">
        <v>16</v>
      </c>
      <c r="G68" s="4"/>
      <c r="H68" s="4">
        <v>3</v>
      </c>
      <c r="I68" s="4"/>
      <c r="J68" s="45">
        <f>H68*I68</f>
        <v>0</v>
      </c>
      <c r="K68" s="88"/>
    </row>
    <row r="69" spans="1:10" ht="33.75" customHeight="1">
      <c r="A69" s="6"/>
      <c r="B69" s="6"/>
      <c r="C69" s="615" t="s">
        <v>40</v>
      </c>
      <c r="D69" s="616"/>
      <c r="E69" s="617"/>
      <c r="F69" s="4" t="s">
        <v>13</v>
      </c>
      <c r="G69" s="6"/>
      <c r="H69" s="6"/>
      <c r="I69" s="6"/>
      <c r="J69" s="479">
        <f>J6+J9+J12+J16+J19+J23+J27+J31+J35+J39+J43+J47+J50+J54+J61+J65</f>
        <v>0</v>
      </c>
    </row>
    <row r="70" spans="1:10" ht="31.5" customHeight="1">
      <c r="A70" s="4"/>
      <c r="B70" s="4"/>
      <c r="C70" s="611" t="s">
        <v>41</v>
      </c>
      <c r="D70" s="612"/>
      <c r="E70" s="613"/>
      <c r="F70" s="4" t="s">
        <v>13</v>
      </c>
      <c r="G70" s="328"/>
      <c r="H70" s="328"/>
      <c r="I70" s="328"/>
      <c r="J70" s="329">
        <f>J7+J10+J13+J17+J20+J24+J28+J32+J36+J40+J44+J48+J51+J55+J62</f>
        <v>0</v>
      </c>
    </row>
    <row r="71" spans="1:10" ht="27" customHeight="1">
      <c r="A71" s="4"/>
      <c r="B71" s="4"/>
      <c r="C71" s="611" t="s">
        <v>42</v>
      </c>
      <c r="D71" s="612"/>
      <c r="E71" s="613"/>
      <c r="F71" s="4" t="s">
        <v>13</v>
      </c>
      <c r="G71" s="38"/>
      <c r="H71" s="38"/>
      <c r="I71" s="38"/>
      <c r="J71" s="330">
        <f>J8+J11+J14+J18+J21+J25+J29+J33+J37+J41+J45+J52+J56+J63</f>
        <v>0</v>
      </c>
    </row>
    <row r="72" spans="1:10" ht="29.25" customHeight="1">
      <c r="A72" s="4"/>
      <c r="B72" s="4"/>
      <c r="C72" s="611" t="s">
        <v>43</v>
      </c>
      <c r="D72" s="612"/>
      <c r="E72" s="613"/>
      <c r="F72" s="4" t="s">
        <v>13</v>
      </c>
      <c r="G72" s="4"/>
      <c r="H72" s="4"/>
      <c r="I72" s="4"/>
      <c r="J72" s="45">
        <f>J69-J70-J71</f>
        <v>0</v>
      </c>
    </row>
    <row r="73" spans="1:10" ht="34.5" customHeight="1">
      <c r="A73" s="4"/>
      <c r="B73" s="4"/>
      <c r="C73" s="611" t="s">
        <v>44</v>
      </c>
      <c r="D73" s="612"/>
      <c r="E73" s="613"/>
      <c r="F73" s="4" t="s">
        <v>13</v>
      </c>
      <c r="G73" s="4"/>
      <c r="H73" s="4"/>
      <c r="I73" s="4"/>
      <c r="J73" s="45">
        <f>J70+J71+J72</f>
        <v>0</v>
      </c>
    </row>
    <row r="74" spans="1:10" ht="31.5" customHeight="1">
      <c r="A74" s="4"/>
      <c r="B74" s="4"/>
      <c r="C74" s="611" t="s">
        <v>259</v>
      </c>
      <c r="D74" s="612"/>
      <c r="E74" s="613"/>
      <c r="F74" s="4" t="s">
        <v>13</v>
      </c>
      <c r="G74" s="4"/>
      <c r="H74" s="4"/>
      <c r="I74" s="4"/>
      <c r="J74" s="45">
        <f>J70*0.75</f>
        <v>0</v>
      </c>
    </row>
    <row r="75" spans="1:10" ht="29.25" customHeight="1">
      <c r="A75" s="4"/>
      <c r="B75" s="4"/>
      <c r="C75" s="611" t="s">
        <v>14</v>
      </c>
      <c r="D75" s="612"/>
      <c r="E75" s="613"/>
      <c r="F75" s="4" t="s">
        <v>13</v>
      </c>
      <c r="G75" s="4"/>
      <c r="H75" s="4"/>
      <c r="I75" s="4"/>
      <c r="J75" s="45">
        <f>J73+J74</f>
        <v>0</v>
      </c>
    </row>
    <row r="76" spans="1:10" ht="28.5" customHeight="1">
      <c r="A76" s="4"/>
      <c r="B76" s="4"/>
      <c r="C76" s="611" t="s">
        <v>249</v>
      </c>
      <c r="D76" s="612"/>
      <c r="E76" s="613"/>
      <c r="F76" s="4" t="s">
        <v>13</v>
      </c>
      <c r="G76" s="4"/>
      <c r="H76" s="4"/>
      <c r="I76" s="4"/>
      <c r="J76" s="45">
        <f>J75*0.1</f>
        <v>0</v>
      </c>
    </row>
    <row r="77" spans="1:10" ht="30" customHeight="1">
      <c r="A77" s="4"/>
      <c r="B77" s="4"/>
      <c r="C77" s="611" t="s">
        <v>10</v>
      </c>
      <c r="D77" s="612"/>
      <c r="E77" s="613"/>
      <c r="F77" s="4" t="s">
        <v>13</v>
      </c>
      <c r="G77" s="4"/>
      <c r="H77" s="4"/>
      <c r="I77" s="4"/>
      <c r="J77" s="45">
        <f>J75+J76</f>
        <v>0</v>
      </c>
    </row>
    <row r="78" ht="36" customHeight="1"/>
    <row r="79" spans="3:9" ht="13.5">
      <c r="C79" s="614" t="s">
        <v>492</v>
      </c>
      <c r="D79" s="614"/>
      <c r="E79" s="614"/>
      <c r="G79" s="614"/>
      <c r="H79" s="614"/>
      <c r="I79" s="614"/>
    </row>
  </sheetData>
  <sheetProtection/>
  <mergeCells count="83">
    <mergeCell ref="A1:I1"/>
    <mergeCell ref="A2:I2"/>
    <mergeCell ref="A3:A4"/>
    <mergeCell ref="B3:B4"/>
    <mergeCell ref="C3:E4"/>
    <mergeCell ref="F3:F4"/>
    <mergeCell ref="G3:H3"/>
    <mergeCell ref="I3:J3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71:E71"/>
    <mergeCell ref="C73:E73"/>
    <mergeCell ref="C65:E65"/>
    <mergeCell ref="C66:E66"/>
    <mergeCell ref="C67:E67"/>
    <mergeCell ref="C68:E68"/>
    <mergeCell ref="C69:E69"/>
    <mergeCell ref="C70:E70"/>
    <mergeCell ref="C72:E72"/>
    <mergeCell ref="C74:E74"/>
    <mergeCell ref="C75:E75"/>
    <mergeCell ref="C76:E76"/>
    <mergeCell ref="C77:E77"/>
    <mergeCell ref="C79:E79"/>
    <mergeCell ref="G79:I79"/>
  </mergeCells>
  <printOptions/>
  <pageMargins left="0.47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SheetLayoutView="100" zoomScalePageLayoutView="75" workbookViewId="0" topLeftCell="A37">
      <selection activeCell="C50" sqref="C50"/>
    </sheetView>
  </sheetViews>
  <sheetFormatPr defaultColWidth="9.00390625" defaultRowHeight="12.75"/>
  <cols>
    <col min="1" max="1" width="4.75390625" style="1" customWidth="1"/>
    <col min="2" max="2" width="10.375" style="1" customWidth="1"/>
    <col min="3" max="3" width="40.75390625" style="1" customWidth="1"/>
    <col min="4" max="4" width="7.625" style="1" customWidth="1"/>
    <col min="5" max="7" width="7.75390625" style="1" customWidth="1"/>
    <col min="8" max="8" width="7.75390625" style="2" customWidth="1"/>
    <col min="9" max="16384" width="9.125" style="1" customWidth="1"/>
  </cols>
  <sheetData>
    <row r="1" spans="1:8" ht="27" customHeight="1">
      <c r="A1" s="648" t="s">
        <v>303</v>
      </c>
      <c r="B1" s="648"/>
      <c r="C1" s="648"/>
      <c r="D1" s="648"/>
      <c r="E1" s="648"/>
      <c r="F1" s="648"/>
      <c r="G1" s="648"/>
      <c r="H1" s="648"/>
    </row>
    <row r="2" spans="1:8" ht="15" customHeight="1">
      <c r="A2" s="650" t="s">
        <v>212</v>
      </c>
      <c r="B2" s="650"/>
      <c r="C2" s="650"/>
      <c r="D2" s="650"/>
      <c r="E2" s="650"/>
      <c r="F2" s="650"/>
      <c r="G2" s="650"/>
      <c r="H2" s="650"/>
    </row>
    <row r="3" spans="1:8" ht="63" customHeight="1">
      <c r="A3" s="621" t="s">
        <v>7</v>
      </c>
      <c r="B3" s="623" t="s">
        <v>8</v>
      </c>
      <c r="C3" s="621" t="s">
        <v>9</v>
      </c>
      <c r="D3" s="623" t="s">
        <v>24</v>
      </c>
      <c r="E3" s="611" t="s">
        <v>15</v>
      </c>
      <c r="F3" s="613"/>
      <c r="G3" s="611" t="s">
        <v>25</v>
      </c>
      <c r="H3" s="613"/>
    </row>
    <row r="4" spans="1:8" ht="100.5" customHeight="1">
      <c r="A4" s="645"/>
      <c r="B4" s="646"/>
      <c r="C4" s="645"/>
      <c r="D4" s="649"/>
      <c r="E4" s="13" t="s">
        <v>26</v>
      </c>
      <c r="F4" s="13" t="s">
        <v>27</v>
      </c>
      <c r="G4" s="13" t="s">
        <v>26</v>
      </c>
      <c r="H4" s="253" t="s">
        <v>10</v>
      </c>
    </row>
    <row r="5" spans="1:8" ht="16.5" customHeight="1" thickBot="1">
      <c r="A5" s="50">
        <v>1</v>
      </c>
      <c r="B5" s="50">
        <v>2</v>
      </c>
      <c r="C5" s="50">
        <v>3</v>
      </c>
      <c r="D5" s="48">
        <v>4</v>
      </c>
      <c r="E5" s="48">
        <v>5</v>
      </c>
      <c r="F5" s="48">
        <v>6</v>
      </c>
      <c r="G5" s="48">
        <v>7</v>
      </c>
      <c r="H5" s="254">
        <v>8</v>
      </c>
    </row>
    <row r="6" spans="1:8" ht="64.5" customHeight="1" thickBot="1">
      <c r="A6" s="82">
        <v>1</v>
      </c>
      <c r="B6" s="65" t="s">
        <v>32</v>
      </c>
      <c r="C6" s="59" t="s">
        <v>468</v>
      </c>
      <c r="D6" s="59" t="s">
        <v>105</v>
      </c>
      <c r="E6" s="59"/>
      <c r="F6" s="59">
        <v>6</v>
      </c>
      <c r="G6" s="140"/>
      <c r="H6" s="523">
        <f>G6*F6</f>
        <v>0</v>
      </c>
    </row>
    <row r="7" spans="1:8" ht="53.25" customHeight="1" thickBot="1">
      <c r="A7" s="82">
        <f>A6+1</f>
        <v>2</v>
      </c>
      <c r="B7" s="65" t="s">
        <v>32</v>
      </c>
      <c r="C7" s="66" t="s">
        <v>228</v>
      </c>
      <c r="D7" s="65" t="s">
        <v>85</v>
      </c>
      <c r="E7" s="68"/>
      <c r="F7" s="90">
        <v>3.399</v>
      </c>
      <c r="G7" s="68"/>
      <c r="H7" s="69">
        <f>SUM(H8:H14)</f>
        <v>0</v>
      </c>
    </row>
    <row r="8" spans="1:8" ht="16.5" customHeight="1">
      <c r="A8" s="49">
        <f aca="true" t="shared" si="0" ref="A8:A14">A7+0.1</f>
        <v>2.1</v>
      </c>
      <c r="B8" s="73" t="s">
        <v>32</v>
      </c>
      <c r="C8" s="51" t="s">
        <v>17</v>
      </c>
      <c r="D8" s="51" t="s">
        <v>28</v>
      </c>
      <c r="E8" s="54">
        <v>62.6</v>
      </c>
      <c r="F8" s="75">
        <f>F7*E8</f>
        <v>212.78</v>
      </c>
      <c r="G8" s="54"/>
      <c r="H8" s="58">
        <f aca="true" t="shared" si="1" ref="H8:H14">G8*F8</f>
        <v>0</v>
      </c>
    </row>
    <row r="9" spans="1:8" ht="16.5" customHeight="1">
      <c r="A9" s="17">
        <f t="shared" si="0"/>
        <v>2.2</v>
      </c>
      <c r="B9" s="20"/>
      <c r="C9" s="18" t="s">
        <v>1</v>
      </c>
      <c r="D9" s="18" t="s">
        <v>21</v>
      </c>
      <c r="E9" s="22">
        <v>1</v>
      </c>
      <c r="F9" s="22">
        <f>F7*E9</f>
        <v>3.4</v>
      </c>
      <c r="G9" s="22"/>
      <c r="H9" s="24">
        <f t="shared" si="1"/>
        <v>0</v>
      </c>
    </row>
    <row r="10" spans="1:8" ht="46.5" customHeight="1">
      <c r="A10" s="17">
        <f t="shared" si="0"/>
        <v>2.3</v>
      </c>
      <c r="B10" s="20"/>
      <c r="C10" s="17" t="s">
        <v>202</v>
      </c>
      <c r="D10" s="17" t="s">
        <v>103</v>
      </c>
      <c r="E10" s="23" t="s">
        <v>19</v>
      </c>
      <c r="F10" s="23">
        <v>3.4</v>
      </c>
      <c r="G10" s="23"/>
      <c r="H10" s="25">
        <f t="shared" si="1"/>
        <v>0</v>
      </c>
    </row>
    <row r="11" spans="1:8" ht="33.75" customHeight="1" hidden="1">
      <c r="A11" s="17">
        <f t="shared" si="0"/>
        <v>2.4</v>
      </c>
      <c r="B11" s="20"/>
      <c r="C11" s="17"/>
      <c r="D11" s="17"/>
      <c r="E11" s="26"/>
      <c r="F11" s="26"/>
      <c r="G11" s="23"/>
      <c r="H11" s="25"/>
    </row>
    <row r="12" spans="1:8" ht="19.5" customHeight="1" hidden="1" thickBot="1">
      <c r="A12" s="17">
        <f t="shared" si="0"/>
        <v>2.5</v>
      </c>
      <c r="B12" s="20"/>
      <c r="C12" s="17"/>
      <c r="D12" s="17"/>
      <c r="E12" s="26"/>
      <c r="F12" s="21"/>
      <c r="G12" s="23"/>
      <c r="H12" s="25"/>
    </row>
    <row r="13" spans="1:8" ht="19.5" customHeight="1">
      <c r="A13" s="17">
        <f t="shared" si="0"/>
        <v>2.6</v>
      </c>
      <c r="B13" s="70"/>
      <c r="C13" s="55" t="s">
        <v>86</v>
      </c>
      <c r="D13" s="55" t="s">
        <v>18</v>
      </c>
      <c r="E13" s="76" t="s">
        <v>19</v>
      </c>
      <c r="F13" s="76">
        <f>11.3*1.2</f>
        <v>13.56</v>
      </c>
      <c r="G13" s="71"/>
      <c r="H13" s="25">
        <f t="shared" si="1"/>
        <v>0</v>
      </c>
    </row>
    <row r="14" spans="1:8" ht="19.5" customHeight="1" thickBot="1">
      <c r="A14" s="55">
        <f t="shared" si="0"/>
        <v>2.7</v>
      </c>
      <c r="B14" s="70"/>
      <c r="C14" s="55" t="s">
        <v>84</v>
      </c>
      <c r="D14" s="55" t="s">
        <v>13</v>
      </c>
      <c r="E14" s="71">
        <v>2.78</v>
      </c>
      <c r="F14" s="71">
        <f>F7*E14</f>
        <v>9.45</v>
      </c>
      <c r="G14" s="71"/>
      <c r="H14" s="72">
        <f t="shared" si="1"/>
        <v>0</v>
      </c>
    </row>
    <row r="15" spans="1:8" ht="51" customHeight="1" hidden="1" thickBot="1">
      <c r="A15" s="275"/>
      <c r="B15" s="276"/>
      <c r="C15" s="277"/>
      <c r="D15" s="276"/>
      <c r="E15" s="278"/>
      <c r="F15" s="279"/>
      <c r="G15" s="278"/>
      <c r="H15" s="280"/>
    </row>
    <row r="16" spans="1:8" ht="19.5" customHeight="1" hidden="1">
      <c r="A16" s="281"/>
      <c r="B16" s="282"/>
      <c r="C16" s="283"/>
      <c r="D16" s="283"/>
      <c r="E16" s="284"/>
      <c r="F16" s="285"/>
      <c r="G16" s="284"/>
      <c r="H16" s="286"/>
    </row>
    <row r="17" spans="1:8" ht="19.5" customHeight="1" hidden="1">
      <c r="A17" s="268"/>
      <c r="B17" s="287"/>
      <c r="C17" s="288"/>
      <c r="D17" s="288"/>
      <c r="E17" s="289"/>
      <c r="F17" s="289"/>
      <c r="G17" s="289"/>
      <c r="H17" s="290"/>
    </row>
    <row r="18" spans="1:8" ht="19.5" customHeight="1" hidden="1">
      <c r="A18" s="268"/>
      <c r="B18" s="287"/>
      <c r="C18" s="268"/>
      <c r="D18" s="268"/>
      <c r="E18" s="291"/>
      <c r="F18" s="291"/>
      <c r="G18" s="291"/>
      <c r="H18" s="269"/>
    </row>
    <row r="19" spans="1:8" ht="19.5" customHeight="1" hidden="1">
      <c r="A19" s="268"/>
      <c r="B19" s="287"/>
      <c r="C19" s="268"/>
      <c r="D19" s="268"/>
      <c r="E19" s="292"/>
      <c r="F19" s="292"/>
      <c r="G19" s="291"/>
      <c r="H19" s="269"/>
    </row>
    <row r="20" spans="1:8" ht="19.5" customHeight="1" hidden="1">
      <c r="A20" s="268"/>
      <c r="B20" s="287"/>
      <c r="C20" s="268"/>
      <c r="D20" s="268"/>
      <c r="E20" s="292"/>
      <c r="F20" s="270"/>
      <c r="G20" s="291"/>
      <c r="H20" s="269"/>
    </row>
    <row r="21" spans="1:8" ht="19.5" customHeight="1" hidden="1">
      <c r="A21" s="268"/>
      <c r="B21" s="293"/>
      <c r="C21" s="271"/>
      <c r="D21" s="271"/>
      <c r="E21" s="294"/>
      <c r="F21" s="294"/>
      <c r="G21" s="295"/>
      <c r="H21" s="269"/>
    </row>
    <row r="22" spans="1:8" ht="19.5" customHeight="1" hidden="1" thickBot="1">
      <c r="A22" s="271"/>
      <c r="B22" s="293"/>
      <c r="C22" s="271"/>
      <c r="D22" s="271"/>
      <c r="E22" s="295"/>
      <c r="F22" s="295"/>
      <c r="G22" s="295"/>
      <c r="H22" s="272"/>
    </row>
    <row r="23" spans="1:8" ht="47.25" customHeight="1" hidden="1" thickBot="1">
      <c r="A23" s="275"/>
      <c r="B23" s="276"/>
      <c r="C23" s="277"/>
      <c r="D23" s="276"/>
      <c r="E23" s="278"/>
      <c r="F23" s="279"/>
      <c r="G23" s="278"/>
      <c r="H23" s="280"/>
    </row>
    <row r="24" spans="1:8" ht="19.5" customHeight="1" hidden="1">
      <c r="A24" s="281"/>
      <c r="B24" s="282"/>
      <c r="C24" s="283"/>
      <c r="D24" s="283"/>
      <c r="E24" s="284"/>
      <c r="F24" s="285"/>
      <c r="G24" s="284"/>
      <c r="H24" s="286"/>
    </row>
    <row r="25" spans="1:8" ht="19.5" customHeight="1" hidden="1">
      <c r="A25" s="268"/>
      <c r="B25" s="287"/>
      <c r="C25" s="288"/>
      <c r="D25" s="288"/>
      <c r="E25" s="289"/>
      <c r="F25" s="289"/>
      <c r="G25" s="289"/>
      <c r="H25" s="290"/>
    </row>
    <row r="26" spans="1:8" ht="19.5" customHeight="1" hidden="1">
      <c r="A26" s="268"/>
      <c r="B26" s="287"/>
      <c r="C26" s="268"/>
      <c r="D26" s="268"/>
      <c r="E26" s="291"/>
      <c r="F26" s="291"/>
      <c r="G26" s="291"/>
      <c r="H26" s="269"/>
    </row>
    <row r="27" spans="1:8" ht="19.5" customHeight="1" hidden="1">
      <c r="A27" s="268"/>
      <c r="B27" s="287"/>
      <c r="C27" s="268"/>
      <c r="D27" s="268"/>
      <c r="E27" s="292"/>
      <c r="F27" s="292"/>
      <c r="G27" s="291"/>
      <c r="H27" s="269"/>
    </row>
    <row r="28" spans="1:8" ht="19.5" customHeight="1" hidden="1">
      <c r="A28" s="268"/>
      <c r="B28" s="287"/>
      <c r="C28" s="268"/>
      <c r="D28" s="268"/>
      <c r="E28" s="292"/>
      <c r="F28" s="270"/>
      <c r="G28" s="291"/>
      <c r="H28" s="269"/>
    </row>
    <row r="29" spans="1:8" ht="19.5" customHeight="1" hidden="1">
      <c r="A29" s="268"/>
      <c r="B29" s="293"/>
      <c r="C29" s="271"/>
      <c r="D29" s="271"/>
      <c r="E29" s="294"/>
      <c r="F29" s="294"/>
      <c r="G29" s="295"/>
      <c r="H29" s="269"/>
    </row>
    <row r="30" spans="1:8" ht="19.5" customHeight="1" hidden="1">
      <c r="A30" s="271"/>
      <c r="B30" s="293"/>
      <c r="C30" s="271"/>
      <c r="D30" s="271"/>
      <c r="E30" s="295"/>
      <c r="F30" s="295"/>
      <c r="G30" s="295"/>
      <c r="H30" s="272"/>
    </row>
    <row r="31" spans="1:8" ht="19.5" customHeight="1" hidden="1">
      <c r="A31" s="29"/>
      <c r="B31" s="273"/>
      <c r="C31" s="29"/>
      <c r="D31" s="29"/>
      <c r="E31" s="274"/>
      <c r="F31" s="274"/>
      <c r="G31" s="274"/>
      <c r="H31" s="47"/>
    </row>
    <row r="32" spans="1:8" ht="19.5" customHeight="1" hidden="1">
      <c r="A32" s="29"/>
      <c r="B32" s="273"/>
      <c r="C32" s="29"/>
      <c r="D32" s="29"/>
      <c r="E32" s="274"/>
      <c r="F32" s="274"/>
      <c r="G32" s="274"/>
      <c r="H32" s="47"/>
    </row>
    <row r="33" spans="1:8" ht="19.5" customHeight="1" hidden="1" thickBot="1">
      <c r="A33" s="29"/>
      <c r="B33" s="273"/>
      <c r="C33" s="29"/>
      <c r="D33" s="29"/>
      <c r="E33" s="274"/>
      <c r="F33" s="274"/>
      <c r="G33" s="274"/>
      <c r="H33" s="47"/>
    </row>
    <row r="34" spans="1:8" ht="54" customHeight="1" thickBot="1">
      <c r="A34" s="64">
        <f>A7+1</f>
        <v>3</v>
      </c>
      <c r="B34" s="81" t="s">
        <v>87</v>
      </c>
      <c r="C34" s="66" t="s">
        <v>229</v>
      </c>
      <c r="D34" s="67" t="s">
        <v>92</v>
      </c>
      <c r="E34" s="68"/>
      <c r="F34" s="67">
        <f>279+85.8</f>
        <v>364.8</v>
      </c>
      <c r="G34" s="68"/>
      <c r="H34" s="69">
        <f>SUM(H35:H39)</f>
        <v>0</v>
      </c>
    </row>
    <row r="35" spans="1:8" ht="27" customHeight="1">
      <c r="A35" s="49">
        <f>A34+0.1</f>
        <v>3.1</v>
      </c>
      <c r="B35" s="51" t="s">
        <v>201</v>
      </c>
      <c r="C35" s="51" t="s">
        <v>17</v>
      </c>
      <c r="D35" s="51" t="s">
        <v>28</v>
      </c>
      <c r="E35" s="236">
        <f>65.8/100*1.15</f>
        <v>0.757</v>
      </c>
      <c r="F35" s="75">
        <f>F34*E35</f>
        <v>276.15</v>
      </c>
      <c r="G35" s="54"/>
      <c r="H35" s="58">
        <f>G35*F35</f>
        <v>0</v>
      </c>
    </row>
    <row r="36" spans="1:8" ht="27" customHeight="1">
      <c r="A36" s="17">
        <f>A35+0.1</f>
        <v>3.2</v>
      </c>
      <c r="B36" s="18" t="s">
        <v>201</v>
      </c>
      <c r="C36" s="18" t="s">
        <v>1</v>
      </c>
      <c r="D36" s="18" t="s">
        <v>21</v>
      </c>
      <c r="E36" s="235">
        <f>0.01*1.15</f>
        <v>0.0115</v>
      </c>
      <c r="F36" s="28">
        <f>F34*E36</f>
        <v>4.2</v>
      </c>
      <c r="G36" s="22"/>
      <c r="H36" s="24">
        <f>G36*F36</f>
        <v>0</v>
      </c>
    </row>
    <row r="37" spans="1:8" ht="27" customHeight="1">
      <c r="A37" s="17">
        <f>A36+0.1</f>
        <v>3.3</v>
      </c>
      <c r="B37" s="18"/>
      <c r="C37" s="17" t="s">
        <v>143</v>
      </c>
      <c r="D37" s="17" t="s">
        <v>18</v>
      </c>
      <c r="E37" s="23" t="s">
        <v>19</v>
      </c>
      <c r="F37" s="26">
        <f>F34*0.15*1.45</f>
        <v>79.34</v>
      </c>
      <c r="G37" s="23"/>
      <c r="H37" s="25">
        <f>G37*F37</f>
        <v>0</v>
      </c>
    </row>
    <row r="38" spans="1:8" ht="27" customHeight="1">
      <c r="A38" s="17">
        <f>A37+0.1</f>
        <v>3.4</v>
      </c>
      <c r="B38" s="35"/>
      <c r="C38" s="17" t="s">
        <v>180</v>
      </c>
      <c r="D38" s="23" t="s">
        <v>18</v>
      </c>
      <c r="E38" s="23" t="s">
        <v>19</v>
      </c>
      <c r="F38" s="26">
        <f>F34*0.15*1.55</f>
        <v>84.82</v>
      </c>
      <c r="G38" s="23"/>
      <c r="H38" s="25">
        <f>G38*F38</f>
        <v>0</v>
      </c>
    </row>
    <row r="39" spans="1:8" ht="27" customHeight="1">
      <c r="A39" s="17">
        <f>A38+0.1</f>
        <v>3.5</v>
      </c>
      <c r="B39" s="35"/>
      <c r="C39" s="17" t="s">
        <v>2</v>
      </c>
      <c r="D39" s="23" t="s">
        <v>13</v>
      </c>
      <c r="E39" s="83">
        <f>1.6/100</f>
        <v>0.016</v>
      </c>
      <c r="F39" s="26">
        <f>F34*E39</f>
        <v>5.84</v>
      </c>
      <c r="G39" s="23"/>
      <c r="H39" s="25">
        <f>G39*F39</f>
        <v>0</v>
      </c>
    </row>
    <row r="40" spans="1:8" ht="44.25" customHeight="1">
      <c r="A40" s="4"/>
      <c r="B40" s="4"/>
      <c r="C40" s="6" t="s">
        <v>3</v>
      </c>
      <c r="D40" s="6" t="s">
        <v>13</v>
      </c>
      <c r="E40" s="4"/>
      <c r="F40" s="4"/>
      <c r="G40" s="4"/>
      <c r="H40" s="27">
        <f>H34+H6+H7+H23+H15</f>
        <v>0</v>
      </c>
    </row>
    <row r="41" spans="1:8" ht="18.75" customHeight="1">
      <c r="A41" s="4"/>
      <c r="B41" s="4"/>
      <c r="C41" s="32" t="s">
        <v>4</v>
      </c>
      <c r="D41" s="4" t="s">
        <v>13</v>
      </c>
      <c r="E41" s="4"/>
      <c r="F41" s="4"/>
      <c r="G41" s="4"/>
      <c r="H41" s="30">
        <f>H35+H8</f>
        <v>0</v>
      </c>
    </row>
    <row r="42" spans="1:8" ht="18.75" customHeight="1">
      <c r="A42" s="4"/>
      <c r="B42" s="4"/>
      <c r="C42" s="32" t="s">
        <v>5</v>
      </c>
      <c r="D42" s="4" t="s">
        <v>13</v>
      </c>
      <c r="E42" s="4"/>
      <c r="F42" s="4"/>
      <c r="G42" s="4"/>
      <c r="H42" s="31">
        <f>H36+H9</f>
        <v>0</v>
      </c>
    </row>
    <row r="43" spans="1:8" ht="18.75" customHeight="1">
      <c r="A43" s="4"/>
      <c r="B43" s="4"/>
      <c r="C43" s="4" t="s">
        <v>6</v>
      </c>
      <c r="D43" s="4" t="s">
        <v>13</v>
      </c>
      <c r="E43" s="4"/>
      <c r="F43" s="4"/>
      <c r="G43" s="4"/>
      <c r="H43" s="25">
        <f>H40-H41-H42</f>
        <v>0</v>
      </c>
    </row>
    <row r="44" spans="1:8" ht="44.25" customHeight="1">
      <c r="A44" s="4"/>
      <c r="B44" s="4"/>
      <c r="C44" s="6" t="s">
        <v>3</v>
      </c>
      <c r="D44" s="4" t="s">
        <v>13</v>
      </c>
      <c r="E44" s="4"/>
      <c r="F44" s="4"/>
      <c r="G44" s="4"/>
      <c r="H44" s="27">
        <f>SUM(H41:H43)</f>
        <v>0</v>
      </c>
    </row>
    <row r="45" spans="1:8" ht="16.5" customHeight="1">
      <c r="A45" s="4"/>
      <c r="B45" s="4"/>
      <c r="C45" s="4" t="s">
        <v>47</v>
      </c>
      <c r="D45" s="33">
        <v>0.1</v>
      </c>
      <c r="E45" s="4"/>
      <c r="F45" s="4"/>
      <c r="G45" s="4"/>
      <c r="H45" s="25">
        <f>D45*H44</f>
        <v>0</v>
      </c>
    </row>
    <row r="46" spans="1:8" ht="16.5" customHeight="1">
      <c r="A46" s="4"/>
      <c r="B46" s="4"/>
      <c r="C46" s="4" t="s">
        <v>14</v>
      </c>
      <c r="D46" s="4" t="s">
        <v>13</v>
      </c>
      <c r="E46" s="4"/>
      <c r="F46" s="4"/>
      <c r="G46" s="4"/>
      <c r="H46" s="27">
        <f>SUM(H44:H45)</f>
        <v>0</v>
      </c>
    </row>
    <row r="47" spans="1:8" ht="16.5" customHeight="1">
      <c r="A47" s="4"/>
      <c r="B47" s="4"/>
      <c r="C47" s="4" t="s">
        <v>23</v>
      </c>
      <c r="D47" s="33">
        <v>0.08</v>
      </c>
      <c r="E47" s="4"/>
      <c r="F47" s="4"/>
      <c r="G47" s="4"/>
      <c r="H47" s="25">
        <f>H46*D47</f>
        <v>0</v>
      </c>
    </row>
    <row r="48" spans="1:8" ht="16.5" customHeight="1">
      <c r="A48" s="4"/>
      <c r="B48" s="4"/>
      <c r="C48" s="6" t="s">
        <v>10</v>
      </c>
      <c r="D48" s="4" t="s">
        <v>13</v>
      </c>
      <c r="E48" s="4"/>
      <c r="F48" s="4"/>
      <c r="G48" s="4"/>
      <c r="H48" s="27">
        <f>H47+H46</f>
        <v>0</v>
      </c>
    </row>
    <row r="49" spans="1:8" ht="16.5" customHeight="1">
      <c r="A49" s="7"/>
      <c r="B49" s="7"/>
      <c r="C49" s="36"/>
      <c r="D49" s="7"/>
      <c r="E49" s="7"/>
      <c r="F49" s="7"/>
      <c r="G49" s="7"/>
      <c r="H49" s="37"/>
    </row>
    <row r="50" spans="1:8" ht="16.5" customHeight="1">
      <c r="A50" s="7"/>
      <c r="B50" s="7"/>
      <c r="C50" s="575" t="s">
        <v>492</v>
      </c>
      <c r="D50" s="7"/>
      <c r="E50" s="630"/>
      <c r="F50" s="630"/>
      <c r="G50" s="630"/>
      <c r="H50" s="37"/>
    </row>
    <row r="51" spans="1:8" ht="16.5" customHeight="1">
      <c r="A51" s="7"/>
      <c r="B51" s="7"/>
      <c r="C51" s="36"/>
      <c r="D51" s="7"/>
      <c r="E51" s="7"/>
      <c r="F51" s="7"/>
      <c r="G51" s="7"/>
      <c r="H51" s="37"/>
    </row>
    <row r="52" spans="1:8" s="34" customFormat="1" ht="16.5" customHeight="1">
      <c r="A52" s="7"/>
      <c r="B52" s="7"/>
      <c r="C52" s="36"/>
      <c r="D52" s="7"/>
      <c r="E52" s="7"/>
      <c r="F52" s="7"/>
      <c r="G52" s="7"/>
      <c r="H52" s="37"/>
    </row>
    <row r="53" spans="1:8" s="34" customFormat="1" ht="16.5" customHeight="1">
      <c r="A53" s="7"/>
      <c r="B53" s="7"/>
      <c r="C53" s="36"/>
      <c r="D53" s="7"/>
      <c r="E53" s="7"/>
      <c r="F53" s="7"/>
      <c r="G53" s="7"/>
      <c r="H53" s="37"/>
    </row>
    <row r="54" spans="1:8" s="34" customFormat="1" ht="16.5" customHeight="1">
      <c r="A54" s="7"/>
      <c r="B54" s="7"/>
      <c r="C54" s="36"/>
      <c r="D54" s="7"/>
      <c r="E54" s="7"/>
      <c r="F54" s="7"/>
      <c r="G54" s="7"/>
      <c r="H54" s="37"/>
    </row>
    <row r="55" spans="1:8" s="34" customFormat="1" ht="16.5" customHeight="1">
      <c r="A55" s="7"/>
      <c r="B55" s="7"/>
      <c r="C55" s="36"/>
      <c r="D55" s="7"/>
      <c r="E55" s="7"/>
      <c r="F55" s="7"/>
      <c r="G55" s="7"/>
      <c r="H55" s="37"/>
    </row>
    <row r="56" spans="1:8" s="34" customFormat="1" ht="16.5" customHeight="1">
      <c r="A56" s="7"/>
      <c r="B56" s="7"/>
      <c r="C56" s="36"/>
      <c r="D56" s="7"/>
      <c r="E56" s="7"/>
      <c r="F56" s="7"/>
      <c r="G56" s="7"/>
      <c r="H56" s="37"/>
    </row>
    <row r="57" spans="1:8" s="34" customFormat="1" ht="16.5" customHeight="1">
      <c r="A57" s="7"/>
      <c r="B57" s="7"/>
      <c r="C57" s="36"/>
      <c r="D57" s="7"/>
      <c r="E57" s="7"/>
      <c r="F57" s="7"/>
      <c r="G57" s="7"/>
      <c r="H57" s="37"/>
    </row>
    <row r="58" spans="1:8" s="34" customFormat="1" ht="16.5" customHeight="1">
      <c r="A58" s="7"/>
      <c r="B58" s="7"/>
      <c r="C58" s="36"/>
      <c r="D58" s="7"/>
      <c r="E58" s="7"/>
      <c r="F58" s="7"/>
      <c r="G58" s="7"/>
      <c r="H58" s="37"/>
    </row>
    <row r="59" spans="1:8" s="34" customFormat="1" ht="16.5" customHeight="1">
      <c r="A59" s="7"/>
      <c r="B59" s="7"/>
      <c r="C59" s="36"/>
      <c r="D59" s="7"/>
      <c r="E59" s="7"/>
      <c r="F59" s="7"/>
      <c r="G59" s="7"/>
      <c r="H59" s="37"/>
    </row>
    <row r="60" spans="1:8" s="34" customFormat="1" ht="16.5" customHeight="1">
      <c r="A60" s="7"/>
      <c r="B60" s="7"/>
      <c r="C60" s="36"/>
      <c r="D60" s="7"/>
      <c r="E60" s="7"/>
      <c r="F60" s="7"/>
      <c r="G60" s="7"/>
      <c r="H60" s="37"/>
    </row>
    <row r="61" spans="1:8" s="34" customFormat="1" ht="16.5" customHeight="1">
      <c r="A61" s="7"/>
      <c r="B61" s="7"/>
      <c r="C61" s="36"/>
      <c r="D61" s="7"/>
      <c r="E61" s="7"/>
      <c r="F61" s="7"/>
      <c r="G61" s="7"/>
      <c r="H61" s="37"/>
    </row>
    <row r="62" spans="1:8" s="34" customFormat="1" ht="16.5" customHeight="1">
      <c r="A62" s="7"/>
      <c r="B62" s="7"/>
      <c r="C62" s="36"/>
      <c r="D62" s="7"/>
      <c r="E62" s="7"/>
      <c r="F62" s="7"/>
      <c r="G62" s="7"/>
      <c r="H62" s="37"/>
    </row>
    <row r="63" spans="1:8" s="34" customFormat="1" ht="16.5" customHeight="1">
      <c r="A63" s="7"/>
      <c r="B63" s="7"/>
      <c r="C63" s="36"/>
      <c r="D63" s="7"/>
      <c r="E63" s="7"/>
      <c r="F63" s="7"/>
      <c r="G63" s="7"/>
      <c r="H63" s="37"/>
    </row>
    <row r="64" spans="1:8" s="34" customFormat="1" ht="16.5" customHeight="1">
      <c r="A64" s="7"/>
      <c r="B64" s="7"/>
      <c r="C64" s="36"/>
      <c r="D64" s="7"/>
      <c r="E64" s="7"/>
      <c r="F64" s="7"/>
      <c r="G64" s="7"/>
      <c r="H64" s="37"/>
    </row>
    <row r="65" spans="1:8" s="34" customFormat="1" ht="16.5" customHeight="1">
      <c r="A65" s="7"/>
      <c r="B65" s="7"/>
      <c r="C65" s="36"/>
      <c r="D65" s="7"/>
      <c r="E65" s="7"/>
      <c r="F65" s="7"/>
      <c r="G65" s="7"/>
      <c r="H65" s="37"/>
    </row>
    <row r="66" spans="1:8" s="34" customFormat="1" ht="16.5" customHeight="1">
      <c r="A66" s="7"/>
      <c r="B66" s="7"/>
      <c r="C66" s="36"/>
      <c r="D66" s="7"/>
      <c r="E66" s="7"/>
      <c r="F66" s="7"/>
      <c r="G66" s="7"/>
      <c r="H66" s="37"/>
    </row>
    <row r="67" spans="1:8" s="34" customFormat="1" ht="16.5" customHeight="1">
      <c r="A67" s="7"/>
      <c r="B67" s="7"/>
      <c r="C67" s="36"/>
      <c r="D67" s="7"/>
      <c r="E67" s="7"/>
      <c r="F67" s="7"/>
      <c r="G67" s="7"/>
      <c r="H67" s="37"/>
    </row>
    <row r="68" spans="1:8" ht="16.5" customHeight="1">
      <c r="A68" s="7"/>
      <c r="B68" s="7"/>
      <c r="C68" s="36"/>
      <c r="D68" s="7"/>
      <c r="E68" s="7"/>
      <c r="F68" s="7"/>
      <c r="G68" s="7"/>
      <c r="H68" s="37"/>
    </row>
    <row r="69" spans="1:8" ht="16.5" customHeight="1">
      <c r="A69" s="7"/>
      <c r="B69" s="7"/>
      <c r="C69" s="36"/>
      <c r="D69" s="7"/>
      <c r="E69" s="7"/>
      <c r="F69" s="7"/>
      <c r="G69" s="7"/>
      <c r="H69" s="37"/>
    </row>
    <row r="70" spans="1:8" ht="16.5" customHeight="1">
      <c r="A70" s="7"/>
      <c r="B70" s="7"/>
      <c r="C70" s="36"/>
      <c r="D70" s="7"/>
      <c r="E70" s="7"/>
      <c r="F70" s="7"/>
      <c r="G70" s="7"/>
      <c r="H70" s="37"/>
    </row>
    <row r="71" spans="1:8" ht="16.5" customHeight="1">
      <c r="A71" s="7"/>
      <c r="B71" s="7"/>
      <c r="C71" s="36"/>
      <c r="D71" s="7"/>
      <c r="E71" s="7"/>
      <c r="F71" s="7"/>
      <c r="G71" s="7"/>
      <c r="H71" s="37"/>
    </row>
    <row r="72" spans="1:8" ht="16.5" customHeight="1">
      <c r="A72" s="7"/>
      <c r="B72" s="7"/>
      <c r="C72" s="36"/>
      <c r="D72" s="7"/>
      <c r="E72" s="7"/>
      <c r="F72" s="7"/>
      <c r="G72" s="7"/>
      <c r="H72" s="37"/>
    </row>
  </sheetData>
  <sheetProtection/>
  <mergeCells count="9">
    <mergeCell ref="A1:H1"/>
    <mergeCell ref="A2:H2"/>
    <mergeCell ref="E50:G50"/>
    <mergeCell ref="A3:A4"/>
    <mergeCell ref="B3:B4"/>
    <mergeCell ref="C3:C4"/>
    <mergeCell ref="D3:D4"/>
    <mergeCell ref="E3:F3"/>
    <mergeCell ref="G3:H3"/>
  </mergeCells>
  <printOptions/>
  <pageMargins left="0.4724409448818898" right="0.5511811023622047" top="0.35433070866141736" bottom="0.31496062992125984" header="0.35433070866141736" footer="0.31496062992125984"/>
  <pageSetup horizontalDpi="300" verticalDpi="300" orientation="portrait" paperSize="9" scale="98" r:id="rId1"/>
  <rowBreaks count="1" manualBreakCount="1">
    <brk id="50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M172"/>
  <sheetViews>
    <sheetView zoomScalePageLayoutView="0" workbookViewId="0" topLeftCell="A141">
      <selection activeCell="C151" sqref="C151"/>
    </sheetView>
  </sheetViews>
  <sheetFormatPr defaultColWidth="9.00390625" defaultRowHeight="12.75"/>
  <cols>
    <col min="1" max="1" width="4.75390625" style="157" customWidth="1"/>
    <col min="2" max="2" width="10.00390625" style="157" customWidth="1"/>
    <col min="3" max="3" width="42.75390625" style="157" customWidth="1"/>
    <col min="4" max="4" width="7.625" style="157" customWidth="1"/>
    <col min="5" max="5" width="7.375" style="157" customWidth="1"/>
    <col min="6" max="6" width="7.625" style="157" customWidth="1"/>
    <col min="7" max="7" width="7.875" style="157" customWidth="1"/>
    <col min="8" max="8" width="11.875" style="223" customWidth="1"/>
    <col min="9" max="9" width="8.00390625" style="531" customWidth="1"/>
    <col min="10" max="10" width="35.625" style="531" customWidth="1"/>
    <col min="11" max="11" width="8.00390625" style="531" customWidth="1"/>
    <col min="12" max="12" width="7.125" style="531" customWidth="1"/>
    <col min="13" max="13" width="12.00390625" style="531" customWidth="1"/>
    <col min="14" max="14" width="13.125" style="531" bestFit="1" customWidth="1"/>
    <col min="15" max="15" width="13.375" style="531" bestFit="1" customWidth="1"/>
    <col min="16" max="39" width="9.125" style="531" customWidth="1"/>
    <col min="40" max="16384" width="9.125" style="91" customWidth="1"/>
  </cols>
  <sheetData>
    <row r="1" spans="1:11" ht="33.75" customHeight="1">
      <c r="A1" s="605" t="s">
        <v>307</v>
      </c>
      <c r="B1" s="605"/>
      <c r="C1" s="605"/>
      <c r="D1" s="605"/>
      <c r="E1" s="605"/>
      <c r="F1" s="605"/>
      <c r="G1" s="605"/>
      <c r="H1" s="605"/>
      <c r="I1" s="526"/>
      <c r="J1" s="526"/>
      <c r="K1" s="526"/>
    </row>
    <row r="2" spans="1:11" ht="72.75" customHeight="1">
      <c r="A2" s="606" t="s">
        <v>465</v>
      </c>
      <c r="B2" s="606"/>
      <c r="C2" s="606"/>
      <c r="D2" s="606"/>
      <c r="E2" s="606"/>
      <c r="F2" s="606"/>
      <c r="G2" s="606"/>
      <c r="H2" s="606"/>
      <c r="I2" s="527"/>
      <c r="J2" s="527"/>
      <c r="K2" s="527"/>
    </row>
    <row r="3" spans="1:11" ht="60.75" customHeight="1">
      <c r="A3" s="607" t="s">
        <v>7</v>
      </c>
      <c r="B3" s="609" t="s">
        <v>129</v>
      </c>
      <c r="C3" s="607" t="s">
        <v>130</v>
      </c>
      <c r="D3" s="609" t="s">
        <v>131</v>
      </c>
      <c r="E3" s="587" t="s">
        <v>132</v>
      </c>
      <c r="F3" s="588"/>
      <c r="G3" s="587" t="s">
        <v>133</v>
      </c>
      <c r="H3" s="588"/>
      <c r="I3" s="528"/>
      <c r="J3" s="528"/>
      <c r="K3" s="528"/>
    </row>
    <row r="4" spans="1:14" ht="74.25" customHeight="1">
      <c r="A4" s="608"/>
      <c r="B4" s="610"/>
      <c r="C4" s="608"/>
      <c r="D4" s="610"/>
      <c r="E4" s="159" t="s">
        <v>134</v>
      </c>
      <c r="F4" s="159" t="s">
        <v>135</v>
      </c>
      <c r="G4" s="159" t="s">
        <v>134</v>
      </c>
      <c r="H4" s="237" t="s">
        <v>128</v>
      </c>
      <c r="I4" s="529"/>
      <c r="J4" s="529"/>
      <c r="K4" s="529"/>
      <c r="N4" s="540"/>
    </row>
    <row r="5" spans="1:11" ht="16.5" customHeight="1" thickBot="1">
      <c r="A5" s="155">
        <v>1</v>
      </c>
      <c r="B5" s="155">
        <v>2</v>
      </c>
      <c r="C5" s="155">
        <v>3</v>
      </c>
      <c r="D5" s="137">
        <v>4</v>
      </c>
      <c r="E5" s="137">
        <v>5</v>
      </c>
      <c r="F5" s="137">
        <v>6</v>
      </c>
      <c r="G5" s="137">
        <v>7</v>
      </c>
      <c r="H5" s="238">
        <v>8</v>
      </c>
      <c r="I5" s="528"/>
      <c r="J5" s="528"/>
      <c r="K5" s="528"/>
    </row>
    <row r="6" spans="1:11" ht="40.5" customHeight="1" thickBot="1">
      <c r="A6" s="154">
        <v>1</v>
      </c>
      <c r="B6" s="85" t="s">
        <v>181</v>
      </c>
      <c r="C6" s="141" t="s">
        <v>294</v>
      </c>
      <c r="D6" s="85" t="s">
        <v>92</v>
      </c>
      <c r="E6" s="162"/>
      <c r="F6" s="146">
        <v>9.09</v>
      </c>
      <c r="G6" s="162"/>
      <c r="H6" s="239">
        <f>H7+H8</f>
        <v>0</v>
      </c>
      <c r="I6" s="536"/>
      <c r="J6" s="541"/>
      <c r="K6" s="528"/>
    </row>
    <row r="7" spans="1:11" ht="16.5" customHeight="1">
      <c r="A7" s="102">
        <f>A6+0.1</f>
        <v>1.1</v>
      </c>
      <c r="B7" s="144"/>
      <c r="C7" s="103" t="s">
        <v>93</v>
      </c>
      <c r="D7" s="103" t="s">
        <v>94</v>
      </c>
      <c r="E7" s="105">
        <f>88.7/100</f>
        <v>0.89</v>
      </c>
      <c r="F7" s="105">
        <f>F6*E7</f>
        <v>8.09</v>
      </c>
      <c r="G7" s="132"/>
      <c r="H7" s="240">
        <f>F7*G7</f>
        <v>0</v>
      </c>
      <c r="I7" s="530"/>
      <c r="J7" s="530"/>
      <c r="K7" s="528"/>
    </row>
    <row r="8" spans="1:11" ht="16.5" customHeight="1" thickBot="1">
      <c r="A8" s="137">
        <f>A7+0.1</f>
        <v>1.2</v>
      </c>
      <c r="B8" s="133"/>
      <c r="C8" s="133" t="s">
        <v>95</v>
      </c>
      <c r="D8" s="142" t="s">
        <v>96</v>
      </c>
      <c r="E8" s="167">
        <f>9.84/100</f>
        <v>0.1</v>
      </c>
      <c r="F8" s="167">
        <f>F6*E8</f>
        <v>0.91</v>
      </c>
      <c r="G8" s="167"/>
      <c r="H8" s="241">
        <f>F8*G8</f>
        <v>0</v>
      </c>
      <c r="I8" s="530"/>
      <c r="J8" s="530"/>
      <c r="K8" s="528"/>
    </row>
    <row r="9" spans="1:11" ht="48" customHeight="1" thickBot="1">
      <c r="A9" s="98">
        <f>A6+1</f>
        <v>2</v>
      </c>
      <c r="B9" s="99" t="s">
        <v>150</v>
      </c>
      <c r="C9" s="99" t="s">
        <v>204</v>
      </c>
      <c r="D9" s="100" t="s">
        <v>92</v>
      </c>
      <c r="E9" s="99"/>
      <c r="F9" s="101">
        <v>41.8</v>
      </c>
      <c r="G9" s="99"/>
      <c r="H9" s="242">
        <f>SUM(H10:H10)</f>
        <v>0</v>
      </c>
      <c r="I9" s="530"/>
      <c r="J9" s="534"/>
      <c r="K9" s="528"/>
    </row>
    <row r="10" spans="1:11" ht="16.5" customHeight="1" thickBot="1">
      <c r="A10" s="102">
        <f>A9+0.1</f>
        <v>2.1</v>
      </c>
      <c r="B10" s="103"/>
      <c r="C10" s="102" t="s">
        <v>93</v>
      </c>
      <c r="D10" s="103" t="s">
        <v>94</v>
      </c>
      <c r="E10" s="104">
        <f>28.9/100</f>
        <v>0.289</v>
      </c>
      <c r="F10" s="105">
        <f>F9*E10</f>
        <v>12.08</v>
      </c>
      <c r="G10" s="105"/>
      <c r="H10" s="240">
        <f>F10*G10</f>
        <v>0</v>
      </c>
      <c r="I10" s="530"/>
      <c r="J10" s="534"/>
      <c r="K10" s="528"/>
    </row>
    <row r="11" spans="1:11" ht="34.5" customHeight="1" thickBot="1">
      <c r="A11" s="154">
        <f>A9+1</f>
        <v>3</v>
      </c>
      <c r="B11" s="85" t="s">
        <v>181</v>
      </c>
      <c r="C11" s="141" t="s">
        <v>299</v>
      </c>
      <c r="D11" s="85" t="s">
        <v>97</v>
      </c>
      <c r="E11" s="162"/>
      <c r="F11" s="146">
        <v>6.12</v>
      </c>
      <c r="G11" s="162"/>
      <c r="H11" s="239">
        <f>H12+H13</f>
        <v>0</v>
      </c>
      <c r="I11" s="530"/>
      <c r="J11" s="530"/>
      <c r="K11" s="528"/>
    </row>
    <row r="12" spans="1:11" ht="16.5" customHeight="1">
      <c r="A12" s="102">
        <f>A11+0.1</f>
        <v>3.1</v>
      </c>
      <c r="B12" s="144"/>
      <c r="C12" s="103" t="s">
        <v>93</v>
      </c>
      <c r="D12" s="103" t="s">
        <v>94</v>
      </c>
      <c r="E12" s="105">
        <v>4.8</v>
      </c>
      <c r="F12" s="105">
        <f>F11*E12</f>
        <v>29.38</v>
      </c>
      <c r="G12" s="132"/>
      <c r="H12" s="240">
        <f>F12*G12</f>
        <v>0</v>
      </c>
      <c r="I12" s="530"/>
      <c r="J12" s="530"/>
      <c r="K12" s="528"/>
    </row>
    <row r="13" spans="1:11" ht="16.5" customHeight="1" thickBot="1">
      <c r="A13" s="137">
        <f>A12+0.1</f>
        <v>3.2</v>
      </c>
      <c r="B13" s="133"/>
      <c r="C13" s="133" t="s">
        <v>95</v>
      </c>
      <c r="D13" s="142" t="s">
        <v>96</v>
      </c>
      <c r="E13" s="167">
        <v>1.1</v>
      </c>
      <c r="F13" s="167">
        <f>F11*E13</f>
        <v>6.73</v>
      </c>
      <c r="G13" s="167"/>
      <c r="H13" s="241">
        <f>F13*G13</f>
        <v>0</v>
      </c>
      <c r="I13" s="530"/>
      <c r="J13" s="530"/>
      <c r="K13" s="528"/>
    </row>
    <row r="14" spans="1:11" ht="34.5" customHeight="1" thickBot="1">
      <c r="A14" s="154">
        <v>4</v>
      </c>
      <c r="B14" s="85" t="s">
        <v>326</v>
      </c>
      <c r="C14" s="141" t="s">
        <v>314</v>
      </c>
      <c r="D14" s="85" t="s">
        <v>97</v>
      </c>
      <c r="E14" s="162"/>
      <c r="F14" s="146">
        <f>0.9*2.2*0.12</f>
        <v>0.24</v>
      </c>
      <c r="G14" s="162"/>
      <c r="H14" s="239">
        <f>H15+H16</f>
        <v>0</v>
      </c>
      <c r="I14" s="530"/>
      <c r="J14" s="530"/>
      <c r="K14" s="528"/>
    </row>
    <row r="15" spans="1:11" ht="16.5" customHeight="1">
      <c r="A15" s="102">
        <f>A14+0.1</f>
        <v>4.1</v>
      </c>
      <c r="B15" s="144"/>
      <c r="C15" s="103" t="s">
        <v>93</v>
      </c>
      <c r="D15" s="103" t="s">
        <v>94</v>
      </c>
      <c r="E15" s="105">
        <v>21.1</v>
      </c>
      <c r="F15" s="105">
        <f>F14*E15</f>
        <v>5.06</v>
      </c>
      <c r="G15" s="132"/>
      <c r="H15" s="240">
        <f>F15*G15</f>
        <v>0</v>
      </c>
      <c r="I15" s="530"/>
      <c r="J15" s="530"/>
      <c r="K15" s="528"/>
    </row>
    <row r="16" spans="1:11" ht="16.5" customHeight="1" thickBot="1">
      <c r="A16" s="137">
        <f>A15+0.1</f>
        <v>4.2</v>
      </c>
      <c r="B16" s="133"/>
      <c r="C16" s="133" t="s">
        <v>95</v>
      </c>
      <c r="D16" s="142" t="s">
        <v>96</v>
      </c>
      <c r="E16" s="167">
        <v>14.7</v>
      </c>
      <c r="F16" s="167">
        <f>F14*E16</f>
        <v>3.53</v>
      </c>
      <c r="G16" s="167"/>
      <c r="H16" s="241">
        <f>F16*G16</f>
        <v>0</v>
      </c>
      <c r="I16" s="530"/>
      <c r="J16" s="530"/>
      <c r="K16" s="528"/>
    </row>
    <row r="17" spans="1:11" ht="52.5" customHeight="1" thickBot="1">
      <c r="A17" s="98">
        <v>3</v>
      </c>
      <c r="B17" s="99" t="s">
        <v>90</v>
      </c>
      <c r="C17" s="99" t="s">
        <v>214</v>
      </c>
      <c r="D17" s="346" t="s">
        <v>145</v>
      </c>
      <c r="E17" s="347"/>
      <c r="F17" s="346">
        <v>100</v>
      </c>
      <c r="G17" s="347"/>
      <c r="H17" s="242">
        <f>G17*F17</f>
        <v>0</v>
      </c>
      <c r="I17" s="530"/>
      <c r="J17" s="534"/>
      <c r="K17" s="528"/>
    </row>
    <row r="18" spans="1:11" ht="16.5" customHeight="1" hidden="1">
      <c r="A18" s="102"/>
      <c r="B18" s="144"/>
      <c r="C18" s="103"/>
      <c r="D18" s="132"/>
      <c r="E18" s="132">
        <v>426</v>
      </c>
      <c r="F18" s="132"/>
      <c r="G18" s="132"/>
      <c r="H18" s="240"/>
      <c r="I18" s="530"/>
      <c r="J18" s="530"/>
      <c r="K18" s="528"/>
    </row>
    <row r="19" spans="1:11" ht="16.5" customHeight="1" hidden="1" thickBot="1">
      <c r="A19" s="137"/>
      <c r="B19" s="133"/>
      <c r="C19" s="133"/>
      <c r="D19" s="134"/>
      <c r="E19" s="134">
        <v>217</v>
      </c>
      <c r="F19" s="134"/>
      <c r="G19" s="134"/>
      <c r="H19" s="243"/>
      <c r="I19" s="530"/>
      <c r="J19" s="530"/>
      <c r="K19" s="528"/>
    </row>
    <row r="20" spans="1:11" ht="56.25" customHeight="1" thickBot="1">
      <c r="A20" s="154">
        <f>A17+1</f>
        <v>4</v>
      </c>
      <c r="B20" s="85" t="s">
        <v>89</v>
      </c>
      <c r="C20" s="141" t="s">
        <v>295</v>
      </c>
      <c r="D20" s="143" t="s">
        <v>92</v>
      </c>
      <c r="E20" s="141"/>
      <c r="F20" s="146">
        <f>F130</f>
        <v>590</v>
      </c>
      <c r="G20" s="141"/>
      <c r="H20" s="239">
        <f>H21+H22</f>
        <v>0</v>
      </c>
      <c r="I20" s="530"/>
      <c r="J20" s="542"/>
      <c r="K20" s="543"/>
    </row>
    <row r="21" spans="1:13" ht="16.5" customHeight="1" thickBot="1">
      <c r="A21" s="171">
        <f>A20+0.1</f>
        <v>4.1</v>
      </c>
      <c r="B21" s="144"/>
      <c r="C21" s="103" t="s">
        <v>93</v>
      </c>
      <c r="D21" s="132" t="s">
        <v>94</v>
      </c>
      <c r="E21" s="96">
        <f>18.6/100</f>
        <v>0.186</v>
      </c>
      <c r="F21" s="132">
        <f>F20*E21</f>
        <v>109.74</v>
      </c>
      <c r="G21" s="132"/>
      <c r="H21" s="240">
        <f>G21*F21</f>
        <v>0</v>
      </c>
      <c r="I21" s="530"/>
      <c r="J21" s="544"/>
      <c r="K21" s="545"/>
      <c r="M21" s="546"/>
    </row>
    <row r="22" spans="1:11" ht="16.5" customHeight="1" thickBot="1">
      <c r="A22" s="155">
        <f>A21+0.1</f>
        <v>4.2</v>
      </c>
      <c r="B22" s="133"/>
      <c r="C22" s="133" t="s">
        <v>95</v>
      </c>
      <c r="D22" s="134" t="s">
        <v>98</v>
      </c>
      <c r="E22" s="97">
        <f>0.16/100</f>
        <v>0.0016</v>
      </c>
      <c r="F22" s="134">
        <f>F20*E22</f>
        <v>0.94</v>
      </c>
      <c r="G22" s="134"/>
      <c r="H22" s="243">
        <f>G22*F22</f>
        <v>0</v>
      </c>
      <c r="I22" s="530"/>
      <c r="J22" s="530"/>
      <c r="K22" s="528"/>
    </row>
    <row r="23" spans="1:11" ht="31.5" customHeight="1" thickBot="1">
      <c r="A23" s="154">
        <f>A20+1</f>
        <v>5</v>
      </c>
      <c r="B23" s="85" t="s">
        <v>137</v>
      </c>
      <c r="C23" s="141" t="s">
        <v>138</v>
      </c>
      <c r="D23" s="143" t="s">
        <v>92</v>
      </c>
      <c r="E23" s="141"/>
      <c r="F23" s="146">
        <v>41.8</v>
      </c>
      <c r="G23" s="141"/>
      <c r="H23" s="239">
        <f>H24+H25</f>
        <v>0</v>
      </c>
      <c r="I23" s="530"/>
      <c r="J23" s="547"/>
      <c r="K23" s="528"/>
    </row>
    <row r="24" spans="1:11" ht="16.5" customHeight="1">
      <c r="A24" s="155">
        <f>A23+0.1</f>
        <v>5.1</v>
      </c>
      <c r="B24" s="144"/>
      <c r="C24" s="103" t="s">
        <v>93</v>
      </c>
      <c r="D24" s="132" t="s">
        <v>94</v>
      </c>
      <c r="E24" s="96">
        <v>0.77</v>
      </c>
      <c r="F24" s="132">
        <f>F23*E24</f>
        <v>32.19</v>
      </c>
      <c r="G24" s="132"/>
      <c r="H24" s="240">
        <f>G24*F24</f>
        <v>0</v>
      </c>
      <c r="I24" s="530"/>
      <c r="J24" s="547"/>
      <c r="K24" s="528"/>
    </row>
    <row r="25" spans="1:11" ht="16.5" customHeight="1" thickBot="1">
      <c r="A25" s="155">
        <f>A24+0.1</f>
        <v>5.2</v>
      </c>
      <c r="B25" s="133"/>
      <c r="C25" s="133" t="s">
        <v>95</v>
      </c>
      <c r="D25" s="134" t="s">
        <v>98</v>
      </c>
      <c r="E25" s="97">
        <f>4.21/100</f>
        <v>0.0421</v>
      </c>
      <c r="F25" s="134">
        <f>F23*E25</f>
        <v>1.76</v>
      </c>
      <c r="G25" s="134"/>
      <c r="H25" s="243">
        <f>G25*F25</f>
        <v>0</v>
      </c>
      <c r="I25" s="530"/>
      <c r="J25" s="547"/>
      <c r="K25" s="528"/>
    </row>
    <row r="26" spans="1:11" ht="49.5" customHeight="1" thickBot="1">
      <c r="A26" s="154">
        <f>A23+1</f>
        <v>6</v>
      </c>
      <c r="B26" s="85" t="s">
        <v>182</v>
      </c>
      <c r="C26" s="141" t="s">
        <v>99</v>
      </c>
      <c r="D26" s="85" t="s">
        <v>100</v>
      </c>
      <c r="E26" s="141"/>
      <c r="F26" s="163">
        <v>12.02</v>
      </c>
      <c r="G26" s="176"/>
      <c r="H26" s="239">
        <f>H27</f>
        <v>0</v>
      </c>
      <c r="I26" s="530"/>
      <c r="J26" s="534"/>
      <c r="K26" s="528"/>
    </row>
    <row r="27" spans="1:11" ht="16.5" customHeight="1" thickBot="1">
      <c r="A27" s="155">
        <f>A26+0.1</f>
        <v>6.1</v>
      </c>
      <c r="B27" s="155"/>
      <c r="C27" s="144" t="s">
        <v>101</v>
      </c>
      <c r="D27" s="145" t="s">
        <v>94</v>
      </c>
      <c r="E27" s="177">
        <f>3.37</f>
        <v>3.37</v>
      </c>
      <c r="F27" s="177">
        <f>F26*E27</f>
        <v>40.51</v>
      </c>
      <c r="G27" s="178"/>
      <c r="H27" s="244">
        <f>F27*G27</f>
        <v>0</v>
      </c>
      <c r="I27" s="530"/>
      <c r="J27" s="534"/>
      <c r="K27" s="528"/>
    </row>
    <row r="28" spans="1:11" ht="35.25" customHeight="1" thickBot="1">
      <c r="A28" s="154">
        <f>A26+1</f>
        <v>7</v>
      </c>
      <c r="B28" s="85" t="s">
        <v>183</v>
      </c>
      <c r="C28" s="151" t="s">
        <v>102</v>
      </c>
      <c r="D28" s="152" t="s">
        <v>103</v>
      </c>
      <c r="E28" s="151"/>
      <c r="F28" s="179">
        <f>F26*1.8</f>
        <v>21.64</v>
      </c>
      <c r="G28" s="180"/>
      <c r="H28" s="245">
        <f>F28*G28</f>
        <v>0</v>
      </c>
      <c r="I28" s="530"/>
      <c r="J28" s="534"/>
      <c r="K28" s="528"/>
    </row>
    <row r="29" spans="1:13" ht="48" customHeight="1" thickBot="1">
      <c r="A29" s="154">
        <f>A28+1</f>
        <v>8</v>
      </c>
      <c r="B29" s="85" t="s">
        <v>184</v>
      </c>
      <c r="C29" s="141" t="s">
        <v>139</v>
      </c>
      <c r="D29" s="85" t="s">
        <v>97</v>
      </c>
      <c r="E29" s="162"/>
      <c r="F29" s="146">
        <f>6.5+1.2</f>
        <v>7.7</v>
      </c>
      <c r="G29" s="162"/>
      <c r="H29" s="239">
        <f>SUM(H30:H34)</f>
        <v>0</v>
      </c>
      <c r="I29" s="530"/>
      <c r="J29" s="534"/>
      <c r="K29" s="528"/>
      <c r="M29" s="548"/>
    </row>
    <row r="30" spans="1:11" ht="16.5" customHeight="1">
      <c r="A30" s="102">
        <f>A29+0.1</f>
        <v>8.1</v>
      </c>
      <c r="B30" s="182" t="s">
        <v>149</v>
      </c>
      <c r="C30" s="103" t="s">
        <v>93</v>
      </c>
      <c r="D30" s="103" t="s">
        <v>94</v>
      </c>
      <c r="E30" s="132">
        <f>3.36*1.15</f>
        <v>3.86</v>
      </c>
      <c r="F30" s="105">
        <f>F29*E30</f>
        <v>29.72</v>
      </c>
      <c r="G30" s="132"/>
      <c r="H30" s="240">
        <f>G30*F30</f>
        <v>0</v>
      </c>
      <c r="I30" s="530"/>
      <c r="J30" s="530"/>
      <c r="K30" s="528"/>
    </row>
    <row r="31" spans="1:11" ht="16.5" customHeight="1">
      <c r="A31" s="136">
        <f>A30+0.1</f>
        <v>8.2</v>
      </c>
      <c r="B31" s="183" t="s">
        <v>149</v>
      </c>
      <c r="C31" s="135" t="s">
        <v>95</v>
      </c>
      <c r="D31" s="135" t="s">
        <v>98</v>
      </c>
      <c r="E31" s="147">
        <f>0.92*1.15</f>
        <v>1.06</v>
      </c>
      <c r="F31" s="147">
        <f>F29*E31</f>
        <v>8.16</v>
      </c>
      <c r="G31" s="147"/>
      <c r="H31" s="246">
        <f>G31*F31</f>
        <v>0</v>
      </c>
      <c r="I31" s="530"/>
      <c r="J31" s="530"/>
      <c r="K31" s="528"/>
    </row>
    <row r="32" spans="1:11" ht="16.5" customHeight="1">
      <c r="A32" s="136">
        <f>A31+0.1</f>
        <v>8.3</v>
      </c>
      <c r="B32" s="183"/>
      <c r="C32" s="136" t="s">
        <v>104</v>
      </c>
      <c r="D32" s="136" t="s">
        <v>97</v>
      </c>
      <c r="E32" s="149">
        <f>0.11</f>
        <v>0.11</v>
      </c>
      <c r="F32" s="149">
        <f>F29*E32</f>
        <v>0.85</v>
      </c>
      <c r="G32" s="149"/>
      <c r="H32" s="247">
        <f>G32*F32</f>
        <v>0</v>
      </c>
      <c r="I32" s="530"/>
      <c r="J32" s="530"/>
      <c r="K32" s="528"/>
    </row>
    <row r="33" spans="1:11" ht="16.5" customHeight="1">
      <c r="A33" s="136">
        <f>A32+0.1</f>
        <v>8.4</v>
      </c>
      <c r="B33" s="183"/>
      <c r="C33" s="136" t="s">
        <v>151</v>
      </c>
      <c r="D33" s="136" t="s">
        <v>105</v>
      </c>
      <c r="E33" s="185">
        <v>125</v>
      </c>
      <c r="F33" s="185">
        <f>F29*E33</f>
        <v>962.5</v>
      </c>
      <c r="G33" s="149"/>
      <c r="H33" s="247">
        <f>G33*F33</f>
        <v>0</v>
      </c>
      <c r="I33" s="530"/>
      <c r="J33" s="530"/>
      <c r="K33" s="528"/>
    </row>
    <row r="34" spans="1:11" ht="23.25" customHeight="1" thickBot="1">
      <c r="A34" s="136">
        <f>A33+0.1</f>
        <v>8.5</v>
      </c>
      <c r="B34" s="186"/>
      <c r="C34" s="137" t="s">
        <v>106</v>
      </c>
      <c r="D34" s="137" t="s">
        <v>107</v>
      </c>
      <c r="E34" s="150">
        <v>0.16</v>
      </c>
      <c r="F34" s="150">
        <f>F29*E34</f>
        <v>1.23</v>
      </c>
      <c r="G34" s="150"/>
      <c r="H34" s="248">
        <f>G34*F34</f>
        <v>0</v>
      </c>
      <c r="I34" s="530"/>
      <c r="J34" s="530"/>
      <c r="K34" s="528"/>
    </row>
    <row r="35" spans="1:11" ht="42.75" customHeight="1" hidden="1" thickBot="1">
      <c r="A35" s="188"/>
      <c r="B35" s="85"/>
      <c r="C35" s="141"/>
      <c r="D35" s="146"/>
      <c r="E35" s="138"/>
      <c r="F35" s="189"/>
      <c r="G35" s="190"/>
      <c r="H35" s="239"/>
      <c r="I35" s="530"/>
      <c r="J35" s="530"/>
      <c r="K35" s="528"/>
    </row>
    <row r="36" spans="1:11" ht="42.75" customHeight="1" hidden="1" thickBot="1">
      <c r="A36" s="188"/>
      <c r="B36" s="85"/>
      <c r="C36" s="141"/>
      <c r="D36" s="146"/>
      <c r="E36" s="138"/>
      <c r="F36" s="189"/>
      <c r="G36" s="190"/>
      <c r="H36" s="239"/>
      <c r="I36" s="530"/>
      <c r="J36" s="530"/>
      <c r="K36" s="528"/>
    </row>
    <row r="37" spans="1:39" s="1" customFormat="1" ht="71.25" customHeight="1" hidden="1" thickBot="1">
      <c r="A37" s="82"/>
      <c r="B37" s="81"/>
      <c r="C37" s="66"/>
      <c r="D37" s="65"/>
      <c r="E37" s="66"/>
      <c r="F37" s="513"/>
      <c r="G37" s="514"/>
      <c r="H37" s="106"/>
      <c r="I37" s="530"/>
      <c r="J37" s="549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533"/>
      <c r="AB37" s="533"/>
      <c r="AC37" s="533"/>
      <c r="AD37" s="533"/>
      <c r="AE37" s="533"/>
      <c r="AF37" s="533"/>
      <c r="AG37" s="533"/>
      <c r="AH37" s="533"/>
      <c r="AI37" s="533"/>
      <c r="AJ37" s="533"/>
      <c r="AK37" s="533"/>
      <c r="AL37" s="533"/>
      <c r="AM37" s="533"/>
    </row>
    <row r="38" spans="1:39" s="1" customFormat="1" ht="16.5" customHeight="1" hidden="1">
      <c r="A38" s="119"/>
      <c r="B38" s="51"/>
      <c r="C38" s="51"/>
      <c r="D38" s="51"/>
      <c r="E38" s="51"/>
      <c r="F38" s="51"/>
      <c r="G38" s="54"/>
      <c r="H38" s="58"/>
      <c r="I38" s="530"/>
      <c r="J38" s="549"/>
      <c r="K38" s="533"/>
      <c r="L38" s="533"/>
      <c r="M38" s="533"/>
      <c r="N38" s="533"/>
      <c r="O38" s="533"/>
      <c r="P38" s="533"/>
      <c r="Q38" s="533"/>
      <c r="R38" s="533"/>
      <c r="S38" s="533"/>
      <c r="T38" s="533"/>
      <c r="U38" s="533"/>
      <c r="V38" s="533"/>
      <c r="W38" s="533"/>
      <c r="X38" s="533"/>
      <c r="Y38" s="533"/>
      <c r="Z38" s="533"/>
      <c r="AA38" s="533"/>
      <c r="AB38" s="533"/>
      <c r="AC38" s="533"/>
      <c r="AD38" s="533"/>
      <c r="AE38" s="533"/>
      <c r="AF38" s="533"/>
      <c r="AG38" s="533"/>
      <c r="AH38" s="533"/>
      <c r="AI38" s="533"/>
      <c r="AJ38" s="533"/>
      <c r="AK38" s="533"/>
      <c r="AL38" s="533"/>
      <c r="AM38" s="533"/>
    </row>
    <row r="39" spans="1:39" s="1" customFormat="1" ht="16.5" customHeight="1" hidden="1">
      <c r="A39" s="21"/>
      <c r="B39" s="18"/>
      <c r="C39" s="18"/>
      <c r="D39" s="18"/>
      <c r="E39" s="18"/>
      <c r="F39" s="18"/>
      <c r="G39" s="18"/>
      <c r="H39" s="515"/>
      <c r="I39" s="530"/>
      <c r="J39" s="549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</row>
    <row r="40" spans="1:39" s="1" customFormat="1" ht="15.75" customHeight="1" hidden="1">
      <c r="A40" s="21"/>
      <c r="B40" s="20"/>
      <c r="C40" s="17"/>
      <c r="D40" s="17"/>
      <c r="E40" s="23"/>
      <c r="F40" s="516"/>
      <c r="G40" s="23"/>
      <c r="H40" s="25"/>
      <c r="I40" s="530"/>
      <c r="J40" s="549"/>
      <c r="K40" s="533"/>
      <c r="L40" s="533"/>
      <c r="M40" s="533"/>
      <c r="N40" s="533"/>
      <c r="O40" s="533"/>
      <c r="P40" s="533"/>
      <c r="Q40" s="533"/>
      <c r="R40" s="533"/>
      <c r="S40" s="533"/>
      <c r="T40" s="533"/>
      <c r="U40" s="533"/>
      <c r="V40" s="533"/>
      <c r="W40" s="533"/>
      <c r="X40" s="533"/>
      <c r="Y40" s="533"/>
      <c r="Z40" s="533"/>
      <c r="AA40" s="533"/>
      <c r="AB40" s="533"/>
      <c r="AC40" s="533"/>
      <c r="AD40" s="533"/>
      <c r="AE40" s="533"/>
      <c r="AF40" s="533"/>
      <c r="AG40" s="533"/>
      <c r="AH40" s="533"/>
      <c r="AI40" s="533"/>
      <c r="AJ40" s="533"/>
      <c r="AK40" s="533"/>
      <c r="AL40" s="533"/>
      <c r="AM40" s="533"/>
    </row>
    <row r="41" spans="1:39" s="1" customFormat="1" ht="16.5" customHeight="1" hidden="1">
      <c r="A41" s="21"/>
      <c r="B41" s="20"/>
      <c r="C41" s="17"/>
      <c r="D41" s="17"/>
      <c r="E41" s="23"/>
      <c r="F41" s="23"/>
      <c r="G41" s="23"/>
      <c r="H41" s="25"/>
      <c r="I41" s="530"/>
      <c r="J41" s="549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  <c r="V41" s="533"/>
      <c r="W41" s="533"/>
      <c r="X41" s="533"/>
      <c r="Y41" s="533"/>
      <c r="Z41" s="533"/>
      <c r="AA41" s="533"/>
      <c r="AB41" s="533"/>
      <c r="AC41" s="533"/>
      <c r="AD41" s="533"/>
      <c r="AE41" s="533"/>
      <c r="AF41" s="533"/>
      <c r="AG41" s="533"/>
      <c r="AH41" s="533"/>
      <c r="AI41" s="533"/>
      <c r="AJ41" s="533"/>
      <c r="AK41" s="533"/>
      <c r="AL41" s="533"/>
      <c r="AM41" s="533"/>
    </row>
    <row r="42" spans="1:39" s="1" customFormat="1" ht="16.5" customHeight="1" hidden="1">
      <c r="A42" s="21"/>
      <c r="B42" s="20"/>
      <c r="C42" s="17"/>
      <c r="D42" s="17"/>
      <c r="E42" s="23"/>
      <c r="F42" s="23"/>
      <c r="G42" s="23"/>
      <c r="H42" s="25"/>
      <c r="I42" s="530"/>
      <c r="J42" s="549"/>
      <c r="K42" s="533"/>
      <c r="L42" s="533"/>
      <c r="M42" s="533"/>
      <c r="N42" s="533"/>
      <c r="O42" s="533"/>
      <c r="P42" s="533"/>
      <c r="Q42" s="533"/>
      <c r="R42" s="533"/>
      <c r="S42" s="533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533"/>
      <c r="AE42" s="533"/>
      <c r="AF42" s="533"/>
      <c r="AG42" s="533"/>
      <c r="AH42" s="533"/>
      <c r="AI42" s="533"/>
      <c r="AJ42" s="533"/>
      <c r="AK42" s="533"/>
      <c r="AL42" s="533"/>
      <c r="AM42" s="533"/>
    </row>
    <row r="43" spans="1:39" s="1" customFormat="1" ht="16.5" customHeight="1" hidden="1" thickBot="1">
      <c r="A43" s="74"/>
      <c r="B43" s="70"/>
      <c r="C43" s="55"/>
      <c r="D43" s="55"/>
      <c r="E43" s="71"/>
      <c r="F43" s="71"/>
      <c r="G43" s="71"/>
      <c r="H43" s="72"/>
      <c r="I43" s="530"/>
      <c r="J43" s="549"/>
      <c r="K43" s="533"/>
      <c r="L43" s="533"/>
      <c r="M43" s="533"/>
      <c r="N43" s="533"/>
      <c r="O43" s="533"/>
      <c r="P43" s="533"/>
      <c r="Q43" s="533"/>
      <c r="R43" s="533"/>
      <c r="S43" s="533"/>
      <c r="T43" s="533"/>
      <c r="U43" s="533"/>
      <c r="V43" s="533"/>
      <c r="W43" s="533"/>
      <c r="X43" s="533"/>
      <c r="Y43" s="533"/>
      <c r="Z43" s="533"/>
      <c r="AA43" s="533"/>
      <c r="AB43" s="533"/>
      <c r="AC43" s="533"/>
      <c r="AD43" s="533"/>
      <c r="AE43" s="533"/>
      <c r="AF43" s="533"/>
      <c r="AG43" s="533"/>
      <c r="AH43" s="533"/>
      <c r="AI43" s="533"/>
      <c r="AJ43" s="533"/>
      <c r="AK43" s="533"/>
      <c r="AL43" s="533"/>
      <c r="AM43" s="533"/>
    </row>
    <row r="44" spans="1:11" ht="42.75" customHeight="1" thickBot="1">
      <c r="A44" s="188">
        <f>A30+1</f>
        <v>9</v>
      </c>
      <c r="B44" s="85" t="s">
        <v>90</v>
      </c>
      <c r="C44" s="141" t="s">
        <v>91</v>
      </c>
      <c r="D44" s="146" t="s">
        <v>105</v>
      </c>
      <c r="E44" s="138"/>
      <c r="F44" s="189">
        <v>22</v>
      </c>
      <c r="G44" s="190"/>
      <c r="H44" s="239">
        <f>G44*F44</f>
        <v>0</v>
      </c>
      <c r="I44" s="530"/>
      <c r="J44" s="530"/>
      <c r="K44" s="528"/>
    </row>
    <row r="45" spans="1:11" ht="51.75" customHeight="1" thickBot="1">
      <c r="A45" s="188">
        <v>10</v>
      </c>
      <c r="B45" s="85" t="s">
        <v>90</v>
      </c>
      <c r="C45" s="141" t="s">
        <v>210</v>
      </c>
      <c r="D45" s="146" t="s">
        <v>92</v>
      </c>
      <c r="E45" s="138"/>
      <c r="F45" s="189">
        <v>27</v>
      </c>
      <c r="G45" s="190"/>
      <c r="H45" s="239">
        <f>G45*F45</f>
        <v>0</v>
      </c>
      <c r="I45" s="530"/>
      <c r="J45" s="530"/>
      <c r="K45" s="528"/>
    </row>
    <row r="46" spans="1:11" ht="56.25" customHeight="1" hidden="1" thickBot="1">
      <c r="A46" s="188"/>
      <c r="B46" s="85"/>
      <c r="C46" s="141"/>
      <c r="D46" s="146"/>
      <c r="E46" s="138"/>
      <c r="F46" s="146"/>
      <c r="G46" s="190"/>
      <c r="H46" s="239"/>
      <c r="I46" s="530"/>
      <c r="J46" s="530"/>
      <c r="K46" s="528"/>
    </row>
    <row r="47" spans="1:11" ht="60.75" customHeight="1" hidden="1">
      <c r="A47" s="188"/>
      <c r="B47" s="85"/>
      <c r="C47" s="141"/>
      <c r="D47" s="146" t="s">
        <v>92</v>
      </c>
      <c r="E47" s="138"/>
      <c r="F47" s="146"/>
      <c r="G47" s="190"/>
      <c r="H47" s="239"/>
      <c r="I47" s="530"/>
      <c r="J47" s="534"/>
      <c r="K47" s="528"/>
    </row>
    <row r="48" spans="1:11" ht="60.75" customHeight="1" thickBot="1">
      <c r="A48" s="188">
        <f>A45+1</f>
        <v>11</v>
      </c>
      <c r="B48" s="85" t="s">
        <v>90</v>
      </c>
      <c r="C48" s="141" t="s">
        <v>309</v>
      </c>
      <c r="D48" s="146" t="s">
        <v>92</v>
      </c>
      <c r="E48" s="138"/>
      <c r="F48" s="146">
        <f>0.9*2.2*2</f>
        <v>3.96</v>
      </c>
      <c r="G48" s="190"/>
      <c r="H48" s="239">
        <f>G48*F48</f>
        <v>0</v>
      </c>
      <c r="I48" s="530"/>
      <c r="J48" s="550"/>
      <c r="K48" s="528"/>
    </row>
    <row r="49" spans="1:11" ht="60.75" customHeight="1" thickBot="1">
      <c r="A49" s="188">
        <f>A48+1</f>
        <v>12</v>
      </c>
      <c r="B49" s="85" t="s">
        <v>186</v>
      </c>
      <c r="C49" s="141" t="s">
        <v>311</v>
      </c>
      <c r="D49" s="146" t="s">
        <v>92</v>
      </c>
      <c r="E49" s="138"/>
      <c r="F49" s="146">
        <f>0.9*2.1+1.4*2.4</f>
        <v>5.25</v>
      </c>
      <c r="G49" s="162"/>
      <c r="H49" s="239">
        <f>G49*F49</f>
        <v>0</v>
      </c>
      <c r="I49" s="530"/>
      <c r="J49" s="534"/>
      <c r="K49" s="528"/>
    </row>
    <row r="50" spans="1:11" ht="60.75" customHeight="1" thickBot="1">
      <c r="A50" s="188">
        <f>A49+1</f>
        <v>13</v>
      </c>
      <c r="B50" s="85" t="s">
        <v>186</v>
      </c>
      <c r="C50" s="141" t="s">
        <v>312</v>
      </c>
      <c r="D50" s="146" t="s">
        <v>92</v>
      </c>
      <c r="E50" s="138"/>
      <c r="F50" s="146">
        <f>0.9*2.2</f>
        <v>1.98</v>
      </c>
      <c r="G50" s="162"/>
      <c r="H50" s="239">
        <f>G50*F50</f>
        <v>0</v>
      </c>
      <c r="I50" s="530"/>
      <c r="J50" s="534"/>
      <c r="K50" s="528"/>
    </row>
    <row r="51" spans="1:11" ht="63" customHeight="1" thickBot="1">
      <c r="A51" s="188">
        <v>14</v>
      </c>
      <c r="B51" s="85" t="s">
        <v>185</v>
      </c>
      <c r="C51" s="141" t="s">
        <v>144</v>
      </c>
      <c r="D51" s="85" t="s">
        <v>92</v>
      </c>
      <c r="E51" s="141"/>
      <c r="F51" s="163">
        <f>F49*2+F46*2</f>
        <v>10.5</v>
      </c>
      <c r="G51" s="141"/>
      <c r="H51" s="239">
        <f>H52+H53+H54+H55+H56</f>
        <v>0</v>
      </c>
      <c r="I51" s="530"/>
      <c r="J51" s="534"/>
      <c r="K51" s="528"/>
    </row>
    <row r="52" spans="1:11" ht="21.75" customHeight="1">
      <c r="A52" s="191">
        <f>A51+0.1</f>
        <v>14.1</v>
      </c>
      <c r="B52" s="192"/>
      <c r="C52" s="103" t="s">
        <v>93</v>
      </c>
      <c r="D52" s="103" t="s">
        <v>94</v>
      </c>
      <c r="E52" s="132">
        <f>65.8/100</f>
        <v>0.66</v>
      </c>
      <c r="F52" s="105">
        <f>F51*E52</f>
        <v>6.93</v>
      </c>
      <c r="G52" s="132"/>
      <c r="H52" s="240">
        <f>G52*F52</f>
        <v>0</v>
      </c>
      <c r="I52" s="530"/>
      <c r="J52" s="534"/>
      <c r="K52" s="528"/>
    </row>
    <row r="53" spans="1:11" ht="21.75" customHeight="1">
      <c r="A53" s="191">
        <f>A52+0.1</f>
        <v>14.2</v>
      </c>
      <c r="B53" s="148"/>
      <c r="C53" s="135" t="s">
        <v>95</v>
      </c>
      <c r="D53" s="135" t="s">
        <v>98</v>
      </c>
      <c r="E53" s="147">
        <v>0.01</v>
      </c>
      <c r="F53" s="184">
        <f>F51*E53</f>
        <v>0.11</v>
      </c>
      <c r="G53" s="184"/>
      <c r="H53" s="246">
        <f>G53*F53</f>
        <v>0</v>
      </c>
      <c r="I53" s="530"/>
      <c r="J53" s="534"/>
      <c r="K53" s="528"/>
    </row>
    <row r="54" spans="1:11" ht="21.75" customHeight="1">
      <c r="A54" s="191">
        <f>A53+0.1</f>
        <v>14.3</v>
      </c>
      <c r="B54" s="148"/>
      <c r="C54" s="136" t="s">
        <v>108</v>
      </c>
      <c r="D54" s="136" t="s">
        <v>109</v>
      </c>
      <c r="E54" s="149" t="s">
        <v>19</v>
      </c>
      <c r="F54" s="185">
        <f>F51*0.15*1.1</f>
        <v>1.73</v>
      </c>
      <c r="G54" s="193"/>
      <c r="H54" s="247">
        <f>G54*F54</f>
        <v>0</v>
      </c>
      <c r="I54" s="530"/>
      <c r="J54" s="534"/>
      <c r="K54" s="528"/>
    </row>
    <row r="55" spans="1:11" ht="21.75" customHeight="1">
      <c r="A55" s="191">
        <f>A54+0.1</f>
        <v>14.4</v>
      </c>
      <c r="B55" s="148"/>
      <c r="C55" s="136" t="s">
        <v>110</v>
      </c>
      <c r="D55" s="136" t="s">
        <v>109</v>
      </c>
      <c r="E55" s="149" t="s">
        <v>19</v>
      </c>
      <c r="F55" s="185">
        <f>F51*0.15*1.1</f>
        <v>1.73</v>
      </c>
      <c r="G55" s="193"/>
      <c r="H55" s="247">
        <f>G55*F55</f>
        <v>0</v>
      </c>
      <c r="I55" s="530"/>
      <c r="J55" s="534"/>
      <c r="K55" s="528"/>
    </row>
    <row r="56" spans="1:11" ht="21.75" customHeight="1" thickBot="1">
      <c r="A56" s="191">
        <f>A55+0.1</f>
        <v>14.5</v>
      </c>
      <c r="B56" s="142"/>
      <c r="C56" s="137" t="s">
        <v>106</v>
      </c>
      <c r="D56" s="137" t="s">
        <v>98</v>
      </c>
      <c r="E56" s="194">
        <f>1.6/100</f>
        <v>0.016</v>
      </c>
      <c r="F56" s="185">
        <f>F51*E56</f>
        <v>0.17</v>
      </c>
      <c r="G56" s="137"/>
      <c r="H56" s="248">
        <f>G56*F56</f>
        <v>0</v>
      </c>
      <c r="I56" s="530"/>
      <c r="J56" s="530"/>
      <c r="K56" s="528"/>
    </row>
    <row r="57" spans="1:11" ht="18" customHeight="1" thickBot="1">
      <c r="A57" s="195"/>
      <c r="B57" s="196"/>
      <c r="C57" s="138" t="s">
        <v>162</v>
      </c>
      <c r="D57" s="138"/>
      <c r="E57" s="197"/>
      <c r="F57" s="197"/>
      <c r="G57" s="138"/>
      <c r="H57" s="234"/>
      <c r="I57" s="530"/>
      <c r="J57" s="530"/>
      <c r="K57" s="528"/>
    </row>
    <row r="58" spans="1:13" ht="64.5" customHeight="1" thickBot="1">
      <c r="A58" s="188">
        <f>A51+1</f>
        <v>15</v>
      </c>
      <c r="B58" s="85" t="s">
        <v>88</v>
      </c>
      <c r="C58" s="141" t="s">
        <v>207</v>
      </c>
      <c r="D58" s="146" t="s">
        <v>97</v>
      </c>
      <c r="E58" s="162"/>
      <c r="F58" s="146">
        <v>0.3</v>
      </c>
      <c r="G58" s="198"/>
      <c r="H58" s="239">
        <f>SUM(H59:H63)</f>
        <v>0</v>
      </c>
      <c r="I58" s="530"/>
      <c r="J58" s="534"/>
      <c r="K58" s="528"/>
      <c r="M58" s="548"/>
    </row>
    <row r="59" spans="1:11" ht="19.5" customHeight="1">
      <c r="A59" s="102">
        <f aca="true" t="shared" si="0" ref="A59:A72">A58+0.1</f>
        <v>15.1</v>
      </c>
      <c r="B59" s="199"/>
      <c r="C59" s="103" t="s">
        <v>93</v>
      </c>
      <c r="D59" s="132" t="s">
        <v>94</v>
      </c>
      <c r="E59" s="132">
        <v>1.37</v>
      </c>
      <c r="F59" s="132">
        <f>F58*E59</f>
        <v>0.41</v>
      </c>
      <c r="G59" s="132"/>
      <c r="H59" s="240">
        <f>G59*F59</f>
        <v>0</v>
      </c>
      <c r="I59" s="530"/>
      <c r="J59" s="534"/>
      <c r="K59" s="528"/>
    </row>
    <row r="60" spans="1:11" ht="19.5" customHeight="1">
      <c r="A60" s="136">
        <f t="shared" si="0"/>
        <v>15.2</v>
      </c>
      <c r="B60" s="183"/>
      <c r="C60" s="135" t="s">
        <v>95</v>
      </c>
      <c r="D60" s="147" t="s">
        <v>98</v>
      </c>
      <c r="E60" s="147">
        <f>28.3/100</f>
        <v>0.28</v>
      </c>
      <c r="F60" s="147">
        <f>F58*E60</f>
        <v>0.08</v>
      </c>
      <c r="G60" s="147"/>
      <c r="H60" s="246">
        <f>G60*F60</f>
        <v>0</v>
      </c>
      <c r="I60" s="530"/>
      <c r="J60" s="530"/>
      <c r="K60" s="528"/>
    </row>
    <row r="61" spans="1:11" ht="19.5" customHeight="1">
      <c r="A61" s="136">
        <f t="shared" si="0"/>
        <v>15.3</v>
      </c>
      <c r="B61" s="183"/>
      <c r="C61" s="148" t="s">
        <v>111</v>
      </c>
      <c r="D61" s="148" t="s">
        <v>100</v>
      </c>
      <c r="E61" s="148">
        <f>101.5/100</f>
        <v>1.015</v>
      </c>
      <c r="F61" s="200">
        <f>E61*F58</f>
        <v>0.3</v>
      </c>
      <c r="G61" s="200"/>
      <c r="H61" s="249">
        <f>F61*G61</f>
        <v>0</v>
      </c>
      <c r="I61" s="530"/>
      <c r="J61" s="530"/>
      <c r="K61" s="528"/>
    </row>
    <row r="62" spans="1:11" ht="19.5" customHeight="1">
      <c r="A62" s="136">
        <f t="shared" si="0"/>
        <v>15.4</v>
      </c>
      <c r="B62" s="183"/>
      <c r="C62" s="136" t="s">
        <v>161</v>
      </c>
      <c r="D62" s="149" t="s">
        <v>97</v>
      </c>
      <c r="E62" s="149">
        <v>1.02</v>
      </c>
      <c r="F62" s="149">
        <f>F58*E62</f>
        <v>0.31</v>
      </c>
      <c r="G62" s="150"/>
      <c r="H62" s="247">
        <f>G62*F62</f>
        <v>0</v>
      </c>
      <c r="I62" s="530"/>
      <c r="J62" s="530"/>
      <c r="K62" s="528"/>
    </row>
    <row r="63" spans="1:11" ht="19.5" customHeight="1" thickBot="1">
      <c r="A63" s="136">
        <f t="shared" si="0"/>
        <v>15.5</v>
      </c>
      <c r="B63" s="186"/>
      <c r="C63" s="137" t="s">
        <v>106</v>
      </c>
      <c r="D63" s="150" t="s">
        <v>98</v>
      </c>
      <c r="E63" s="150">
        <v>0.62</v>
      </c>
      <c r="F63" s="150">
        <f>F58*E63</f>
        <v>0.19</v>
      </c>
      <c r="G63" s="201"/>
      <c r="H63" s="247">
        <f>G63*F63</f>
        <v>0</v>
      </c>
      <c r="I63" s="530"/>
      <c r="J63" s="530"/>
      <c r="K63" s="528"/>
    </row>
    <row r="64" spans="1:11" ht="42.75" customHeight="1" thickBot="1">
      <c r="A64" s="188">
        <f>A58+1</f>
        <v>16</v>
      </c>
      <c r="B64" s="85" t="s">
        <v>187</v>
      </c>
      <c r="C64" s="141" t="s">
        <v>163</v>
      </c>
      <c r="D64" s="146" t="s">
        <v>97</v>
      </c>
      <c r="E64" s="162"/>
      <c r="F64" s="146">
        <v>0.3</v>
      </c>
      <c r="G64" s="198"/>
      <c r="H64" s="239">
        <f>SUM(H65:H72)</f>
        <v>0</v>
      </c>
      <c r="I64" s="530"/>
      <c r="J64" s="534"/>
      <c r="K64" s="528"/>
    </row>
    <row r="65" spans="1:11" ht="19.5" customHeight="1">
      <c r="A65" s="102">
        <f t="shared" si="0"/>
        <v>16.1</v>
      </c>
      <c r="B65" s="199"/>
      <c r="C65" s="103" t="s">
        <v>93</v>
      </c>
      <c r="D65" s="132" t="s">
        <v>94</v>
      </c>
      <c r="E65" s="132">
        <v>1.37</v>
      </c>
      <c r="F65" s="132">
        <f>F64*E65</f>
        <v>0.41</v>
      </c>
      <c r="G65" s="132"/>
      <c r="H65" s="240">
        <f>G65*F65</f>
        <v>0</v>
      </c>
      <c r="I65" s="530"/>
      <c r="J65" s="551"/>
      <c r="K65" s="528"/>
    </row>
    <row r="66" spans="1:11" ht="19.5" customHeight="1">
      <c r="A66" s="136">
        <f t="shared" si="0"/>
        <v>16.2</v>
      </c>
      <c r="B66" s="183"/>
      <c r="C66" s="135" t="s">
        <v>95</v>
      </c>
      <c r="D66" s="147" t="s">
        <v>98</v>
      </c>
      <c r="E66" s="147">
        <f>28.3/100</f>
        <v>0.28</v>
      </c>
      <c r="F66" s="147">
        <f>F64*E66</f>
        <v>0.08</v>
      </c>
      <c r="G66" s="147"/>
      <c r="H66" s="246">
        <f>G66*F66</f>
        <v>0</v>
      </c>
      <c r="I66" s="530"/>
      <c r="J66" s="530"/>
      <c r="K66" s="528"/>
    </row>
    <row r="67" spans="1:11" ht="19.5" customHeight="1">
      <c r="A67" s="136">
        <f t="shared" si="0"/>
        <v>16.3</v>
      </c>
      <c r="B67" s="183"/>
      <c r="C67" s="148" t="s">
        <v>111</v>
      </c>
      <c r="D67" s="148" t="s">
        <v>100</v>
      </c>
      <c r="E67" s="148">
        <f>101.5/100</f>
        <v>1.015</v>
      </c>
      <c r="F67" s="200">
        <f>E67*F64</f>
        <v>0.3</v>
      </c>
      <c r="G67" s="200"/>
      <c r="H67" s="249">
        <f>F67*G67</f>
        <v>0</v>
      </c>
      <c r="I67" s="530"/>
      <c r="J67" s="530"/>
      <c r="K67" s="528"/>
    </row>
    <row r="68" spans="1:11" ht="19.5" customHeight="1">
      <c r="A68" s="136">
        <f t="shared" si="0"/>
        <v>16.4</v>
      </c>
      <c r="B68" s="183"/>
      <c r="C68" s="136" t="s">
        <v>161</v>
      </c>
      <c r="D68" s="149" t="s">
        <v>97</v>
      </c>
      <c r="E68" s="149">
        <v>1.02</v>
      </c>
      <c r="F68" s="149">
        <f>F64*E68</f>
        <v>0.31</v>
      </c>
      <c r="G68" s="149"/>
      <c r="H68" s="247">
        <f>G68*F68</f>
        <v>0</v>
      </c>
      <c r="I68" s="530"/>
      <c r="J68" s="530"/>
      <c r="K68" s="528"/>
    </row>
    <row r="69" spans="1:11" ht="19.5" customHeight="1">
      <c r="A69" s="136">
        <f t="shared" si="0"/>
        <v>16.5</v>
      </c>
      <c r="B69" s="186"/>
      <c r="C69" s="137" t="s">
        <v>164</v>
      </c>
      <c r="D69" s="150" t="s">
        <v>109</v>
      </c>
      <c r="E69" s="150">
        <f>7760/100</f>
        <v>77.6</v>
      </c>
      <c r="F69" s="150">
        <f>F64*E69</f>
        <v>23.28</v>
      </c>
      <c r="G69" s="150"/>
      <c r="H69" s="247">
        <f>G69*F69</f>
        <v>0</v>
      </c>
      <c r="I69" s="530"/>
      <c r="J69" s="530"/>
      <c r="K69" s="528"/>
    </row>
    <row r="70" spans="1:11" ht="19.5" customHeight="1">
      <c r="A70" s="136">
        <f t="shared" si="0"/>
        <v>16.6</v>
      </c>
      <c r="B70" s="186"/>
      <c r="C70" s="137" t="s">
        <v>165</v>
      </c>
      <c r="D70" s="150" t="s">
        <v>92</v>
      </c>
      <c r="E70" s="150">
        <v>1.37</v>
      </c>
      <c r="F70" s="150">
        <f>F64*E70</f>
        <v>0.41</v>
      </c>
      <c r="G70" s="150"/>
      <c r="H70" s="247">
        <f>G70*F70</f>
        <v>0</v>
      </c>
      <c r="I70" s="530"/>
      <c r="J70" s="530"/>
      <c r="K70" s="528"/>
    </row>
    <row r="71" spans="1:11" ht="19.5" customHeight="1">
      <c r="A71" s="136">
        <f t="shared" si="0"/>
        <v>16.7</v>
      </c>
      <c r="B71" s="186"/>
      <c r="C71" s="137" t="s">
        <v>152</v>
      </c>
      <c r="D71" s="150" t="s">
        <v>97</v>
      </c>
      <c r="E71" s="203">
        <f>3.66/100</f>
        <v>0.0366</v>
      </c>
      <c r="F71" s="150">
        <f>F64*E71</f>
        <v>0.01</v>
      </c>
      <c r="G71" s="150"/>
      <c r="H71" s="247">
        <f>G71*F71</f>
        <v>0</v>
      </c>
      <c r="I71" s="530"/>
      <c r="J71" s="530"/>
      <c r="K71" s="528"/>
    </row>
    <row r="72" spans="1:11" ht="19.5" customHeight="1" thickBot="1">
      <c r="A72" s="136">
        <f t="shared" si="0"/>
        <v>16.8</v>
      </c>
      <c r="B72" s="186"/>
      <c r="C72" s="137" t="s">
        <v>106</v>
      </c>
      <c r="D72" s="150" t="s">
        <v>98</v>
      </c>
      <c r="E72" s="150">
        <v>0.62</v>
      </c>
      <c r="F72" s="150">
        <f>F64*E72</f>
        <v>0.19</v>
      </c>
      <c r="G72" s="150"/>
      <c r="H72" s="247">
        <f>G72*F72</f>
        <v>0</v>
      </c>
      <c r="I72" s="530"/>
      <c r="J72" s="530"/>
      <c r="K72" s="528"/>
    </row>
    <row r="73" spans="1:11" ht="40.5" customHeight="1" thickBot="1">
      <c r="A73" s="188">
        <v>17</v>
      </c>
      <c r="B73" s="85" t="s">
        <v>188</v>
      </c>
      <c r="C73" s="141" t="s">
        <v>431</v>
      </c>
      <c r="D73" s="146" t="s">
        <v>92</v>
      </c>
      <c r="E73" s="162"/>
      <c r="F73" s="189">
        <v>333.5</v>
      </c>
      <c r="G73" s="198"/>
      <c r="H73" s="239">
        <f>SUM(H74:H78)</f>
        <v>0</v>
      </c>
      <c r="I73" s="530"/>
      <c r="J73" s="551"/>
      <c r="K73" s="552"/>
    </row>
    <row r="74" spans="1:11" ht="19.5" customHeight="1">
      <c r="A74" s="191">
        <f>A73+0.1</f>
        <v>17.1</v>
      </c>
      <c r="B74" s="182"/>
      <c r="C74" s="103" t="s">
        <v>93</v>
      </c>
      <c r="D74" s="132" t="s">
        <v>94</v>
      </c>
      <c r="E74" s="132">
        <f>19.48/100</f>
        <v>0.19</v>
      </c>
      <c r="F74" s="132">
        <f>F73*E74</f>
        <v>63.37</v>
      </c>
      <c r="G74" s="132"/>
      <c r="H74" s="240">
        <f>G74*F74</f>
        <v>0</v>
      </c>
      <c r="I74" s="530"/>
      <c r="J74" s="534"/>
      <c r="K74" s="528"/>
    </row>
    <row r="75" spans="1:11" ht="19.5" customHeight="1">
      <c r="A75" s="193">
        <f>A74+0.1</f>
        <v>17.2</v>
      </c>
      <c r="B75" s="183"/>
      <c r="C75" s="135" t="s">
        <v>95</v>
      </c>
      <c r="D75" s="147" t="s">
        <v>98</v>
      </c>
      <c r="E75" s="147">
        <f>0.95/100</f>
        <v>0.01</v>
      </c>
      <c r="F75" s="147">
        <f>F73*E75</f>
        <v>3.34</v>
      </c>
      <c r="G75" s="147"/>
      <c r="H75" s="246">
        <f>G75*F75</f>
        <v>0</v>
      </c>
      <c r="I75" s="530"/>
      <c r="J75" s="534"/>
      <c r="K75" s="528"/>
    </row>
    <row r="76" spans="1:11" ht="19.5" customHeight="1">
      <c r="A76" s="193">
        <f>A75+0.1</f>
        <v>17.3</v>
      </c>
      <c r="B76" s="183"/>
      <c r="C76" s="136" t="s">
        <v>113</v>
      </c>
      <c r="D76" s="149" t="s">
        <v>97</v>
      </c>
      <c r="E76" s="194">
        <f>2.04/100+0.51*4/100</f>
        <v>0.0408</v>
      </c>
      <c r="F76" s="149">
        <f>F73*E76</f>
        <v>13.61</v>
      </c>
      <c r="G76" s="149"/>
      <c r="H76" s="247">
        <f>G76*F76</f>
        <v>0</v>
      </c>
      <c r="I76" s="530"/>
      <c r="J76" s="534"/>
      <c r="K76" s="528"/>
    </row>
    <row r="77" spans="1:11" ht="19.5" customHeight="1">
      <c r="A77" s="193">
        <f>A76+0.1</f>
        <v>17.4</v>
      </c>
      <c r="B77" s="186"/>
      <c r="C77" s="137" t="s">
        <v>313</v>
      </c>
      <c r="D77" s="150"/>
      <c r="E77" s="150"/>
      <c r="F77" s="150">
        <f>F73</f>
        <v>333.5</v>
      </c>
      <c r="G77" s="150"/>
      <c r="H77" s="247">
        <f>G77*F77</f>
        <v>0</v>
      </c>
      <c r="I77" s="530"/>
      <c r="J77" s="530"/>
      <c r="K77" s="528"/>
    </row>
    <row r="78" spans="1:11" ht="19.5" customHeight="1" thickBot="1">
      <c r="A78" s="206">
        <f>A77+0.1</f>
        <v>17.5</v>
      </c>
      <c r="B78" s="186"/>
      <c r="C78" s="137" t="s">
        <v>106</v>
      </c>
      <c r="D78" s="150" t="s">
        <v>98</v>
      </c>
      <c r="E78" s="203">
        <f>6.36/100</f>
        <v>0.0636</v>
      </c>
      <c r="F78" s="150">
        <f>F73*E78</f>
        <v>21.21</v>
      </c>
      <c r="G78" s="150"/>
      <c r="H78" s="248">
        <f>G78*F78</f>
        <v>0</v>
      </c>
      <c r="I78" s="530"/>
      <c r="J78" s="530"/>
      <c r="K78" s="528"/>
    </row>
    <row r="79" spans="1:11" ht="75" customHeight="1" hidden="1" thickBot="1">
      <c r="A79" s="419"/>
      <c r="B79" s="420"/>
      <c r="C79" s="137"/>
      <c r="D79" s="150"/>
      <c r="E79" s="203"/>
      <c r="F79" s="150"/>
      <c r="G79" s="421"/>
      <c r="H79" s="419">
        <v>50</v>
      </c>
      <c r="I79" s="530"/>
      <c r="J79" s="530"/>
      <c r="K79" s="528"/>
    </row>
    <row r="80" spans="1:11" ht="70.5" customHeight="1" thickBot="1">
      <c r="A80" s="188">
        <v>18</v>
      </c>
      <c r="B80" s="85" t="s">
        <v>189</v>
      </c>
      <c r="C80" s="141" t="s">
        <v>153</v>
      </c>
      <c r="D80" s="146" t="s">
        <v>92</v>
      </c>
      <c r="E80" s="162"/>
      <c r="F80" s="146">
        <v>298</v>
      </c>
      <c r="G80" s="162"/>
      <c r="H80" s="239">
        <f>SUM(H81:H85)</f>
        <v>0</v>
      </c>
      <c r="I80" s="530"/>
      <c r="J80" s="530"/>
      <c r="K80" s="528"/>
    </row>
    <row r="81" spans="1:11" ht="19.5" customHeight="1">
      <c r="A81" s="102">
        <f>A80+0.1</f>
        <v>18.1</v>
      </c>
      <c r="B81" s="103" t="s">
        <v>200</v>
      </c>
      <c r="C81" s="103" t="s">
        <v>93</v>
      </c>
      <c r="D81" s="132" t="s">
        <v>94</v>
      </c>
      <c r="E81" s="105">
        <f>1.08*1.15</f>
        <v>1.24</v>
      </c>
      <c r="F81" s="105">
        <f>F80*E81</f>
        <v>369.52</v>
      </c>
      <c r="G81" s="132"/>
      <c r="H81" s="240">
        <f>G81*F81</f>
        <v>0</v>
      </c>
      <c r="I81" s="530"/>
      <c r="J81" s="534"/>
      <c r="K81" s="528"/>
    </row>
    <row r="82" spans="1:11" ht="19.5" customHeight="1">
      <c r="A82" s="136">
        <f>A81+0.1</f>
        <v>18.2</v>
      </c>
      <c r="B82" s="135" t="s">
        <v>200</v>
      </c>
      <c r="C82" s="135" t="s">
        <v>95</v>
      </c>
      <c r="D82" s="147" t="s">
        <v>98</v>
      </c>
      <c r="E82" s="205">
        <f>4.52/100*1.15</f>
        <v>0.052</v>
      </c>
      <c r="F82" s="147">
        <f>F80*E82</f>
        <v>15.5</v>
      </c>
      <c r="G82" s="147"/>
      <c r="H82" s="246">
        <f>G82*F82</f>
        <v>0</v>
      </c>
      <c r="I82" s="530"/>
      <c r="J82" s="530"/>
      <c r="K82" s="528"/>
    </row>
    <row r="83" spans="1:11" ht="29.25" customHeight="1">
      <c r="A83" s="136">
        <f>A82+0.1</f>
        <v>18.3</v>
      </c>
      <c r="B83" s="136"/>
      <c r="C83" s="136" t="s">
        <v>199</v>
      </c>
      <c r="D83" s="149" t="s">
        <v>92</v>
      </c>
      <c r="E83" s="149">
        <v>1.02</v>
      </c>
      <c r="F83" s="149">
        <f>F80*E83</f>
        <v>303.96</v>
      </c>
      <c r="G83" s="149"/>
      <c r="H83" s="247">
        <f>G83*F83</f>
        <v>0</v>
      </c>
      <c r="I83" s="530"/>
      <c r="J83" s="530"/>
      <c r="K83" s="528"/>
    </row>
    <row r="84" spans="1:11" ht="19.5" customHeight="1">
      <c r="A84" s="136">
        <f>A83+0.1</f>
        <v>18.4</v>
      </c>
      <c r="B84" s="136"/>
      <c r="C84" s="136" t="s">
        <v>114</v>
      </c>
      <c r="D84" s="149" t="s">
        <v>109</v>
      </c>
      <c r="E84" s="149" t="s">
        <v>19</v>
      </c>
      <c r="F84" s="149">
        <f>F80*6</f>
        <v>1788</v>
      </c>
      <c r="G84" s="149"/>
      <c r="H84" s="247">
        <f>G84*F84</f>
        <v>0</v>
      </c>
      <c r="I84" s="530"/>
      <c r="J84" s="530"/>
      <c r="K84" s="528"/>
    </row>
    <row r="85" spans="1:11" ht="22.5" customHeight="1" thickBot="1">
      <c r="A85" s="137">
        <f>A84+0.1</f>
        <v>18.5</v>
      </c>
      <c r="B85" s="137"/>
      <c r="C85" s="137" t="s">
        <v>106</v>
      </c>
      <c r="D85" s="150" t="s">
        <v>98</v>
      </c>
      <c r="E85" s="203">
        <f>4.66/100</f>
        <v>0.0466</v>
      </c>
      <c r="F85" s="150">
        <f>F80*E85</f>
        <v>13.89</v>
      </c>
      <c r="G85" s="150"/>
      <c r="H85" s="248">
        <f>G85*F85</f>
        <v>0</v>
      </c>
      <c r="I85" s="530"/>
      <c r="J85" s="530"/>
      <c r="K85" s="528"/>
    </row>
    <row r="86" spans="1:11" ht="56.25" customHeight="1" thickBot="1">
      <c r="A86" s="188">
        <f>A80+1</f>
        <v>19</v>
      </c>
      <c r="B86" s="85" t="s">
        <v>190</v>
      </c>
      <c r="C86" s="141" t="s">
        <v>166</v>
      </c>
      <c r="D86" s="85" t="s">
        <v>145</v>
      </c>
      <c r="E86" s="141"/>
      <c r="F86" s="85">
        <v>148</v>
      </c>
      <c r="G86" s="141"/>
      <c r="H86" s="239">
        <f>H87+H88+H89+H90</f>
        <v>0</v>
      </c>
      <c r="I86" s="530"/>
      <c r="J86" s="534"/>
      <c r="K86" s="528"/>
    </row>
    <row r="87" spans="1:11" ht="19.5" customHeight="1">
      <c r="A87" s="102">
        <f>A86+0.1</f>
        <v>19.1</v>
      </c>
      <c r="B87" s="207"/>
      <c r="C87" s="103" t="s">
        <v>93</v>
      </c>
      <c r="D87" s="132" t="s">
        <v>94</v>
      </c>
      <c r="E87" s="208">
        <f>26.9/100</f>
        <v>0.269</v>
      </c>
      <c r="F87" s="105">
        <f>F86*E87</f>
        <v>39.81</v>
      </c>
      <c r="G87" s="132"/>
      <c r="H87" s="240">
        <f>G87*F87</f>
        <v>0</v>
      </c>
      <c r="I87" s="530"/>
      <c r="J87" s="530"/>
      <c r="K87" s="528"/>
    </row>
    <row r="88" spans="1:11" ht="19.5" customHeight="1">
      <c r="A88" s="136">
        <f>A87+0.1</f>
        <v>19.2</v>
      </c>
      <c r="B88" s="135"/>
      <c r="C88" s="135" t="s">
        <v>95</v>
      </c>
      <c r="D88" s="147" t="s">
        <v>98</v>
      </c>
      <c r="E88" s="204">
        <f>1.16/100</f>
        <v>0.0116</v>
      </c>
      <c r="F88" s="147">
        <f>F86*E88</f>
        <v>1.72</v>
      </c>
      <c r="G88" s="147"/>
      <c r="H88" s="246">
        <f>G88*F88</f>
        <v>0</v>
      </c>
      <c r="I88" s="530"/>
      <c r="J88" s="530"/>
      <c r="K88" s="528"/>
    </row>
    <row r="89" spans="1:11" ht="35.25" customHeight="1">
      <c r="A89" s="102">
        <f>A88+0.1</f>
        <v>19.3</v>
      </c>
      <c r="B89" s="183"/>
      <c r="C89" s="136" t="s">
        <v>469</v>
      </c>
      <c r="D89" s="149" t="s">
        <v>92</v>
      </c>
      <c r="E89" s="209">
        <f>15.7/100</f>
        <v>0.157</v>
      </c>
      <c r="F89" s="149">
        <f>F86*E89</f>
        <v>23.24</v>
      </c>
      <c r="G89" s="149"/>
      <c r="H89" s="247">
        <f>G89*F89</f>
        <v>0</v>
      </c>
      <c r="I89" s="530"/>
      <c r="J89" s="530"/>
      <c r="K89" s="528"/>
    </row>
    <row r="90" spans="1:11" ht="19.5" customHeight="1" thickBot="1">
      <c r="A90" s="136">
        <f>A89+0.1</f>
        <v>19.4</v>
      </c>
      <c r="B90" s="186"/>
      <c r="C90" s="136" t="s">
        <v>114</v>
      </c>
      <c r="D90" s="149" t="s">
        <v>109</v>
      </c>
      <c r="E90" s="149" t="s">
        <v>19</v>
      </c>
      <c r="F90" s="149">
        <f>F89*6</f>
        <v>139.44</v>
      </c>
      <c r="G90" s="149"/>
      <c r="H90" s="247">
        <f>G90*F90</f>
        <v>0</v>
      </c>
      <c r="I90" s="530"/>
      <c r="J90" s="530"/>
      <c r="K90" s="528"/>
    </row>
    <row r="91" spans="1:11" ht="44.25" customHeight="1" thickBot="1">
      <c r="A91" s="188">
        <f>A86+1</f>
        <v>20</v>
      </c>
      <c r="B91" s="85" t="s">
        <v>191</v>
      </c>
      <c r="C91" s="141" t="s">
        <v>115</v>
      </c>
      <c r="D91" s="146" t="s">
        <v>92</v>
      </c>
      <c r="E91" s="162"/>
      <c r="F91" s="146">
        <v>35.5</v>
      </c>
      <c r="G91" s="162"/>
      <c r="H91" s="239">
        <f>SUM(H92:H95)</f>
        <v>0</v>
      </c>
      <c r="I91" s="530"/>
      <c r="J91" s="530"/>
      <c r="K91" s="528"/>
    </row>
    <row r="92" spans="1:11" ht="16.5" customHeight="1">
      <c r="A92" s="191">
        <f>A91+0.1</f>
        <v>20.1</v>
      </c>
      <c r="B92" s="103" t="s">
        <v>200</v>
      </c>
      <c r="C92" s="103" t="s">
        <v>93</v>
      </c>
      <c r="D92" s="132" t="s">
        <v>94</v>
      </c>
      <c r="E92" s="132">
        <f>1.29*1.15</f>
        <v>1.48</v>
      </c>
      <c r="F92" s="132">
        <f>F91*E92</f>
        <v>52.54</v>
      </c>
      <c r="G92" s="132"/>
      <c r="H92" s="240">
        <f>G92*F92</f>
        <v>0</v>
      </c>
      <c r="I92" s="530"/>
      <c r="J92" s="530"/>
      <c r="K92" s="528"/>
    </row>
    <row r="93" spans="1:11" ht="16.5" customHeight="1">
      <c r="A93" s="193">
        <f>A92+0.1</f>
        <v>20.2</v>
      </c>
      <c r="B93" s="135" t="s">
        <v>200</v>
      </c>
      <c r="C93" s="135" t="s">
        <v>95</v>
      </c>
      <c r="D93" s="147" t="s">
        <v>98</v>
      </c>
      <c r="E93" s="205">
        <f>3.4/100*1.15</f>
        <v>0.039</v>
      </c>
      <c r="F93" s="147">
        <f>F91*E93</f>
        <v>1.38</v>
      </c>
      <c r="G93" s="147"/>
      <c r="H93" s="246">
        <f>G93*F93</f>
        <v>0</v>
      </c>
      <c r="I93" s="530"/>
      <c r="J93" s="530"/>
      <c r="K93" s="528"/>
    </row>
    <row r="94" spans="1:11" ht="43.5" customHeight="1">
      <c r="A94" s="193">
        <f>A93+0.1</f>
        <v>20.3</v>
      </c>
      <c r="B94" s="136"/>
      <c r="C94" s="136" t="s">
        <v>116</v>
      </c>
      <c r="D94" s="149" t="s">
        <v>92</v>
      </c>
      <c r="E94" s="209">
        <f>101.5/100</f>
        <v>1.015</v>
      </c>
      <c r="F94" s="149">
        <f>F91*E94</f>
        <v>36.03</v>
      </c>
      <c r="G94" s="149"/>
      <c r="H94" s="247">
        <f>G94*F94</f>
        <v>0</v>
      </c>
      <c r="I94" s="530"/>
      <c r="J94" s="530"/>
      <c r="K94" s="528"/>
    </row>
    <row r="95" spans="1:11" ht="16.5" customHeight="1" thickBot="1">
      <c r="A95" s="206">
        <f>A94+0.1</f>
        <v>20.4</v>
      </c>
      <c r="B95" s="137"/>
      <c r="C95" s="137" t="s">
        <v>106</v>
      </c>
      <c r="D95" s="150" t="s">
        <v>98</v>
      </c>
      <c r="E95" s="210">
        <f>18.2/100</f>
        <v>0.182</v>
      </c>
      <c r="F95" s="150">
        <f>F91*E95</f>
        <v>6.46</v>
      </c>
      <c r="G95" s="150"/>
      <c r="H95" s="248">
        <f>G95*F95</f>
        <v>0</v>
      </c>
      <c r="I95" s="530"/>
      <c r="J95" s="530"/>
      <c r="K95" s="528"/>
    </row>
    <row r="96" spans="1:11" ht="52.5" customHeight="1" hidden="1" thickBot="1">
      <c r="A96" s="154"/>
      <c r="B96" s="85"/>
      <c r="C96" s="141"/>
      <c r="D96" s="146"/>
      <c r="E96" s="162"/>
      <c r="F96" s="146"/>
      <c r="G96" s="162"/>
      <c r="H96" s="239"/>
      <c r="I96" s="530"/>
      <c r="J96" s="530"/>
      <c r="K96" s="528"/>
    </row>
    <row r="97" spans="1:11" ht="16.5" customHeight="1" hidden="1">
      <c r="A97" s="191"/>
      <c r="B97" s="103"/>
      <c r="C97" s="103"/>
      <c r="D97" s="132"/>
      <c r="E97" s="132"/>
      <c r="F97" s="132"/>
      <c r="G97" s="132"/>
      <c r="H97" s="240"/>
      <c r="I97" s="530"/>
      <c r="J97" s="530"/>
      <c r="K97" s="528"/>
    </row>
    <row r="98" spans="1:11" ht="16.5" customHeight="1" hidden="1">
      <c r="A98" s="193"/>
      <c r="B98" s="135"/>
      <c r="C98" s="135"/>
      <c r="D98" s="147"/>
      <c r="E98" s="205"/>
      <c r="F98" s="147"/>
      <c r="G98" s="147"/>
      <c r="H98" s="246"/>
      <c r="I98" s="530"/>
      <c r="J98" s="530"/>
      <c r="K98" s="528"/>
    </row>
    <row r="99" spans="1:11" ht="21.75" customHeight="1" hidden="1">
      <c r="A99" s="193"/>
      <c r="B99" s="136"/>
      <c r="C99" s="136"/>
      <c r="D99" s="149"/>
      <c r="E99" s="209"/>
      <c r="F99" s="149"/>
      <c r="G99" s="149"/>
      <c r="H99" s="247"/>
      <c r="I99" s="530"/>
      <c r="J99" s="530"/>
      <c r="K99" s="528"/>
    </row>
    <row r="100" spans="1:11" ht="16.5" customHeight="1" hidden="1">
      <c r="A100" s="193"/>
      <c r="B100" s="137"/>
      <c r="C100" s="137"/>
      <c r="D100" s="150"/>
      <c r="E100" s="210"/>
      <c r="F100" s="150"/>
      <c r="G100" s="150"/>
      <c r="H100" s="247"/>
      <c r="I100" s="530"/>
      <c r="J100" s="530"/>
      <c r="K100" s="528"/>
    </row>
    <row r="101" spans="1:11" ht="16.5" customHeight="1" hidden="1" thickBot="1">
      <c r="A101" s="193"/>
      <c r="B101" s="206"/>
      <c r="C101" s="137"/>
      <c r="D101" s="150"/>
      <c r="E101" s="210"/>
      <c r="F101" s="150"/>
      <c r="G101" s="150"/>
      <c r="H101" s="248"/>
      <c r="I101" s="530"/>
      <c r="J101" s="530"/>
      <c r="K101" s="528"/>
    </row>
    <row r="102" spans="1:11" ht="48" customHeight="1" hidden="1" thickBot="1">
      <c r="A102" s="188"/>
      <c r="B102" s="85"/>
      <c r="C102" s="141"/>
      <c r="D102" s="85"/>
      <c r="E102" s="141"/>
      <c r="F102" s="211"/>
      <c r="G102" s="141"/>
      <c r="H102" s="239"/>
      <c r="I102" s="530"/>
      <c r="J102" s="534"/>
      <c r="K102" s="528"/>
    </row>
    <row r="103" spans="1:11" ht="16.5" customHeight="1" hidden="1" thickBot="1">
      <c r="A103" s="102"/>
      <c r="B103" s="102"/>
      <c r="C103" s="103"/>
      <c r="D103" s="103"/>
      <c r="E103" s="105"/>
      <c r="F103" s="105"/>
      <c r="G103" s="132"/>
      <c r="H103" s="240"/>
      <c r="I103" s="530"/>
      <c r="J103" s="530"/>
      <c r="K103" s="528"/>
    </row>
    <row r="104" spans="1:11" ht="48.75" customHeight="1" hidden="1" thickBot="1">
      <c r="A104" s="154"/>
      <c r="B104" s="85"/>
      <c r="C104" s="141"/>
      <c r="D104" s="85"/>
      <c r="E104" s="141"/>
      <c r="F104" s="211"/>
      <c r="G104" s="141"/>
      <c r="H104" s="239"/>
      <c r="I104" s="530"/>
      <c r="J104" s="530"/>
      <c r="K104" s="528"/>
    </row>
    <row r="105" spans="1:11" ht="16.5" customHeight="1" hidden="1">
      <c r="A105" s="102"/>
      <c r="B105" s="102"/>
      <c r="C105" s="103"/>
      <c r="D105" s="132"/>
      <c r="E105" s="104"/>
      <c r="F105" s="105"/>
      <c r="G105" s="132"/>
      <c r="H105" s="240"/>
      <c r="I105" s="530"/>
      <c r="J105" s="530"/>
      <c r="K105" s="528"/>
    </row>
    <row r="106" spans="1:11" ht="16.5" customHeight="1" hidden="1">
      <c r="A106" s="136"/>
      <c r="B106" s="136"/>
      <c r="C106" s="135"/>
      <c r="D106" s="147"/>
      <c r="E106" s="148"/>
      <c r="F106" s="200"/>
      <c r="G106" s="200"/>
      <c r="H106" s="249"/>
      <c r="I106" s="530"/>
      <c r="J106" s="530"/>
      <c r="K106" s="528"/>
    </row>
    <row r="107" spans="1:11" ht="16.5" customHeight="1" hidden="1">
      <c r="A107" s="136"/>
      <c r="B107" s="212"/>
      <c r="C107" s="136"/>
      <c r="D107" s="136"/>
      <c r="E107" s="213"/>
      <c r="F107" s="185"/>
      <c r="G107" s="193"/>
      <c r="H107" s="247"/>
      <c r="I107" s="530"/>
      <c r="J107" s="530"/>
      <c r="K107" s="528"/>
    </row>
    <row r="108" spans="1:11" ht="16.5" customHeight="1" hidden="1">
      <c r="A108" s="136"/>
      <c r="B108" s="212"/>
      <c r="C108" s="136"/>
      <c r="D108" s="136"/>
      <c r="E108" s="185"/>
      <c r="F108" s="185"/>
      <c r="G108" s="193"/>
      <c r="H108" s="247"/>
      <c r="I108" s="530"/>
      <c r="J108" s="530"/>
      <c r="K108" s="528"/>
    </row>
    <row r="109" spans="1:11" ht="16.5" customHeight="1" hidden="1">
      <c r="A109" s="136"/>
      <c r="B109" s="212"/>
      <c r="C109" s="136"/>
      <c r="D109" s="136"/>
      <c r="E109" s="185"/>
      <c r="F109" s="185"/>
      <c r="G109" s="193"/>
      <c r="H109" s="247"/>
      <c r="I109" s="530"/>
      <c r="J109" s="530"/>
      <c r="K109" s="528"/>
    </row>
    <row r="110" spans="1:11" ht="16.5" customHeight="1" hidden="1" thickBot="1">
      <c r="A110" s="136"/>
      <c r="B110" s="137"/>
      <c r="C110" s="137"/>
      <c r="D110" s="137"/>
      <c r="E110" s="137"/>
      <c r="F110" s="187"/>
      <c r="G110" s="137"/>
      <c r="H110" s="248"/>
      <c r="I110" s="530"/>
      <c r="J110" s="530"/>
      <c r="K110" s="528"/>
    </row>
    <row r="111" spans="1:11" ht="16.5" customHeight="1" thickBot="1">
      <c r="A111" s="641" t="s">
        <v>282</v>
      </c>
      <c r="B111" s="642"/>
      <c r="C111" s="642"/>
      <c r="D111" s="642"/>
      <c r="E111" s="642"/>
      <c r="F111" s="642"/>
      <c r="G111" s="642"/>
      <c r="H111" s="643"/>
      <c r="I111" s="530"/>
      <c r="J111" s="530"/>
      <c r="K111" s="528"/>
    </row>
    <row r="112" spans="1:11" ht="56.25" customHeight="1" thickBot="1">
      <c r="A112" s="154">
        <v>21</v>
      </c>
      <c r="B112" s="85" t="s">
        <v>90</v>
      </c>
      <c r="C112" s="141" t="s">
        <v>327</v>
      </c>
      <c r="D112" s="146" t="s">
        <v>92</v>
      </c>
      <c r="E112" s="162"/>
      <c r="F112" s="189">
        <f>F73</f>
        <v>333.5</v>
      </c>
      <c r="G112" s="162"/>
      <c r="H112" s="239">
        <f>G112*F112</f>
        <v>0</v>
      </c>
      <c r="I112" s="530"/>
      <c r="J112" s="530"/>
      <c r="K112" s="528"/>
    </row>
    <row r="113" spans="1:11" ht="42.75" customHeight="1" thickBot="1">
      <c r="A113" s="188">
        <f>A112+1</f>
        <v>22</v>
      </c>
      <c r="B113" s="214" t="s">
        <v>194</v>
      </c>
      <c r="C113" s="141" t="s">
        <v>174</v>
      </c>
      <c r="D113" s="146" t="s">
        <v>92</v>
      </c>
      <c r="E113" s="162"/>
      <c r="F113" s="189">
        <f>F112</f>
        <v>333.5</v>
      </c>
      <c r="G113" s="162"/>
      <c r="H113" s="239">
        <f>SUM(H114:H118)</f>
        <v>0</v>
      </c>
      <c r="I113" s="530"/>
      <c r="J113" s="530"/>
      <c r="K113" s="528"/>
    </row>
    <row r="114" spans="1:11" ht="16.5" customHeight="1">
      <c r="A114" s="191">
        <f>A113+0.1</f>
        <v>22.1</v>
      </c>
      <c r="B114" s="103" t="s">
        <v>200</v>
      </c>
      <c r="C114" s="103" t="s">
        <v>93</v>
      </c>
      <c r="D114" s="103" t="s">
        <v>92</v>
      </c>
      <c r="E114" s="96">
        <f>85.6/100*1.15</f>
        <v>0.984</v>
      </c>
      <c r="F114" s="105">
        <f>F113*E114</f>
        <v>328.16</v>
      </c>
      <c r="G114" s="132"/>
      <c r="H114" s="240">
        <f>G114*F114</f>
        <v>0</v>
      </c>
      <c r="I114" s="530"/>
      <c r="J114" s="530"/>
      <c r="K114" s="528"/>
    </row>
    <row r="115" spans="1:11" ht="16.5" customHeight="1">
      <c r="A115" s="193">
        <f>A114+0.1</f>
        <v>22.2</v>
      </c>
      <c r="B115" s="135" t="s">
        <v>200</v>
      </c>
      <c r="C115" s="135" t="s">
        <v>95</v>
      </c>
      <c r="D115" s="135" t="s">
        <v>98</v>
      </c>
      <c r="E115" s="147">
        <f>1.2/100*1.15</f>
        <v>0.01</v>
      </c>
      <c r="F115" s="184">
        <f>F113*E115</f>
        <v>3.34</v>
      </c>
      <c r="G115" s="147"/>
      <c r="H115" s="246">
        <f>G115*F115</f>
        <v>0</v>
      </c>
      <c r="I115" s="530"/>
      <c r="J115" s="530"/>
      <c r="K115" s="528"/>
    </row>
    <row r="116" spans="1:11" ht="16.5" customHeight="1">
      <c r="A116" s="193">
        <f>A115+0.1</f>
        <v>22.3</v>
      </c>
      <c r="B116" s="135"/>
      <c r="C116" s="136" t="s">
        <v>120</v>
      </c>
      <c r="D116" s="136" t="s">
        <v>109</v>
      </c>
      <c r="E116" s="149">
        <v>0.55</v>
      </c>
      <c r="F116" s="185">
        <f>F113*E116</f>
        <v>183.43</v>
      </c>
      <c r="G116" s="149"/>
      <c r="H116" s="247">
        <f>G116*F116</f>
        <v>0</v>
      </c>
      <c r="I116" s="530"/>
      <c r="J116" s="530"/>
      <c r="K116" s="528"/>
    </row>
    <row r="117" spans="1:11" ht="16.5" customHeight="1">
      <c r="A117" s="193">
        <f>A116+0.1</f>
        <v>22.4</v>
      </c>
      <c r="B117" s="183"/>
      <c r="C117" s="136" t="s">
        <v>175</v>
      </c>
      <c r="D117" s="149" t="s">
        <v>109</v>
      </c>
      <c r="E117" s="149">
        <v>0.63</v>
      </c>
      <c r="F117" s="185">
        <f>F113*E117</f>
        <v>210.11</v>
      </c>
      <c r="G117" s="149"/>
      <c r="H117" s="247">
        <f>G117*F117</f>
        <v>0</v>
      </c>
      <c r="I117" s="530"/>
      <c r="J117" s="530"/>
      <c r="K117" s="528"/>
    </row>
    <row r="118" spans="1:11" ht="16.5" customHeight="1" thickBot="1">
      <c r="A118" s="206">
        <f>A117+0.1</f>
        <v>22.5</v>
      </c>
      <c r="B118" s="186"/>
      <c r="C118" s="137" t="s">
        <v>106</v>
      </c>
      <c r="D118" s="150" t="s">
        <v>107</v>
      </c>
      <c r="E118" s="210">
        <f>1.8/100</f>
        <v>0.018</v>
      </c>
      <c r="F118" s="187">
        <f>F113*E118</f>
        <v>6</v>
      </c>
      <c r="G118" s="150"/>
      <c r="H118" s="248">
        <f>G118*F118</f>
        <v>0</v>
      </c>
      <c r="I118" s="530"/>
      <c r="J118" s="530"/>
      <c r="K118" s="528"/>
    </row>
    <row r="119" spans="1:11" ht="16.5" customHeight="1" thickBot="1">
      <c r="A119" s="638" t="s">
        <v>297</v>
      </c>
      <c r="B119" s="639"/>
      <c r="C119" s="639"/>
      <c r="D119" s="639"/>
      <c r="E119" s="639"/>
      <c r="F119" s="639"/>
      <c r="G119" s="639"/>
      <c r="H119" s="640"/>
      <c r="I119" s="530"/>
      <c r="J119" s="530"/>
      <c r="K119" s="528"/>
    </row>
    <row r="120" spans="1:11" ht="80.25" customHeight="1" thickBot="1">
      <c r="A120" s="188">
        <f>A113+1</f>
        <v>23</v>
      </c>
      <c r="B120" s="215" t="s">
        <v>90</v>
      </c>
      <c r="C120" s="141" t="s">
        <v>209</v>
      </c>
      <c r="D120" s="85" t="s">
        <v>92</v>
      </c>
      <c r="E120" s="141"/>
      <c r="F120" s="211">
        <v>113</v>
      </c>
      <c r="G120" s="141"/>
      <c r="H120" s="239">
        <f>SUM(H121:H125)</f>
        <v>0</v>
      </c>
      <c r="I120" s="530"/>
      <c r="J120" s="534"/>
      <c r="K120" s="528"/>
    </row>
    <row r="121" spans="1:11" ht="20.25" customHeight="1">
      <c r="A121" s="102">
        <f>A120+0.1</f>
        <v>23.1</v>
      </c>
      <c r="B121" s="216"/>
      <c r="C121" s="103" t="s">
        <v>93</v>
      </c>
      <c r="D121" s="103" t="s">
        <v>94</v>
      </c>
      <c r="E121" s="103">
        <v>1.01</v>
      </c>
      <c r="F121" s="105">
        <f>F120*E121</f>
        <v>114.13</v>
      </c>
      <c r="G121" s="178"/>
      <c r="H121" s="240">
        <f>F121*G121</f>
        <v>0</v>
      </c>
      <c r="I121" s="530"/>
      <c r="J121" s="534"/>
      <c r="K121" s="528"/>
    </row>
    <row r="122" spans="1:11" ht="20.25" customHeight="1">
      <c r="A122" s="136">
        <f>A121+0.1</f>
        <v>23.2</v>
      </c>
      <c r="B122" s="217"/>
      <c r="C122" s="218" t="s">
        <v>117</v>
      </c>
      <c r="D122" s="218" t="s">
        <v>118</v>
      </c>
      <c r="E122" s="219">
        <f>4.1/100</f>
        <v>0.04</v>
      </c>
      <c r="F122" s="219">
        <f>F120*E122</f>
        <v>4.52</v>
      </c>
      <c r="G122" s="219"/>
      <c r="H122" s="250">
        <f>F122*G122</f>
        <v>0</v>
      </c>
      <c r="I122" s="530"/>
      <c r="J122" s="534"/>
      <c r="K122" s="528"/>
    </row>
    <row r="123" spans="1:11" ht="20.25" customHeight="1">
      <c r="A123" s="136">
        <f>A122+0.1</f>
        <v>23.3</v>
      </c>
      <c r="B123" s="217"/>
      <c r="C123" s="218" t="s">
        <v>95</v>
      </c>
      <c r="D123" s="218" t="s">
        <v>96</v>
      </c>
      <c r="E123" s="219">
        <f>2.7/100</f>
        <v>0.03</v>
      </c>
      <c r="F123" s="219">
        <f>F120*E123</f>
        <v>3.39</v>
      </c>
      <c r="G123" s="218"/>
      <c r="H123" s="250">
        <f>F123*G123</f>
        <v>0</v>
      </c>
      <c r="I123" s="530"/>
      <c r="J123" s="530"/>
      <c r="K123" s="528"/>
    </row>
    <row r="124" spans="1:11" ht="20.25" customHeight="1">
      <c r="A124" s="136">
        <f>A123+0.1</f>
        <v>23.4</v>
      </c>
      <c r="B124" s="217"/>
      <c r="C124" s="136" t="s">
        <v>119</v>
      </c>
      <c r="D124" s="136" t="s">
        <v>100</v>
      </c>
      <c r="E124" s="136">
        <f>2.38/100</f>
        <v>0.0238</v>
      </c>
      <c r="F124" s="185">
        <f>F120*E124</f>
        <v>2.69</v>
      </c>
      <c r="G124" s="136"/>
      <c r="H124" s="247">
        <f>F124*G124</f>
        <v>0</v>
      </c>
      <c r="I124" s="530"/>
      <c r="J124" s="530"/>
      <c r="K124" s="528"/>
    </row>
    <row r="125" spans="1:11" ht="20.25" customHeight="1" thickBot="1">
      <c r="A125" s="136">
        <f>A124+0.1</f>
        <v>23.5</v>
      </c>
      <c r="B125" s="220"/>
      <c r="C125" s="137" t="s">
        <v>106</v>
      </c>
      <c r="D125" s="137" t="s">
        <v>96</v>
      </c>
      <c r="E125" s="137">
        <v>0.03</v>
      </c>
      <c r="F125" s="187">
        <f>F120*E125</f>
        <v>3.39</v>
      </c>
      <c r="G125" s="137"/>
      <c r="H125" s="247">
        <f>F125*G125</f>
        <v>0</v>
      </c>
      <c r="I125" s="530"/>
      <c r="J125" s="530"/>
      <c r="K125" s="528"/>
    </row>
    <row r="126" spans="1:11" ht="48" customHeight="1" thickBot="1">
      <c r="A126" s="188">
        <f>A120+1</f>
        <v>24</v>
      </c>
      <c r="B126" s="85" t="s">
        <v>195</v>
      </c>
      <c r="C126" s="141" t="s">
        <v>171</v>
      </c>
      <c r="D126" s="85" t="s">
        <v>92</v>
      </c>
      <c r="E126" s="141"/>
      <c r="F126" s="163">
        <f>1.3</f>
        <v>1.3</v>
      </c>
      <c r="G126" s="141"/>
      <c r="H126" s="239">
        <f>H127+H128+H129</f>
        <v>0</v>
      </c>
      <c r="I126" s="530"/>
      <c r="J126" s="534"/>
      <c r="K126" s="528"/>
    </row>
    <row r="127" spans="1:11" ht="27" customHeight="1">
      <c r="A127" s="102">
        <f>A126+0.1</f>
        <v>24.1</v>
      </c>
      <c r="B127" s="102" t="s">
        <v>200</v>
      </c>
      <c r="C127" s="103" t="s">
        <v>93</v>
      </c>
      <c r="D127" s="103" t="s">
        <v>94</v>
      </c>
      <c r="E127" s="103">
        <f>1.79*1.15</f>
        <v>2.0585</v>
      </c>
      <c r="F127" s="105">
        <f>F126*E127</f>
        <v>2.68</v>
      </c>
      <c r="G127" s="132"/>
      <c r="H127" s="240">
        <f>F127*G127</f>
        <v>0</v>
      </c>
      <c r="I127" s="530"/>
      <c r="J127" s="534"/>
      <c r="K127" s="528"/>
    </row>
    <row r="128" spans="1:11" ht="27" customHeight="1">
      <c r="A128" s="136">
        <f>A127+0.1</f>
        <v>24.2</v>
      </c>
      <c r="B128" s="136" t="s">
        <v>200</v>
      </c>
      <c r="C128" s="218" t="s">
        <v>95</v>
      </c>
      <c r="D128" s="218" t="s">
        <v>96</v>
      </c>
      <c r="E128" s="148">
        <f>7.6/100*1.15</f>
        <v>0.0874</v>
      </c>
      <c r="F128" s="200">
        <f>F126*E128</f>
        <v>0.11</v>
      </c>
      <c r="G128" s="148"/>
      <c r="H128" s="251">
        <f>F128*G128</f>
        <v>0</v>
      </c>
      <c r="I128" s="530"/>
      <c r="J128" s="534"/>
      <c r="K128" s="528"/>
    </row>
    <row r="129" spans="1:11" ht="27" customHeight="1" thickBot="1">
      <c r="A129" s="137">
        <f>A128+0.1</f>
        <v>24.3</v>
      </c>
      <c r="B129" s="137"/>
      <c r="C129" s="137" t="s">
        <v>173</v>
      </c>
      <c r="D129" s="137" t="s">
        <v>100</v>
      </c>
      <c r="E129" s="137">
        <f>4.4/100</f>
        <v>0.044</v>
      </c>
      <c r="F129" s="187">
        <f>E129*F126</f>
        <v>0.06</v>
      </c>
      <c r="G129" s="137"/>
      <c r="H129" s="248">
        <f>F129*G129</f>
        <v>0</v>
      </c>
      <c r="I129" s="530"/>
      <c r="J129" s="534"/>
      <c r="K129" s="528"/>
    </row>
    <row r="130" spans="1:11" ht="69.75" customHeight="1" thickBot="1">
      <c r="A130" s="188">
        <f>A126+1</f>
        <v>25</v>
      </c>
      <c r="B130" s="214" t="s">
        <v>289</v>
      </c>
      <c r="C130" s="141" t="s">
        <v>208</v>
      </c>
      <c r="D130" s="146" t="s">
        <v>92</v>
      </c>
      <c r="E130" s="162"/>
      <c r="F130" s="189">
        <v>590</v>
      </c>
      <c r="G130" s="162"/>
      <c r="H130" s="239">
        <f>SUM(H131:H135)</f>
        <v>0</v>
      </c>
      <c r="I130" s="530"/>
      <c r="J130" s="534"/>
      <c r="K130" s="528"/>
    </row>
    <row r="131" spans="1:11" ht="27" customHeight="1">
      <c r="A131" s="102">
        <f>A130+0.1</f>
        <v>25.1</v>
      </c>
      <c r="B131" s="103" t="s">
        <v>200</v>
      </c>
      <c r="C131" s="103" t="s">
        <v>93</v>
      </c>
      <c r="D131" s="103" t="s">
        <v>94</v>
      </c>
      <c r="E131" s="96">
        <f>65.8/100*1.15</f>
        <v>0.757</v>
      </c>
      <c r="F131" s="105">
        <f>F130*E131</f>
        <v>446.63</v>
      </c>
      <c r="G131" s="132"/>
      <c r="H131" s="240">
        <f aca="true" t="shared" si="1" ref="H131:H136">G131*F131</f>
        <v>0</v>
      </c>
      <c r="I131" s="530"/>
      <c r="J131" s="530"/>
      <c r="K131" s="528"/>
    </row>
    <row r="132" spans="1:11" ht="27" customHeight="1">
      <c r="A132" s="102">
        <f>A131+0.1</f>
        <v>25.2</v>
      </c>
      <c r="B132" s="135" t="s">
        <v>200</v>
      </c>
      <c r="C132" s="135" t="s">
        <v>95</v>
      </c>
      <c r="D132" s="135" t="s">
        <v>98</v>
      </c>
      <c r="E132" s="205">
        <f>0.01*1.15</f>
        <v>0.012</v>
      </c>
      <c r="F132" s="184">
        <f>F130*E132</f>
        <v>7.08</v>
      </c>
      <c r="G132" s="147"/>
      <c r="H132" s="246">
        <f t="shared" si="1"/>
        <v>0</v>
      </c>
      <c r="I132" s="530"/>
      <c r="J132" s="534"/>
      <c r="K132" s="528"/>
    </row>
    <row r="133" spans="1:11" ht="27" customHeight="1">
      <c r="A133" s="102">
        <f>A132+0.1</f>
        <v>25.3</v>
      </c>
      <c r="B133" s="135"/>
      <c r="C133" s="136" t="s">
        <v>172</v>
      </c>
      <c r="D133" s="136" t="s">
        <v>109</v>
      </c>
      <c r="E133" s="149">
        <v>0.63</v>
      </c>
      <c r="F133" s="185">
        <f>F130*E133</f>
        <v>371.7</v>
      </c>
      <c r="G133" s="149"/>
      <c r="H133" s="247">
        <f t="shared" si="1"/>
        <v>0</v>
      </c>
      <c r="I133" s="530"/>
      <c r="J133" s="530"/>
      <c r="K133" s="528"/>
    </row>
    <row r="134" spans="1:11" ht="27" customHeight="1">
      <c r="A134" s="102">
        <f>A133+0.1</f>
        <v>25.4</v>
      </c>
      <c r="B134" s="221"/>
      <c r="C134" s="136" t="s">
        <v>120</v>
      </c>
      <c r="D134" s="149" t="s">
        <v>109</v>
      </c>
      <c r="E134" s="149">
        <v>0.79</v>
      </c>
      <c r="F134" s="185">
        <f>F130*E134</f>
        <v>466.1</v>
      </c>
      <c r="G134" s="149"/>
      <c r="H134" s="247">
        <f t="shared" si="1"/>
        <v>0</v>
      </c>
      <c r="I134" s="530"/>
      <c r="J134" s="530"/>
      <c r="K134" s="528"/>
    </row>
    <row r="135" spans="1:11" ht="27" customHeight="1" thickBot="1">
      <c r="A135" s="155">
        <f>A134+0.1</f>
        <v>25.5</v>
      </c>
      <c r="B135" s="296"/>
      <c r="C135" s="137" t="s">
        <v>106</v>
      </c>
      <c r="D135" s="150" t="s">
        <v>107</v>
      </c>
      <c r="E135" s="210">
        <f>1.6/100</f>
        <v>0.016</v>
      </c>
      <c r="F135" s="187">
        <f>F130*E135</f>
        <v>9.44</v>
      </c>
      <c r="G135" s="150"/>
      <c r="H135" s="248">
        <f t="shared" si="1"/>
        <v>0</v>
      </c>
      <c r="I135" s="530"/>
      <c r="J135" s="530"/>
      <c r="K135" s="528"/>
    </row>
    <row r="136" spans="1:11" ht="39.75" customHeight="1" thickBot="1">
      <c r="A136" s="188">
        <f>A130+1</f>
        <v>26</v>
      </c>
      <c r="B136" s="517" t="s">
        <v>90</v>
      </c>
      <c r="C136" s="138" t="s">
        <v>213</v>
      </c>
      <c r="D136" s="518" t="s">
        <v>105</v>
      </c>
      <c r="E136" s="519"/>
      <c r="F136" s="520">
        <v>1</v>
      </c>
      <c r="G136" s="508"/>
      <c r="H136" s="521">
        <f t="shared" si="1"/>
        <v>0</v>
      </c>
      <c r="I136" s="530"/>
      <c r="J136" s="530"/>
      <c r="K136" s="528"/>
    </row>
    <row r="137" spans="1:11" ht="39.75" customHeight="1" thickBot="1">
      <c r="A137" s="188">
        <v>27</v>
      </c>
      <c r="B137" s="517" t="s">
        <v>90</v>
      </c>
      <c r="C137" s="138" t="s">
        <v>216</v>
      </c>
      <c r="D137" s="518" t="s">
        <v>105</v>
      </c>
      <c r="E137" s="519"/>
      <c r="F137" s="520">
        <v>3</v>
      </c>
      <c r="G137" s="508"/>
      <c r="H137" s="521">
        <f>G137*F137</f>
        <v>0</v>
      </c>
      <c r="I137" s="530"/>
      <c r="J137" s="530"/>
      <c r="K137" s="528"/>
    </row>
    <row r="138" spans="1:11" ht="39.75" customHeight="1" thickBot="1">
      <c r="A138" s="188">
        <v>28</v>
      </c>
      <c r="B138" s="517" t="s">
        <v>90</v>
      </c>
      <c r="C138" s="138" t="s">
        <v>215</v>
      </c>
      <c r="D138" s="518" t="s">
        <v>145</v>
      </c>
      <c r="E138" s="519"/>
      <c r="F138" s="520">
        <v>120</v>
      </c>
      <c r="G138" s="508"/>
      <c r="H138" s="521">
        <f>G138*F138</f>
        <v>0</v>
      </c>
      <c r="I138" s="530"/>
      <c r="J138" s="530"/>
      <c r="K138" s="528"/>
    </row>
    <row r="139" spans="1:11" ht="75.75" customHeight="1" thickBot="1">
      <c r="A139" s="188">
        <v>29</v>
      </c>
      <c r="B139" s="517" t="s">
        <v>90</v>
      </c>
      <c r="C139" s="138" t="s">
        <v>231</v>
      </c>
      <c r="D139" s="518" t="s">
        <v>103</v>
      </c>
      <c r="E139" s="519"/>
      <c r="F139" s="520">
        <v>30</v>
      </c>
      <c r="G139" s="508"/>
      <c r="H139" s="521">
        <f>G139*F139</f>
        <v>0</v>
      </c>
      <c r="I139" s="530"/>
      <c r="J139" s="530"/>
      <c r="K139" s="528"/>
    </row>
    <row r="140" spans="1:12" ht="49.5" customHeight="1">
      <c r="A140" s="102"/>
      <c r="B140" s="102"/>
      <c r="C140" s="297" t="s">
        <v>121</v>
      </c>
      <c r="D140" s="297" t="s">
        <v>107</v>
      </c>
      <c r="E140" s="102"/>
      <c r="F140" s="102"/>
      <c r="G140" s="102"/>
      <c r="H140" s="298">
        <f>H139+H138+H137+H136+H130+H126+H120+H113+H112+H91+H86+H80+H73+H64+H58+H51+H50+H49+H48+H45+H44+H36+H29+H28+H26+H23+H20+H17+H14+H11+H9+H6</f>
        <v>0</v>
      </c>
      <c r="I140" s="536"/>
      <c r="J140" s="536"/>
      <c r="K140" s="536"/>
      <c r="L140" s="553"/>
    </row>
    <row r="141" spans="1:12" ht="21" customHeight="1">
      <c r="A141" s="136"/>
      <c r="B141" s="136"/>
      <c r="C141" s="224" t="s">
        <v>122</v>
      </c>
      <c r="D141" s="136" t="s">
        <v>107</v>
      </c>
      <c r="E141" s="136"/>
      <c r="F141" s="136"/>
      <c r="G141" s="136"/>
      <c r="H141" s="252">
        <f>H127+H121+H114+H92+H87+H81+H74+H65+H59+H52+H30+H27+H24+H21+H15+H12+H10+H7</f>
        <v>0</v>
      </c>
      <c r="I141" s="537"/>
      <c r="J141" s="537"/>
      <c r="K141" s="537"/>
      <c r="L141" s="553"/>
    </row>
    <row r="142" spans="1:13" ht="21" customHeight="1">
      <c r="A142" s="136"/>
      <c r="B142" s="136"/>
      <c r="C142" s="224" t="s">
        <v>123</v>
      </c>
      <c r="D142" s="136" t="s">
        <v>107</v>
      </c>
      <c r="E142" s="136"/>
      <c r="F142" s="136"/>
      <c r="G142" s="136"/>
      <c r="H142" s="249">
        <f>H132+H128+H122+H123+H115+H93+H88+H82+H75+H67+H66+H61+H60+H53+H31+H28+H25+H22+H16+H13+H8</f>
        <v>0</v>
      </c>
      <c r="I142" s="538"/>
      <c r="J142" s="538"/>
      <c r="K142" s="538"/>
      <c r="L142" s="553"/>
      <c r="M142" s="553"/>
    </row>
    <row r="143" spans="1:13" ht="21" customHeight="1">
      <c r="A143" s="136"/>
      <c r="B143" s="136"/>
      <c r="C143" s="136" t="s">
        <v>124</v>
      </c>
      <c r="D143" s="136" t="s">
        <v>107</v>
      </c>
      <c r="E143" s="136"/>
      <c r="F143" s="136"/>
      <c r="G143" s="136"/>
      <c r="H143" s="247">
        <f>H140-H141-H142</f>
        <v>0</v>
      </c>
      <c r="I143" s="539"/>
      <c r="J143" s="539"/>
      <c r="K143" s="539"/>
      <c r="L143" s="553"/>
      <c r="M143" s="553"/>
    </row>
    <row r="144" spans="1:12" ht="44.25" customHeight="1">
      <c r="A144" s="136"/>
      <c r="B144" s="136"/>
      <c r="C144" s="121" t="s">
        <v>121</v>
      </c>
      <c r="D144" s="136" t="s">
        <v>107</v>
      </c>
      <c r="E144" s="136"/>
      <c r="F144" s="136"/>
      <c r="G144" s="136"/>
      <c r="H144" s="233">
        <f>H143+H142+H141</f>
        <v>0</v>
      </c>
      <c r="I144" s="536"/>
      <c r="J144" s="536"/>
      <c r="K144" s="536"/>
      <c r="L144" s="553"/>
    </row>
    <row r="145" spans="1:12" ht="27.75" customHeight="1">
      <c r="A145" s="136"/>
      <c r="B145" s="136"/>
      <c r="C145" s="136" t="s">
        <v>125</v>
      </c>
      <c r="D145" s="228">
        <v>0.1</v>
      </c>
      <c r="E145" s="136"/>
      <c r="F145" s="136"/>
      <c r="G145" s="136"/>
      <c r="H145" s="247">
        <f>D145*H144</f>
        <v>0</v>
      </c>
      <c r="I145" s="539"/>
      <c r="J145" s="539"/>
      <c r="K145" s="539"/>
      <c r="L145" s="553"/>
    </row>
    <row r="146" spans="1:12" ht="27.75" customHeight="1">
      <c r="A146" s="136"/>
      <c r="B146" s="136"/>
      <c r="C146" s="136" t="s">
        <v>126</v>
      </c>
      <c r="D146" s="136" t="s">
        <v>107</v>
      </c>
      <c r="E146" s="136"/>
      <c r="F146" s="136"/>
      <c r="G146" s="136"/>
      <c r="H146" s="233">
        <f>SUM(H144:H145)</f>
        <v>0</v>
      </c>
      <c r="I146" s="536"/>
      <c r="J146" s="536"/>
      <c r="K146" s="536"/>
      <c r="L146" s="553"/>
    </row>
    <row r="147" spans="1:12" ht="27.75" customHeight="1">
      <c r="A147" s="136"/>
      <c r="B147" s="136"/>
      <c r="C147" s="136" t="s">
        <v>127</v>
      </c>
      <c r="D147" s="228">
        <v>0.08</v>
      </c>
      <c r="E147" s="136"/>
      <c r="F147" s="136"/>
      <c r="G147" s="136"/>
      <c r="H147" s="247">
        <f>H146*D147</f>
        <v>0</v>
      </c>
      <c r="I147" s="539"/>
      <c r="J147" s="539"/>
      <c r="K147" s="539"/>
      <c r="L147" s="553"/>
    </row>
    <row r="148" spans="1:12" ht="27.75" customHeight="1">
      <c r="A148" s="136"/>
      <c r="B148" s="136"/>
      <c r="C148" s="121" t="s">
        <v>128</v>
      </c>
      <c r="D148" s="136" t="s">
        <v>107</v>
      </c>
      <c r="E148" s="136"/>
      <c r="F148" s="136"/>
      <c r="G148" s="136"/>
      <c r="H148" s="233">
        <f>SUM(H146:H147)</f>
        <v>0</v>
      </c>
      <c r="I148" s="536"/>
      <c r="J148" s="536"/>
      <c r="K148" s="536"/>
      <c r="L148" s="553"/>
    </row>
    <row r="149" spans="1:12" ht="16.5" customHeight="1">
      <c r="A149" s="229"/>
      <c r="B149" s="229"/>
      <c r="C149" s="230"/>
      <c r="D149" s="229"/>
      <c r="E149" s="229"/>
      <c r="F149" s="229"/>
      <c r="G149" s="229"/>
      <c r="H149" s="222"/>
      <c r="I149" s="536"/>
      <c r="J149" s="536"/>
      <c r="K149" s="536"/>
      <c r="L149" s="553"/>
    </row>
    <row r="150" spans="1:12" ht="16.5" customHeight="1">
      <c r="A150" s="229"/>
      <c r="B150" s="229"/>
      <c r="C150" s="230"/>
      <c r="D150" s="229"/>
      <c r="E150" s="229"/>
      <c r="F150" s="229"/>
      <c r="G150" s="229"/>
      <c r="H150" s="222"/>
      <c r="I150" s="536"/>
      <c r="J150" s="536"/>
      <c r="K150" s="536"/>
      <c r="L150" s="553"/>
    </row>
    <row r="151" spans="1:12" ht="16.5" customHeight="1">
      <c r="A151" s="229"/>
      <c r="B151" s="229"/>
      <c r="C151" s="575" t="s">
        <v>492</v>
      </c>
      <c r="D151" s="229"/>
      <c r="E151" s="586"/>
      <c r="F151" s="586"/>
      <c r="G151" s="586"/>
      <c r="H151" s="222"/>
      <c r="I151" s="536"/>
      <c r="J151" s="536"/>
      <c r="K151" s="536"/>
      <c r="L151" s="553"/>
    </row>
    <row r="152" spans="1:12" ht="16.5" customHeight="1">
      <c r="A152" s="229"/>
      <c r="B152" s="229"/>
      <c r="C152" s="230"/>
      <c r="D152" s="229"/>
      <c r="E152" s="229"/>
      <c r="F152" s="229"/>
      <c r="G152" s="229"/>
      <c r="H152" s="222"/>
      <c r="I152" s="536"/>
      <c r="J152" s="536"/>
      <c r="K152" s="536"/>
      <c r="L152" s="553"/>
    </row>
    <row r="153" spans="1:12" ht="16.5" customHeight="1">
      <c r="A153" s="229"/>
      <c r="B153" s="229"/>
      <c r="C153" s="230"/>
      <c r="D153" s="229"/>
      <c r="E153" s="229"/>
      <c r="F153" s="229"/>
      <c r="G153" s="229"/>
      <c r="H153" s="222"/>
      <c r="I153" s="536"/>
      <c r="J153" s="536"/>
      <c r="K153" s="536"/>
      <c r="L153" s="553"/>
    </row>
    <row r="154" spans="1:12" ht="16.5" customHeight="1">
      <c r="A154" s="229"/>
      <c r="B154" s="229"/>
      <c r="C154" s="230"/>
      <c r="D154" s="229"/>
      <c r="E154" s="229"/>
      <c r="F154" s="229"/>
      <c r="G154" s="229"/>
      <c r="H154" s="222"/>
      <c r="I154" s="536"/>
      <c r="J154" s="536"/>
      <c r="K154" s="536"/>
      <c r="L154" s="553"/>
    </row>
    <row r="155" spans="1:12" ht="16.5" customHeight="1">
      <c r="A155" s="229"/>
      <c r="B155" s="229"/>
      <c r="C155" s="230"/>
      <c r="D155" s="229"/>
      <c r="E155" s="229"/>
      <c r="F155" s="229"/>
      <c r="G155" s="229"/>
      <c r="H155" s="222"/>
      <c r="I155" s="536"/>
      <c r="J155" s="536"/>
      <c r="K155" s="536"/>
      <c r="L155" s="553"/>
    </row>
    <row r="156" spans="1:12" ht="16.5" customHeight="1">
      <c r="A156" s="229"/>
      <c r="B156" s="229"/>
      <c r="C156" s="230"/>
      <c r="D156" s="229"/>
      <c r="E156" s="229"/>
      <c r="F156" s="229"/>
      <c r="G156" s="229"/>
      <c r="H156" s="222"/>
      <c r="I156" s="536"/>
      <c r="J156" s="536"/>
      <c r="K156" s="536"/>
      <c r="L156" s="553"/>
    </row>
    <row r="157" spans="1:12" ht="16.5" customHeight="1">
      <c r="A157" s="229"/>
      <c r="B157" s="229"/>
      <c r="C157" s="230"/>
      <c r="D157" s="229"/>
      <c r="E157" s="229"/>
      <c r="F157" s="229"/>
      <c r="G157" s="229"/>
      <c r="H157" s="222"/>
      <c r="I157" s="536"/>
      <c r="J157" s="536"/>
      <c r="K157" s="536"/>
      <c r="L157" s="553"/>
    </row>
    <row r="158" spans="1:12" ht="16.5" customHeight="1">
      <c r="A158" s="229"/>
      <c r="B158" s="229"/>
      <c r="C158" s="230"/>
      <c r="D158" s="229"/>
      <c r="E158" s="229"/>
      <c r="F158" s="229"/>
      <c r="G158" s="229"/>
      <c r="H158" s="222"/>
      <c r="I158" s="536"/>
      <c r="J158" s="536"/>
      <c r="K158" s="536"/>
      <c r="L158" s="553"/>
    </row>
    <row r="159" spans="1:12" ht="16.5" customHeight="1">
      <c r="A159" s="229"/>
      <c r="B159" s="229"/>
      <c r="C159" s="230"/>
      <c r="D159" s="229"/>
      <c r="E159" s="229"/>
      <c r="F159" s="229"/>
      <c r="G159" s="229"/>
      <c r="H159" s="222"/>
      <c r="I159" s="536"/>
      <c r="J159" s="536"/>
      <c r="K159" s="536"/>
      <c r="L159" s="553"/>
    </row>
    <row r="160" spans="1:12" ht="16.5" customHeight="1">
      <c r="A160" s="229"/>
      <c r="B160" s="229"/>
      <c r="C160" s="230"/>
      <c r="D160" s="229"/>
      <c r="E160" s="229"/>
      <c r="F160" s="229"/>
      <c r="G160" s="229"/>
      <c r="H160" s="222"/>
      <c r="I160" s="536"/>
      <c r="J160" s="536"/>
      <c r="K160" s="536"/>
      <c r="L160" s="553"/>
    </row>
    <row r="161" spans="1:12" ht="16.5" customHeight="1">
      <c r="A161" s="229"/>
      <c r="B161" s="229"/>
      <c r="C161" s="230"/>
      <c r="D161" s="229"/>
      <c r="E161" s="229"/>
      <c r="F161" s="229"/>
      <c r="G161" s="229"/>
      <c r="H161" s="222"/>
      <c r="I161" s="536"/>
      <c r="J161" s="536"/>
      <c r="K161" s="536"/>
      <c r="L161" s="553"/>
    </row>
    <row r="162" spans="1:12" ht="16.5" customHeight="1">
      <c r="A162" s="229"/>
      <c r="B162" s="229"/>
      <c r="C162" s="230"/>
      <c r="D162" s="229"/>
      <c r="E162" s="229"/>
      <c r="F162" s="229"/>
      <c r="G162" s="229"/>
      <c r="H162" s="222"/>
      <c r="I162" s="536"/>
      <c r="J162" s="536"/>
      <c r="K162" s="536"/>
      <c r="L162" s="553"/>
    </row>
    <row r="163" spans="1:12" ht="16.5" customHeight="1">
      <c r="A163" s="229"/>
      <c r="B163" s="229"/>
      <c r="C163" s="230"/>
      <c r="D163" s="229"/>
      <c r="E163" s="229"/>
      <c r="F163" s="229"/>
      <c r="G163" s="229"/>
      <c r="H163" s="222"/>
      <c r="I163" s="536"/>
      <c r="J163" s="536"/>
      <c r="K163" s="536"/>
      <c r="L163" s="553"/>
    </row>
    <row r="164" spans="1:12" ht="16.5" customHeight="1">
      <c r="A164" s="229"/>
      <c r="B164" s="229"/>
      <c r="C164" s="230"/>
      <c r="D164" s="229"/>
      <c r="E164" s="229"/>
      <c r="F164" s="229"/>
      <c r="G164" s="229"/>
      <c r="H164" s="222"/>
      <c r="I164" s="536"/>
      <c r="J164" s="536"/>
      <c r="K164" s="536"/>
      <c r="L164" s="553"/>
    </row>
    <row r="165" spans="1:12" ht="16.5" customHeight="1">
      <c r="A165" s="229"/>
      <c r="B165" s="229"/>
      <c r="C165" s="230"/>
      <c r="D165" s="229"/>
      <c r="E165" s="229"/>
      <c r="F165" s="229"/>
      <c r="G165" s="229"/>
      <c r="H165" s="222"/>
      <c r="I165" s="536"/>
      <c r="J165" s="536"/>
      <c r="K165" s="536"/>
      <c r="L165" s="553"/>
    </row>
    <row r="166" spans="1:12" ht="16.5" customHeight="1">
      <c r="A166" s="229"/>
      <c r="B166" s="229"/>
      <c r="C166" s="230"/>
      <c r="D166" s="229"/>
      <c r="E166" s="229"/>
      <c r="F166" s="229"/>
      <c r="G166" s="229"/>
      <c r="H166" s="222"/>
      <c r="I166" s="536"/>
      <c r="J166" s="536"/>
      <c r="K166" s="536"/>
      <c r="L166" s="553"/>
    </row>
    <row r="167" spans="1:12" ht="16.5" customHeight="1">
      <c r="A167" s="229"/>
      <c r="B167" s="229"/>
      <c r="C167" s="230"/>
      <c r="D167" s="229"/>
      <c r="E167" s="229"/>
      <c r="F167" s="229"/>
      <c r="G167" s="229"/>
      <c r="H167" s="222"/>
      <c r="I167" s="536"/>
      <c r="J167" s="536"/>
      <c r="K167" s="536"/>
      <c r="L167" s="553"/>
    </row>
    <row r="168" spans="1:12" ht="16.5" customHeight="1">
      <c r="A168" s="229"/>
      <c r="B168" s="229"/>
      <c r="C168" s="230"/>
      <c r="D168" s="229"/>
      <c r="E168" s="229"/>
      <c r="F168" s="229"/>
      <c r="G168" s="229"/>
      <c r="H168" s="222"/>
      <c r="I168" s="536"/>
      <c r="J168" s="536"/>
      <c r="K168" s="536"/>
      <c r="L168" s="553"/>
    </row>
    <row r="169" spans="1:12" ht="16.5" customHeight="1">
      <c r="A169" s="229"/>
      <c r="B169" s="229"/>
      <c r="C169" s="230"/>
      <c r="D169" s="229"/>
      <c r="E169" s="229"/>
      <c r="F169" s="229"/>
      <c r="G169" s="229"/>
      <c r="H169" s="222"/>
      <c r="I169" s="536"/>
      <c r="J169" s="536"/>
      <c r="K169" s="536"/>
      <c r="L169" s="553"/>
    </row>
    <row r="170" spans="1:12" ht="16.5" customHeight="1">
      <c r="A170" s="229"/>
      <c r="B170" s="229"/>
      <c r="C170" s="230"/>
      <c r="D170" s="229"/>
      <c r="E170" s="229"/>
      <c r="F170" s="229"/>
      <c r="G170" s="229"/>
      <c r="H170" s="222"/>
      <c r="I170" s="536"/>
      <c r="J170" s="536"/>
      <c r="K170" s="536"/>
      <c r="L170" s="553"/>
    </row>
    <row r="171" spans="1:12" ht="16.5" customHeight="1">
      <c r="A171" s="229"/>
      <c r="B171" s="229"/>
      <c r="C171" s="230"/>
      <c r="D171" s="229"/>
      <c r="E171" s="229"/>
      <c r="F171" s="229"/>
      <c r="G171" s="229"/>
      <c r="H171" s="222"/>
      <c r="I171" s="536"/>
      <c r="J171" s="536"/>
      <c r="K171" s="536"/>
      <c r="L171" s="553"/>
    </row>
    <row r="172" spans="1:12" ht="16.5" customHeight="1">
      <c r="A172" s="229"/>
      <c r="B172" s="229"/>
      <c r="C172" s="230"/>
      <c r="D172" s="229"/>
      <c r="E172" s="229"/>
      <c r="F172" s="229"/>
      <c r="G172" s="229"/>
      <c r="H172" s="222"/>
      <c r="I172" s="536"/>
      <c r="J172" s="536"/>
      <c r="K172" s="536"/>
      <c r="L172" s="553"/>
    </row>
  </sheetData>
  <sheetProtection/>
  <mergeCells count="11">
    <mergeCell ref="E3:F3"/>
    <mergeCell ref="G3:H3"/>
    <mergeCell ref="A1:H1"/>
    <mergeCell ref="A2:H2"/>
    <mergeCell ref="A111:H111"/>
    <mergeCell ref="A119:H119"/>
    <mergeCell ref="E151:G151"/>
    <mergeCell ref="A3:A4"/>
    <mergeCell ref="B3:B4"/>
    <mergeCell ref="C3:C4"/>
    <mergeCell ref="D3:D4"/>
  </mergeCells>
  <printOptions/>
  <pageMargins left="0.17" right="0.2" top="0.35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Amiran Gagua</cp:lastModifiedBy>
  <cp:lastPrinted>2016-06-01T21:35:57Z</cp:lastPrinted>
  <dcterms:created xsi:type="dcterms:W3CDTF">2002-10-19T09:08:49Z</dcterms:created>
  <dcterms:modified xsi:type="dcterms:W3CDTF">2016-06-01T21:36:44Z</dcterms:modified>
  <cp:category/>
  <cp:version/>
  <cp:contentType/>
  <cp:contentStatus/>
</cp:coreProperties>
</file>